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chedules &amp; Schedule Workpapers\Section II (Test Year Data)\Schedule I (Class Allocation)\"/>
    </mc:Choice>
  </mc:AlternateContent>
  <xr:revisionPtr revIDLastSave="0" documentId="13_ncr:1_{356C1B64-9FE4-4D12-9CA0-30F7B596B9EE}" xr6:coauthVersionLast="47" xr6:coauthVersionMax="47" xr10:uidLastSave="{00000000-0000-0000-0000-000000000000}"/>
  <bookViews>
    <workbookView xWindow="-120" yWindow="-120" windowWidth="29040" windowHeight="15720" tabRatio="705" firstSheet="3" activeTab="16" xr2:uid="{00000000-000D-0000-FFFF-FFFF00000000}"/>
  </bookViews>
  <sheets>
    <sheet name="LinkSheet" sheetId="1" r:id="rId1"/>
    <sheet name="WP II-I-1.1" sheetId="2" r:id="rId2"/>
    <sheet name=" WP II-I-1.4" sheetId="8" r:id="rId3"/>
    <sheet name="II-I-DIST" sheetId="13" r:id="rId4"/>
    <sheet name="II-I-MET" sheetId="15" r:id="rId5"/>
    <sheet name="II-I-TBILLTDCS" sheetId="16" r:id="rId6"/>
    <sheet name="II-I-Total" sheetId="18" r:id="rId7"/>
    <sheet name="II-I-2.1f" sheetId="44" r:id="rId8"/>
    <sheet name="WP II-I-2.1" sheetId="4" r:id="rId9"/>
    <sheet name="II-I Summary" sheetId="14" r:id="rId10"/>
    <sheet name="WP II-I-1.6" sheetId="28" r:id="rId11"/>
    <sheet name="WP II-I-1.9 " sheetId="45" r:id="rId12"/>
    <sheet name="WP II-I-1.2" sheetId="3" r:id="rId13"/>
    <sheet name="WP II-I-1.7" sheetId="7" r:id="rId14"/>
    <sheet name="II-I-1" sheetId="20" r:id="rId15"/>
    <sheet name="WP II-I-2.2" sheetId="5" r:id="rId16"/>
    <sheet name="II-I-3.1" sheetId="36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AFT_DIST" localSheetId="6">'II-I-Total'!#REF!</definedName>
    <definedName name="Assign_Tbl">#REF!</definedName>
    <definedName name="Assign_Tbl_2016">#REF!</definedName>
    <definedName name="DA">#REF!</definedName>
    <definedName name="DA_0222">#REF!</definedName>
    <definedName name="DA_2">#REF!</definedName>
    <definedName name="FactorTable" localSheetId="4">'II-I-MET'!$G$1354:$T$1448</definedName>
    <definedName name="FactorTable" localSheetId="5">'II-I-TBILLTDCS'!$G$1354:$T$1448</definedName>
    <definedName name="FactorTable" localSheetId="6">'II-I-Total'!#REF!</definedName>
    <definedName name="FactorTable">'II-I-DIST'!$G$1354:$T$1448</definedName>
    <definedName name="FFT_D">'II-I-DIST'!$B$1042:$L$1195</definedName>
    <definedName name="_xlnm.Print_Area" localSheetId="2">' WP II-I-1.4'!$A$1:$L$1234</definedName>
    <definedName name="_xlnm.Print_Area" localSheetId="9">'II-I Summary'!$B$2:$P$138</definedName>
    <definedName name="_xlnm.Print_Area" localSheetId="14">'II-I-1'!$B$1:$S$20</definedName>
    <definedName name="_xlnm.Print_Area" localSheetId="7">'II-I-2.1f'!$A$1:$M$1230</definedName>
    <definedName name="_xlnm.Print_Area" localSheetId="16">'II-I-3.1'!$A$1:$G$25</definedName>
    <definedName name="_xlnm.Print_Area" localSheetId="3">'II-I-DIST'!$B$2:$U$1448</definedName>
    <definedName name="_xlnm.Print_Area" localSheetId="4">'II-I-MET'!$B$2:$U$1448</definedName>
    <definedName name="_xlnm.Print_Area" localSheetId="5">'II-I-TBILLTDCS'!$B$2:$U$1448</definedName>
    <definedName name="_xlnm.Print_Area" localSheetId="6">'II-I-Total'!$B$2:$V$1234</definedName>
    <definedName name="_xlnm.Print_Area" localSheetId="0">LinkSheet!$A$1:$R$49</definedName>
    <definedName name="_xlnm.Print_Area" localSheetId="1">'WP II-I-1.1'!$B$2:$J$507</definedName>
    <definedName name="_xlnm.Print_Area" localSheetId="12">'WP II-I-1.2'!$B$2:$J$59</definedName>
    <definedName name="_xlnm.Print_Area" localSheetId="10">'WP II-I-1.6'!$B$1:$G$40</definedName>
    <definedName name="_xlnm.Print_Area" localSheetId="13">'WP II-I-1.7'!$B$2:$P$40</definedName>
    <definedName name="_xlnm.Print_Area" localSheetId="11">'WP II-I-1.9 '!$A$1:$X$207</definedName>
    <definedName name="_xlnm.Print_Area" localSheetId="8">'WP II-I-2.1'!$B$2:$H$34</definedName>
    <definedName name="_xlnm.Print_Area" localSheetId="15">'WP II-I-2.2'!$B$2:$P$87</definedName>
    <definedName name="_xlnm.Print_Titles" localSheetId="2">' WP II-I-1.4'!$B:$E</definedName>
    <definedName name="_xlnm.Print_Titles" localSheetId="9">'II-I Summary'!$2:$15</definedName>
    <definedName name="_xlnm.Print_Titles" localSheetId="7">'II-I-2.1f'!$B:$E</definedName>
    <definedName name="_xlnm.Print_Titles" localSheetId="3">'II-I-DIST'!$B:$E</definedName>
    <definedName name="_xlnm.Print_Titles" localSheetId="4">'II-I-MET'!$B:$E</definedName>
    <definedName name="_xlnm.Print_Titles" localSheetId="5">'II-I-TBILLTDCS'!$B:$E</definedName>
    <definedName name="_xlnm.Print_Titles" localSheetId="6">'II-I-Total'!$B:$E</definedName>
    <definedName name="_xlnm.Print_Titles" localSheetId="1">'WP II-I-1.1'!$3:$15</definedName>
    <definedName name="_xlnm.Print_Titles" localSheetId="15">'WP II-I-2.2'!$2:$10</definedName>
    <definedName name="x">'II-I-TBILLTDCS'!$G$1354:$T$1448</definedName>
    <definedName name="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9" i="5" l="1"/>
  <c r="K69" i="5"/>
  <c r="J69" i="5"/>
  <c r="I69" i="5"/>
  <c r="G69" i="5"/>
  <c r="I68" i="5"/>
  <c r="G68" i="5"/>
  <c r="P79" i="5"/>
  <c r="N90" i="5"/>
  <c r="M90" i="5"/>
  <c r="L90" i="5"/>
  <c r="K90" i="5"/>
  <c r="J90" i="5"/>
  <c r="I90" i="5"/>
  <c r="H90" i="5"/>
  <c r="G90" i="5"/>
  <c r="F90" i="5"/>
  <c r="E90" i="5"/>
  <c r="S87" i="5"/>
  <c r="P86" i="5"/>
  <c r="T81" i="5"/>
  <c r="P81" i="5"/>
  <c r="S76" i="5"/>
  <c r="S75" i="5"/>
  <c r="S74" i="5"/>
  <c r="S73" i="5"/>
  <c r="N60" i="5"/>
  <c r="M60" i="5"/>
  <c r="L60" i="5"/>
  <c r="K60" i="5"/>
  <c r="J60" i="5"/>
  <c r="I60" i="5"/>
  <c r="G60" i="5"/>
  <c r="L59" i="5"/>
  <c r="I59" i="5"/>
  <c r="H59" i="5"/>
  <c r="G59" i="5"/>
  <c r="F59" i="5"/>
  <c r="E59" i="5"/>
  <c r="N58" i="5"/>
  <c r="M58" i="5"/>
  <c r="L58" i="5"/>
  <c r="K58" i="5"/>
  <c r="J58" i="5"/>
  <c r="I58" i="5"/>
  <c r="G58" i="5"/>
  <c r="L57" i="5"/>
  <c r="I57" i="5"/>
  <c r="H57" i="5"/>
  <c r="G57" i="5"/>
  <c r="F57" i="5"/>
  <c r="E57" i="5"/>
  <c r="N56" i="5"/>
  <c r="M56" i="5"/>
  <c r="L56" i="5"/>
  <c r="K56" i="5"/>
  <c r="J56" i="5"/>
  <c r="I56" i="5"/>
  <c r="G56" i="5"/>
  <c r="I55" i="5"/>
  <c r="H55" i="5"/>
  <c r="G55" i="5"/>
  <c r="F55" i="5"/>
  <c r="E55" i="5"/>
  <c r="N54" i="5"/>
  <c r="M54" i="5"/>
  <c r="L54" i="5"/>
  <c r="K54" i="5"/>
  <c r="J54" i="5"/>
  <c r="I54" i="5"/>
  <c r="G54" i="5"/>
  <c r="N53" i="5"/>
  <c r="M53" i="5"/>
  <c r="L53" i="5"/>
  <c r="I53" i="5"/>
  <c r="H53" i="5"/>
  <c r="G53" i="5"/>
  <c r="F53" i="5"/>
  <c r="E53" i="5"/>
  <c r="N52" i="5"/>
  <c r="M52" i="5"/>
  <c r="L52" i="5"/>
  <c r="K52" i="5"/>
  <c r="J52" i="5"/>
  <c r="I52" i="5"/>
  <c r="G52" i="5"/>
  <c r="N51" i="5"/>
  <c r="M51" i="5"/>
  <c r="L51" i="5"/>
  <c r="I51" i="5"/>
  <c r="H51" i="5"/>
  <c r="G51" i="5"/>
  <c r="F51" i="5"/>
  <c r="E51" i="5"/>
  <c r="N14" i="5"/>
  <c r="M14" i="5"/>
  <c r="L14" i="5"/>
  <c r="K14" i="5"/>
  <c r="J14" i="5"/>
  <c r="I14" i="5"/>
  <c r="H14" i="5"/>
  <c r="G14" i="5"/>
  <c r="F14" i="5"/>
  <c r="E14" i="5"/>
  <c r="L40" i="5"/>
  <c r="K40" i="5"/>
  <c r="J40" i="5"/>
  <c r="I40" i="5"/>
  <c r="H40" i="5"/>
  <c r="G40" i="5"/>
  <c r="F40" i="5"/>
  <c r="E40" i="5"/>
  <c r="N35" i="5"/>
  <c r="N34" i="5"/>
  <c r="N33" i="5"/>
  <c r="N32" i="5"/>
  <c r="N31" i="5"/>
  <c r="N30" i="5"/>
  <c r="N29" i="5"/>
  <c r="N28" i="5"/>
  <c r="N27" i="5"/>
  <c r="N26" i="5"/>
  <c r="N25" i="5"/>
  <c r="N24" i="5"/>
  <c r="M35" i="5"/>
  <c r="M34" i="5"/>
  <c r="M33" i="5"/>
  <c r="M32" i="5"/>
  <c r="M31" i="5"/>
  <c r="M30" i="5"/>
  <c r="M29" i="5"/>
  <c r="M28" i="5"/>
  <c r="M27" i="5"/>
  <c r="M26" i="5"/>
  <c r="M25" i="5"/>
  <c r="M24" i="5"/>
  <c r="L35" i="5"/>
  <c r="L34" i="5"/>
  <c r="L33" i="5"/>
  <c r="L32" i="5"/>
  <c r="L31" i="5"/>
  <c r="L30" i="5"/>
  <c r="L29" i="5"/>
  <c r="L28" i="5"/>
  <c r="L27" i="5"/>
  <c r="L26" i="5"/>
  <c r="L25" i="5"/>
  <c r="L24" i="5"/>
  <c r="K35" i="5"/>
  <c r="K34" i="5"/>
  <c r="K33" i="5"/>
  <c r="K32" i="5"/>
  <c r="K31" i="5"/>
  <c r="K30" i="5"/>
  <c r="K29" i="5"/>
  <c r="K28" i="5"/>
  <c r="K27" i="5"/>
  <c r="K26" i="5"/>
  <c r="K25" i="5"/>
  <c r="K24" i="5"/>
  <c r="J35" i="5"/>
  <c r="J34" i="5"/>
  <c r="J33" i="5"/>
  <c r="J32" i="5"/>
  <c r="J31" i="5"/>
  <c r="J30" i="5"/>
  <c r="J29" i="5"/>
  <c r="J28" i="5"/>
  <c r="J27" i="5"/>
  <c r="J26" i="5"/>
  <c r="J25" i="5"/>
  <c r="J24" i="5"/>
  <c r="I35" i="5"/>
  <c r="I34" i="5"/>
  <c r="I33" i="5"/>
  <c r="I32" i="5"/>
  <c r="I31" i="5"/>
  <c r="I30" i="5"/>
  <c r="I29" i="5"/>
  <c r="I28" i="5"/>
  <c r="I27" i="5"/>
  <c r="I26" i="5"/>
  <c r="I25" i="5"/>
  <c r="I24" i="5"/>
  <c r="H35" i="5"/>
  <c r="H34" i="5"/>
  <c r="H33" i="5"/>
  <c r="H32" i="5"/>
  <c r="H31" i="5"/>
  <c r="H30" i="5"/>
  <c r="H29" i="5"/>
  <c r="H28" i="5"/>
  <c r="H27" i="5"/>
  <c r="H26" i="5"/>
  <c r="H25" i="5"/>
  <c r="H24" i="5"/>
  <c r="G35" i="5"/>
  <c r="G34" i="5"/>
  <c r="G33" i="5"/>
  <c r="G32" i="5"/>
  <c r="G31" i="5"/>
  <c r="G30" i="5"/>
  <c r="G29" i="5"/>
  <c r="G28" i="5"/>
  <c r="G27" i="5"/>
  <c r="G26" i="5"/>
  <c r="G25" i="5"/>
  <c r="G24" i="5"/>
  <c r="F35" i="5"/>
  <c r="F34" i="5"/>
  <c r="F33" i="5"/>
  <c r="F32" i="5"/>
  <c r="F31" i="5"/>
  <c r="F30" i="5"/>
  <c r="F29" i="5"/>
  <c r="F28" i="5"/>
  <c r="F27" i="5"/>
  <c r="F26" i="5"/>
  <c r="F25" i="5"/>
  <c r="F24" i="5"/>
  <c r="E35" i="5"/>
  <c r="E34" i="5"/>
  <c r="E33" i="5"/>
  <c r="E32" i="5"/>
  <c r="E31" i="5"/>
  <c r="E30" i="5"/>
  <c r="E29" i="5"/>
  <c r="E28" i="5"/>
  <c r="E27" i="5"/>
  <c r="E26" i="5"/>
  <c r="E25" i="5"/>
  <c r="E24" i="5"/>
  <c r="H495" i="15"/>
  <c r="H497" i="15"/>
  <c r="H498" i="15"/>
  <c r="H73" i="5"/>
  <c r="H34" i="4"/>
  <c r="H33" i="4"/>
  <c r="H32" i="4"/>
  <c r="H30" i="4"/>
  <c r="H29" i="4"/>
  <c r="H27" i="4"/>
  <c r="H26" i="4"/>
  <c r="H24" i="4"/>
  <c r="H23" i="4"/>
  <c r="H21" i="4"/>
  <c r="H20" i="4"/>
  <c r="N20" i="5"/>
  <c r="M20" i="5"/>
  <c r="L20" i="5"/>
  <c r="K20" i="5"/>
  <c r="J20" i="5"/>
  <c r="I20" i="5"/>
  <c r="H20" i="5"/>
  <c r="G20" i="5"/>
  <c r="F20" i="5"/>
  <c r="E20" i="5"/>
  <c r="N17" i="5"/>
  <c r="M17" i="5"/>
  <c r="L17" i="5"/>
  <c r="K17" i="5"/>
  <c r="J17" i="5"/>
  <c r="I17" i="5"/>
  <c r="H17" i="5"/>
  <c r="G17" i="5"/>
  <c r="F17" i="5"/>
  <c r="E17" i="5"/>
  <c r="M356" i="44"/>
  <c r="M293" i="44"/>
  <c r="M214" i="44"/>
  <c r="M265" i="44"/>
  <c r="I592" i="8"/>
  <c r="H592" i="8"/>
  <c r="G592" i="8"/>
  <c r="F592" i="8"/>
  <c r="I591" i="8"/>
  <c r="H591" i="8"/>
  <c r="G591" i="8"/>
  <c r="F591" i="8"/>
  <c r="I594" i="8"/>
  <c r="H594" i="8"/>
  <c r="G594" i="8"/>
  <c r="F594" i="8"/>
  <c r="I593" i="8"/>
  <c r="H593" i="8"/>
  <c r="G593" i="8"/>
  <c r="F593" i="8"/>
  <c r="J593" i="8" l="1"/>
  <c r="N1159" i="44"/>
  <c r="N1155" i="44"/>
  <c r="N1154" i="44"/>
  <c r="N1141" i="44"/>
  <c r="N1102" i="44"/>
  <c r="N1097" i="44"/>
  <c r="N1096" i="44"/>
  <c r="N1093" i="44"/>
  <c r="N1092" i="44"/>
  <c r="N994" i="44"/>
  <c r="N993" i="44"/>
  <c r="N743" i="44"/>
  <c r="N742" i="44"/>
  <c r="N740" i="44"/>
  <c r="N733" i="44"/>
  <c r="N732" i="44"/>
  <c r="N730" i="44"/>
  <c r="N662" i="44"/>
  <c r="N660" i="44"/>
  <c r="N652" i="44"/>
  <c r="N651" i="44"/>
  <c r="N649" i="44"/>
  <c r="N621" i="44"/>
  <c r="N619" i="44"/>
  <c r="N617" i="44"/>
  <c r="N615" i="44"/>
  <c r="N613" i="44"/>
  <c r="N611" i="44"/>
  <c r="N574" i="44"/>
  <c r="B1100" i="44" l="1"/>
  <c r="B1101" i="44" s="1"/>
  <c r="B1102" i="44" s="1"/>
  <c r="B1103" i="44" s="1"/>
  <c r="B1100" i="18"/>
  <c r="B1101" i="18" s="1"/>
  <c r="B1102" i="18" s="1"/>
  <c r="B1103" i="18" s="1"/>
  <c r="H1100" i="16"/>
  <c r="K1100" i="44" s="1"/>
  <c r="B1100" i="16"/>
  <c r="B1101" i="16" s="1"/>
  <c r="B1102" i="16" s="1"/>
  <c r="B1103" i="16" s="1"/>
  <c r="H1100" i="13"/>
  <c r="G1100" i="44" s="1"/>
  <c r="B1100" i="13"/>
  <c r="B1101" i="13" s="1"/>
  <c r="B1102" i="13" s="1"/>
  <c r="B1103" i="13" s="1"/>
  <c r="B1100" i="8"/>
  <c r="B1101" i="8" s="1"/>
  <c r="B1102" i="8" s="1"/>
  <c r="B1103" i="8" s="1"/>
  <c r="I1100" i="8"/>
  <c r="F1100" i="16" s="1"/>
  <c r="J1100" i="44" s="1"/>
  <c r="H1100" i="8"/>
  <c r="G1100" i="8"/>
  <c r="F1100" i="13" s="1"/>
  <c r="F1100" i="44" s="1"/>
  <c r="F1100" i="8"/>
  <c r="K496" i="2"/>
  <c r="I497" i="2"/>
  <c r="H497" i="2"/>
  <c r="G497" i="2"/>
  <c r="F497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502" i="2"/>
  <c r="K501" i="2"/>
  <c r="K497" i="2"/>
  <c r="K494" i="2"/>
  <c r="K492" i="2"/>
  <c r="K490" i="2"/>
  <c r="B430" i="2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29" i="2"/>
  <c r="J1100" i="8" l="1"/>
  <c r="F1100" i="15"/>
  <c r="H1100" i="44" s="1"/>
  <c r="L1100" i="44" s="1"/>
  <c r="L1100" i="8"/>
  <c r="F1100" i="18" l="1"/>
  <c r="N1100" i="44"/>
  <c r="T1220" i="18" l="1"/>
  <c r="F1004" i="18"/>
  <c r="F1003" i="18"/>
  <c r="F1002" i="18"/>
  <c r="K98" i="44"/>
  <c r="K99" i="44"/>
  <c r="K100" i="44"/>
  <c r="K131" i="44"/>
  <c r="K132" i="44"/>
  <c r="K133" i="44"/>
  <c r="K179" i="44"/>
  <c r="K180" i="44"/>
  <c r="K181" i="44"/>
  <c r="K210" i="44"/>
  <c r="K211" i="44"/>
  <c r="K212" i="44"/>
  <c r="K236" i="44"/>
  <c r="K237" i="44"/>
  <c r="K238" i="44"/>
  <c r="K253" i="44"/>
  <c r="K254" i="44"/>
  <c r="K255" i="44"/>
  <c r="K285" i="44"/>
  <c r="K286" i="44"/>
  <c r="K287" i="44"/>
  <c r="K338" i="44"/>
  <c r="K339" i="44"/>
  <c r="K340" i="44"/>
  <c r="K379" i="44"/>
  <c r="K380" i="44"/>
  <c r="K381" i="44"/>
  <c r="K399" i="44"/>
  <c r="K400" i="44"/>
  <c r="K401" i="44"/>
  <c r="K408" i="44"/>
  <c r="K409" i="44"/>
  <c r="K410" i="44"/>
  <c r="K424" i="44"/>
  <c r="K425" i="44"/>
  <c r="K426" i="44"/>
  <c r="K427" i="44"/>
  <c r="K428" i="44"/>
  <c r="K446" i="44"/>
  <c r="K447" i="44"/>
  <c r="K448" i="44"/>
  <c r="K466" i="44"/>
  <c r="K467" i="44"/>
  <c r="K468" i="44"/>
  <c r="K489" i="44"/>
  <c r="K490" i="44"/>
  <c r="K491" i="44"/>
  <c r="K512" i="44"/>
  <c r="K513" i="44"/>
  <c r="K514" i="44"/>
  <c r="K556" i="44"/>
  <c r="K557" i="44"/>
  <c r="K558" i="44"/>
  <c r="K586" i="44"/>
  <c r="K587" i="44"/>
  <c r="K588" i="44"/>
  <c r="K597" i="44"/>
  <c r="K598" i="44"/>
  <c r="K599" i="44"/>
  <c r="K633" i="44"/>
  <c r="K634" i="44"/>
  <c r="K635" i="44"/>
  <c r="K674" i="44"/>
  <c r="K675" i="44"/>
  <c r="K676" i="44"/>
  <c r="K719" i="44"/>
  <c r="K720" i="44"/>
  <c r="K721" i="44"/>
  <c r="K764" i="44"/>
  <c r="K765" i="44"/>
  <c r="K766" i="44"/>
  <c r="K798" i="44"/>
  <c r="K799" i="44"/>
  <c r="K800" i="44"/>
  <c r="K838" i="44"/>
  <c r="K839" i="44"/>
  <c r="K840" i="44"/>
  <c r="K883" i="44"/>
  <c r="K884" i="44"/>
  <c r="K885" i="44"/>
  <c r="K935" i="44"/>
  <c r="K936" i="44"/>
  <c r="K937" i="44"/>
  <c r="K953" i="44"/>
  <c r="K954" i="44"/>
  <c r="K968" i="44"/>
  <c r="K969" i="44"/>
  <c r="K970" i="44"/>
  <c r="K988" i="44"/>
  <c r="K989" i="44"/>
  <c r="K990" i="44"/>
  <c r="K998" i="44"/>
  <c r="K1043" i="44"/>
  <c r="K1044" i="44"/>
  <c r="K1045" i="44"/>
  <c r="K1081" i="44"/>
  <c r="K1082" i="44"/>
  <c r="K1083" i="44"/>
  <c r="K1112" i="44"/>
  <c r="K1113" i="44"/>
  <c r="K1114" i="44"/>
  <c r="K1173" i="44"/>
  <c r="K1174" i="44"/>
  <c r="K1175" i="44"/>
  <c r="K1199" i="44"/>
  <c r="K1200" i="44"/>
  <c r="K1201" i="44"/>
  <c r="J11" i="44"/>
  <c r="J13" i="44"/>
  <c r="J19" i="44"/>
  <c r="J23" i="44"/>
  <c r="J26" i="44"/>
  <c r="J51" i="44"/>
  <c r="J57" i="44"/>
  <c r="J61" i="44"/>
  <c r="J80" i="44"/>
  <c r="J82" i="44"/>
  <c r="J100" i="44"/>
  <c r="J133" i="44"/>
  <c r="J160" i="44"/>
  <c r="J166" i="44"/>
  <c r="J181" i="44"/>
  <c r="J194" i="44"/>
  <c r="J198" i="44"/>
  <c r="J212" i="44"/>
  <c r="J218" i="44"/>
  <c r="J238" i="44"/>
  <c r="J243" i="44"/>
  <c r="J255" i="44"/>
  <c r="J262" i="44"/>
  <c r="J277" i="44"/>
  <c r="J286" i="44"/>
  <c r="J287" i="44"/>
  <c r="J313" i="44"/>
  <c r="J319" i="44"/>
  <c r="J340" i="44"/>
  <c r="J355" i="44"/>
  <c r="J362" i="44"/>
  <c r="J365" i="44"/>
  <c r="J367" i="44"/>
  <c r="J381" i="44"/>
  <c r="J387" i="44"/>
  <c r="J400" i="44"/>
  <c r="J401" i="44"/>
  <c r="J408" i="44"/>
  <c r="J410" i="44"/>
  <c r="J412" i="44"/>
  <c r="J426" i="44"/>
  <c r="J427" i="44"/>
  <c r="J428" i="44"/>
  <c r="J434" i="44"/>
  <c r="J448" i="44"/>
  <c r="J454" i="44"/>
  <c r="J468" i="44"/>
  <c r="J475" i="44"/>
  <c r="J477" i="44"/>
  <c r="J491" i="44"/>
  <c r="J500" i="44"/>
  <c r="J514" i="44"/>
  <c r="J557" i="44"/>
  <c r="J558" i="44"/>
  <c r="J574" i="44"/>
  <c r="J588" i="44"/>
  <c r="J598" i="44"/>
  <c r="J599" i="44"/>
  <c r="J611" i="44"/>
  <c r="J613" i="44"/>
  <c r="J617" i="44"/>
  <c r="J619" i="44"/>
  <c r="J634" i="44"/>
  <c r="J635" i="44"/>
  <c r="J649" i="44"/>
  <c r="J651" i="44"/>
  <c r="J652" i="44"/>
  <c r="J660" i="44"/>
  <c r="J662" i="44"/>
  <c r="J676" i="44"/>
  <c r="J691" i="44"/>
  <c r="J693" i="44"/>
  <c r="J694" i="44"/>
  <c r="J695" i="44"/>
  <c r="J706" i="44"/>
  <c r="J708" i="44"/>
  <c r="J721" i="44"/>
  <c r="J730" i="44"/>
  <c r="J732" i="44"/>
  <c r="J733" i="44"/>
  <c r="J740" i="44"/>
  <c r="J742" i="44"/>
  <c r="J743" i="44"/>
  <c r="J750" i="44"/>
  <c r="J752" i="44"/>
  <c r="J766" i="44"/>
  <c r="J782" i="44"/>
  <c r="J786" i="44"/>
  <c r="J800" i="44"/>
  <c r="J813" i="44"/>
  <c r="J815" i="44"/>
  <c r="J816" i="44"/>
  <c r="J824" i="44"/>
  <c r="J826" i="44"/>
  <c r="J840" i="44"/>
  <c r="J854" i="44"/>
  <c r="J856" i="44"/>
  <c r="J858" i="44"/>
  <c r="J859" i="44"/>
  <c r="J869" i="44"/>
  <c r="J871" i="44"/>
  <c r="J873" i="44"/>
  <c r="J885" i="44"/>
  <c r="J891" i="44"/>
  <c r="J896" i="44"/>
  <c r="J898" i="44"/>
  <c r="J899" i="44"/>
  <c r="J904" i="44"/>
  <c r="J908" i="44"/>
  <c r="J910" i="44"/>
  <c r="J911" i="44"/>
  <c r="J916" i="44"/>
  <c r="J920" i="44"/>
  <c r="J922" i="44"/>
  <c r="J924" i="44"/>
  <c r="J937" i="44"/>
  <c r="J954" i="44"/>
  <c r="J956" i="44"/>
  <c r="J970" i="44"/>
  <c r="J977" i="44"/>
  <c r="J990" i="44"/>
  <c r="J999" i="44"/>
  <c r="J1000" i="44"/>
  <c r="J1014" i="44"/>
  <c r="J1015" i="44"/>
  <c r="J1045" i="44"/>
  <c r="J1064" i="44"/>
  <c r="J1069" i="44"/>
  <c r="J1083" i="44"/>
  <c r="J1092" i="44"/>
  <c r="J1093" i="44"/>
  <c r="J1096" i="44"/>
  <c r="J1097" i="44"/>
  <c r="J1102" i="44"/>
  <c r="J1114" i="44"/>
  <c r="J1119" i="44"/>
  <c r="J1120" i="44"/>
  <c r="J1127" i="44"/>
  <c r="J1128" i="44"/>
  <c r="J1129" i="44"/>
  <c r="J1141" i="44"/>
  <c r="J1144" i="44"/>
  <c r="J1146" i="44"/>
  <c r="J1147" i="44"/>
  <c r="J1154" i="44"/>
  <c r="J1155" i="44"/>
  <c r="J1159" i="44"/>
  <c r="J1161" i="44"/>
  <c r="J1175" i="44"/>
  <c r="J1181" i="44"/>
  <c r="J1183" i="44"/>
  <c r="J1185" i="44"/>
  <c r="J1187" i="44"/>
  <c r="J1201" i="44"/>
  <c r="J1221" i="44"/>
  <c r="I98" i="44"/>
  <c r="I99" i="44"/>
  <c r="I100" i="44"/>
  <c r="I131" i="44"/>
  <c r="I132" i="44"/>
  <c r="I133" i="44"/>
  <c r="I179" i="44"/>
  <c r="I180" i="44"/>
  <c r="I181" i="44"/>
  <c r="I210" i="44"/>
  <c r="I211" i="44"/>
  <c r="I212" i="44"/>
  <c r="I236" i="44"/>
  <c r="I237" i="44"/>
  <c r="I238" i="44"/>
  <c r="I253" i="44"/>
  <c r="I254" i="44"/>
  <c r="I255" i="44"/>
  <c r="I285" i="44"/>
  <c r="I286" i="44"/>
  <c r="I287" i="44"/>
  <c r="I338" i="44"/>
  <c r="I339" i="44"/>
  <c r="I340" i="44"/>
  <c r="I379" i="44"/>
  <c r="I380" i="44"/>
  <c r="I381" i="44"/>
  <c r="I399" i="44"/>
  <c r="I400" i="44"/>
  <c r="I401" i="44"/>
  <c r="I408" i="44"/>
  <c r="I409" i="44"/>
  <c r="I410" i="44"/>
  <c r="I424" i="44"/>
  <c r="I425" i="44"/>
  <c r="I426" i="44"/>
  <c r="I427" i="44"/>
  <c r="I428" i="44"/>
  <c r="I446" i="44"/>
  <c r="I447" i="44"/>
  <c r="I448" i="44"/>
  <c r="I466" i="44"/>
  <c r="I467" i="44"/>
  <c r="I468" i="44"/>
  <c r="I489" i="44"/>
  <c r="I490" i="44"/>
  <c r="I491" i="44"/>
  <c r="I512" i="44"/>
  <c r="I513" i="44"/>
  <c r="I514" i="44"/>
  <c r="I556" i="44"/>
  <c r="I557" i="44"/>
  <c r="I558" i="44"/>
  <c r="I586" i="44"/>
  <c r="I587" i="44"/>
  <c r="I588" i="44"/>
  <c r="I597" i="44"/>
  <c r="I598" i="44"/>
  <c r="I599" i="44"/>
  <c r="I633" i="44"/>
  <c r="I634" i="44"/>
  <c r="I635" i="44"/>
  <c r="I674" i="44"/>
  <c r="I675" i="44"/>
  <c r="I676" i="44"/>
  <c r="I719" i="44"/>
  <c r="I720" i="44"/>
  <c r="I721" i="44"/>
  <c r="I764" i="44"/>
  <c r="I765" i="44"/>
  <c r="I766" i="44"/>
  <c r="I798" i="44"/>
  <c r="I799" i="44"/>
  <c r="I800" i="44"/>
  <c r="I838" i="44"/>
  <c r="I839" i="44"/>
  <c r="I840" i="44"/>
  <c r="I883" i="44"/>
  <c r="I884" i="44"/>
  <c r="I885" i="44"/>
  <c r="I935" i="44"/>
  <c r="I936" i="44"/>
  <c r="I937" i="44"/>
  <c r="I953" i="44"/>
  <c r="I954" i="44"/>
  <c r="I968" i="44"/>
  <c r="I969" i="44"/>
  <c r="I970" i="44"/>
  <c r="I988" i="44"/>
  <c r="I989" i="44"/>
  <c r="I990" i="44"/>
  <c r="I998" i="44"/>
  <c r="I1043" i="44"/>
  <c r="I1044" i="44"/>
  <c r="I1045" i="44"/>
  <c r="I1081" i="44"/>
  <c r="I1082" i="44"/>
  <c r="I1083" i="44"/>
  <c r="I1112" i="44"/>
  <c r="I1113" i="44"/>
  <c r="I1114" i="44"/>
  <c r="I1173" i="44"/>
  <c r="I1174" i="44"/>
  <c r="I1175" i="44"/>
  <c r="I1199" i="44"/>
  <c r="I1200" i="44"/>
  <c r="I1201" i="44"/>
  <c r="H11" i="44"/>
  <c r="H13" i="44"/>
  <c r="H19" i="44"/>
  <c r="H23" i="44"/>
  <c r="H26" i="44"/>
  <c r="H51" i="44"/>
  <c r="H57" i="44"/>
  <c r="H61" i="44"/>
  <c r="H80" i="44"/>
  <c r="H82" i="44"/>
  <c r="H100" i="44"/>
  <c r="H160" i="44"/>
  <c r="H166" i="44"/>
  <c r="H181" i="44"/>
  <c r="H194" i="44"/>
  <c r="H198" i="44"/>
  <c r="H212" i="44"/>
  <c r="H218" i="44"/>
  <c r="H238" i="44"/>
  <c r="H243" i="44"/>
  <c r="H255" i="44"/>
  <c r="H262" i="44"/>
  <c r="H277" i="44"/>
  <c r="H286" i="44"/>
  <c r="H287" i="44"/>
  <c r="H313" i="44"/>
  <c r="H319" i="44"/>
  <c r="H340" i="44"/>
  <c r="H355" i="44"/>
  <c r="H362" i="44"/>
  <c r="H365" i="44"/>
  <c r="H367" i="44"/>
  <c r="H381" i="44"/>
  <c r="H387" i="44"/>
  <c r="H400" i="44"/>
  <c r="H401" i="44"/>
  <c r="H408" i="44"/>
  <c r="H410" i="44"/>
  <c r="H412" i="44"/>
  <c r="H426" i="44"/>
  <c r="H427" i="44"/>
  <c r="H428" i="44"/>
  <c r="H434" i="44"/>
  <c r="H448" i="44"/>
  <c r="H454" i="44"/>
  <c r="H468" i="44"/>
  <c r="H475" i="44"/>
  <c r="H477" i="44"/>
  <c r="H491" i="44"/>
  <c r="H500" i="44"/>
  <c r="H514" i="44"/>
  <c r="H557" i="44"/>
  <c r="H558" i="44"/>
  <c r="H574" i="44"/>
  <c r="H588" i="44"/>
  <c r="H598" i="44"/>
  <c r="H599" i="44"/>
  <c r="H611" i="44"/>
  <c r="H613" i="44"/>
  <c r="H617" i="44"/>
  <c r="H619" i="44"/>
  <c r="H634" i="44"/>
  <c r="H635" i="44"/>
  <c r="H649" i="44"/>
  <c r="H651" i="44"/>
  <c r="H652" i="44"/>
  <c r="H660" i="44"/>
  <c r="H662" i="44"/>
  <c r="H676" i="44"/>
  <c r="H691" i="44"/>
  <c r="H693" i="44"/>
  <c r="H694" i="44"/>
  <c r="H695" i="44"/>
  <c r="H706" i="44"/>
  <c r="H708" i="44"/>
  <c r="H721" i="44"/>
  <c r="H730" i="44"/>
  <c r="H732" i="44"/>
  <c r="H733" i="44"/>
  <c r="H740" i="44"/>
  <c r="H742" i="44"/>
  <c r="H743" i="44"/>
  <c r="H750" i="44"/>
  <c r="H752" i="44"/>
  <c r="H766" i="44"/>
  <c r="H782" i="44"/>
  <c r="H786" i="44"/>
  <c r="H800" i="44"/>
  <c r="H813" i="44"/>
  <c r="H815" i="44"/>
  <c r="H816" i="44"/>
  <c r="H824" i="44"/>
  <c r="H826" i="44"/>
  <c r="H840" i="44"/>
  <c r="H854" i="44"/>
  <c r="H856" i="44"/>
  <c r="H858" i="44"/>
  <c r="H859" i="44"/>
  <c r="H869" i="44"/>
  <c r="H871" i="44"/>
  <c r="H873" i="44"/>
  <c r="H885" i="44"/>
  <c r="H891" i="44"/>
  <c r="H896" i="44"/>
  <c r="H898" i="44"/>
  <c r="H899" i="44"/>
  <c r="H904" i="44"/>
  <c r="H908" i="44"/>
  <c r="H910" i="44"/>
  <c r="H911" i="44"/>
  <c r="H916" i="44"/>
  <c r="H920" i="44"/>
  <c r="H922" i="44"/>
  <c r="H924" i="44"/>
  <c r="H937" i="44"/>
  <c r="H954" i="44"/>
  <c r="H956" i="44"/>
  <c r="H970" i="44"/>
  <c r="H972" i="44"/>
  <c r="H973" i="44"/>
  <c r="H974" i="44"/>
  <c r="H975" i="44"/>
  <c r="H976" i="44"/>
  <c r="H977" i="44"/>
  <c r="H990" i="44"/>
  <c r="H999" i="44"/>
  <c r="H1000" i="44"/>
  <c r="H1014" i="44"/>
  <c r="H1015" i="44"/>
  <c r="H1045" i="44"/>
  <c r="H1064" i="44"/>
  <c r="H1069" i="44"/>
  <c r="H1083" i="44"/>
  <c r="H1092" i="44"/>
  <c r="H1093" i="44"/>
  <c r="H1096" i="44"/>
  <c r="H1097" i="44"/>
  <c r="H1102" i="44"/>
  <c r="H1114" i="44"/>
  <c r="H1119" i="44"/>
  <c r="H1120" i="44"/>
  <c r="H1127" i="44"/>
  <c r="H1128" i="44"/>
  <c r="H1129" i="44"/>
  <c r="H1141" i="44"/>
  <c r="H1144" i="44"/>
  <c r="H1146" i="44"/>
  <c r="H1154" i="44"/>
  <c r="H1155" i="44"/>
  <c r="H1159" i="44"/>
  <c r="H1161" i="44"/>
  <c r="H1175" i="44"/>
  <c r="H1181" i="44"/>
  <c r="H1183" i="44"/>
  <c r="H1185" i="44"/>
  <c r="H1187" i="44"/>
  <c r="H1201" i="44"/>
  <c r="H1221" i="44"/>
  <c r="G98" i="44"/>
  <c r="G99" i="44"/>
  <c r="G100" i="44"/>
  <c r="G131" i="44"/>
  <c r="G132" i="44"/>
  <c r="G133" i="44"/>
  <c r="G179" i="44"/>
  <c r="G180" i="44"/>
  <c r="G181" i="44"/>
  <c r="G210" i="44"/>
  <c r="G211" i="44"/>
  <c r="G212" i="44"/>
  <c r="G236" i="44"/>
  <c r="G237" i="44"/>
  <c r="G238" i="44"/>
  <c r="G253" i="44"/>
  <c r="G254" i="44"/>
  <c r="G255" i="44"/>
  <c r="G285" i="44"/>
  <c r="G286" i="44"/>
  <c r="G287" i="44"/>
  <c r="G338" i="44"/>
  <c r="G339" i="44"/>
  <c r="G340" i="44"/>
  <c r="G379" i="44"/>
  <c r="G380" i="44"/>
  <c r="G381" i="44"/>
  <c r="G399" i="44"/>
  <c r="G400" i="44"/>
  <c r="G401" i="44"/>
  <c r="G408" i="44"/>
  <c r="G409" i="44"/>
  <c r="G410" i="44"/>
  <c r="G424" i="44"/>
  <c r="G425" i="44"/>
  <c r="G426" i="44"/>
  <c r="G427" i="44"/>
  <c r="G428" i="44"/>
  <c r="G446" i="44"/>
  <c r="G447" i="44"/>
  <c r="G448" i="44"/>
  <c r="G466" i="44"/>
  <c r="G467" i="44"/>
  <c r="G468" i="44"/>
  <c r="G489" i="44"/>
  <c r="G490" i="44"/>
  <c r="G491" i="44"/>
  <c r="G512" i="44"/>
  <c r="G513" i="44"/>
  <c r="G514" i="44"/>
  <c r="G556" i="44"/>
  <c r="G557" i="44"/>
  <c r="G558" i="44"/>
  <c r="G586" i="44"/>
  <c r="G587" i="44"/>
  <c r="G588" i="44"/>
  <c r="G597" i="44"/>
  <c r="G598" i="44"/>
  <c r="G599" i="44"/>
  <c r="G633" i="44"/>
  <c r="G634" i="44"/>
  <c r="G635" i="44"/>
  <c r="G674" i="44"/>
  <c r="G675" i="44"/>
  <c r="G676" i="44"/>
  <c r="G719" i="44"/>
  <c r="G720" i="44"/>
  <c r="G721" i="44"/>
  <c r="G764" i="44"/>
  <c r="G765" i="44"/>
  <c r="G766" i="44"/>
  <c r="G798" i="44"/>
  <c r="G799" i="44"/>
  <c r="G800" i="44"/>
  <c r="G838" i="44"/>
  <c r="G839" i="44"/>
  <c r="G840" i="44"/>
  <c r="G883" i="44"/>
  <c r="G884" i="44"/>
  <c r="G885" i="44"/>
  <c r="G935" i="44"/>
  <c r="G936" i="44"/>
  <c r="G937" i="44"/>
  <c r="G953" i="44"/>
  <c r="G954" i="44"/>
  <c r="G968" i="44"/>
  <c r="G969" i="44"/>
  <c r="G970" i="44"/>
  <c r="G988" i="44"/>
  <c r="G989" i="44"/>
  <c r="G990" i="44"/>
  <c r="G998" i="44"/>
  <c r="G1043" i="44"/>
  <c r="G1044" i="44"/>
  <c r="G1045" i="44"/>
  <c r="G1081" i="44"/>
  <c r="G1082" i="44"/>
  <c r="G1083" i="44"/>
  <c r="G1112" i="44"/>
  <c r="G1113" i="44"/>
  <c r="G1114" i="44"/>
  <c r="G1173" i="44"/>
  <c r="G1174" i="44"/>
  <c r="G1175" i="44"/>
  <c r="G1199" i="44"/>
  <c r="G1200" i="44"/>
  <c r="G1201" i="44"/>
  <c r="F11" i="44"/>
  <c r="F13" i="44"/>
  <c r="F19" i="44"/>
  <c r="F23" i="44"/>
  <c r="F26" i="44"/>
  <c r="F51" i="44"/>
  <c r="F57" i="44"/>
  <c r="F61" i="44"/>
  <c r="F80" i="44"/>
  <c r="F82" i="44"/>
  <c r="F100" i="44"/>
  <c r="F133" i="44"/>
  <c r="F160" i="44"/>
  <c r="F166" i="44"/>
  <c r="F181" i="44"/>
  <c r="F194" i="44"/>
  <c r="F198" i="44"/>
  <c r="F212" i="44"/>
  <c r="F218" i="44"/>
  <c r="F238" i="44"/>
  <c r="F243" i="44"/>
  <c r="F244" i="44"/>
  <c r="F255" i="44"/>
  <c r="F262" i="44"/>
  <c r="F277" i="44"/>
  <c r="F286" i="44"/>
  <c r="F287" i="44"/>
  <c r="F313" i="44"/>
  <c r="F319" i="44"/>
  <c r="F340" i="44"/>
  <c r="F355" i="44"/>
  <c r="F362" i="44"/>
  <c r="F365" i="44"/>
  <c r="F367" i="44"/>
  <c r="F381" i="44"/>
  <c r="F387" i="44"/>
  <c r="F401" i="44"/>
  <c r="F408" i="44"/>
  <c r="F410" i="44"/>
  <c r="F412" i="44"/>
  <c r="F426" i="44"/>
  <c r="F427" i="44"/>
  <c r="F428" i="44"/>
  <c r="F434" i="44"/>
  <c r="F448" i="44"/>
  <c r="F454" i="44"/>
  <c r="F468" i="44"/>
  <c r="F475" i="44"/>
  <c r="F477" i="44"/>
  <c r="F491" i="44"/>
  <c r="F495" i="44"/>
  <c r="F497" i="44"/>
  <c r="F498" i="44"/>
  <c r="F500" i="44"/>
  <c r="F514" i="44"/>
  <c r="F557" i="44"/>
  <c r="F558" i="44"/>
  <c r="F574" i="44"/>
  <c r="F588" i="44"/>
  <c r="F598" i="44"/>
  <c r="F599" i="44"/>
  <c r="F611" i="44"/>
  <c r="F613" i="44"/>
  <c r="F617" i="44"/>
  <c r="F619" i="44"/>
  <c r="F634" i="44"/>
  <c r="F635" i="44"/>
  <c r="F649" i="44"/>
  <c r="F651" i="44"/>
  <c r="F652" i="44"/>
  <c r="F660" i="44"/>
  <c r="F662" i="44"/>
  <c r="F676" i="44"/>
  <c r="F691" i="44"/>
  <c r="F693" i="44"/>
  <c r="F694" i="44"/>
  <c r="F695" i="44"/>
  <c r="F706" i="44"/>
  <c r="F708" i="44"/>
  <c r="F721" i="44"/>
  <c r="F730" i="44"/>
  <c r="F732" i="44"/>
  <c r="F733" i="44"/>
  <c r="F740" i="44"/>
  <c r="F742" i="44"/>
  <c r="F743" i="44"/>
  <c r="F750" i="44"/>
  <c r="F752" i="44"/>
  <c r="F766" i="44"/>
  <c r="F782" i="44"/>
  <c r="F786" i="44"/>
  <c r="F800" i="44"/>
  <c r="F813" i="44"/>
  <c r="F815" i="44"/>
  <c r="F816" i="44"/>
  <c r="F824" i="44"/>
  <c r="F826" i="44"/>
  <c r="F840" i="44"/>
  <c r="F854" i="44"/>
  <c r="F856" i="44"/>
  <c r="F858" i="44"/>
  <c r="F859" i="44"/>
  <c r="F869" i="44"/>
  <c r="F871" i="44"/>
  <c r="F873" i="44"/>
  <c r="F885" i="44"/>
  <c r="F891" i="44"/>
  <c r="F896" i="44"/>
  <c r="F898" i="44"/>
  <c r="F899" i="44"/>
  <c r="F904" i="44"/>
  <c r="F908" i="44"/>
  <c r="F910" i="44"/>
  <c r="F911" i="44"/>
  <c r="F916" i="44"/>
  <c r="F920" i="44"/>
  <c r="F922" i="44"/>
  <c r="F924" i="44"/>
  <c r="F937" i="44"/>
  <c r="F954" i="44"/>
  <c r="F956" i="44"/>
  <c r="F970" i="44"/>
  <c r="F972" i="44"/>
  <c r="F973" i="44"/>
  <c r="F974" i="44"/>
  <c r="F975" i="44"/>
  <c r="F976" i="44"/>
  <c r="F977" i="44"/>
  <c r="F990" i="44"/>
  <c r="F999" i="44"/>
  <c r="F1000" i="44"/>
  <c r="F1014" i="44"/>
  <c r="F1015" i="44"/>
  <c r="F1045" i="44"/>
  <c r="F1064" i="44"/>
  <c r="F1069" i="44"/>
  <c r="F1083" i="44"/>
  <c r="F1092" i="44"/>
  <c r="F1093" i="44"/>
  <c r="F1096" i="44"/>
  <c r="F1097" i="44"/>
  <c r="F1102" i="44"/>
  <c r="F1114" i="44"/>
  <c r="F1119" i="44"/>
  <c r="F1120" i="44"/>
  <c r="F1128" i="44"/>
  <c r="F1129" i="44"/>
  <c r="F1139" i="44"/>
  <c r="F1141" i="44"/>
  <c r="F1144" i="44"/>
  <c r="F1146" i="44"/>
  <c r="F1154" i="44"/>
  <c r="F1155" i="44"/>
  <c r="F1159" i="44"/>
  <c r="F1161" i="44"/>
  <c r="F1175" i="44"/>
  <c r="F1181" i="44"/>
  <c r="F1183" i="44"/>
  <c r="F1185" i="44"/>
  <c r="F1187" i="44"/>
  <c r="F1201" i="44"/>
  <c r="F1221" i="44"/>
  <c r="L355" i="44" l="1"/>
  <c r="I499" i="2" l="1"/>
  <c r="H499" i="2"/>
  <c r="G499" i="2"/>
  <c r="F499" i="2"/>
  <c r="J212" i="13" l="1"/>
  <c r="B374" i="2"/>
  <c r="B375" i="2" s="1"/>
  <c r="B376" i="2" l="1"/>
  <c r="F1218" i="8"/>
  <c r="G1218" i="8"/>
  <c r="H1218" i="8"/>
  <c r="F1217" i="15" s="1"/>
  <c r="H1217" i="44" s="1"/>
  <c r="I1218" i="8"/>
  <c r="F1217" i="16" s="1"/>
  <c r="J1217" i="44" s="1"/>
  <c r="F1219" i="8"/>
  <c r="G1219" i="8"/>
  <c r="F1218" i="13" s="1"/>
  <c r="F1218" i="44" s="1"/>
  <c r="H1219" i="8"/>
  <c r="F1218" i="15" s="1"/>
  <c r="H1218" i="44" s="1"/>
  <c r="I1219" i="8"/>
  <c r="F1218" i="16" s="1"/>
  <c r="J1218" i="44" s="1"/>
  <c r="F1220" i="8"/>
  <c r="G1220" i="8"/>
  <c r="F1219" i="13" s="1"/>
  <c r="F1219" i="44" s="1"/>
  <c r="H1220" i="8"/>
  <c r="F1219" i="15" s="1"/>
  <c r="H1219" i="44" s="1"/>
  <c r="I1220" i="8"/>
  <c r="F1219" i="16" s="1"/>
  <c r="J1219" i="44" s="1"/>
  <c r="I1217" i="8"/>
  <c r="F1216" i="16" s="1"/>
  <c r="J1216" i="44" s="1"/>
  <c r="H1217" i="8"/>
  <c r="F1216" i="15" s="1"/>
  <c r="H1216" i="44" s="1"/>
  <c r="G1217" i="8"/>
  <c r="F1216" i="13" s="1"/>
  <c r="F1216" i="44" s="1"/>
  <c r="F1217" i="8"/>
  <c r="I1216" i="8"/>
  <c r="F1215" i="16" s="1"/>
  <c r="J1215" i="44" s="1"/>
  <c r="H1216" i="8"/>
  <c r="F1215" i="15" s="1"/>
  <c r="H1215" i="44" s="1"/>
  <c r="G1216" i="8"/>
  <c r="F1215" i="13" s="1"/>
  <c r="F1215" i="44" s="1"/>
  <c r="F1216" i="8"/>
  <c r="L1219" i="44" l="1"/>
  <c r="L1215" i="44"/>
  <c r="L1216" i="44"/>
  <c r="L1218" i="44"/>
  <c r="B377" i="2"/>
  <c r="L1218" i="8"/>
  <c r="F1217" i="13"/>
  <c r="F1217" i="44" s="1"/>
  <c r="J1218" i="8"/>
  <c r="J1219" i="8"/>
  <c r="L1219" i="8"/>
  <c r="J1216" i="8"/>
  <c r="L1216" i="8"/>
  <c r="F1215" i="18" s="1"/>
  <c r="I1208" i="8"/>
  <c r="F1207" i="16" s="1"/>
  <c r="J1207" i="44" s="1"/>
  <c r="H1208" i="8"/>
  <c r="F1207" i="15" s="1"/>
  <c r="H1207" i="44" s="1"/>
  <c r="G1208" i="8"/>
  <c r="F1208" i="8"/>
  <c r="A1057" i="8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I1059" i="8"/>
  <c r="F1059" i="16" s="1"/>
  <c r="J1059" i="44" s="1"/>
  <c r="H1059" i="8"/>
  <c r="G1059" i="8"/>
  <c r="F1059" i="8"/>
  <c r="I1058" i="8"/>
  <c r="F1058" i="16" s="1"/>
  <c r="J1058" i="44" s="1"/>
  <c r="H1058" i="8"/>
  <c r="F1058" i="15" s="1"/>
  <c r="H1058" i="44" s="1"/>
  <c r="G1058" i="8"/>
  <c r="F1058" i="8"/>
  <c r="I1057" i="8"/>
  <c r="F1057" i="16" s="1"/>
  <c r="J1057" i="44" s="1"/>
  <c r="H1057" i="8"/>
  <c r="F1057" i="15" s="1"/>
  <c r="H1057" i="44" s="1"/>
  <c r="G1057" i="8"/>
  <c r="F1057" i="13" s="1"/>
  <c r="F1057" i="44" s="1"/>
  <c r="F1057" i="8"/>
  <c r="F1056" i="8"/>
  <c r="G1056" i="8"/>
  <c r="H1056" i="8"/>
  <c r="I1056" i="8"/>
  <c r="I1021" i="8"/>
  <c r="F1021" i="16" s="1"/>
  <c r="J1021" i="44" s="1"/>
  <c r="H1021" i="8"/>
  <c r="F1021" i="15" s="1"/>
  <c r="H1021" i="44" s="1"/>
  <c r="G1021" i="8"/>
  <c r="F1021" i="13" s="1"/>
  <c r="F1021" i="44" s="1"/>
  <c r="F1021" i="8"/>
  <c r="I1020" i="8"/>
  <c r="F1020" i="16" s="1"/>
  <c r="J1020" i="44" s="1"/>
  <c r="H1020" i="8"/>
  <c r="F1020" i="15" s="1"/>
  <c r="H1020" i="44" s="1"/>
  <c r="G1020" i="8"/>
  <c r="F1020" i="13" s="1"/>
  <c r="F1020" i="44" s="1"/>
  <c r="F1020" i="8"/>
  <c r="I1019" i="8"/>
  <c r="F1019" i="16" s="1"/>
  <c r="J1019" i="44" s="1"/>
  <c r="H1019" i="8"/>
  <c r="F1019" i="15" s="1"/>
  <c r="H1019" i="44" s="1"/>
  <c r="G1019" i="8"/>
  <c r="F1019" i="13" s="1"/>
  <c r="F1019" i="44" s="1"/>
  <c r="F1019" i="8"/>
  <c r="F1002" i="8"/>
  <c r="G1002" i="8"/>
  <c r="F1002" i="13" s="1"/>
  <c r="F1002" i="44" s="1"/>
  <c r="H1002" i="8"/>
  <c r="F1002" i="15" s="1"/>
  <c r="H1002" i="44" s="1"/>
  <c r="I1002" i="8"/>
  <c r="F1002" i="16" s="1"/>
  <c r="J1002" i="44" s="1"/>
  <c r="I1012" i="8"/>
  <c r="H1012" i="8"/>
  <c r="G1012" i="8"/>
  <c r="F1012" i="8"/>
  <c r="I1011" i="8"/>
  <c r="H1011" i="8"/>
  <c r="G1011" i="8"/>
  <c r="F1011" i="8"/>
  <c r="I1010" i="8"/>
  <c r="H1010" i="8"/>
  <c r="G1010" i="8"/>
  <c r="F1010" i="8"/>
  <c r="I1009" i="8"/>
  <c r="H1009" i="8"/>
  <c r="G1009" i="8"/>
  <c r="F1009" i="8"/>
  <c r="I1008" i="8"/>
  <c r="H1008" i="8"/>
  <c r="G1008" i="8"/>
  <c r="F1008" i="8"/>
  <c r="I1007" i="8"/>
  <c r="H1007" i="8"/>
  <c r="G1007" i="8"/>
  <c r="F1007" i="8"/>
  <c r="I1006" i="8"/>
  <c r="H1006" i="8"/>
  <c r="G1006" i="8"/>
  <c r="F1006" i="8"/>
  <c r="I1005" i="8"/>
  <c r="H1005" i="8"/>
  <c r="G1005" i="8"/>
  <c r="F1005" i="13" s="1"/>
  <c r="F1005" i="44" s="1"/>
  <c r="F1005" i="8"/>
  <c r="I1004" i="8"/>
  <c r="F1004" i="16" s="1"/>
  <c r="J1004" i="44" s="1"/>
  <c r="H1004" i="8"/>
  <c r="F1004" i="15" s="1"/>
  <c r="H1004" i="44" s="1"/>
  <c r="G1004" i="8"/>
  <c r="F1004" i="13" s="1"/>
  <c r="F1004" i="44" s="1"/>
  <c r="L1004" i="44" s="1"/>
  <c r="N1004" i="44" s="1"/>
  <c r="F1004" i="8"/>
  <c r="I1003" i="8"/>
  <c r="F1003" i="16" s="1"/>
  <c r="J1003" i="44" s="1"/>
  <c r="H1003" i="8"/>
  <c r="F1003" i="15" s="1"/>
  <c r="H1003" i="44" s="1"/>
  <c r="G1003" i="8"/>
  <c r="F1003" i="13" s="1"/>
  <c r="F1003" i="44" s="1"/>
  <c r="F1003" i="8"/>
  <c r="I572" i="8"/>
  <c r="H572" i="8"/>
  <c r="G572" i="8"/>
  <c r="F572" i="8"/>
  <c r="I216" i="8"/>
  <c r="H216" i="8"/>
  <c r="G216" i="8"/>
  <c r="F216" i="13" s="1"/>
  <c r="F216" i="44" s="1"/>
  <c r="F216" i="8"/>
  <c r="I215" i="8"/>
  <c r="H215" i="8"/>
  <c r="G215" i="8"/>
  <c r="F215" i="13" s="1"/>
  <c r="F215" i="44" s="1"/>
  <c r="F215" i="8"/>
  <c r="I214" i="8"/>
  <c r="H214" i="8"/>
  <c r="G214" i="8"/>
  <c r="F214" i="8"/>
  <c r="L1002" i="44" l="1"/>
  <c r="N1002" i="44" s="1"/>
  <c r="L1003" i="44"/>
  <c r="N1003" i="44" s="1"/>
  <c r="L1019" i="44"/>
  <c r="F1218" i="18"/>
  <c r="N1218" i="44"/>
  <c r="F1217" i="18"/>
  <c r="L1020" i="44"/>
  <c r="L1057" i="44"/>
  <c r="N1215" i="44"/>
  <c r="N1218" i="8"/>
  <c r="B378" i="2"/>
  <c r="L1058" i="8"/>
  <c r="F1058" i="13"/>
  <c r="F1058" i="44" s="1"/>
  <c r="L1058" i="44" s="1"/>
  <c r="L1208" i="8"/>
  <c r="F1207" i="13"/>
  <c r="F1207" i="44" s="1"/>
  <c r="J1208" i="8"/>
  <c r="J1058" i="8"/>
  <c r="J1059" i="8"/>
  <c r="L1059" i="8"/>
  <c r="J1057" i="8"/>
  <c r="L1020" i="8"/>
  <c r="L1057" i="8"/>
  <c r="J1020" i="8"/>
  <c r="J1056" i="8"/>
  <c r="L1056" i="8"/>
  <c r="J1021" i="8"/>
  <c r="L1021" i="8"/>
  <c r="J1019" i="8"/>
  <c r="L1019" i="8"/>
  <c r="F1020" i="18" l="1"/>
  <c r="N1020" i="44"/>
  <c r="F1057" i="18"/>
  <c r="N1057" i="44"/>
  <c r="F1058" i="18"/>
  <c r="N1058" i="44"/>
  <c r="F1019" i="18"/>
  <c r="N1019" i="44"/>
  <c r="F1021" i="18"/>
  <c r="F1207" i="18"/>
  <c r="N1207" i="44"/>
  <c r="B379" i="2"/>
  <c r="N1056" i="8"/>
  <c r="B380" i="2" l="1"/>
  <c r="B490" i="2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381" i="2" l="1"/>
  <c r="L81" i="44"/>
  <c r="B382" i="2" l="1"/>
  <c r="I1133" i="8"/>
  <c r="I1220" i="44"/>
  <c r="B383" i="2" l="1"/>
  <c r="T573" i="18"/>
  <c r="F559" i="8"/>
  <c r="G559" i="8"/>
  <c r="F559" i="13" s="1"/>
  <c r="F559" i="44" s="1"/>
  <c r="H559" i="8"/>
  <c r="F559" i="15" s="1"/>
  <c r="H559" i="44" s="1"/>
  <c r="I559" i="8"/>
  <c r="F559" i="16" s="1"/>
  <c r="J559" i="44" s="1"/>
  <c r="F560" i="8"/>
  <c r="G560" i="8"/>
  <c r="F560" i="13" s="1"/>
  <c r="F560" i="44" s="1"/>
  <c r="H560" i="8"/>
  <c r="F560" i="15" s="1"/>
  <c r="H560" i="44" s="1"/>
  <c r="I560" i="8"/>
  <c r="F560" i="16" s="1"/>
  <c r="J560" i="44" s="1"/>
  <c r="F561" i="8"/>
  <c r="G561" i="8"/>
  <c r="F561" i="13" s="1"/>
  <c r="F561" i="44" s="1"/>
  <c r="H561" i="8"/>
  <c r="F561" i="15" s="1"/>
  <c r="H561" i="44" s="1"/>
  <c r="I561" i="8"/>
  <c r="F561" i="16" s="1"/>
  <c r="J561" i="44" s="1"/>
  <c r="F562" i="8"/>
  <c r="G562" i="8"/>
  <c r="F562" i="13" s="1"/>
  <c r="F562" i="44" s="1"/>
  <c r="H562" i="8"/>
  <c r="F562" i="15" s="1"/>
  <c r="H562" i="44" s="1"/>
  <c r="I562" i="8"/>
  <c r="F562" i="16" s="1"/>
  <c r="J562" i="44" s="1"/>
  <c r="F563" i="8"/>
  <c r="G563" i="8"/>
  <c r="F563" i="13" s="1"/>
  <c r="F563" i="44" s="1"/>
  <c r="H563" i="8"/>
  <c r="F563" i="15" s="1"/>
  <c r="H563" i="44" s="1"/>
  <c r="I563" i="8"/>
  <c r="F563" i="16" s="1"/>
  <c r="J563" i="44" s="1"/>
  <c r="F564" i="8"/>
  <c r="G564" i="8"/>
  <c r="F564" i="13" s="1"/>
  <c r="F564" i="44" s="1"/>
  <c r="H564" i="8"/>
  <c r="F564" i="15" s="1"/>
  <c r="H564" i="44" s="1"/>
  <c r="I564" i="8"/>
  <c r="F564" i="16" s="1"/>
  <c r="J564" i="44" s="1"/>
  <c r="F565" i="8"/>
  <c r="G565" i="8"/>
  <c r="F565" i="13" s="1"/>
  <c r="F565" i="44" s="1"/>
  <c r="H565" i="8"/>
  <c r="F565" i="15" s="1"/>
  <c r="H565" i="44" s="1"/>
  <c r="I565" i="8"/>
  <c r="F565" i="16" s="1"/>
  <c r="J565" i="44" s="1"/>
  <c r="F566" i="8"/>
  <c r="G566" i="8"/>
  <c r="F566" i="13" s="1"/>
  <c r="F566" i="44" s="1"/>
  <c r="H566" i="8"/>
  <c r="F566" i="15" s="1"/>
  <c r="H566" i="44" s="1"/>
  <c r="I566" i="8"/>
  <c r="F566" i="16" s="1"/>
  <c r="J566" i="44" s="1"/>
  <c r="F567" i="8"/>
  <c r="G567" i="8"/>
  <c r="F567" i="13" s="1"/>
  <c r="F567" i="44" s="1"/>
  <c r="H567" i="8"/>
  <c r="F567" i="15" s="1"/>
  <c r="H567" i="44" s="1"/>
  <c r="I567" i="8"/>
  <c r="F567" i="16" s="1"/>
  <c r="J567" i="44" s="1"/>
  <c r="F568" i="8"/>
  <c r="G568" i="8"/>
  <c r="F568" i="13" s="1"/>
  <c r="F568" i="44" s="1"/>
  <c r="H568" i="8"/>
  <c r="F568" i="15" s="1"/>
  <c r="H568" i="44" s="1"/>
  <c r="I568" i="8"/>
  <c r="F568" i="16" s="1"/>
  <c r="J568" i="44" s="1"/>
  <c r="F569" i="8"/>
  <c r="G569" i="8"/>
  <c r="H569" i="8"/>
  <c r="F569" i="15" s="1"/>
  <c r="H569" i="44" s="1"/>
  <c r="I569" i="8"/>
  <c r="F569" i="16" s="1"/>
  <c r="J569" i="44" s="1"/>
  <c r="F570" i="8"/>
  <c r="G570" i="8"/>
  <c r="F570" i="13" s="1"/>
  <c r="F570" i="44" s="1"/>
  <c r="L570" i="44" s="1"/>
  <c r="H570" i="8"/>
  <c r="F570" i="15" s="1"/>
  <c r="H570" i="44" s="1"/>
  <c r="I570" i="8"/>
  <c r="F570" i="16" s="1"/>
  <c r="J570" i="44" s="1"/>
  <c r="F571" i="8"/>
  <c r="G571" i="8"/>
  <c r="F571" i="13" s="1"/>
  <c r="F571" i="44" s="1"/>
  <c r="H571" i="8"/>
  <c r="F571" i="15" s="1"/>
  <c r="H571" i="44" s="1"/>
  <c r="I571" i="8"/>
  <c r="F571" i="16" s="1"/>
  <c r="J571" i="44" s="1"/>
  <c r="F519" i="8"/>
  <c r="G519" i="8"/>
  <c r="F519" i="13" s="1"/>
  <c r="F519" i="44" s="1"/>
  <c r="H519" i="8"/>
  <c r="F519" i="15" s="1"/>
  <c r="H519" i="44" s="1"/>
  <c r="I519" i="8"/>
  <c r="F519" i="16" s="1"/>
  <c r="J519" i="44" s="1"/>
  <c r="F520" i="8"/>
  <c r="G520" i="8"/>
  <c r="F520" i="13" s="1"/>
  <c r="F520" i="44" s="1"/>
  <c r="H520" i="8"/>
  <c r="F520" i="15" s="1"/>
  <c r="H520" i="44" s="1"/>
  <c r="I520" i="8"/>
  <c r="F520" i="16" s="1"/>
  <c r="J520" i="44" s="1"/>
  <c r="F521" i="8"/>
  <c r="G521" i="8"/>
  <c r="F521" i="13" s="1"/>
  <c r="F521" i="44" s="1"/>
  <c r="H521" i="8"/>
  <c r="F521" i="15" s="1"/>
  <c r="H521" i="44" s="1"/>
  <c r="I521" i="8"/>
  <c r="F521" i="16" s="1"/>
  <c r="J521" i="44" s="1"/>
  <c r="F522" i="8"/>
  <c r="G522" i="8"/>
  <c r="F522" i="13" s="1"/>
  <c r="F522" i="44" s="1"/>
  <c r="H522" i="8"/>
  <c r="F522" i="15" s="1"/>
  <c r="H522" i="44" s="1"/>
  <c r="I522" i="8"/>
  <c r="F522" i="16" s="1"/>
  <c r="J522" i="44" s="1"/>
  <c r="F523" i="8"/>
  <c r="G523" i="8"/>
  <c r="F523" i="13" s="1"/>
  <c r="F523" i="44" s="1"/>
  <c r="H523" i="8"/>
  <c r="F523" i="15" s="1"/>
  <c r="H523" i="44" s="1"/>
  <c r="I523" i="8"/>
  <c r="F523" i="16" s="1"/>
  <c r="J523" i="44" s="1"/>
  <c r="F524" i="8"/>
  <c r="G524" i="8"/>
  <c r="F524" i="13" s="1"/>
  <c r="F524" i="44" s="1"/>
  <c r="H524" i="8"/>
  <c r="F524" i="15" s="1"/>
  <c r="H524" i="44" s="1"/>
  <c r="I524" i="8"/>
  <c r="F524" i="16" s="1"/>
  <c r="J524" i="44" s="1"/>
  <c r="F525" i="8"/>
  <c r="G525" i="8"/>
  <c r="F525" i="13" s="1"/>
  <c r="F525" i="44" s="1"/>
  <c r="H525" i="8"/>
  <c r="F525" i="15" s="1"/>
  <c r="H525" i="44" s="1"/>
  <c r="I525" i="8"/>
  <c r="F525" i="16" s="1"/>
  <c r="J525" i="44" s="1"/>
  <c r="F526" i="8"/>
  <c r="G526" i="8"/>
  <c r="F526" i="13" s="1"/>
  <c r="F526" i="44" s="1"/>
  <c r="H526" i="8"/>
  <c r="F526" i="15" s="1"/>
  <c r="H526" i="44" s="1"/>
  <c r="I526" i="8"/>
  <c r="F526" i="16" s="1"/>
  <c r="J526" i="44" s="1"/>
  <c r="F527" i="8"/>
  <c r="G527" i="8"/>
  <c r="F527" i="13" s="1"/>
  <c r="F527" i="44" s="1"/>
  <c r="H527" i="8"/>
  <c r="F527" i="15" s="1"/>
  <c r="H527" i="44" s="1"/>
  <c r="I527" i="8"/>
  <c r="F527" i="16" s="1"/>
  <c r="J527" i="44" s="1"/>
  <c r="F528" i="8"/>
  <c r="G528" i="8"/>
  <c r="F528" i="13" s="1"/>
  <c r="F528" i="44" s="1"/>
  <c r="H528" i="8"/>
  <c r="F528" i="15" s="1"/>
  <c r="H528" i="44" s="1"/>
  <c r="I528" i="8"/>
  <c r="F528" i="16" s="1"/>
  <c r="J528" i="44" s="1"/>
  <c r="F529" i="8"/>
  <c r="G529" i="8"/>
  <c r="F529" i="13" s="1"/>
  <c r="F529" i="44" s="1"/>
  <c r="H529" i="8"/>
  <c r="F529" i="15" s="1"/>
  <c r="H529" i="44" s="1"/>
  <c r="I529" i="8"/>
  <c r="F529" i="16" s="1"/>
  <c r="J529" i="44" s="1"/>
  <c r="F530" i="8"/>
  <c r="G530" i="8"/>
  <c r="F530" i="13" s="1"/>
  <c r="F530" i="44" s="1"/>
  <c r="H530" i="8"/>
  <c r="F530" i="15" s="1"/>
  <c r="H530" i="44" s="1"/>
  <c r="I530" i="8"/>
  <c r="F530" i="16" s="1"/>
  <c r="J530" i="44" s="1"/>
  <c r="F531" i="8"/>
  <c r="G531" i="8"/>
  <c r="F531" i="13" s="1"/>
  <c r="F531" i="44" s="1"/>
  <c r="H531" i="8"/>
  <c r="F531" i="15" s="1"/>
  <c r="H531" i="44" s="1"/>
  <c r="I531" i="8"/>
  <c r="F531" i="16" s="1"/>
  <c r="J531" i="44" s="1"/>
  <c r="F532" i="8"/>
  <c r="G532" i="8"/>
  <c r="F532" i="13" s="1"/>
  <c r="F532" i="44" s="1"/>
  <c r="H532" i="8"/>
  <c r="F532" i="15" s="1"/>
  <c r="H532" i="44" s="1"/>
  <c r="I532" i="8"/>
  <c r="F532" i="16" s="1"/>
  <c r="J532" i="44" s="1"/>
  <c r="F533" i="8"/>
  <c r="G533" i="8"/>
  <c r="F533" i="13" s="1"/>
  <c r="F533" i="44" s="1"/>
  <c r="H533" i="8"/>
  <c r="F533" i="15" s="1"/>
  <c r="H533" i="44" s="1"/>
  <c r="I533" i="8"/>
  <c r="F533" i="16" s="1"/>
  <c r="J533" i="44" s="1"/>
  <c r="F534" i="8"/>
  <c r="G534" i="8"/>
  <c r="F534" i="13" s="1"/>
  <c r="F534" i="44" s="1"/>
  <c r="H534" i="8"/>
  <c r="F534" i="15" s="1"/>
  <c r="H534" i="44" s="1"/>
  <c r="I534" i="8"/>
  <c r="F534" i="16" s="1"/>
  <c r="J534" i="44" s="1"/>
  <c r="F535" i="8"/>
  <c r="G535" i="8"/>
  <c r="F535" i="13" s="1"/>
  <c r="F535" i="44" s="1"/>
  <c r="H535" i="8"/>
  <c r="F535" i="15" s="1"/>
  <c r="H535" i="44" s="1"/>
  <c r="I535" i="8"/>
  <c r="F535" i="16" s="1"/>
  <c r="J535" i="44" s="1"/>
  <c r="F536" i="8"/>
  <c r="G536" i="8"/>
  <c r="F536" i="13" s="1"/>
  <c r="F536" i="44" s="1"/>
  <c r="H536" i="8"/>
  <c r="F536" i="15" s="1"/>
  <c r="H536" i="44" s="1"/>
  <c r="I536" i="8"/>
  <c r="F536" i="16" s="1"/>
  <c r="J536" i="44" s="1"/>
  <c r="F537" i="8"/>
  <c r="G537" i="8"/>
  <c r="F537" i="13" s="1"/>
  <c r="F537" i="44" s="1"/>
  <c r="H537" i="8"/>
  <c r="F537" i="15" s="1"/>
  <c r="H537" i="44" s="1"/>
  <c r="I537" i="8"/>
  <c r="F537" i="16" s="1"/>
  <c r="J537" i="44" s="1"/>
  <c r="F538" i="8"/>
  <c r="G538" i="8"/>
  <c r="F538" i="13" s="1"/>
  <c r="F538" i="44" s="1"/>
  <c r="H538" i="8"/>
  <c r="F538" i="15" s="1"/>
  <c r="H538" i="44" s="1"/>
  <c r="I538" i="8"/>
  <c r="F538" i="16" s="1"/>
  <c r="J538" i="44" s="1"/>
  <c r="F539" i="8"/>
  <c r="G539" i="8"/>
  <c r="F539" i="13" s="1"/>
  <c r="F539" i="44" s="1"/>
  <c r="H539" i="8"/>
  <c r="F539" i="15" s="1"/>
  <c r="H539" i="44" s="1"/>
  <c r="I539" i="8"/>
  <c r="F539" i="16" s="1"/>
  <c r="J539" i="44" s="1"/>
  <c r="F540" i="8"/>
  <c r="G540" i="8"/>
  <c r="F540" i="13" s="1"/>
  <c r="F540" i="44" s="1"/>
  <c r="H540" i="8"/>
  <c r="F540" i="15" s="1"/>
  <c r="H540" i="44" s="1"/>
  <c r="I540" i="8"/>
  <c r="F540" i="16" s="1"/>
  <c r="J540" i="44" s="1"/>
  <c r="F541" i="8"/>
  <c r="G541" i="8"/>
  <c r="F541" i="13" s="1"/>
  <c r="F541" i="44" s="1"/>
  <c r="H541" i="8"/>
  <c r="F541" i="15" s="1"/>
  <c r="H541" i="44" s="1"/>
  <c r="I541" i="8"/>
  <c r="F541" i="16" s="1"/>
  <c r="J541" i="44" s="1"/>
  <c r="F542" i="8"/>
  <c r="G542" i="8"/>
  <c r="F542" i="13" s="1"/>
  <c r="F542" i="44" s="1"/>
  <c r="H542" i="8"/>
  <c r="F542" i="15" s="1"/>
  <c r="H542" i="44" s="1"/>
  <c r="I542" i="8"/>
  <c r="F542" i="16" s="1"/>
  <c r="J542" i="44" s="1"/>
  <c r="F543" i="8"/>
  <c r="G543" i="8"/>
  <c r="F543" i="13" s="1"/>
  <c r="F543" i="44" s="1"/>
  <c r="H543" i="8"/>
  <c r="F543" i="15" s="1"/>
  <c r="H543" i="44" s="1"/>
  <c r="I543" i="8"/>
  <c r="F543" i="16" s="1"/>
  <c r="J543" i="44" s="1"/>
  <c r="F544" i="8"/>
  <c r="G544" i="8"/>
  <c r="F544" i="13" s="1"/>
  <c r="F544" i="44" s="1"/>
  <c r="H544" i="8"/>
  <c r="F544" i="15" s="1"/>
  <c r="H544" i="44" s="1"/>
  <c r="I544" i="8"/>
  <c r="F544" i="16" s="1"/>
  <c r="J544" i="44" s="1"/>
  <c r="F545" i="8"/>
  <c r="G545" i="8"/>
  <c r="F545" i="13" s="1"/>
  <c r="F545" i="44" s="1"/>
  <c r="H545" i="8"/>
  <c r="F545" i="15" s="1"/>
  <c r="H545" i="44" s="1"/>
  <c r="I545" i="8"/>
  <c r="F545" i="16" s="1"/>
  <c r="J545" i="44" s="1"/>
  <c r="F546" i="8"/>
  <c r="G546" i="8"/>
  <c r="F546" i="13" s="1"/>
  <c r="F546" i="44" s="1"/>
  <c r="H546" i="8"/>
  <c r="F546" i="15" s="1"/>
  <c r="H546" i="44" s="1"/>
  <c r="I546" i="8"/>
  <c r="F546" i="16" s="1"/>
  <c r="J546" i="44" s="1"/>
  <c r="F547" i="8"/>
  <c r="G547" i="8"/>
  <c r="F547" i="13" s="1"/>
  <c r="F547" i="44" s="1"/>
  <c r="H547" i="8"/>
  <c r="F547" i="15" s="1"/>
  <c r="H547" i="44" s="1"/>
  <c r="I547" i="8"/>
  <c r="F547" i="16" s="1"/>
  <c r="J547" i="44" s="1"/>
  <c r="F548" i="8"/>
  <c r="G548" i="8"/>
  <c r="F548" i="13" s="1"/>
  <c r="F548" i="44" s="1"/>
  <c r="H548" i="8"/>
  <c r="F548" i="15" s="1"/>
  <c r="H548" i="44" s="1"/>
  <c r="I548" i="8"/>
  <c r="F548" i="16" s="1"/>
  <c r="J548" i="44" s="1"/>
  <c r="F549" i="8"/>
  <c r="G549" i="8"/>
  <c r="H549" i="8"/>
  <c r="F549" i="15" s="1"/>
  <c r="H549" i="44" s="1"/>
  <c r="I549" i="8"/>
  <c r="F549" i="16" s="1"/>
  <c r="J549" i="44" s="1"/>
  <c r="F550" i="8"/>
  <c r="G550" i="8"/>
  <c r="H550" i="8"/>
  <c r="F550" i="15" s="1"/>
  <c r="H550" i="44" s="1"/>
  <c r="I550" i="8"/>
  <c r="F550" i="16" s="1"/>
  <c r="J550" i="44" s="1"/>
  <c r="F551" i="8"/>
  <c r="G551" i="8"/>
  <c r="H551" i="8"/>
  <c r="F551" i="15" s="1"/>
  <c r="H551" i="44" s="1"/>
  <c r="I551" i="8"/>
  <c r="F551" i="16" s="1"/>
  <c r="J551" i="44" s="1"/>
  <c r="F552" i="8"/>
  <c r="G552" i="8"/>
  <c r="H552" i="8"/>
  <c r="F552" i="15" s="1"/>
  <c r="H552" i="44" s="1"/>
  <c r="I552" i="8"/>
  <c r="F552" i="16" s="1"/>
  <c r="J552" i="44" s="1"/>
  <c r="F553" i="8"/>
  <c r="G553" i="8"/>
  <c r="H553" i="8"/>
  <c r="F553" i="15" s="1"/>
  <c r="H553" i="44" s="1"/>
  <c r="I553" i="8"/>
  <c r="F553" i="16" s="1"/>
  <c r="J553" i="44" s="1"/>
  <c r="F554" i="8"/>
  <c r="G554" i="8"/>
  <c r="H554" i="8"/>
  <c r="F554" i="15" s="1"/>
  <c r="H554" i="44" s="1"/>
  <c r="I554" i="8"/>
  <c r="F554" i="16" s="1"/>
  <c r="J554" i="44" s="1"/>
  <c r="F555" i="8"/>
  <c r="G555" i="8"/>
  <c r="H555" i="8"/>
  <c r="F555" i="15" s="1"/>
  <c r="H555" i="44" s="1"/>
  <c r="I555" i="8"/>
  <c r="F555" i="16" s="1"/>
  <c r="J555" i="44" s="1"/>
  <c r="L568" i="44" l="1"/>
  <c r="B384" i="2"/>
  <c r="J564" i="8"/>
  <c r="L569" i="8"/>
  <c r="F569" i="18" s="1"/>
  <c r="J553" i="8"/>
  <c r="J550" i="8"/>
  <c r="F569" i="13"/>
  <c r="F569" i="44" s="1"/>
  <c r="L569" i="44" s="1"/>
  <c r="N569" i="44" s="1"/>
  <c r="L555" i="8"/>
  <c r="F555" i="13"/>
  <c r="F555" i="44" s="1"/>
  <c r="L555" i="44" s="1"/>
  <c r="L552" i="8"/>
  <c r="F552" i="13"/>
  <c r="F552" i="44" s="1"/>
  <c r="L552" i="44" s="1"/>
  <c r="L549" i="8"/>
  <c r="F549" i="13"/>
  <c r="F549" i="44" s="1"/>
  <c r="J555" i="8"/>
  <c r="J552" i="8"/>
  <c r="J549" i="8"/>
  <c r="J569" i="8"/>
  <c r="L554" i="8"/>
  <c r="F554" i="13"/>
  <c r="F554" i="44" s="1"/>
  <c r="L554" i="44" s="1"/>
  <c r="L551" i="8"/>
  <c r="F551" i="13"/>
  <c r="F551" i="44" s="1"/>
  <c r="L551" i="44" s="1"/>
  <c r="L568" i="8"/>
  <c r="F568" i="18" s="1"/>
  <c r="J554" i="8"/>
  <c r="J551" i="8"/>
  <c r="J548" i="8"/>
  <c r="J568" i="8"/>
  <c r="L553" i="8"/>
  <c r="F553" i="18" s="1"/>
  <c r="F553" i="13"/>
  <c r="F553" i="44" s="1"/>
  <c r="L553" i="44" s="1"/>
  <c r="N553" i="44" s="1"/>
  <c r="L550" i="8"/>
  <c r="F550" i="13"/>
  <c r="F550" i="44" s="1"/>
  <c r="L550" i="44" s="1"/>
  <c r="T217" i="16"/>
  <c r="A139" i="18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F138" i="8"/>
  <c r="B214" i="13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F552" i="18" l="1"/>
  <c r="N552" i="44"/>
  <c r="F551" i="18"/>
  <c r="N551" i="44"/>
  <c r="F555" i="18"/>
  <c r="N555" i="44"/>
  <c r="F554" i="18"/>
  <c r="N554" i="44"/>
  <c r="F550" i="18"/>
  <c r="N550" i="44"/>
  <c r="N568" i="44"/>
  <c r="F549" i="18"/>
  <c r="B385" i="2"/>
  <c r="F1214" i="8"/>
  <c r="B386" i="2" l="1"/>
  <c r="F492" i="2"/>
  <c r="B387" i="2" l="1"/>
  <c r="B388" i="2" l="1"/>
  <c r="I492" i="2"/>
  <c r="H492" i="2"/>
  <c r="G492" i="2"/>
  <c r="B389" i="2" l="1"/>
  <c r="K361" i="8"/>
  <c r="I358" i="8"/>
  <c r="H358" i="8"/>
  <c r="G358" i="8"/>
  <c r="I357" i="8"/>
  <c r="F357" i="16" s="1"/>
  <c r="J357" i="44" s="1"/>
  <c r="H357" i="8"/>
  <c r="F357" i="15" s="1"/>
  <c r="H357" i="44" s="1"/>
  <c r="G357" i="8"/>
  <c r="I356" i="8"/>
  <c r="F356" i="16" s="1"/>
  <c r="J356" i="44" s="1"/>
  <c r="H356" i="8"/>
  <c r="F356" i="15" s="1"/>
  <c r="H356" i="44" s="1"/>
  <c r="G356" i="8"/>
  <c r="F356" i="13" s="1"/>
  <c r="F356" i="44" s="1"/>
  <c r="F356" i="8"/>
  <c r="F357" i="8"/>
  <c r="F358" i="8"/>
  <c r="B215" i="8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K217" i="8"/>
  <c r="F216" i="16"/>
  <c r="J216" i="44" s="1"/>
  <c r="F215" i="16"/>
  <c r="J215" i="44" s="1"/>
  <c r="F215" i="15"/>
  <c r="H215" i="44" s="1"/>
  <c r="L215" i="44" s="1"/>
  <c r="F214" i="16"/>
  <c r="J214" i="44" s="1"/>
  <c r="F214" i="15"/>
  <c r="H214" i="44" s="1"/>
  <c r="L356" i="44" l="1"/>
  <c r="B390" i="2"/>
  <c r="L214" i="8"/>
  <c r="F214" i="18" s="1"/>
  <c r="J214" i="8"/>
  <c r="L357" i="8"/>
  <c r="F357" i="18" s="1"/>
  <c r="F357" i="13"/>
  <c r="F357" i="44" s="1"/>
  <c r="L357" i="44" s="1"/>
  <c r="F214" i="13"/>
  <c r="F214" i="44" s="1"/>
  <c r="L214" i="44" s="1"/>
  <c r="F217" i="16"/>
  <c r="J217" i="44" s="1"/>
  <c r="L215" i="8"/>
  <c r="F215" i="18" s="1"/>
  <c r="J356" i="8"/>
  <c r="J215" i="8"/>
  <c r="G217" i="8"/>
  <c r="I217" i="8"/>
  <c r="L356" i="8"/>
  <c r="F356" i="18" s="1"/>
  <c r="H217" i="8"/>
  <c r="J358" i="8"/>
  <c r="J357" i="8"/>
  <c r="F217" i="8"/>
  <c r="I295" i="8"/>
  <c r="H295" i="8"/>
  <c r="G295" i="8"/>
  <c r="F295" i="8"/>
  <c r="I294" i="8"/>
  <c r="F294" i="16" s="1"/>
  <c r="J294" i="44" s="1"/>
  <c r="H294" i="8"/>
  <c r="F294" i="15" s="1"/>
  <c r="H294" i="44" s="1"/>
  <c r="G294" i="8"/>
  <c r="F294" i="13" s="1"/>
  <c r="F294" i="44" s="1"/>
  <c r="F294" i="8"/>
  <c r="I293" i="8"/>
  <c r="F293" i="16" s="1"/>
  <c r="J293" i="44" s="1"/>
  <c r="H293" i="8"/>
  <c r="F293" i="15" s="1"/>
  <c r="H293" i="44" s="1"/>
  <c r="G293" i="8"/>
  <c r="F293" i="8"/>
  <c r="I140" i="8"/>
  <c r="F140" i="16" s="1"/>
  <c r="J140" i="44" s="1"/>
  <c r="H140" i="8"/>
  <c r="F140" i="15" s="1"/>
  <c r="H140" i="44" s="1"/>
  <c r="G140" i="8"/>
  <c r="F140" i="13" s="1"/>
  <c r="F140" i="44" s="1"/>
  <c r="F140" i="8"/>
  <c r="I139" i="8"/>
  <c r="F139" i="16" s="1"/>
  <c r="J139" i="44" s="1"/>
  <c r="H139" i="8"/>
  <c r="F139" i="15" s="1"/>
  <c r="H139" i="44" s="1"/>
  <c r="G139" i="8"/>
  <c r="F139" i="13" s="1"/>
  <c r="F139" i="44" s="1"/>
  <c r="F139" i="8"/>
  <c r="I267" i="8"/>
  <c r="F267" i="16" s="1"/>
  <c r="J267" i="44" s="1"/>
  <c r="H267" i="8"/>
  <c r="F267" i="15" s="1"/>
  <c r="H267" i="44" s="1"/>
  <c r="G267" i="8"/>
  <c r="F267" i="13" s="1"/>
  <c r="F267" i="44" s="1"/>
  <c r="F267" i="8"/>
  <c r="I266" i="8"/>
  <c r="F266" i="16" s="1"/>
  <c r="J266" i="44" s="1"/>
  <c r="H266" i="8"/>
  <c r="F266" i="15" s="1"/>
  <c r="H266" i="44" s="1"/>
  <c r="G266" i="8"/>
  <c r="F266" i="13" s="1"/>
  <c r="F266" i="44" s="1"/>
  <c r="F266" i="8"/>
  <c r="I265" i="8"/>
  <c r="F265" i="16" s="1"/>
  <c r="J265" i="44" s="1"/>
  <c r="H265" i="8"/>
  <c r="F265" i="15" s="1"/>
  <c r="H265" i="44" s="1"/>
  <c r="G265" i="8"/>
  <c r="F265" i="13" s="1"/>
  <c r="F265" i="44" s="1"/>
  <c r="F265" i="8"/>
  <c r="I112" i="8"/>
  <c r="F112" i="16" s="1"/>
  <c r="J112" i="44" s="1"/>
  <c r="H112" i="8"/>
  <c r="F112" i="15" s="1"/>
  <c r="H112" i="44" s="1"/>
  <c r="G112" i="8"/>
  <c r="F112" i="13" s="1"/>
  <c r="F112" i="44" s="1"/>
  <c r="F112" i="8"/>
  <c r="I111" i="8"/>
  <c r="F111" i="16" s="1"/>
  <c r="J111" i="44" s="1"/>
  <c r="H111" i="8"/>
  <c r="F111" i="15" s="1"/>
  <c r="H111" i="44" s="1"/>
  <c r="G111" i="8"/>
  <c r="F111" i="13" s="1"/>
  <c r="F111" i="44" s="1"/>
  <c r="F111" i="8"/>
  <c r="I110" i="8"/>
  <c r="F110" i="16" s="1"/>
  <c r="J110" i="44" s="1"/>
  <c r="H110" i="8"/>
  <c r="F110" i="15" s="1"/>
  <c r="H110" i="44" s="1"/>
  <c r="G110" i="8"/>
  <c r="F110" i="13" s="1"/>
  <c r="F110" i="44" s="1"/>
  <c r="F110" i="8"/>
  <c r="L140" i="44" l="1"/>
  <c r="L139" i="44"/>
  <c r="L294" i="44"/>
  <c r="B391" i="2"/>
  <c r="L112" i="44"/>
  <c r="L111" i="44"/>
  <c r="L110" i="44"/>
  <c r="L293" i="8"/>
  <c r="F293" i="18" s="1"/>
  <c r="F293" i="13"/>
  <c r="F293" i="44" s="1"/>
  <c r="L293" i="44" s="1"/>
  <c r="F217" i="13"/>
  <c r="F217" i="44" s="1"/>
  <c r="J295" i="8"/>
  <c r="L294" i="8"/>
  <c r="F294" i="18" s="1"/>
  <c r="L140" i="8"/>
  <c r="F140" i="18" s="1"/>
  <c r="L295" i="8"/>
  <c r="J293" i="8"/>
  <c r="L112" i="8"/>
  <c r="F112" i="18" s="1"/>
  <c r="L267" i="8"/>
  <c r="F267" i="18" s="1"/>
  <c r="J139" i="8"/>
  <c r="L139" i="8"/>
  <c r="F139" i="18" s="1"/>
  <c r="J266" i="8"/>
  <c r="L111" i="8"/>
  <c r="F111" i="18" s="1"/>
  <c r="L266" i="8"/>
  <c r="F266" i="18" s="1"/>
  <c r="J140" i="8"/>
  <c r="J294" i="8"/>
  <c r="J110" i="8"/>
  <c r="J265" i="8"/>
  <c r="L110" i="8"/>
  <c r="F110" i="18" s="1"/>
  <c r="L265" i="8"/>
  <c r="F265" i="18" s="1"/>
  <c r="J112" i="8"/>
  <c r="J267" i="8"/>
  <c r="J111" i="8"/>
  <c r="B392" i="2" l="1"/>
  <c r="N294" i="8"/>
  <c r="N293" i="8"/>
  <c r="N295" i="8"/>
  <c r="N140" i="8"/>
  <c r="N139" i="8"/>
  <c r="B393" i="2" l="1"/>
  <c r="B394" i="2" l="1"/>
  <c r="I81" i="5"/>
  <c r="B395" i="2" l="1"/>
  <c r="B396" i="2" l="1"/>
  <c r="B397" i="2" l="1"/>
  <c r="B398" i="2" l="1"/>
  <c r="P43" i="5"/>
  <c r="S45" i="5" l="1"/>
  <c r="B399" i="2"/>
  <c r="Y38" i="13"/>
  <c r="B400" i="2" l="1"/>
  <c r="T499" i="18"/>
  <c r="T499" i="16"/>
  <c r="T499" i="15"/>
  <c r="B401" i="2" l="1"/>
  <c r="F498" i="15"/>
  <c r="H498" i="44" s="1"/>
  <c r="F497" i="16"/>
  <c r="J497" i="44" s="1"/>
  <c r="F497" i="15"/>
  <c r="H497" i="44" s="1"/>
  <c r="B402" i="2" l="1"/>
  <c r="L497" i="8"/>
  <c r="F497" i="18" s="1"/>
  <c r="F498" i="16"/>
  <c r="J498" i="44" s="1"/>
  <c r="L498" i="8"/>
  <c r="F498" i="18" s="1"/>
  <c r="B403" i="2" l="1"/>
  <c r="L498" i="44"/>
  <c r="L497" i="44"/>
  <c r="B404" i="2" l="1"/>
  <c r="M37" i="5"/>
  <c r="N37" i="5"/>
  <c r="E37" i="5"/>
  <c r="F37" i="5"/>
  <c r="W69" i="5"/>
  <c r="B405" i="2" l="1"/>
  <c r="B406" i="2" l="1"/>
  <c r="I901" i="8"/>
  <c r="H901" i="8"/>
  <c r="G901" i="8"/>
  <c r="B407" i="2" l="1"/>
  <c r="F902" i="8"/>
  <c r="B408" i="2" l="1"/>
  <c r="G776" i="8"/>
  <c r="B409" i="2" l="1"/>
  <c r="T1158" i="18"/>
  <c r="F1157" i="18"/>
  <c r="T1140" i="15"/>
  <c r="T1140" i="16"/>
  <c r="T1139" i="18"/>
  <c r="T1138" i="18"/>
  <c r="F1138" i="18"/>
  <c r="B410" i="2" l="1"/>
  <c r="Y65" i="5"/>
  <c r="X65" i="5"/>
  <c r="W65" i="5"/>
  <c r="V65" i="5"/>
  <c r="U65" i="5"/>
  <c r="T65" i="5"/>
  <c r="S65" i="5"/>
  <c r="R65" i="5"/>
  <c r="Q65" i="5"/>
  <c r="B411" i="2" l="1"/>
  <c r="T573" i="16"/>
  <c r="T573" i="15"/>
  <c r="T575" i="15" s="1"/>
  <c r="B412" i="2" l="1"/>
  <c r="I1157" i="8"/>
  <c r="F1157" i="16" s="1"/>
  <c r="J1157" i="44" s="1"/>
  <c r="H1157" i="8"/>
  <c r="F1157" i="15" s="1"/>
  <c r="H1157" i="44" s="1"/>
  <c r="G1157" i="8"/>
  <c r="F1157" i="13" s="1"/>
  <c r="F1157" i="44" s="1"/>
  <c r="F1157" i="8"/>
  <c r="I1138" i="8"/>
  <c r="F1138" i="16" s="1"/>
  <c r="J1138" i="44" s="1"/>
  <c r="H1138" i="8"/>
  <c r="F1138" i="15" s="1"/>
  <c r="H1138" i="44" s="1"/>
  <c r="G1138" i="8"/>
  <c r="F1138" i="8"/>
  <c r="B413" i="2" l="1"/>
  <c r="J561" i="8"/>
  <c r="L561" i="8"/>
  <c r="J570" i="8"/>
  <c r="J1157" i="8"/>
  <c r="L570" i="8"/>
  <c r="J1138" i="8"/>
  <c r="F570" i="18" l="1"/>
  <c r="N570" i="44"/>
  <c r="F561" i="18"/>
  <c r="B414" i="2"/>
  <c r="B415" i="2" l="1"/>
  <c r="W322" i="18"/>
  <c r="W319" i="18"/>
  <c r="W166" i="18"/>
  <c r="B416" i="2" l="1"/>
  <c r="O65" i="5"/>
  <c r="O70" i="5"/>
  <c r="N70" i="5"/>
  <c r="M70" i="5"/>
  <c r="L70" i="5"/>
  <c r="H70" i="5"/>
  <c r="B417" i="2" l="1"/>
  <c r="G1030" i="8" l="1"/>
  <c r="F972" i="8"/>
  <c r="G972" i="8"/>
  <c r="H972" i="8"/>
  <c r="I972" i="8"/>
  <c r="F973" i="8"/>
  <c r="G973" i="8"/>
  <c r="H973" i="8"/>
  <c r="I973" i="8"/>
  <c r="F974" i="8"/>
  <c r="G974" i="8"/>
  <c r="H974" i="8"/>
  <c r="I974" i="8"/>
  <c r="F975" i="8"/>
  <c r="G975" i="8"/>
  <c r="H975" i="8"/>
  <c r="I975" i="8"/>
  <c r="F976" i="8"/>
  <c r="G976" i="8"/>
  <c r="H976" i="8"/>
  <c r="I976" i="8"/>
  <c r="N702" i="44" l="1"/>
  <c r="N701" i="44"/>
  <c r="N683" i="44"/>
  <c r="N682" i="44"/>
  <c r="N603" i="44"/>
  <c r="N602" i="44"/>
  <c r="N595" i="44"/>
  <c r="N594" i="44"/>
  <c r="N302" i="44"/>
  <c r="N301" i="44"/>
  <c r="N154" i="44"/>
  <c r="N153" i="44"/>
  <c r="N137" i="44"/>
  <c r="N136" i="44"/>
  <c r="N104" i="44"/>
  <c r="N103" i="44"/>
  <c r="I504" i="2" l="1"/>
  <c r="H504" i="2"/>
  <c r="G504" i="2"/>
  <c r="F504" i="2"/>
  <c r="I496" i="2"/>
  <c r="H496" i="2"/>
  <c r="G496" i="2"/>
  <c r="F496" i="2"/>
  <c r="I495" i="2"/>
  <c r="H495" i="2"/>
  <c r="G495" i="2"/>
  <c r="F495" i="2"/>
  <c r="J497" i="2" l="1"/>
  <c r="F506" i="2"/>
  <c r="G506" i="2"/>
  <c r="H506" i="2"/>
  <c r="I506" i="2"/>
  <c r="F494" i="2"/>
  <c r="G494" i="2"/>
  <c r="H494" i="2"/>
  <c r="I494" i="2"/>
  <c r="J495" i="2"/>
  <c r="J496" i="2"/>
  <c r="J499" i="2"/>
  <c r="J492" i="2"/>
  <c r="F498" i="2" l="1"/>
  <c r="G498" i="2"/>
  <c r="H498" i="2"/>
  <c r="J494" i="2"/>
  <c r="I498" i="2"/>
  <c r="F510" i="2" l="1"/>
  <c r="F509" i="2"/>
  <c r="H500" i="2"/>
  <c r="G509" i="2"/>
  <c r="F500" i="2"/>
  <c r="G510" i="2"/>
  <c r="H509" i="2"/>
  <c r="H510" i="2"/>
  <c r="G500" i="2"/>
  <c r="J498" i="2"/>
  <c r="I510" i="2"/>
  <c r="I509" i="2"/>
  <c r="I500" i="2"/>
  <c r="F511" i="2" l="1"/>
  <c r="H502" i="2"/>
  <c r="G502" i="2"/>
  <c r="G511" i="2"/>
  <c r="F502" i="2"/>
  <c r="H511" i="2"/>
  <c r="J509" i="2"/>
  <c r="K498" i="2" s="1"/>
  <c r="I511" i="2"/>
  <c r="J510" i="2"/>
  <c r="K499" i="2" s="1"/>
  <c r="I502" i="2"/>
  <c r="J500" i="2"/>
  <c r="O84" i="8"/>
  <c r="J511" i="2" l="1"/>
  <c r="K500" i="2" s="1"/>
  <c r="F1143" i="13"/>
  <c r="F1143" i="44" s="1"/>
  <c r="T1153" i="18" l="1"/>
  <c r="O1154" i="44" l="1"/>
  <c r="L571" i="44" l="1"/>
  <c r="P72" i="5" l="1"/>
  <c r="L74" i="5"/>
  <c r="H74" i="5"/>
  <c r="F74" i="5"/>
  <c r="E74" i="5" l="1"/>
  <c r="R81" i="5" l="1"/>
  <c r="W1138" i="18" l="1"/>
  <c r="X1138" i="18"/>
  <c r="V1138" i="18"/>
  <c r="T1137" i="18"/>
  <c r="G28" i="1" l="1"/>
  <c r="N1198" i="8" l="1"/>
  <c r="N1197" i="8"/>
  <c r="N1196" i="8"/>
  <c r="N1195" i="8"/>
  <c r="N1194" i="8"/>
  <c r="N1193" i="8"/>
  <c r="N1192" i="8"/>
  <c r="N1191" i="8"/>
  <c r="N1190" i="8"/>
  <c r="N1188" i="8"/>
  <c r="N1186" i="8"/>
  <c r="N1184" i="8"/>
  <c r="N1182" i="8"/>
  <c r="N1172" i="8"/>
  <c r="N1171" i="8"/>
  <c r="N1170" i="8"/>
  <c r="N1169" i="8"/>
  <c r="N1168" i="8"/>
  <c r="N1167" i="8"/>
  <c r="N1166" i="8"/>
  <c r="N1165" i="8"/>
  <c r="N1164" i="8"/>
  <c r="N1162" i="8"/>
  <c r="N1155" i="8"/>
  <c r="N1154" i="8"/>
  <c r="N1147" i="8"/>
  <c r="N1146" i="8"/>
  <c r="N1144" i="8"/>
  <c r="N1141" i="8"/>
  <c r="N1132" i="8"/>
  <c r="N1131" i="8"/>
  <c r="N1119" i="8"/>
  <c r="N1117" i="8"/>
  <c r="N1116" i="8"/>
  <c r="N1115" i="8"/>
  <c r="N1110" i="8"/>
  <c r="N1109" i="8"/>
  <c r="N1108" i="8"/>
  <c r="N1107" i="8"/>
  <c r="N1106" i="8"/>
  <c r="N1105" i="8"/>
  <c r="N1104" i="8"/>
  <c r="N1102" i="8"/>
  <c r="N1079" i="8"/>
  <c r="N1078" i="8"/>
  <c r="N1077" i="8"/>
  <c r="N1076" i="8"/>
  <c r="N1075" i="8"/>
  <c r="N1074" i="8"/>
  <c r="N1073" i="8"/>
  <c r="N1072" i="8"/>
  <c r="N1071" i="8"/>
  <c r="N1069" i="8"/>
  <c r="N1066" i="8"/>
  <c r="N1064" i="8"/>
  <c r="N1048" i="8"/>
  <c r="N1041" i="8"/>
  <c r="N1040" i="8"/>
  <c r="N1039" i="8"/>
  <c r="N1038" i="8"/>
  <c r="N1037" i="8"/>
  <c r="N1036" i="8"/>
  <c r="N1035" i="8"/>
  <c r="N1034" i="8"/>
  <c r="N1033" i="8"/>
  <c r="N971" i="8"/>
  <c r="N954" i="8"/>
  <c r="N939" i="8"/>
  <c r="N924" i="8"/>
  <c r="N922" i="8"/>
  <c r="N916" i="8"/>
  <c r="N910" i="8"/>
  <c r="N908" i="8"/>
  <c r="N881" i="8"/>
  <c r="N880" i="8"/>
  <c r="N879" i="8"/>
  <c r="N878" i="8"/>
  <c r="N877" i="8"/>
  <c r="N876" i="8"/>
  <c r="N875" i="8"/>
  <c r="N873" i="8"/>
  <c r="N869" i="8"/>
  <c r="N859" i="8"/>
  <c r="N858" i="8"/>
  <c r="N856" i="8"/>
  <c r="N854" i="8"/>
  <c r="N828" i="8"/>
  <c r="N826" i="8"/>
  <c r="N824" i="8"/>
  <c r="N816" i="8"/>
  <c r="N815" i="8"/>
  <c r="N813" i="8"/>
  <c r="N803" i="8"/>
  <c r="N802" i="8"/>
  <c r="N801" i="8"/>
  <c r="N796" i="8"/>
  <c r="N795" i="8"/>
  <c r="N794" i="8"/>
  <c r="N793" i="8"/>
  <c r="N792" i="8"/>
  <c r="N791" i="8"/>
  <c r="N790" i="8"/>
  <c r="N789" i="8"/>
  <c r="N788" i="8"/>
  <c r="N786" i="8"/>
  <c r="N782" i="8"/>
  <c r="N762" i="8"/>
  <c r="N761" i="8"/>
  <c r="N760" i="8"/>
  <c r="N759" i="8"/>
  <c r="N758" i="8"/>
  <c r="N757" i="8"/>
  <c r="N756" i="8"/>
  <c r="N755" i="8"/>
  <c r="N752" i="8"/>
  <c r="N750" i="8"/>
  <c r="N679" i="8" l="1"/>
  <c r="N678" i="8"/>
  <c r="N671" i="8"/>
  <c r="N670" i="8"/>
  <c r="N669" i="8"/>
  <c r="N668" i="8"/>
  <c r="N667" i="8"/>
  <c r="N666" i="8"/>
  <c r="N665" i="8"/>
  <c r="N664" i="8"/>
  <c r="N662" i="8"/>
  <c r="N660" i="8"/>
  <c r="N652" i="8"/>
  <c r="N651" i="8"/>
  <c r="N649" i="8"/>
  <c r="W786" i="15" l="1"/>
  <c r="V571" i="15"/>
  <c r="V572" i="15" s="1"/>
  <c r="T573" i="13"/>
  <c r="F972" i="16" l="1"/>
  <c r="J972" i="44" s="1"/>
  <c r="F973" i="16"/>
  <c r="J973" i="44" s="1"/>
  <c r="F974" i="16"/>
  <c r="J974" i="44" s="1"/>
  <c r="F975" i="16"/>
  <c r="J975" i="44" s="1"/>
  <c r="F976" i="16"/>
  <c r="J976" i="44" s="1"/>
  <c r="F405" i="16"/>
  <c r="J405" i="44" s="1"/>
  <c r="F406" i="16"/>
  <c r="J406" i="44" s="1"/>
  <c r="F407" i="16"/>
  <c r="J407" i="44" s="1"/>
  <c r="F804" i="8" l="1"/>
  <c r="G804" i="8"/>
  <c r="H804" i="8"/>
  <c r="I804" i="8"/>
  <c r="F805" i="8"/>
  <c r="G805" i="8"/>
  <c r="H805" i="8"/>
  <c r="I805" i="8"/>
  <c r="F806" i="8"/>
  <c r="G806" i="8"/>
  <c r="H806" i="8"/>
  <c r="I806" i="8"/>
  <c r="F807" i="8"/>
  <c r="G807" i="8"/>
  <c r="H807" i="8"/>
  <c r="I807" i="8"/>
  <c r="F808" i="8"/>
  <c r="G808" i="8"/>
  <c r="H808" i="8"/>
  <c r="I808" i="8"/>
  <c r="F809" i="8"/>
  <c r="G809" i="8"/>
  <c r="H809" i="8"/>
  <c r="I809" i="8"/>
  <c r="F810" i="8"/>
  <c r="G810" i="8"/>
  <c r="H810" i="8"/>
  <c r="I810" i="8"/>
  <c r="F811" i="8"/>
  <c r="G811" i="8"/>
  <c r="H811" i="8"/>
  <c r="I811" i="8"/>
  <c r="F809" i="16" l="1"/>
  <c r="J809" i="44" s="1"/>
  <c r="F805" i="16"/>
  <c r="J805" i="44" s="1"/>
  <c r="F811" i="16"/>
  <c r="J811" i="44" s="1"/>
  <c r="F810" i="16"/>
  <c r="J810" i="44" s="1"/>
  <c r="F808" i="16"/>
  <c r="J808" i="44" s="1"/>
  <c r="F806" i="16"/>
  <c r="J806" i="44" s="1"/>
  <c r="F804" i="16"/>
  <c r="J804" i="44" s="1"/>
  <c r="F807" i="16"/>
  <c r="J807" i="44" s="1"/>
  <c r="F1158" i="8"/>
  <c r="G1158" i="8"/>
  <c r="F1158" i="13" s="1"/>
  <c r="F1158" i="44" s="1"/>
  <c r="H1158" i="8"/>
  <c r="F1158" i="15" s="1"/>
  <c r="H1158" i="44" s="1"/>
  <c r="I1158" i="8"/>
  <c r="F1158" i="16" s="1"/>
  <c r="J1158" i="44" s="1"/>
  <c r="I1156" i="8"/>
  <c r="H1156" i="8"/>
  <c r="G1156" i="8"/>
  <c r="F1156" i="8"/>
  <c r="F1148" i="8"/>
  <c r="G1148" i="8"/>
  <c r="H1148" i="8"/>
  <c r="I1148" i="8"/>
  <c r="F1149" i="8"/>
  <c r="G1149" i="8"/>
  <c r="H1149" i="8"/>
  <c r="I1149" i="8"/>
  <c r="F1150" i="8"/>
  <c r="G1150" i="8"/>
  <c r="H1150" i="8"/>
  <c r="I1150" i="8"/>
  <c r="F1151" i="8"/>
  <c r="G1151" i="8"/>
  <c r="H1151" i="8"/>
  <c r="I1151" i="8"/>
  <c r="F1152" i="8"/>
  <c r="G1152" i="8"/>
  <c r="H1152" i="8"/>
  <c r="I1152" i="8"/>
  <c r="F1133" i="8"/>
  <c r="G1133" i="8"/>
  <c r="H1133" i="8"/>
  <c r="F1134" i="8"/>
  <c r="G1134" i="8"/>
  <c r="H1134" i="8"/>
  <c r="I1134" i="8"/>
  <c r="F1135" i="8"/>
  <c r="G1135" i="8"/>
  <c r="H1135" i="8"/>
  <c r="I1135" i="8"/>
  <c r="F1136" i="8"/>
  <c r="G1136" i="8"/>
  <c r="H1136" i="8"/>
  <c r="I1136" i="8"/>
  <c r="F1137" i="8"/>
  <c r="G1137" i="8"/>
  <c r="H1137" i="8"/>
  <c r="I1137" i="8"/>
  <c r="F1139" i="8"/>
  <c r="G1139" i="8"/>
  <c r="H1139" i="8"/>
  <c r="F1139" i="15" s="1"/>
  <c r="H1139" i="44" s="1"/>
  <c r="I1139" i="8"/>
  <c r="F1139" i="16" s="1"/>
  <c r="J1139" i="44" s="1"/>
  <c r="L1139" i="44" l="1"/>
  <c r="L1158" i="44"/>
  <c r="F1135" i="16"/>
  <c r="J1135" i="44" s="1"/>
  <c r="F1151" i="16"/>
  <c r="J1151" i="44" s="1"/>
  <c r="F1149" i="16"/>
  <c r="J1149" i="44" s="1"/>
  <c r="F1151" i="15"/>
  <c r="H1151" i="44" s="1"/>
  <c r="G1161" i="8"/>
  <c r="F1151" i="13"/>
  <c r="F1151" i="44" s="1"/>
  <c r="F1133" i="16"/>
  <c r="J1133" i="44" s="1"/>
  <c r="F1156" i="16"/>
  <c r="J1156" i="44" s="1"/>
  <c r="F1137" i="13"/>
  <c r="F1137" i="44" s="1"/>
  <c r="F1136" i="16"/>
  <c r="J1136" i="44" s="1"/>
  <c r="F1134" i="16"/>
  <c r="J1134" i="44" s="1"/>
  <c r="F1152" i="16"/>
  <c r="J1152" i="44" s="1"/>
  <c r="F1150" i="16"/>
  <c r="J1150" i="44" s="1"/>
  <c r="F1148" i="16"/>
  <c r="J1148" i="44" s="1"/>
  <c r="F1137" i="15"/>
  <c r="H1137" i="44" s="1"/>
  <c r="F1152" i="15"/>
  <c r="H1152" i="44" s="1"/>
  <c r="F1137" i="16"/>
  <c r="J1137" i="44" s="1"/>
  <c r="F1138" i="13"/>
  <c r="F1138" i="44" s="1"/>
  <c r="F1152" i="13"/>
  <c r="F1152" i="44" s="1"/>
  <c r="L1151" i="8"/>
  <c r="H1153" i="8"/>
  <c r="J1151" i="8"/>
  <c r="G1153" i="8"/>
  <c r="F1153" i="8"/>
  <c r="L1152" i="8"/>
  <c r="J1152" i="8"/>
  <c r="L1137" i="8"/>
  <c r="J1137" i="8"/>
  <c r="I1153" i="8"/>
  <c r="L1138" i="44" l="1"/>
  <c r="N1138" i="44" s="1"/>
  <c r="F1140" i="16"/>
  <c r="J1140" i="44" s="1"/>
  <c r="L1152" i="44"/>
  <c r="N1152" i="44" s="1"/>
  <c r="F1160" i="16"/>
  <c r="J1160" i="44" s="1"/>
  <c r="F1152" i="18"/>
  <c r="F1137" i="18"/>
  <c r="F1151" i="18"/>
  <c r="N1151" i="8"/>
  <c r="N1152" i="8"/>
  <c r="N1137" i="8"/>
  <c r="I609" i="8" l="1"/>
  <c r="H609" i="8"/>
  <c r="G609" i="8"/>
  <c r="F609" i="8"/>
  <c r="I608" i="8"/>
  <c r="H608" i="8"/>
  <c r="G608" i="8"/>
  <c r="F608" i="8"/>
  <c r="I607" i="8"/>
  <c r="H607" i="8"/>
  <c r="G607" i="8"/>
  <c r="F607" i="8"/>
  <c r="I606" i="8"/>
  <c r="H606" i="8"/>
  <c r="G606" i="8"/>
  <c r="F606" i="8"/>
  <c r="I605" i="8"/>
  <c r="H605" i="8"/>
  <c r="G605" i="8"/>
  <c r="F605" i="8"/>
  <c r="I604" i="8"/>
  <c r="H604" i="8"/>
  <c r="G604" i="8"/>
  <c r="F604" i="8"/>
  <c r="I603" i="8"/>
  <c r="H603" i="8"/>
  <c r="G603" i="8"/>
  <c r="F603" i="8"/>
  <c r="I602" i="8"/>
  <c r="H602" i="8"/>
  <c r="G602" i="8"/>
  <c r="F602" i="8"/>
  <c r="I601" i="8"/>
  <c r="H601" i="8"/>
  <c r="G601" i="8"/>
  <c r="F601" i="8"/>
  <c r="F602" i="15" l="1"/>
  <c r="H602" i="44" s="1"/>
  <c r="F604" i="15"/>
  <c r="H604" i="44" s="1"/>
  <c r="F606" i="15"/>
  <c r="H606" i="44" s="1"/>
  <c r="F608" i="15"/>
  <c r="H608" i="44" s="1"/>
  <c r="F602" i="16"/>
  <c r="J602" i="44" s="1"/>
  <c r="F604" i="16"/>
  <c r="J604" i="44" s="1"/>
  <c r="F606" i="16"/>
  <c r="J606" i="44" s="1"/>
  <c r="F608" i="16"/>
  <c r="J608" i="44" s="1"/>
  <c r="F601" i="15"/>
  <c r="H601" i="44" s="1"/>
  <c r="F603" i="15"/>
  <c r="H603" i="44" s="1"/>
  <c r="F605" i="15"/>
  <c r="H605" i="44" s="1"/>
  <c r="F607" i="15"/>
  <c r="H607" i="44" s="1"/>
  <c r="F609" i="15"/>
  <c r="H609" i="44" s="1"/>
  <c r="F601" i="16"/>
  <c r="J601" i="44" s="1"/>
  <c r="F603" i="16"/>
  <c r="J603" i="44" s="1"/>
  <c r="F605" i="16"/>
  <c r="J605" i="44" s="1"/>
  <c r="F607" i="16"/>
  <c r="J607" i="44" s="1"/>
  <c r="F609" i="16"/>
  <c r="J609" i="44" s="1"/>
  <c r="F606" i="13"/>
  <c r="F606" i="44" s="1"/>
  <c r="F608" i="13"/>
  <c r="F608" i="44" s="1"/>
  <c r="J609" i="8"/>
  <c r="L602" i="8"/>
  <c r="F602" i="13"/>
  <c r="F602" i="44" s="1"/>
  <c r="L601" i="8"/>
  <c r="F601" i="13"/>
  <c r="F601" i="44" s="1"/>
  <c r="L603" i="8"/>
  <c r="F603" i="13"/>
  <c r="F603" i="44" s="1"/>
  <c r="L605" i="8"/>
  <c r="F605" i="13"/>
  <c r="F605" i="44" s="1"/>
  <c r="L607" i="8"/>
  <c r="F607" i="13"/>
  <c r="F607" i="44" s="1"/>
  <c r="L609" i="8"/>
  <c r="F609" i="13"/>
  <c r="F609" i="44" s="1"/>
  <c r="L604" i="8"/>
  <c r="F604" i="13"/>
  <c r="F604" i="44" s="1"/>
  <c r="J607" i="8"/>
  <c r="L608" i="8"/>
  <c r="J601" i="8"/>
  <c r="J603" i="8"/>
  <c r="J605" i="8"/>
  <c r="L606" i="8"/>
  <c r="J602" i="8"/>
  <c r="J604" i="8"/>
  <c r="J606" i="8"/>
  <c r="J608" i="8"/>
  <c r="J560" i="8"/>
  <c r="L560" i="8"/>
  <c r="L562" i="8"/>
  <c r="L559" i="8"/>
  <c r="J562" i="8"/>
  <c r="J559" i="8"/>
  <c r="L563" i="8"/>
  <c r="J538" i="8"/>
  <c r="J540" i="8"/>
  <c r="J563" i="8"/>
  <c r="L538" i="8"/>
  <c r="J544" i="8"/>
  <c r="J546" i="8"/>
  <c r="L540" i="8"/>
  <c r="L544" i="8"/>
  <c r="L546" i="8"/>
  <c r="J520" i="8"/>
  <c r="J539" i="8"/>
  <c r="J542" i="8"/>
  <c r="L548" i="8"/>
  <c r="L539" i="8"/>
  <c r="J545" i="8"/>
  <c r="J547" i="8"/>
  <c r="L542" i="8"/>
  <c r="L519" i="8"/>
  <c r="F519" i="18" s="1"/>
  <c r="L543" i="8"/>
  <c r="L545" i="8"/>
  <c r="L547" i="8"/>
  <c r="L520" i="8"/>
  <c r="J543" i="8"/>
  <c r="J519" i="8"/>
  <c r="J541" i="8"/>
  <c r="L541" i="8"/>
  <c r="N166" i="8"/>
  <c r="N160" i="8"/>
  <c r="N107" i="8"/>
  <c r="L1097" i="8"/>
  <c r="L1096" i="8"/>
  <c r="L1093" i="8"/>
  <c r="L1092" i="8"/>
  <c r="L1015" i="8"/>
  <c r="L1014" i="8"/>
  <c r="L1000" i="8"/>
  <c r="L999" i="8"/>
  <c r="L977" i="8"/>
  <c r="L976" i="8"/>
  <c r="L975" i="8"/>
  <c r="L974" i="8"/>
  <c r="L973" i="8"/>
  <c r="L972" i="8"/>
  <c r="L920" i="8"/>
  <c r="L911" i="8"/>
  <c r="L904" i="8"/>
  <c r="L899" i="8"/>
  <c r="L898" i="8"/>
  <c r="L896" i="8"/>
  <c r="L891" i="8"/>
  <c r="L871" i="8"/>
  <c r="L743" i="8"/>
  <c r="L742" i="8"/>
  <c r="L740" i="8"/>
  <c r="L733" i="8"/>
  <c r="L732" i="8"/>
  <c r="L730" i="8"/>
  <c r="L708" i="8"/>
  <c r="L706" i="8"/>
  <c r="L695" i="8"/>
  <c r="L694" i="8"/>
  <c r="L693" i="8"/>
  <c r="L691" i="8"/>
  <c r="L407" i="8"/>
  <c r="L406" i="8"/>
  <c r="L405" i="8"/>
  <c r="L61" i="8"/>
  <c r="L57" i="8"/>
  <c r="I16" i="3"/>
  <c r="I17" i="3" s="1"/>
  <c r="F562" i="18" l="1"/>
  <c r="F540" i="18"/>
  <c r="F544" i="18"/>
  <c r="F560" i="18"/>
  <c r="F543" i="18"/>
  <c r="F563" i="18"/>
  <c r="F539" i="18"/>
  <c r="F542" i="18"/>
  <c r="F541" i="18"/>
  <c r="F520" i="18"/>
  <c r="F545" i="18"/>
  <c r="F538" i="18"/>
  <c r="F548" i="18"/>
  <c r="F547" i="18"/>
  <c r="F546" i="18"/>
  <c r="N563" i="8"/>
  <c r="L539" i="44"/>
  <c r="N539" i="44" s="1"/>
  <c r="N559" i="8"/>
  <c r="N562" i="8"/>
  <c r="N560" i="8"/>
  <c r="L567" i="44"/>
  <c r="L547" i="44"/>
  <c r="N547" i="44" s="1"/>
  <c r="L541" i="44"/>
  <c r="N541" i="44" s="1"/>
  <c r="L608" i="44"/>
  <c r="L566" i="44"/>
  <c r="L520" i="44"/>
  <c r="N520" i="44" s="1"/>
  <c r="L565" i="44"/>
  <c r="L538" i="44"/>
  <c r="N538" i="44" s="1"/>
  <c r="L545" i="44"/>
  <c r="N545" i="44" s="1"/>
  <c r="L540" i="44"/>
  <c r="N540" i="44" s="1"/>
  <c r="L549" i="44"/>
  <c r="N549" i="44" s="1"/>
  <c r="L546" i="44"/>
  <c r="N546" i="44" s="1"/>
  <c r="L544" i="44"/>
  <c r="N544" i="44" s="1"/>
  <c r="L548" i="44"/>
  <c r="N548" i="44" s="1"/>
  <c r="L606" i="44"/>
  <c r="L542" i="44"/>
  <c r="N542" i="44" s="1"/>
  <c r="L543" i="44"/>
  <c r="N543" i="44" s="1"/>
  <c r="N708" i="8"/>
  <c r="N899" i="8"/>
  <c r="N1096" i="8"/>
  <c r="F603" i="18"/>
  <c r="N904" i="8"/>
  <c r="N977" i="8"/>
  <c r="N1097" i="8"/>
  <c r="N603" i="8"/>
  <c r="N732" i="8"/>
  <c r="N911" i="8"/>
  <c r="N999" i="8"/>
  <c r="N589" i="44"/>
  <c r="N609" i="8"/>
  <c r="N730" i="8"/>
  <c r="N691" i="8"/>
  <c r="N733" i="8"/>
  <c r="N920" i="8"/>
  <c r="N1000" i="8"/>
  <c r="N608" i="8"/>
  <c r="N693" i="8"/>
  <c r="N740" i="8"/>
  <c r="N871" i="8"/>
  <c r="N1014" i="8"/>
  <c r="N694" i="8"/>
  <c r="N742" i="8"/>
  <c r="N891" i="8"/>
  <c r="N1015" i="8"/>
  <c r="N590" i="44"/>
  <c r="N695" i="8"/>
  <c r="N743" i="8"/>
  <c r="N896" i="8"/>
  <c r="N1092" i="8"/>
  <c r="N706" i="8"/>
  <c r="N898" i="8"/>
  <c r="N1093" i="8"/>
  <c r="N601" i="8"/>
  <c r="N607" i="8"/>
  <c r="L603" i="44"/>
  <c r="L607" i="44"/>
  <c r="L602" i="44"/>
  <c r="L605" i="44"/>
  <c r="L604" i="44"/>
  <c r="L609" i="44"/>
  <c r="L601" i="44"/>
  <c r="N602" i="8"/>
  <c r="O546" i="8"/>
  <c r="F605" i="18"/>
  <c r="N605" i="8"/>
  <c r="F604" i="18"/>
  <c r="F559" i="18"/>
  <c r="O547" i="8"/>
  <c r="O548" i="8"/>
  <c r="N604" i="8"/>
  <c r="F608" i="18"/>
  <c r="F609" i="18"/>
  <c r="F601" i="18"/>
  <c r="O554" i="8"/>
  <c r="F607" i="18"/>
  <c r="O555" i="8"/>
  <c r="F606" i="18"/>
  <c r="F602" i="18"/>
  <c r="N606" i="8"/>
  <c r="N540" i="8"/>
  <c r="N548" i="8"/>
  <c r="N539" i="8"/>
  <c r="N554" i="8"/>
  <c r="N547" i="8"/>
  <c r="N555" i="8"/>
  <c r="N545" i="8"/>
  <c r="N543" i="8"/>
  <c r="N520" i="8"/>
  <c r="N546" i="8"/>
  <c r="N544" i="8"/>
  <c r="N542" i="8"/>
  <c r="N541" i="8"/>
  <c r="N519" i="8"/>
  <c r="N538" i="8"/>
  <c r="O601" i="8" l="1"/>
  <c r="O602" i="8"/>
  <c r="O604" i="8"/>
  <c r="O605" i="8"/>
  <c r="O606" i="8"/>
  <c r="I70" i="5" l="1"/>
  <c r="G70" i="5"/>
  <c r="J70" i="5"/>
  <c r="K70" i="5"/>
  <c r="L65" i="5" l="1"/>
  <c r="E65" i="5" l="1"/>
  <c r="I73" i="5"/>
  <c r="H65" i="5"/>
  <c r="F65" i="5"/>
  <c r="G73" i="5"/>
  <c r="O129" i="14"/>
  <c r="N129" i="14"/>
  <c r="M129" i="14"/>
  <c r="L129" i="14"/>
  <c r="K129" i="14"/>
  <c r="J129" i="14"/>
  <c r="I129" i="14"/>
  <c r="H129" i="14"/>
  <c r="G129" i="14"/>
  <c r="F129" i="14"/>
  <c r="D129" i="14"/>
  <c r="S1143" i="18"/>
  <c r="R1143" i="18"/>
  <c r="Q1143" i="18"/>
  <c r="P1143" i="18"/>
  <c r="O1143" i="18"/>
  <c r="N1143" i="18"/>
  <c r="M1143" i="18"/>
  <c r="L1143" i="18"/>
  <c r="K1143" i="18"/>
  <c r="J1143" i="18"/>
  <c r="F1143" i="18"/>
  <c r="S1143" i="16"/>
  <c r="R1143" i="16"/>
  <c r="Q1143" i="16"/>
  <c r="P1143" i="16"/>
  <c r="O1143" i="16"/>
  <c r="N1143" i="16"/>
  <c r="M1143" i="16"/>
  <c r="L1143" i="16"/>
  <c r="K1143" i="16"/>
  <c r="J1143" i="16"/>
  <c r="F1143" i="16"/>
  <c r="J1143" i="44" s="1"/>
  <c r="S1143" i="13"/>
  <c r="R1143" i="13"/>
  <c r="Q1143" i="13"/>
  <c r="P1143" i="13"/>
  <c r="O1143" i="13"/>
  <c r="N1143" i="13"/>
  <c r="M1143" i="13"/>
  <c r="L1143" i="13"/>
  <c r="K1143" i="13"/>
  <c r="J1143" i="13"/>
  <c r="S1143" i="15"/>
  <c r="R1143" i="15"/>
  <c r="Q1143" i="15"/>
  <c r="P1143" i="15"/>
  <c r="O1143" i="15"/>
  <c r="N1143" i="15"/>
  <c r="M1143" i="15"/>
  <c r="L1143" i="15"/>
  <c r="K1143" i="15"/>
  <c r="J1143" i="15"/>
  <c r="F1143" i="15"/>
  <c r="H1143" i="44" s="1"/>
  <c r="I1143" i="8"/>
  <c r="H1143" i="8"/>
  <c r="G1143" i="8"/>
  <c r="F1143" i="8"/>
  <c r="L1143" i="8" l="1"/>
  <c r="W1187" i="16"/>
  <c r="W1185" i="16"/>
  <c r="W1183" i="16"/>
  <c r="W500" i="16"/>
  <c r="W493" i="16"/>
  <c r="W454" i="16"/>
  <c r="W1229" i="16"/>
  <c r="W1227" i="16"/>
  <c r="W1225" i="16"/>
  <c r="W1223" i="16"/>
  <c r="W1221" i="16"/>
  <c r="W1204" i="16"/>
  <c r="W1161" i="16"/>
  <c r="W1155" i="16"/>
  <c r="W1154" i="16"/>
  <c r="W1147" i="16"/>
  <c r="W1146" i="16"/>
  <c r="W1144" i="16"/>
  <c r="W1132" i="16"/>
  <c r="W1131" i="16"/>
  <c r="W1120" i="16"/>
  <c r="W1119" i="16"/>
  <c r="W1102" i="16"/>
  <c r="W1097" i="16"/>
  <c r="W1096" i="16"/>
  <c r="W1093" i="16"/>
  <c r="W1092" i="16"/>
  <c r="W1069" i="16"/>
  <c r="W1066" i="16"/>
  <c r="W1064" i="16"/>
  <c r="W1015" i="16"/>
  <c r="W1014" i="16"/>
  <c r="W1000" i="16"/>
  <c r="W999" i="16"/>
  <c r="W994" i="16"/>
  <c r="W977" i="16"/>
  <c r="W956" i="16"/>
  <c r="W954" i="16"/>
  <c r="W939" i="16"/>
  <c r="W924" i="16"/>
  <c r="W922" i="16"/>
  <c r="W920" i="16"/>
  <c r="W916" i="16"/>
  <c r="W911" i="16"/>
  <c r="W910" i="16"/>
  <c r="W908" i="16"/>
  <c r="W904" i="16"/>
  <c r="W899" i="16"/>
  <c r="W898" i="16"/>
  <c r="W896" i="16"/>
  <c r="W891" i="16"/>
  <c r="W873" i="16"/>
  <c r="W871" i="16"/>
  <c r="W869" i="16"/>
  <c r="W859" i="16"/>
  <c r="W858" i="16"/>
  <c r="W856" i="16"/>
  <c r="W854" i="16"/>
  <c r="W826" i="16"/>
  <c r="W824" i="16"/>
  <c r="W816" i="16"/>
  <c r="W815" i="16"/>
  <c r="W813" i="16"/>
  <c r="W786" i="16"/>
  <c r="W782" i="16"/>
  <c r="W752" i="16"/>
  <c r="W750" i="16"/>
  <c r="W743" i="16"/>
  <c r="W742" i="16"/>
  <c r="W740" i="16"/>
  <c r="W733" i="16"/>
  <c r="W732" i="16"/>
  <c r="W730" i="16"/>
  <c r="W708" i="16"/>
  <c r="W706" i="16"/>
  <c r="W695" i="16"/>
  <c r="W694" i="16"/>
  <c r="W693" i="16"/>
  <c r="W691" i="16"/>
  <c r="W662" i="16"/>
  <c r="W660" i="16"/>
  <c r="W652" i="16"/>
  <c r="W651" i="16"/>
  <c r="W649" i="16"/>
  <c r="W621" i="16"/>
  <c r="W619" i="16"/>
  <c r="W617" i="16"/>
  <c r="W615" i="16"/>
  <c r="W613" i="16"/>
  <c r="W611" i="16"/>
  <c r="W599" i="16"/>
  <c r="W598" i="16"/>
  <c r="W574" i="16"/>
  <c r="W558" i="16"/>
  <c r="W557" i="16"/>
  <c r="W477" i="16"/>
  <c r="W475" i="16"/>
  <c r="W472" i="16"/>
  <c r="W471" i="16"/>
  <c r="W434" i="16"/>
  <c r="W412" i="16"/>
  <c r="W410" i="16"/>
  <c r="W408" i="16"/>
  <c r="W384" i="16"/>
  <c r="W367" i="16"/>
  <c r="W365" i="16"/>
  <c r="W362" i="16"/>
  <c r="W355" i="16"/>
  <c r="W322" i="16"/>
  <c r="W319" i="16"/>
  <c r="W313" i="16"/>
  <c r="W245" i="16"/>
  <c r="W243" i="16"/>
  <c r="W240" i="16"/>
  <c r="W224" i="16"/>
  <c r="W222" i="16"/>
  <c r="W220" i="16"/>
  <c r="W218" i="16"/>
  <c r="W198" i="16"/>
  <c r="W194" i="16"/>
  <c r="W183" i="16"/>
  <c r="W182" i="16"/>
  <c r="W166" i="16"/>
  <c r="W160" i="16"/>
  <c r="W135" i="16"/>
  <c r="W134" i="16"/>
  <c r="W107" i="16"/>
  <c r="W102" i="16"/>
  <c r="W101" i="16"/>
  <c r="W82" i="16"/>
  <c r="W80" i="16"/>
  <c r="W78" i="16"/>
  <c r="W67" i="16"/>
  <c r="W66" i="16"/>
  <c r="W65" i="16"/>
  <c r="W63" i="16"/>
  <c r="W61" i="16"/>
  <c r="W57" i="16"/>
  <c r="B6" i="18" l="1"/>
  <c r="A151" i="45" l="1"/>
  <c r="A153" i="45" s="1"/>
  <c r="A155" i="45" s="1"/>
  <c r="A157" i="45" s="1"/>
  <c r="A159" i="45" s="1"/>
  <c r="A161" i="45" s="1"/>
  <c r="A163" i="45" s="1"/>
  <c r="A165" i="45" s="1"/>
  <c r="A167" i="45" s="1"/>
  <c r="A169" i="45" s="1"/>
  <c r="A171" i="45" s="1"/>
  <c r="A173" i="45" s="1"/>
  <c r="A175" i="45" s="1"/>
  <c r="A179" i="45" s="1"/>
  <c r="A181" i="45" s="1"/>
  <c r="A183" i="45" s="1"/>
  <c r="A185" i="45" s="1"/>
  <c r="A187" i="45" s="1"/>
  <c r="A189" i="45" s="1"/>
  <c r="A191" i="45" s="1"/>
  <c r="A193" i="45" s="1"/>
  <c r="A195" i="45" s="1"/>
  <c r="A197" i="45" s="1"/>
  <c r="A199" i="45" s="1"/>
  <c r="A201" i="45" s="1"/>
  <c r="A203" i="45" s="1"/>
  <c r="A205" i="45" s="1"/>
  <c r="A207" i="45" s="1"/>
  <c r="A122" i="45"/>
  <c r="A124" i="45" s="1"/>
  <c r="A126" i="45" s="1"/>
  <c r="A128" i="45" s="1"/>
  <c r="A130" i="45" s="1"/>
  <c r="A132" i="45" s="1"/>
  <c r="A134" i="45" s="1"/>
  <c r="A136" i="45" s="1"/>
  <c r="A138" i="45" s="1"/>
  <c r="A140" i="45" s="1"/>
  <c r="A142" i="45" s="1"/>
  <c r="A144" i="45" s="1"/>
  <c r="A146" i="45" s="1"/>
  <c r="A89" i="45"/>
  <c r="A91" i="45" s="1"/>
  <c r="A93" i="45" s="1"/>
  <c r="A95" i="45" s="1"/>
  <c r="A97" i="45" s="1"/>
  <c r="A99" i="45" s="1"/>
  <c r="A101" i="45" s="1"/>
  <c r="A103" i="45" s="1"/>
  <c r="A105" i="45" s="1"/>
  <c r="A107" i="45" s="1"/>
  <c r="A109" i="45" s="1"/>
  <c r="A111" i="45" s="1"/>
  <c r="A113" i="45" s="1"/>
  <c r="A115" i="45" s="1"/>
  <c r="A117" i="45" s="1"/>
  <c r="A65" i="45"/>
  <c r="A67" i="45" s="1"/>
  <c r="A69" i="45" s="1"/>
  <c r="A71" i="45" s="1"/>
  <c r="A73" i="45" s="1"/>
  <c r="A75" i="45" s="1"/>
  <c r="A77" i="45" s="1"/>
  <c r="A79" i="45" s="1"/>
  <c r="A81" i="45" s="1"/>
  <c r="A83" i="45" s="1"/>
  <c r="A85" i="45" s="1"/>
  <c r="A14" i="45"/>
  <c r="A16" i="45" s="1"/>
  <c r="A18" i="45" s="1"/>
  <c r="A20" i="45" s="1"/>
  <c r="A22" i="45" s="1"/>
  <c r="A24" i="45" s="1"/>
  <c r="A26" i="45" s="1"/>
  <c r="A28" i="45" s="1"/>
  <c r="A30" i="45" s="1"/>
  <c r="A32" i="45" s="1"/>
  <c r="A34" i="45" s="1"/>
  <c r="A36" i="45" s="1"/>
  <c r="A38" i="45" s="1"/>
  <c r="A40" i="45" s="1"/>
  <c r="A42" i="45" s="1"/>
  <c r="A44" i="45" s="1"/>
  <c r="A46" i="45" s="1"/>
  <c r="A48" i="45" s="1"/>
  <c r="A50" i="45" s="1"/>
  <c r="A52" i="45" s="1"/>
  <c r="A54" i="45" s="1"/>
  <c r="A56" i="45" s="1"/>
  <c r="A58" i="45" s="1"/>
  <c r="R83" i="45" l="1"/>
  <c r="R81" i="45"/>
  <c r="R79" i="45"/>
  <c r="R77" i="45"/>
  <c r="R75" i="45"/>
  <c r="R73" i="45"/>
  <c r="R71" i="45"/>
  <c r="R69" i="45"/>
  <c r="R67" i="45"/>
  <c r="R65" i="45"/>
  <c r="F776" i="13" l="1"/>
  <c r="F776" i="44" s="1"/>
  <c r="L974" i="44" l="1"/>
  <c r="L972" i="44"/>
  <c r="L973" i="44"/>
  <c r="L975" i="44"/>
  <c r="L911" i="44"/>
  <c r="L976" i="44"/>
  <c r="L916" i="44"/>
  <c r="L500" i="44"/>
  <c r="U1264" i="16" l="1"/>
  <c r="U1371" i="15"/>
  <c r="U1264" i="15"/>
  <c r="M1067" i="44" l="1"/>
  <c r="M781" i="44"/>
  <c r="M704" i="44"/>
  <c r="M688" i="44"/>
  <c r="M348" i="44"/>
  <c r="M347" i="44"/>
  <c r="M346" i="44"/>
  <c r="M345" i="44"/>
  <c r="M268" i="44"/>
  <c r="M260" i="44"/>
  <c r="B1203" i="44"/>
  <c r="B1194" i="44"/>
  <c r="B1177" i="44"/>
  <c r="B1168" i="44"/>
  <c r="B1116" i="44"/>
  <c r="B1107" i="44"/>
  <c r="B1085" i="44"/>
  <c r="B1076" i="44"/>
  <c r="B1047" i="44"/>
  <c r="B1038" i="44"/>
  <c r="B992" i="44"/>
  <c r="B983" i="44"/>
  <c r="B972" i="44"/>
  <c r="B963" i="44"/>
  <c r="B939" i="44"/>
  <c r="B930" i="44"/>
  <c r="B887" i="44"/>
  <c r="B878" i="44"/>
  <c r="B842" i="44"/>
  <c r="B833" i="44"/>
  <c r="B802" i="44"/>
  <c r="B793" i="44"/>
  <c r="B768" i="44"/>
  <c r="B759" i="44"/>
  <c r="B723" i="44"/>
  <c r="B714" i="44"/>
  <c r="B678" i="44"/>
  <c r="B669" i="44"/>
  <c r="B637" i="44"/>
  <c r="B628" i="44"/>
  <c r="B590" i="44"/>
  <c r="B581" i="44"/>
  <c r="B516" i="44"/>
  <c r="B507" i="44"/>
  <c r="B493" i="44"/>
  <c r="B484" i="44"/>
  <c r="B470" i="44"/>
  <c r="B461" i="44"/>
  <c r="B450" i="44"/>
  <c r="B441" i="44"/>
  <c r="B428" i="44"/>
  <c r="B419" i="44"/>
  <c r="B403" i="44"/>
  <c r="B394" i="44"/>
  <c r="B383" i="44"/>
  <c r="B374" i="44"/>
  <c r="B343" i="44"/>
  <c r="B333" i="44"/>
  <c r="D306" i="44"/>
  <c r="D305" i="44"/>
  <c r="D304" i="44"/>
  <c r="B290" i="44"/>
  <c r="B280" i="44"/>
  <c r="B257" i="44"/>
  <c r="B248" i="44"/>
  <c r="B240" i="44"/>
  <c r="B231" i="44"/>
  <c r="B205" i="44"/>
  <c r="B183" i="44"/>
  <c r="B174" i="44"/>
  <c r="D152" i="44"/>
  <c r="D151" i="44"/>
  <c r="D150" i="44"/>
  <c r="B136" i="44"/>
  <c r="B126" i="44"/>
  <c r="B102" i="44"/>
  <c r="B93" i="44"/>
  <c r="B53" i="44"/>
  <c r="B44" i="44"/>
  <c r="B15" i="44"/>
  <c r="B16" i="44" l="1"/>
  <c r="B471" i="44"/>
  <c r="B724" i="44"/>
  <c r="B973" i="44"/>
  <c r="B1204" i="44"/>
  <c r="B344" i="44"/>
  <c r="B494" i="44"/>
  <c r="B769" i="44"/>
  <c r="B993" i="44"/>
  <c r="B217" i="44"/>
  <c r="B803" i="44"/>
  <c r="B1048" i="44"/>
  <c r="B241" i="44"/>
  <c r="B404" i="44"/>
  <c r="B591" i="44"/>
  <c r="B843" i="44"/>
  <c r="B1086" i="44"/>
  <c r="B103" i="44"/>
  <c r="B258" i="44"/>
  <c r="B429" i="44"/>
  <c r="B638" i="44"/>
  <c r="B888" i="44"/>
  <c r="B1117" i="44"/>
  <c r="B384" i="44"/>
  <c r="B291" i="44"/>
  <c r="B184" i="44"/>
  <c r="B54" i="44"/>
  <c r="B517" i="44"/>
  <c r="B137" i="44"/>
  <c r="B451" i="44"/>
  <c r="B679" i="44"/>
  <c r="B940" i="44"/>
  <c r="B1178" i="44"/>
  <c r="U1264" i="13"/>
  <c r="B17" i="44" l="1"/>
  <c r="B495" i="44"/>
  <c r="B104" i="44"/>
  <c r="B941" i="44"/>
  <c r="B1205" i="44"/>
  <c r="B185" i="44"/>
  <c r="B345" i="44"/>
  <c r="B430" i="44"/>
  <c r="B259" i="44"/>
  <c r="B1049" i="44"/>
  <c r="B518" i="44"/>
  <c r="B218" i="44"/>
  <c r="B974" i="44"/>
  <c r="B472" i="44"/>
  <c r="B292" i="44"/>
  <c r="B138" i="44"/>
  <c r="B770" i="44"/>
  <c r="B242" i="44"/>
  <c r="B452" i="44"/>
  <c r="B1087" i="44"/>
  <c r="B844" i="44"/>
  <c r="B1179" i="44"/>
  <c r="B55" i="44"/>
  <c r="B639" i="44"/>
  <c r="B592" i="44"/>
  <c r="B994" i="44"/>
  <c r="B725" i="44"/>
  <c r="B405" i="44"/>
  <c r="B680" i="44"/>
  <c r="B385" i="44"/>
  <c r="B1118" i="44"/>
  <c r="B804" i="44"/>
  <c r="B889" i="44"/>
  <c r="S1371" i="13"/>
  <c r="K1371" i="13"/>
  <c r="R1371" i="13"/>
  <c r="J1371" i="13"/>
  <c r="Q1371" i="13"/>
  <c r="L1371" i="13"/>
  <c r="P1371" i="13"/>
  <c r="O1371" i="13"/>
  <c r="N1371" i="13"/>
  <c r="M1371" i="13"/>
  <c r="B18" i="44" l="1"/>
  <c r="B593" i="44"/>
  <c r="B346" i="44"/>
  <c r="B386" i="44"/>
  <c r="B975" i="44"/>
  <c r="B243" i="44"/>
  <c r="B186" i="44"/>
  <c r="B56" i="44"/>
  <c r="B1180" i="44"/>
  <c r="B1119" i="44"/>
  <c r="B453" i="44"/>
  <c r="B640" i="44"/>
  <c r="B219" i="44"/>
  <c r="B681" i="44"/>
  <c r="B771" i="44"/>
  <c r="B1206" i="44"/>
  <c r="B1207" i="44" s="1"/>
  <c r="B1208" i="44" s="1"/>
  <c r="B1209" i="44" s="1"/>
  <c r="B1210" i="44" s="1"/>
  <c r="B1211" i="44" s="1"/>
  <c r="B1212" i="44" s="1"/>
  <c r="B1213" i="44" s="1"/>
  <c r="B1214" i="44" s="1"/>
  <c r="B1215" i="44" s="1"/>
  <c r="B1216" i="44" s="1"/>
  <c r="B1217" i="44" s="1"/>
  <c r="B1218" i="44" s="1"/>
  <c r="B1219" i="44" s="1"/>
  <c r="B1220" i="44" s="1"/>
  <c r="B1221" i="44" s="1"/>
  <c r="B1222" i="44" s="1"/>
  <c r="B1223" i="44" s="1"/>
  <c r="B1224" i="44" s="1"/>
  <c r="B1225" i="44" s="1"/>
  <c r="B1226" i="44" s="1"/>
  <c r="B1227" i="44" s="1"/>
  <c r="B1228" i="44" s="1"/>
  <c r="B1229" i="44" s="1"/>
  <c r="B1230" i="44" s="1"/>
  <c r="B406" i="44"/>
  <c r="B1050" i="44"/>
  <c r="B942" i="44"/>
  <c r="B890" i="44"/>
  <c r="B726" i="44"/>
  <c r="B845" i="44"/>
  <c r="B260" i="44"/>
  <c r="B105" i="44"/>
  <c r="B805" i="44"/>
  <c r="B995" i="44"/>
  <c r="B1088" i="44"/>
  <c r="B473" i="44"/>
  <c r="B431" i="44"/>
  <c r="U1371" i="13"/>
  <c r="H496" i="8"/>
  <c r="I496" i="8"/>
  <c r="G496" i="8"/>
  <c r="F496" i="8"/>
  <c r="B19" i="44" l="1"/>
  <c r="B142" i="44"/>
  <c r="B187" i="44"/>
  <c r="B474" i="44"/>
  <c r="B244" i="44"/>
  <c r="B1089" i="44"/>
  <c r="B846" i="44"/>
  <c r="B727" i="44"/>
  <c r="B641" i="44"/>
  <c r="B407" i="44"/>
  <c r="B976" i="44"/>
  <c r="B454" i="44"/>
  <c r="B996" i="44"/>
  <c r="B1120" i="44"/>
  <c r="B806" i="44"/>
  <c r="B891" i="44"/>
  <c r="B772" i="44"/>
  <c r="B1181" i="44"/>
  <c r="B387" i="44"/>
  <c r="B106" i="44"/>
  <c r="B943" i="44"/>
  <c r="B682" i="44"/>
  <c r="B347" i="44"/>
  <c r="B432" i="44"/>
  <c r="B261" i="44"/>
  <c r="B1051" i="44"/>
  <c r="B220" i="44"/>
  <c r="B57" i="44"/>
  <c r="B594" i="44"/>
  <c r="F496" i="16"/>
  <c r="J496" i="44" s="1"/>
  <c r="L496" i="8"/>
  <c r="F496" i="13"/>
  <c r="F496" i="44" s="1"/>
  <c r="J496" i="8"/>
  <c r="F496" i="15"/>
  <c r="H496" i="44" s="1"/>
  <c r="B20" i="44" l="1"/>
  <c r="B143" i="44"/>
  <c r="B408" i="44"/>
  <c r="B642" i="44"/>
  <c r="B997" i="44"/>
  <c r="B683" i="44"/>
  <c r="B944" i="44"/>
  <c r="B1052" i="44"/>
  <c r="B107" i="44"/>
  <c r="B58" i="44"/>
  <c r="B1090" i="44"/>
  <c r="B1121" i="44"/>
  <c r="B388" i="44"/>
  <c r="B1182" i="44"/>
  <c r="B807" i="44"/>
  <c r="B728" i="44"/>
  <c r="B892" i="44"/>
  <c r="B221" i="44"/>
  <c r="B262" i="44"/>
  <c r="B475" i="44"/>
  <c r="B433" i="44"/>
  <c r="B455" i="44"/>
  <c r="B847" i="44"/>
  <c r="B188" i="44"/>
  <c r="B595" i="44"/>
  <c r="B348" i="44"/>
  <c r="B773" i="44"/>
  <c r="B977" i="44"/>
  <c r="N519" i="44"/>
  <c r="N496" i="8"/>
  <c r="F496" i="18"/>
  <c r="L496" i="44"/>
  <c r="B1195" i="8"/>
  <c r="B1169" i="8"/>
  <c r="B1107" i="8"/>
  <c r="B1076" i="8"/>
  <c r="B1038" i="8"/>
  <c r="B983" i="8"/>
  <c r="B963" i="8"/>
  <c r="B930" i="8"/>
  <c r="B878" i="8"/>
  <c r="B833" i="8"/>
  <c r="B793" i="8"/>
  <c r="B759" i="8"/>
  <c r="B714" i="8"/>
  <c r="B669" i="8"/>
  <c r="B628" i="8"/>
  <c r="B581" i="8"/>
  <c r="B507" i="8"/>
  <c r="B484" i="8"/>
  <c r="B461" i="8"/>
  <c r="B441" i="8"/>
  <c r="B419" i="8"/>
  <c r="B394" i="8"/>
  <c r="B374" i="8"/>
  <c r="B333" i="8"/>
  <c r="B280" i="8"/>
  <c r="B248" i="8"/>
  <c r="B231" i="8"/>
  <c r="B205" i="8"/>
  <c r="B174" i="8"/>
  <c r="B126" i="8"/>
  <c r="B93" i="8"/>
  <c r="B44" i="8"/>
  <c r="B21" i="44" l="1"/>
  <c r="B144" i="44"/>
  <c r="B1053" i="44"/>
  <c r="B189" i="44"/>
  <c r="B684" i="44"/>
  <c r="B893" i="44"/>
  <c r="B774" i="44"/>
  <c r="B998" i="44"/>
  <c r="B848" i="44"/>
  <c r="B729" i="44"/>
  <c r="B978" i="44"/>
  <c r="B808" i="44"/>
  <c r="B59" i="44"/>
  <c r="B643" i="44"/>
  <c r="B222" i="44"/>
  <c r="B945" i="44"/>
  <c r="B1122" i="44"/>
  <c r="B1091" i="44"/>
  <c r="B434" i="44"/>
  <c r="B349" i="44"/>
  <c r="B476" i="44"/>
  <c r="B596" i="44"/>
  <c r="B263" i="44"/>
  <c r="B1183" i="44"/>
  <c r="B108" i="44"/>
  <c r="B409" i="44"/>
  <c r="B5" i="5"/>
  <c r="B5" i="3"/>
  <c r="B4" i="3"/>
  <c r="B22" i="44" l="1"/>
  <c r="B145" i="44"/>
  <c r="B477" i="44"/>
  <c r="B999" i="44"/>
  <c r="B775" i="44"/>
  <c r="B597" i="44"/>
  <c r="B809" i="44"/>
  <c r="B1184" i="44"/>
  <c r="B1092" i="44"/>
  <c r="B60" i="44"/>
  <c r="B410" i="44"/>
  <c r="B644" i="44"/>
  <c r="B1123" i="44"/>
  <c r="B350" i="44"/>
  <c r="B894" i="44"/>
  <c r="B109" i="44"/>
  <c r="B685" i="44"/>
  <c r="B946" i="44"/>
  <c r="B730" i="44"/>
  <c r="B190" i="44"/>
  <c r="B264" i="44"/>
  <c r="B435" i="44"/>
  <c r="B223" i="44"/>
  <c r="B849" i="44"/>
  <c r="B1054" i="44"/>
  <c r="O563" i="8"/>
  <c r="O562" i="8"/>
  <c r="O560" i="8"/>
  <c r="O559" i="8"/>
  <c r="B23" i="44" l="1"/>
  <c r="B146" i="44"/>
  <c r="B686" i="44"/>
  <c r="B1124" i="44"/>
  <c r="B1185" i="44"/>
  <c r="B645" i="44"/>
  <c r="B810" i="44"/>
  <c r="B191" i="44"/>
  <c r="B598" i="44"/>
  <c r="B1055" i="44"/>
  <c r="B731" i="44"/>
  <c r="B411" i="44"/>
  <c r="B776" i="44"/>
  <c r="B850" i="44"/>
  <c r="B947" i="44"/>
  <c r="B895" i="44"/>
  <c r="B61" i="44"/>
  <c r="B1000" i="44"/>
  <c r="B224" i="44"/>
  <c r="B351" i="44"/>
  <c r="B1093" i="44"/>
  <c r="B478" i="44"/>
  <c r="J502" i="2"/>
  <c r="K491" i="2" s="1"/>
  <c r="J504" i="2"/>
  <c r="K493" i="2" s="1"/>
  <c r="O603" i="8"/>
  <c r="O608" i="8"/>
  <c r="O609" i="8"/>
  <c r="O607" i="8"/>
  <c r="B5" i="28"/>
  <c r="B17" i="28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24" i="44" l="1"/>
  <c r="B147" i="44"/>
  <c r="B352" i="44"/>
  <c r="B948" i="44"/>
  <c r="B1056" i="44"/>
  <c r="B646" i="44"/>
  <c r="B851" i="44"/>
  <c r="B599" i="44"/>
  <c r="B225" i="44"/>
  <c r="B777" i="44"/>
  <c r="B1001" i="44"/>
  <c r="B1002" i="44" s="1"/>
  <c r="B412" i="44"/>
  <c r="B1186" i="44"/>
  <c r="B192" i="44"/>
  <c r="B1125" i="44"/>
  <c r="B62" i="44"/>
  <c r="B1094" i="44"/>
  <c r="B896" i="44"/>
  <c r="B732" i="44"/>
  <c r="B811" i="44"/>
  <c r="B687" i="44"/>
  <c r="J506" i="2"/>
  <c r="K495" i="2" s="1"/>
  <c r="G1214" i="8"/>
  <c r="H1214" i="8"/>
  <c r="F1213" i="15" s="1"/>
  <c r="H1213" i="44" s="1"/>
  <c r="I1214" i="8"/>
  <c r="F1213" i="16" s="1"/>
  <c r="J1213" i="44" s="1"/>
  <c r="F1215" i="8"/>
  <c r="G1215" i="8"/>
  <c r="H1215" i="8"/>
  <c r="F1214" i="15" s="1"/>
  <c r="H1214" i="44" s="1"/>
  <c r="I1215" i="8"/>
  <c r="F1214" i="16" s="1"/>
  <c r="J1214" i="44" s="1"/>
  <c r="B1057" i="44" l="1"/>
  <c r="B1058" i="44" s="1"/>
  <c r="B1059" i="44" s="1"/>
  <c r="B1060" i="44" s="1"/>
  <c r="B1061" i="44" s="1"/>
  <c r="B1062" i="44" s="1"/>
  <c r="B1063" i="44" s="1"/>
  <c r="B1064" i="44" s="1"/>
  <c r="B1065" i="44" s="1"/>
  <c r="B1066" i="44" s="1"/>
  <c r="B1067" i="44" s="1"/>
  <c r="B1068" i="44" s="1"/>
  <c r="B1069" i="44" s="1"/>
  <c r="B1070" i="44" s="1"/>
  <c r="B1003" i="44"/>
  <c r="B25" i="44"/>
  <c r="B148" i="44"/>
  <c r="B647" i="44"/>
  <c r="B193" i="44"/>
  <c r="B688" i="44"/>
  <c r="B852" i="44"/>
  <c r="B812" i="44"/>
  <c r="B1187" i="44"/>
  <c r="B733" i="44"/>
  <c r="B897" i="44"/>
  <c r="B1095" i="44"/>
  <c r="B63" i="44"/>
  <c r="B413" i="44"/>
  <c r="B949" i="44"/>
  <c r="B778" i="44"/>
  <c r="B1126" i="44"/>
  <c r="B600" i="44"/>
  <c r="B353" i="44"/>
  <c r="L1220" i="8"/>
  <c r="L1217" i="8"/>
  <c r="L1215" i="8"/>
  <c r="L1214" i="8"/>
  <c r="F1207" i="8"/>
  <c r="G1207" i="8"/>
  <c r="H1207" i="8"/>
  <c r="F1206" i="15" s="1"/>
  <c r="H1206" i="44" s="1"/>
  <c r="I1207" i="8"/>
  <c r="F1206" i="16" s="1"/>
  <c r="J1206" i="44" s="1"/>
  <c r="F1209" i="8"/>
  <c r="G1209" i="8"/>
  <c r="H1209" i="8"/>
  <c r="F1208" i="15" s="1"/>
  <c r="H1208" i="44" s="1"/>
  <c r="I1209" i="8"/>
  <c r="F1208" i="16" s="1"/>
  <c r="J1208" i="44" s="1"/>
  <c r="F1210" i="8"/>
  <c r="G1210" i="8"/>
  <c r="H1210" i="8"/>
  <c r="F1209" i="15" s="1"/>
  <c r="H1209" i="44" s="1"/>
  <c r="I1210" i="8"/>
  <c r="F1209" i="16" s="1"/>
  <c r="J1209" i="44" s="1"/>
  <c r="F1211" i="8"/>
  <c r="G1211" i="8"/>
  <c r="H1211" i="8"/>
  <c r="F1210" i="15" s="1"/>
  <c r="H1210" i="44" s="1"/>
  <c r="I1211" i="8"/>
  <c r="F1210" i="16" s="1"/>
  <c r="J1210" i="44" s="1"/>
  <c r="F1206" i="8"/>
  <c r="G1206" i="8"/>
  <c r="H1206" i="8"/>
  <c r="I1206" i="8"/>
  <c r="F1216" i="18" l="1"/>
  <c r="N1216" i="44"/>
  <c r="F1219" i="18"/>
  <c r="N1219" i="44"/>
  <c r="B1004" i="44"/>
  <c r="B26" i="44"/>
  <c r="B149" i="44"/>
  <c r="B354" i="44"/>
  <c r="B734" i="44"/>
  <c r="B601" i="44"/>
  <c r="B1188" i="44"/>
  <c r="B950" i="44"/>
  <c r="B853" i="44"/>
  <c r="B689" i="44"/>
  <c r="B813" i="44"/>
  <c r="B1127" i="44"/>
  <c r="B64" i="44"/>
  <c r="B194" i="44"/>
  <c r="B779" i="44"/>
  <c r="B1096" i="44"/>
  <c r="B648" i="44"/>
  <c r="B898" i="44"/>
  <c r="F1205" i="16"/>
  <c r="J1205" i="44" s="1"/>
  <c r="L1211" i="8"/>
  <c r="L1209" i="8"/>
  <c r="L1207" i="8"/>
  <c r="L1206" i="8"/>
  <c r="L1210" i="8"/>
  <c r="I494" i="8"/>
  <c r="H494" i="8"/>
  <c r="G494" i="8"/>
  <c r="F494" i="8"/>
  <c r="B1005" i="44" l="1"/>
  <c r="B27" i="44"/>
  <c r="B150" i="44"/>
  <c r="B1128" i="44"/>
  <c r="B814" i="44"/>
  <c r="B899" i="44"/>
  <c r="B195" i="44"/>
  <c r="B690" i="44"/>
  <c r="B602" i="44"/>
  <c r="B1097" i="44"/>
  <c r="B780" i="44"/>
  <c r="B735" i="44"/>
  <c r="B951" i="44"/>
  <c r="B649" i="44"/>
  <c r="B65" i="44"/>
  <c r="B854" i="44"/>
  <c r="B355" i="44"/>
  <c r="G499" i="8"/>
  <c r="H499" i="8"/>
  <c r="I499" i="8"/>
  <c r="F499" i="8"/>
  <c r="F495" i="16"/>
  <c r="J495" i="44" s="1"/>
  <c r="F494" i="16"/>
  <c r="J494" i="44" s="1"/>
  <c r="L495" i="8"/>
  <c r="L494" i="8"/>
  <c r="F494" i="13"/>
  <c r="F494" i="44" s="1"/>
  <c r="J494" i="8"/>
  <c r="B1006" i="44" l="1"/>
  <c r="B28" i="44"/>
  <c r="B151" i="44"/>
  <c r="B196" i="44"/>
  <c r="B736" i="44"/>
  <c r="B900" i="44"/>
  <c r="B781" i="44"/>
  <c r="B855" i="44"/>
  <c r="B1098" i="44"/>
  <c r="B66" i="44"/>
  <c r="B603" i="44"/>
  <c r="B815" i="44"/>
  <c r="B650" i="44"/>
  <c r="B952" i="44"/>
  <c r="B691" i="44"/>
  <c r="B1129" i="44"/>
  <c r="F499" i="16"/>
  <c r="J499" i="44" s="1"/>
  <c r="L499" i="8"/>
  <c r="O494" i="8"/>
  <c r="N494" i="8"/>
  <c r="L79" i="5"/>
  <c r="K79" i="5"/>
  <c r="J79" i="5"/>
  <c r="I79" i="5"/>
  <c r="H79" i="5"/>
  <c r="G79" i="5"/>
  <c r="F79" i="5"/>
  <c r="E79" i="5"/>
  <c r="B1007" i="44" l="1"/>
  <c r="B29" i="44"/>
  <c r="B152" i="44"/>
  <c r="B856" i="44"/>
  <c r="B953" i="44"/>
  <c r="B737" i="44"/>
  <c r="B604" i="44"/>
  <c r="B816" i="44"/>
  <c r="B1130" i="44"/>
  <c r="B692" i="44"/>
  <c r="B67" i="44"/>
  <c r="B782" i="44"/>
  <c r="B197" i="44"/>
  <c r="B359" i="44"/>
  <c r="B651" i="44"/>
  <c r="B1099" i="44"/>
  <c r="B901" i="44"/>
  <c r="T79" i="5"/>
  <c r="S134" i="14"/>
  <c r="S128" i="14"/>
  <c r="S123" i="14"/>
  <c r="S113" i="14"/>
  <c r="S105" i="14"/>
  <c r="S104" i="14"/>
  <c r="S102" i="14"/>
  <c r="S100" i="14"/>
  <c r="S98" i="14"/>
  <c r="S97" i="14"/>
  <c r="S96" i="14"/>
  <c r="S95" i="14"/>
  <c r="S93" i="14"/>
  <c r="S91" i="14"/>
  <c r="S90" i="14"/>
  <c r="S89" i="14"/>
  <c r="S88" i="14"/>
  <c r="S86" i="14"/>
  <c r="S84" i="14"/>
  <c r="S74" i="14"/>
  <c r="S73" i="14"/>
  <c r="S71" i="14"/>
  <c r="S69" i="14"/>
  <c r="S64" i="14"/>
  <c r="S63" i="14"/>
  <c r="S62" i="14"/>
  <c r="S57" i="14"/>
  <c r="S53" i="14"/>
  <c r="S49" i="14"/>
  <c r="S47" i="14"/>
  <c r="S43" i="14"/>
  <c r="S39" i="14"/>
  <c r="S37" i="14"/>
  <c r="S35" i="14"/>
  <c r="S31" i="14"/>
  <c r="S29" i="14"/>
  <c r="S27" i="14"/>
  <c r="X1229" i="13"/>
  <c r="X1227" i="13"/>
  <c r="X1225" i="13"/>
  <c r="X1223" i="13"/>
  <c r="X1221" i="13"/>
  <c r="X1204" i="13"/>
  <c r="X1203" i="13"/>
  <c r="X1202" i="13"/>
  <c r="X1200" i="13"/>
  <c r="X1198" i="13"/>
  <c r="X1197" i="13"/>
  <c r="X1196" i="13"/>
  <c r="X1195" i="13"/>
  <c r="X1194" i="13"/>
  <c r="X1193" i="13"/>
  <c r="X1192" i="13"/>
  <c r="X1191" i="13"/>
  <c r="X1189" i="13"/>
  <c r="X1187" i="13"/>
  <c r="X1185" i="13"/>
  <c r="X1183" i="13"/>
  <c r="X1181" i="13"/>
  <c r="X1178" i="13"/>
  <c r="X1177" i="13"/>
  <c r="X1176" i="13"/>
  <c r="X1174" i="13"/>
  <c r="X1172" i="13"/>
  <c r="X1171" i="13"/>
  <c r="X1170" i="13"/>
  <c r="X1169" i="13"/>
  <c r="X1168" i="13"/>
  <c r="X1167" i="13"/>
  <c r="X1166" i="13"/>
  <c r="X1165" i="13"/>
  <c r="X1163" i="13"/>
  <c r="X1161" i="13"/>
  <c r="X1155" i="13"/>
  <c r="X1154" i="13"/>
  <c r="X1147" i="13"/>
  <c r="X1146" i="13"/>
  <c r="X1144" i="13"/>
  <c r="X1132" i="13"/>
  <c r="X1131" i="13"/>
  <c r="X1120" i="13"/>
  <c r="X1119" i="13"/>
  <c r="X1117" i="13"/>
  <c r="X1116" i="13"/>
  <c r="X1115" i="13"/>
  <c r="X1113" i="13"/>
  <c r="X1111" i="13"/>
  <c r="X1110" i="13"/>
  <c r="X1109" i="13"/>
  <c r="X1108" i="13"/>
  <c r="X1107" i="13"/>
  <c r="X1106" i="13"/>
  <c r="X1104" i="13"/>
  <c r="X1102" i="13"/>
  <c r="X1097" i="13"/>
  <c r="X1096" i="13"/>
  <c r="X1093" i="13"/>
  <c r="X1092" i="13"/>
  <c r="X1087" i="13"/>
  <c r="X1086" i="13"/>
  <c r="X1085" i="13"/>
  <c r="X1084" i="13"/>
  <c r="X1082" i="13"/>
  <c r="X1080" i="13"/>
  <c r="X1079" i="13"/>
  <c r="X1078" i="13"/>
  <c r="X1077" i="13"/>
  <c r="X1076" i="13"/>
  <c r="X1075" i="13"/>
  <c r="X1074" i="13"/>
  <c r="X1073" i="13"/>
  <c r="X1071" i="13"/>
  <c r="X1069" i="13"/>
  <c r="X1066" i="13"/>
  <c r="X1064" i="13"/>
  <c r="X1048" i="13"/>
  <c r="X1047" i="13"/>
  <c r="X1046" i="13"/>
  <c r="X1044" i="13"/>
  <c r="X1042" i="13"/>
  <c r="X1041" i="13"/>
  <c r="X1040" i="13"/>
  <c r="X1039" i="13"/>
  <c r="X1038" i="13"/>
  <c r="X1037" i="13"/>
  <c r="X1036" i="13"/>
  <c r="X1035" i="13"/>
  <c r="X1033" i="13"/>
  <c r="X1015" i="13"/>
  <c r="X1014" i="13"/>
  <c r="X1000" i="13"/>
  <c r="X999" i="13"/>
  <c r="X994" i="13"/>
  <c r="X993" i="13"/>
  <c r="X992" i="13"/>
  <c r="X991" i="13"/>
  <c r="X989" i="13"/>
  <c r="X987" i="13"/>
  <c r="X986" i="13"/>
  <c r="X985" i="13"/>
  <c r="X984" i="13"/>
  <c r="X983" i="13"/>
  <c r="X982" i="13"/>
  <c r="X981" i="13"/>
  <c r="X979" i="13"/>
  <c r="X977" i="13"/>
  <c r="X971" i="13"/>
  <c r="X969" i="13"/>
  <c r="X967" i="13"/>
  <c r="X966" i="13"/>
  <c r="X965" i="13"/>
  <c r="X964" i="13"/>
  <c r="X963" i="13"/>
  <c r="X962" i="13"/>
  <c r="X961" i="13"/>
  <c r="X960" i="13"/>
  <c r="X958" i="13"/>
  <c r="X956" i="13"/>
  <c r="X954" i="13"/>
  <c r="X939" i="13"/>
  <c r="X938" i="13"/>
  <c r="X936" i="13"/>
  <c r="X934" i="13"/>
  <c r="X933" i="13"/>
  <c r="X932" i="13"/>
  <c r="X931" i="13"/>
  <c r="X930" i="13"/>
  <c r="X929" i="13"/>
  <c r="X928" i="13"/>
  <c r="X927" i="13"/>
  <c r="X924" i="13"/>
  <c r="X922" i="13"/>
  <c r="X920" i="13"/>
  <c r="X916" i="13"/>
  <c r="X911" i="13"/>
  <c r="X910" i="13"/>
  <c r="X908" i="13"/>
  <c r="X904" i="13"/>
  <c r="X899" i="13"/>
  <c r="X898" i="13"/>
  <c r="X896" i="13"/>
  <c r="X891" i="13"/>
  <c r="X887" i="13"/>
  <c r="X886" i="13"/>
  <c r="X884" i="13"/>
  <c r="X882" i="13"/>
  <c r="X881" i="13"/>
  <c r="X880" i="13"/>
  <c r="X879" i="13"/>
  <c r="X878" i="13"/>
  <c r="X877" i="13"/>
  <c r="X875" i="13"/>
  <c r="X873" i="13"/>
  <c r="X871" i="13"/>
  <c r="X869" i="13"/>
  <c r="X859" i="13"/>
  <c r="X858" i="13"/>
  <c r="X856" i="13"/>
  <c r="X854" i="13"/>
  <c r="X843" i="13"/>
  <c r="X842" i="13"/>
  <c r="X841" i="13"/>
  <c r="X839" i="13"/>
  <c r="X837" i="13"/>
  <c r="X836" i="13"/>
  <c r="X835" i="13"/>
  <c r="X834" i="13"/>
  <c r="X833" i="13"/>
  <c r="X832" i="13"/>
  <c r="X831" i="13"/>
  <c r="X830" i="13"/>
  <c r="X828" i="13"/>
  <c r="X826" i="13"/>
  <c r="X824" i="13"/>
  <c r="X816" i="13"/>
  <c r="X815" i="13"/>
  <c r="X813" i="13"/>
  <c r="X803" i="13"/>
  <c r="X802" i="13"/>
  <c r="X801" i="13"/>
  <c r="X788" i="13"/>
  <c r="X786" i="13"/>
  <c r="X782" i="13"/>
  <c r="X768" i="13"/>
  <c r="X767" i="13"/>
  <c r="X761" i="13"/>
  <c r="X760" i="13"/>
  <c r="X759" i="13"/>
  <c r="X758" i="13"/>
  <c r="X757" i="13"/>
  <c r="X752" i="13"/>
  <c r="X750" i="13"/>
  <c r="X743" i="13"/>
  <c r="X742" i="13"/>
  <c r="X740" i="13"/>
  <c r="X733" i="13"/>
  <c r="X732" i="13"/>
  <c r="X730" i="13"/>
  <c r="X723" i="13"/>
  <c r="X722" i="13"/>
  <c r="X720" i="13"/>
  <c r="X718" i="13"/>
  <c r="X717" i="13"/>
  <c r="X716" i="13"/>
  <c r="X715" i="13"/>
  <c r="X714" i="13"/>
  <c r="X713" i="13"/>
  <c r="X712" i="13"/>
  <c r="X710" i="13"/>
  <c r="X708" i="13"/>
  <c r="X706" i="13"/>
  <c r="X695" i="13"/>
  <c r="X694" i="13"/>
  <c r="X693" i="13"/>
  <c r="X691" i="13"/>
  <c r="X679" i="13"/>
  <c r="X678" i="13"/>
  <c r="X677" i="13"/>
  <c r="X675" i="13"/>
  <c r="X673" i="13"/>
  <c r="X672" i="13"/>
  <c r="X671" i="13"/>
  <c r="X670" i="13"/>
  <c r="X669" i="13"/>
  <c r="X668" i="13"/>
  <c r="X667" i="13"/>
  <c r="X666" i="13"/>
  <c r="X664" i="13"/>
  <c r="X662" i="13"/>
  <c r="X660" i="13"/>
  <c r="X652" i="13"/>
  <c r="X651" i="13"/>
  <c r="X649" i="13"/>
  <c r="X639" i="13"/>
  <c r="X638" i="13"/>
  <c r="X637" i="13"/>
  <c r="X636" i="13"/>
  <c r="X634" i="13"/>
  <c r="X632" i="13"/>
  <c r="X631" i="13"/>
  <c r="X630" i="13"/>
  <c r="X629" i="13"/>
  <c r="X628" i="13"/>
  <c r="X627" i="13"/>
  <c r="X625" i="13"/>
  <c r="X623" i="13"/>
  <c r="X621" i="13"/>
  <c r="X619" i="13"/>
  <c r="X617" i="13"/>
  <c r="X615" i="13"/>
  <c r="X613" i="13"/>
  <c r="X611" i="13"/>
  <c r="X599" i="13"/>
  <c r="X598" i="13"/>
  <c r="X590" i="13"/>
  <c r="X589" i="13"/>
  <c r="X587" i="13"/>
  <c r="X585" i="13"/>
  <c r="X584" i="13"/>
  <c r="X583" i="13"/>
  <c r="X582" i="13"/>
  <c r="X581" i="13"/>
  <c r="X580" i="13"/>
  <c r="X579" i="13"/>
  <c r="X578" i="13"/>
  <c r="X576" i="13"/>
  <c r="X558" i="13"/>
  <c r="X557" i="13"/>
  <c r="X518" i="13"/>
  <c r="X517" i="13"/>
  <c r="X516" i="13"/>
  <c r="X515" i="13"/>
  <c r="X513" i="13"/>
  <c r="X511" i="13"/>
  <c r="X510" i="13"/>
  <c r="X509" i="13"/>
  <c r="X508" i="13"/>
  <c r="X507" i="13"/>
  <c r="X506" i="13"/>
  <c r="X505" i="13"/>
  <c r="X504" i="13"/>
  <c r="X502" i="13"/>
  <c r="X500" i="13"/>
  <c r="X493" i="13"/>
  <c r="X492" i="13"/>
  <c r="X490" i="13"/>
  <c r="X488" i="13"/>
  <c r="X487" i="13"/>
  <c r="X486" i="13"/>
  <c r="X485" i="13"/>
  <c r="X484" i="13"/>
  <c r="X483" i="13"/>
  <c r="X482" i="13"/>
  <c r="X481" i="13"/>
  <c r="X479" i="13"/>
  <c r="X477" i="13"/>
  <c r="X475" i="13"/>
  <c r="X472" i="13"/>
  <c r="X471" i="13"/>
  <c r="X470" i="13"/>
  <c r="X469" i="13"/>
  <c r="X467" i="13"/>
  <c r="X465" i="13"/>
  <c r="X464" i="13"/>
  <c r="X463" i="13"/>
  <c r="X462" i="13"/>
  <c r="X461" i="13"/>
  <c r="X460" i="13"/>
  <c r="X459" i="13"/>
  <c r="X458" i="13"/>
  <c r="X456" i="13"/>
  <c r="X454" i="13"/>
  <c r="X451" i="13"/>
  <c r="X450" i="13"/>
  <c r="X449" i="13"/>
  <c r="X447" i="13"/>
  <c r="X445" i="13"/>
  <c r="X444" i="13"/>
  <c r="X443" i="13"/>
  <c r="X442" i="13"/>
  <c r="X441" i="13"/>
  <c r="X440" i="13"/>
  <c r="X439" i="13"/>
  <c r="X438" i="13"/>
  <c r="X436" i="13"/>
  <c r="X434" i="13"/>
  <c r="X430" i="13"/>
  <c r="X429" i="13"/>
  <c r="X428" i="13"/>
  <c r="X427" i="13"/>
  <c r="X425" i="13"/>
  <c r="X423" i="13"/>
  <c r="X422" i="13"/>
  <c r="X421" i="13"/>
  <c r="X420" i="13"/>
  <c r="X419" i="13"/>
  <c r="X418" i="13"/>
  <c r="X417" i="13"/>
  <c r="X416" i="13"/>
  <c r="X414" i="13"/>
  <c r="X412" i="13"/>
  <c r="X410" i="13"/>
  <c r="X408" i="13"/>
  <c r="X404" i="13"/>
  <c r="X403" i="13"/>
  <c r="X402" i="13"/>
  <c r="X400" i="13"/>
  <c r="X389" i="13"/>
  <c r="X387" i="13"/>
  <c r="X384" i="13"/>
  <c r="X383" i="13"/>
  <c r="X382" i="13"/>
  <c r="X380" i="13"/>
  <c r="X378" i="13"/>
  <c r="X369" i="13"/>
  <c r="X367" i="13"/>
  <c r="X365" i="13"/>
  <c r="X362" i="13"/>
  <c r="X355" i="13"/>
  <c r="X344" i="13"/>
  <c r="X343" i="13"/>
  <c r="X342" i="13"/>
  <c r="X341" i="13"/>
  <c r="X339" i="13"/>
  <c r="X337" i="13"/>
  <c r="X336" i="13"/>
  <c r="X335" i="13"/>
  <c r="X334" i="13"/>
  <c r="X333" i="13"/>
  <c r="X332" i="13"/>
  <c r="X331" i="13"/>
  <c r="X330" i="13"/>
  <c r="X328" i="13"/>
  <c r="X322" i="13"/>
  <c r="X319" i="13"/>
  <c r="X313" i="13"/>
  <c r="X289" i="13"/>
  <c r="X286" i="13"/>
  <c r="X284" i="13"/>
  <c r="X283" i="13"/>
  <c r="X282" i="13"/>
  <c r="X281" i="13"/>
  <c r="X280" i="13"/>
  <c r="X279" i="13"/>
  <c r="X262" i="13"/>
  <c r="X257" i="13"/>
  <c r="X256" i="13"/>
  <c r="X254" i="13"/>
  <c r="X252" i="13"/>
  <c r="X251" i="13"/>
  <c r="X250" i="13"/>
  <c r="X249" i="13"/>
  <c r="X248" i="13"/>
  <c r="X247" i="13"/>
  <c r="X245" i="13"/>
  <c r="X243" i="13"/>
  <c r="X240" i="13"/>
  <c r="X239" i="13"/>
  <c r="X237" i="13"/>
  <c r="X235" i="13"/>
  <c r="X234" i="13"/>
  <c r="X233" i="13"/>
  <c r="X232" i="13"/>
  <c r="X231" i="13"/>
  <c r="X230" i="13"/>
  <c r="X229" i="13"/>
  <c r="X228" i="13"/>
  <c r="X226" i="13"/>
  <c r="X224" i="13"/>
  <c r="X222" i="13"/>
  <c r="X220" i="13"/>
  <c r="X218" i="13"/>
  <c r="X213" i="13"/>
  <c r="X211" i="13"/>
  <c r="X209" i="13"/>
  <c r="X208" i="13"/>
  <c r="X207" i="13"/>
  <c r="X206" i="13"/>
  <c r="X205" i="13"/>
  <c r="X204" i="13"/>
  <c r="X203" i="13"/>
  <c r="X202" i="13"/>
  <c r="X198" i="13"/>
  <c r="X194" i="13"/>
  <c r="X183" i="13"/>
  <c r="X182" i="13"/>
  <c r="X180" i="13"/>
  <c r="X178" i="13"/>
  <c r="X177" i="13"/>
  <c r="X176" i="13"/>
  <c r="X175" i="13"/>
  <c r="X174" i="13"/>
  <c r="X173" i="13"/>
  <c r="X172" i="13"/>
  <c r="X171" i="13"/>
  <c r="X169" i="13"/>
  <c r="X166" i="13"/>
  <c r="X160" i="13"/>
  <c r="X135" i="13"/>
  <c r="X134" i="13"/>
  <c r="X132" i="13"/>
  <c r="X130" i="13"/>
  <c r="X129" i="13"/>
  <c r="X128" i="13"/>
  <c r="X127" i="13"/>
  <c r="X126" i="13"/>
  <c r="X125" i="13"/>
  <c r="X124" i="13"/>
  <c r="X123" i="13"/>
  <c r="X107" i="13"/>
  <c r="X102" i="13"/>
  <c r="X101" i="13"/>
  <c r="X99" i="13"/>
  <c r="X97" i="13"/>
  <c r="X96" i="13"/>
  <c r="X95" i="13"/>
  <c r="X94" i="13"/>
  <c r="X93" i="13"/>
  <c r="X92" i="13"/>
  <c r="X90" i="13"/>
  <c r="X88" i="13"/>
  <c r="X86" i="13"/>
  <c r="W1234" i="15"/>
  <c r="W1229" i="15"/>
  <c r="W1227" i="15"/>
  <c r="W1225" i="15"/>
  <c r="W1223" i="15"/>
  <c r="W1221" i="15"/>
  <c r="W1204" i="15"/>
  <c r="W1203" i="15"/>
  <c r="W1202" i="15"/>
  <c r="W1189" i="15"/>
  <c r="W1187" i="15"/>
  <c r="W1185" i="15"/>
  <c r="W1183" i="15"/>
  <c r="W1181" i="15"/>
  <c r="W1179" i="15"/>
  <c r="W1178" i="15"/>
  <c r="W1177" i="15"/>
  <c r="W1176" i="15"/>
  <c r="W1163" i="15"/>
  <c r="W1161" i="15"/>
  <c r="W1155" i="15"/>
  <c r="W1154" i="15"/>
  <c r="W1147" i="15"/>
  <c r="W1146" i="15"/>
  <c r="W1144" i="15"/>
  <c r="W1132" i="15"/>
  <c r="W1131" i="15"/>
  <c r="W1120" i="15"/>
  <c r="W1119" i="15"/>
  <c r="W1117" i="15"/>
  <c r="W1116" i="15"/>
  <c r="W1115" i="15"/>
  <c r="W1104" i="15"/>
  <c r="W1102" i="15"/>
  <c r="W1097" i="15"/>
  <c r="W1096" i="15"/>
  <c r="W1093" i="15"/>
  <c r="W1092" i="15"/>
  <c r="W1087" i="15"/>
  <c r="W1086" i="15"/>
  <c r="W1085" i="15"/>
  <c r="W1084" i="15"/>
  <c r="W1071" i="15"/>
  <c r="W1069" i="15"/>
  <c r="W1066" i="15"/>
  <c r="W1064" i="15"/>
  <c r="W1048" i="15"/>
  <c r="W1047" i="15"/>
  <c r="W1046" i="15"/>
  <c r="W1033" i="15"/>
  <c r="W1015" i="15"/>
  <c r="W1014" i="15"/>
  <c r="W1000" i="15"/>
  <c r="W999" i="15"/>
  <c r="W994" i="15"/>
  <c r="W993" i="15"/>
  <c r="W992" i="15"/>
  <c r="W991" i="15"/>
  <c r="W979" i="15"/>
  <c r="W977" i="15"/>
  <c r="W971" i="15"/>
  <c r="W954" i="15"/>
  <c r="W939" i="15"/>
  <c r="W938" i="15"/>
  <c r="W924" i="15"/>
  <c r="W922" i="15"/>
  <c r="W920" i="15"/>
  <c r="W916" i="15"/>
  <c r="W911" i="15"/>
  <c r="W910" i="15"/>
  <c r="W908" i="15"/>
  <c r="W904" i="15"/>
  <c r="W899" i="15"/>
  <c r="W898" i="15"/>
  <c r="W896" i="15"/>
  <c r="W891" i="15"/>
  <c r="W887" i="15"/>
  <c r="W875" i="15"/>
  <c r="W873" i="15"/>
  <c r="W871" i="15"/>
  <c r="W869" i="15"/>
  <c r="W859" i="15"/>
  <c r="W858" i="15"/>
  <c r="W856" i="15"/>
  <c r="W854" i="15"/>
  <c r="W843" i="15"/>
  <c r="W842" i="15"/>
  <c r="W841" i="15"/>
  <c r="W828" i="15"/>
  <c r="W826" i="15"/>
  <c r="W824" i="15"/>
  <c r="W816" i="15"/>
  <c r="W815" i="15"/>
  <c r="W813" i="15"/>
  <c r="W803" i="15"/>
  <c r="W802" i="15"/>
  <c r="W797" i="15"/>
  <c r="W752" i="15"/>
  <c r="W750" i="15"/>
  <c r="W743" i="15"/>
  <c r="W742" i="15"/>
  <c r="W740" i="15"/>
  <c r="W733" i="15"/>
  <c r="W732" i="15"/>
  <c r="W730" i="15"/>
  <c r="W166" i="15"/>
  <c r="W160" i="15"/>
  <c r="W135" i="15"/>
  <c r="W134" i="15"/>
  <c r="W132" i="15"/>
  <c r="W130" i="15"/>
  <c r="W129" i="15"/>
  <c r="W128" i="15"/>
  <c r="W127" i="15"/>
  <c r="W126" i="15"/>
  <c r="W125" i="15"/>
  <c r="W124" i="15"/>
  <c r="W123" i="15"/>
  <c r="W107" i="15"/>
  <c r="W102" i="15"/>
  <c r="W101" i="15"/>
  <c r="W99" i="15"/>
  <c r="W97" i="15"/>
  <c r="W96" i="15"/>
  <c r="W95" i="15"/>
  <c r="W94" i="15"/>
  <c r="W93" i="15"/>
  <c r="W92" i="15"/>
  <c r="W90" i="15"/>
  <c r="W89" i="15"/>
  <c r="W88" i="15"/>
  <c r="W87" i="15"/>
  <c r="W86" i="15"/>
  <c r="W664" i="15"/>
  <c r="W662" i="15"/>
  <c r="W660" i="15"/>
  <c r="W652" i="15"/>
  <c r="W651" i="15"/>
  <c r="W649" i="15"/>
  <c r="W639" i="15"/>
  <c r="W638" i="15"/>
  <c r="W637" i="15"/>
  <c r="W636" i="15"/>
  <c r="W623" i="15"/>
  <c r="W621" i="15"/>
  <c r="W619" i="15"/>
  <c r="W617" i="15"/>
  <c r="W615" i="15"/>
  <c r="W613" i="15"/>
  <c r="W611" i="15"/>
  <c r="W599" i="15"/>
  <c r="W598" i="15"/>
  <c r="W590" i="15"/>
  <c r="W589" i="15"/>
  <c r="W558" i="15"/>
  <c r="W557" i="15"/>
  <c r="W518" i="15"/>
  <c r="W517" i="15"/>
  <c r="W516" i="15"/>
  <c r="W515" i="15"/>
  <c r="W502" i="15"/>
  <c r="W500" i="15"/>
  <c r="W493" i="15"/>
  <c r="W492" i="15"/>
  <c r="W479" i="15"/>
  <c r="W477" i="15"/>
  <c r="W475" i="15"/>
  <c r="W472" i="15"/>
  <c r="W471" i="15"/>
  <c r="W470" i="15"/>
  <c r="W469" i="15"/>
  <c r="W456" i="15"/>
  <c r="W454" i="15"/>
  <c r="W451" i="15"/>
  <c r="W450" i="15"/>
  <c r="W449" i="15"/>
  <c r="W436" i="15"/>
  <c r="W434" i="15"/>
  <c r="W430" i="15"/>
  <c r="W429" i="15"/>
  <c r="W428" i="15"/>
  <c r="W427" i="15"/>
  <c r="W414" i="15"/>
  <c r="W412" i="15"/>
  <c r="W410" i="15"/>
  <c r="W408" i="15"/>
  <c r="W404" i="15"/>
  <c r="W403" i="15"/>
  <c r="W402" i="15"/>
  <c r="W387" i="15"/>
  <c r="W384" i="15"/>
  <c r="W383" i="15"/>
  <c r="W377" i="15"/>
  <c r="W376" i="15"/>
  <c r="W375" i="15"/>
  <c r="W374" i="15"/>
  <c r="W373" i="15"/>
  <c r="W372" i="15"/>
  <c r="W371" i="15"/>
  <c r="W369" i="15"/>
  <c r="W367" i="15"/>
  <c r="W365" i="15"/>
  <c r="W362" i="15"/>
  <c r="W355" i="15"/>
  <c r="W344" i="15"/>
  <c r="W343" i="15"/>
  <c r="W342" i="15"/>
  <c r="W341" i="15"/>
  <c r="W339" i="15"/>
  <c r="W337" i="15"/>
  <c r="W336" i="15"/>
  <c r="W335" i="15"/>
  <c r="W334" i="15"/>
  <c r="W333" i="15"/>
  <c r="W332" i="15"/>
  <c r="W331" i="15"/>
  <c r="W330" i="15"/>
  <c r="W328" i="15"/>
  <c r="W322" i="15"/>
  <c r="W319" i="15"/>
  <c r="W313" i="15"/>
  <c r="W289" i="15"/>
  <c r="W288" i="15"/>
  <c r="W286" i="15"/>
  <c r="W284" i="15"/>
  <c r="W283" i="15"/>
  <c r="W282" i="15"/>
  <c r="W281" i="15"/>
  <c r="W280" i="15"/>
  <c r="W279" i="15"/>
  <c r="W262" i="15"/>
  <c r="W257" i="15"/>
  <c r="W224" i="15"/>
  <c r="W222" i="15"/>
  <c r="W220" i="15"/>
  <c r="W218" i="15"/>
  <c r="W213" i="15"/>
  <c r="W198" i="15"/>
  <c r="W194" i="15"/>
  <c r="X1229" i="18"/>
  <c r="X1227" i="18"/>
  <c r="X1225" i="18"/>
  <c r="X1223" i="18"/>
  <c r="X1221" i="18"/>
  <c r="X1204" i="18"/>
  <c r="X1203" i="18"/>
  <c r="X1202" i="18"/>
  <c r="X1198" i="18"/>
  <c r="X1197" i="18"/>
  <c r="X1196" i="18"/>
  <c r="X1195" i="18"/>
  <c r="X1194" i="18"/>
  <c r="X1193" i="18"/>
  <c r="X1192" i="18"/>
  <c r="X1191" i="18"/>
  <c r="X1189" i="18"/>
  <c r="X1187" i="18"/>
  <c r="X1185" i="18"/>
  <c r="X1183" i="18"/>
  <c r="X1181" i="18"/>
  <c r="X1179" i="18"/>
  <c r="X1178" i="18"/>
  <c r="X1177" i="18"/>
  <c r="X1176" i="18"/>
  <c r="X1172" i="18"/>
  <c r="X1171" i="18"/>
  <c r="X1170" i="18"/>
  <c r="X1169" i="18"/>
  <c r="X1168" i="18"/>
  <c r="X1167" i="18"/>
  <c r="X1166" i="18"/>
  <c r="X1165" i="18"/>
  <c r="X1163" i="18"/>
  <c r="X1161" i="18"/>
  <c r="X1155" i="18"/>
  <c r="X1154" i="18"/>
  <c r="X1147" i="18"/>
  <c r="X1146" i="18"/>
  <c r="X1144" i="18"/>
  <c r="X1132" i="18"/>
  <c r="X1131" i="18"/>
  <c r="X1120" i="18"/>
  <c r="X1117" i="18"/>
  <c r="X1116" i="18"/>
  <c r="X1115" i="18"/>
  <c r="X1111" i="18"/>
  <c r="X1110" i="18"/>
  <c r="X1109" i="18"/>
  <c r="X1108" i="18"/>
  <c r="X1107" i="18"/>
  <c r="X1106" i="18"/>
  <c r="X1104" i="18"/>
  <c r="X1102" i="18"/>
  <c r="X1097" i="18"/>
  <c r="X1096" i="18"/>
  <c r="X1093" i="18"/>
  <c r="X1092" i="18"/>
  <c r="X1087" i="18"/>
  <c r="X1086" i="18"/>
  <c r="X1085" i="18"/>
  <c r="X1084" i="18"/>
  <c r="X1080" i="18"/>
  <c r="X1079" i="18"/>
  <c r="X1078" i="18"/>
  <c r="X1077" i="18"/>
  <c r="X1076" i="18"/>
  <c r="X1075" i="18"/>
  <c r="X1074" i="18"/>
  <c r="X1073" i="18"/>
  <c r="X1071" i="18"/>
  <c r="X1069" i="18"/>
  <c r="X1066" i="18"/>
  <c r="X1064" i="18"/>
  <c r="X1048" i="18"/>
  <c r="X1047" i="18"/>
  <c r="X1046" i="18"/>
  <c r="X1042" i="18"/>
  <c r="X1041" i="18"/>
  <c r="X1040" i="18"/>
  <c r="X1039" i="18"/>
  <c r="X1038" i="18"/>
  <c r="X1037" i="18"/>
  <c r="X1036" i="18"/>
  <c r="X1035" i="18"/>
  <c r="X1033" i="18"/>
  <c r="X1015" i="18"/>
  <c r="X1014" i="18"/>
  <c r="X1000" i="18"/>
  <c r="X999" i="18"/>
  <c r="X994" i="18"/>
  <c r="X993" i="18"/>
  <c r="X992" i="18"/>
  <c r="X991" i="18"/>
  <c r="X987" i="18"/>
  <c r="X986" i="18"/>
  <c r="X985" i="18"/>
  <c r="X984" i="18"/>
  <c r="X983" i="18"/>
  <c r="X982" i="18"/>
  <c r="X981" i="18"/>
  <c r="X979" i="18"/>
  <c r="X977" i="18"/>
  <c r="X971" i="18"/>
  <c r="X967" i="18"/>
  <c r="X966" i="18"/>
  <c r="X965" i="18"/>
  <c r="X964" i="18"/>
  <c r="X963" i="18"/>
  <c r="X962" i="18"/>
  <c r="X961" i="18"/>
  <c r="X960" i="18"/>
  <c r="X958" i="18"/>
  <c r="X956" i="18"/>
  <c r="X954" i="18"/>
  <c r="X939" i="18"/>
  <c r="X938" i="18"/>
  <c r="X934" i="18"/>
  <c r="X933" i="18"/>
  <c r="X932" i="18"/>
  <c r="X931" i="18"/>
  <c r="X930" i="18"/>
  <c r="X929" i="18"/>
  <c r="X928" i="18"/>
  <c r="X927" i="18"/>
  <c r="X924" i="18"/>
  <c r="X922" i="18"/>
  <c r="X920" i="18"/>
  <c r="X916" i="18"/>
  <c r="X911" i="18"/>
  <c r="X910" i="18"/>
  <c r="X908" i="18"/>
  <c r="X904" i="18"/>
  <c r="X899" i="18"/>
  <c r="X898" i="18"/>
  <c r="X896" i="18"/>
  <c r="X891" i="18"/>
  <c r="X887" i="18"/>
  <c r="X886" i="18"/>
  <c r="X882" i="18"/>
  <c r="X881" i="18"/>
  <c r="X880" i="18"/>
  <c r="X879" i="18"/>
  <c r="X878" i="18"/>
  <c r="X877" i="18"/>
  <c r="X875" i="18"/>
  <c r="X873" i="18"/>
  <c r="X871" i="18"/>
  <c r="X869" i="18"/>
  <c r="X859" i="18"/>
  <c r="X858" i="18"/>
  <c r="X856" i="18"/>
  <c r="X854" i="18"/>
  <c r="X843" i="18"/>
  <c r="X842" i="18"/>
  <c r="X841" i="18"/>
  <c r="X837" i="18"/>
  <c r="X836" i="18"/>
  <c r="X835" i="18"/>
  <c r="X834" i="18"/>
  <c r="X833" i="18"/>
  <c r="X832" i="18"/>
  <c r="X831" i="18"/>
  <c r="X830" i="18"/>
  <c r="X828" i="18"/>
  <c r="X826" i="18"/>
  <c r="X824" i="18"/>
  <c r="X816" i="18"/>
  <c r="X815" i="18"/>
  <c r="X813" i="18"/>
  <c r="X803" i="18"/>
  <c r="X802" i="18"/>
  <c r="X801" i="18"/>
  <c r="X797" i="18"/>
  <c r="X796" i="18"/>
  <c r="X795" i="18"/>
  <c r="X794" i="18"/>
  <c r="X792" i="18"/>
  <c r="X791" i="18"/>
  <c r="X790" i="18"/>
  <c r="X788" i="18"/>
  <c r="X786" i="18"/>
  <c r="X782" i="18"/>
  <c r="X768" i="18"/>
  <c r="X767" i="18"/>
  <c r="X763" i="18"/>
  <c r="X762" i="18"/>
  <c r="X761" i="18"/>
  <c r="X760" i="18"/>
  <c r="X759" i="18"/>
  <c r="X758" i="18"/>
  <c r="X757" i="18"/>
  <c r="X756" i="18"/>
  <c r="X752" i="18"/>
  <c r="X750" i="18"/>
  <c r="X743" i="18"/>
  <c r="X742" i="18"/>
  <c r="X740" i="18"/>
  <c r="X733" i="18"/>
  <c r="X732" i="18"/>
  <c r="X730" i="18"/>
  <c r="X723" i="18"/>
  <c r="X722" i="18"/>
  <c r="X718" i="18"/>
  <c r="X717" i="18"/>
  <c r="X716" i="18"/>
  <c r="X715" i="18"/>
  <c r="X714" i="18"/>
  <c r="X713" i="18"/>
  <c r="X712" i="18"/>
  <c r="X710" i="18"/>
  <c r="X708" i="18"/>
  <c r="X706" i="18"/>
  <c r="X695" i="18"/>
  <c r="X694" i="18"/>
  <c r="X693" i="18"/>
  <c r="X691" i="18"/>
  <c r="X679" i="18"/>
  <c r="X678" i="18"/>
  <c r="X677" i="18"/>
  <c r="X673" i="18"/>
  <c r="X672" i="18"/>
  <c r="X671" i="18"/>
  <c r="X670" i="18"/>
  <c r="X669" i="18"/>
  <c r="X668" i="18"/>
  <c r="X667" i="18"/>
  <c r="X666" i="18"/>
  <c r="X664" i="18"/>
  <c r="X662" i="18"/>
  <c r="X660" i="18"/>
  <c r="X652" i="18"/>
  <c r="X651" i="18"/>
  <c r="X649" i="18"/>
  <c r="X639" i="18"/>
  <c r="X638" i="18"/>
  <c r="X637" i="18"/>
  <c r="X636" i="18"/>
  <c r="X632" i="18"/>
  <c r="X631" i="18"/>
  <c r="X630" i="18"/>
  <c r="X629" i="18"/>
  <c r="X628" i="18"/>
  <c r="X627" i="18"/>
  <c r="X625" i="18"/>
  <c r="X623" i="18"/>
  <c r="X621" i="18"/>
  <c r="X619" i="18"/>
  <c r="X617" i="18"/>
  <c r="X615" i="18"/>
  <c r="X613" i="18"/>
  <c r="X611" i="18"/>
  <c r="X599" i="18"/>
  <c r="X598" i="18"/>
  <c r="X590" i="18"/>
  <c r="X589" i="18"/>
  <c r="X585" i="18"/>
  <c r="X584" i="18"/>
  <c r="X583" i="18"/>
  <c r="X582" i="18"/>
  <c r="X581" i="18"/>
  <c r="X580" i="18"/>
  <c r="X579" i="18"/>
  <c r="X578" i="18"/>
  <c r="X576" i="18"/>
  <c r="X574" i="18"/>
  <c r="X558" i="18"/>
  <c r="X557" i="18"/>
  <c r="X518" i="18"/>
  <c r="X517" i="18"/>
  <c r="X516" i="18"/>
  <c r="X515" i="18"/>
  <c r="X511" i="18"/>
  <c r="X510" i="18"/>
  <c r="X509" i="18"/>
  <c r="X508" i="18"/>
  <c r="X507" i="18"/>
  <c r="X506" i="18"/>
  <c r="X505" i="18"/>
  <c r="X504" i="18"/>
  <c r="X502" i="18"/>
  <c r="X500" i="18"/>
  <c r="X493" i="18"/>
  <c r="X492" i="18"/>
  <c r="X488" i="18"/>
  <c r="X487" i="18"/>
  <c r="X486" i="18"/>
  <c r="X485" i="18"/>
  <c r="X484" i="18"/>
  <c r="X483" i="18"/>
  <c r="X482" i="18"/>
  <c r="X481" i="18"/>
  <c r="X479" i="18"/>
  <c r="X477" i="18"/>
  <c r="X475" i="18"/>
  <c r="X472" i="18"/>
  <c r="X471" i="18"/>
  <c r="X470" i="18"/>
  <c r="X469" i="18"/>
  <c r="X465" i="18"/>
  <c r="X464" i="18"/>
  <c r="X463" i="18"/>
  <c r="X462" i="18"/>
  <c r="X461" i="18"/>
  <c r="X460" i="18"/>
  <c r="X459" i="18"/>
  <c r="X458" i="18"/>
  <c r="X456" i="18"/>
  <c r="X454" i="18"/>
  <c r="X451" i="18"/>
  <c r="X450" i="18"/>
  <c r="X449" i="18"/>
  <c r="X445" i="18"/>
  <c r="X444" i="18"/>
  <c r="X443" i="18"/>
  <c r="X442" i="18"/>
  <c r="X441" i="18"/>
  <c r="X440" i="18"/>
  <c r="X439" i="18"/>
  <c r="X438" i="18"/>
  <c r="X436" i="18"/>
  <c r="X434" i="18"/>
  <c r="X430" i="18"/>
  <c r="X429" i="18"/>
  <c r="X428" i="18"/>
  <c r="X427" i="18"/>
  <c r="X423" i="18"/>
  <c r="X422" i="18"/>
  <c r="X421" i="18"/>
  <c r="X420" i="18"/>
  <c r="X419" i="18"/>
  <c r="X418" i="18"/>
  <c r="X417" i="18"/>
  <c r="X416" i="18"/>
  <c r="X414" i="18"/>
  <c r="X412" i="18"/>
  <c r="X410" i="18"/>
  <c r="X408" i="18"/>
  <c r="X404" i="18"/>
  <c r="X403" i="18"/>
  <c r="X402" i="18"/>
  <c r="X398" i="18"/>
  <c r="X397" i="18"/>
  <c r="X396" i="18"/>
  <c r="X395" i="18"/>
  <c r="X394" i="18"/>
  <c r="X393" i="18"/>
  <c r="X392" i="18"/>
  <c r="X391" i="18"/>
  <c r="X389" i="18"/>
  <c r="X387" i="18"/>
  <c r="X384" i="18"/>
  <c r="X383" i="18"/>
  <c r="X382" i="18"/>
  <c r="X378" i="18"/>
  <c r="X377" i="18"/>
  <c r="X376" i="18"/>
  <c r="X375" i="18"/>
  <c r="X374" i="18"/>
  <c r="X373" i="18"/>
  <c r="X372" i="18"/>
  <c r="X371" i="18"/>
  <c r="X369" i="18"/>
  <c r="X367" i="18"/>
  <c r="X365" i="18"/>
  <c r="X362" i="18"/>
  <c r="X355" i="18"/>
  <c r="X344" i="18"/>
  <c r="X343" i="18"/>
  <c r="X342" i="18"/>
  <c r="X341" i="18"/>
  <c r="X337" i="18"/>
  <c r="X336" i="18"/>
  <c r="X335" i="18"/>
  <c r="X334" i="18"/>
  <c r="X333" i="18"/>
  <c r="X332" i="18"/>
  <c r="X331" i="18"/>
  <c r="X330" i="18"/>
  <c r="X328" i="18"/>
  <c r="X322" i="18"/>
  <c r="X319" i="18"/>
  <c r="X313" i="18"/>
  <c r="X289" i="18"/>
  <c r="X288" i="18"/>
  <c r="X284" i="18"/>
  <c r="X283" i="18"/>
  <c r="X282" i="18"/>
  <c r="X281" i="18"/>
  <c r="X280" i="18"/>
  <c r="X279" i="18"/>
  <c r="X262" i="18"/>
  <c r="X257" i="18"/>
  <c r="X256" i="18"/>
  <c r="X252" i="18"/>
  <c r="X251" i="18"/>
  <c r="X250" i="18"/>
  <c r="X249" i="18"/>
  <c r="X248" i="18"/>
  <c r="X247" i="18"/>
  <c r="X245" i="18"/>
  <c r="X243" i="18"/>
  <c r="X240" i="18"/>
  <c r="X239" i="18"/>
  <c r="X235" i="18"/>
  <c r="X234" i="18"/>
  <c r="X233" i="18"/>
  <c r="X232" i="18"/>
  <c r="X231" i="18"/>
  <c r="X230" i="18"/>
  <c r="X229" i="18"/>
  <c r="X228" i="18"/>
  <c r="X226" i="18"/>
  <c r="X224" i="18"/>
  <c r="X222" i="18"/>
  <c r="X220" i="18"/>
  <c r="X218" i="18"/>
  <c r="X213" i="18"/>
  <c r="X209" i="18"/>
  <c r="X208" i="18"/>
  <c r="X207" i="18"/>
  <c r="X206" i="18"/>
  <c r="X205" i="18"/>
  <c r="X204" i="18"/>
  <c r="X203" i="18"/>
  <c r="X202" i="18"/>
  <c r="X200" i="18"/>
  <c r="X198" i="18"/>
  <c r="X194" i="18"/>
  <c r="X183" i="18"/>
  <c r="X182" i="18"/>
  <c r="X178" i="18"/>
  <c r="X177" i="18"/>
  <c r="X176" i="18"/>
  <c r="X175" i="18"/>
  <c r="X174" i="18"/>
  <c r="X173" i="18"/>
  <c r="X172" i="18"/>
  <c r="X171" i="18"/>
  <c r="X169" i="18"/>
  <c r="X166" i="18"/>
  <c r="X160" i="18"/>
  <c r="X135" i="18"/>
  <c r="X134" i="18"/>
  <c r="X130" i="18"/>
  <c r="X129" i="18"/>
  <c r="X128" i="18"/>
  <c r="X127" i="18"/>
  <c r="X126" i="18"/>
  <c r="X125" i="18"/>
  <c r="X124" i="18"/>
  <c r="X123" i="18"/>
  <c r="X107" i="18"/>
  <c r="X102" i="18"/>
  <c r="X101" i="18"/>
  <c r="X97" i="18"/>
  <c r="X96" i="18"/>
  <c r="X95" i="18"/>
  <c r="X94" i="18"/>
  <c r="X93" i="18"/>
  <c r="X92" i="18"/>
  <c r="X90" i="18"/>
  <c r="X88" i="18"/>
  <c r="X86" i="18"/>
  <c r="X84" i="18"/>
  <c r="X82" i="18"/>
  <c r="X80" i="18"/>
  <c r="X78" i="18"/>
  <c r="X67" i="18"/>
  <c r="X66" i="18"/>
  <c r="X65" i="18"/>
  <c r="X63" i="18"/>
  <c r="X61" i="18"/>
  <c r="X57" i="18"/>
  <c r="X52" i="18"/>
  <c r="X48" i="18"/>
  <c r="X47" i="18"/>
  <c r="X46" i="18"/>
  <c r="X45" i="18"/>
  <c r="X44" i="18"/>
  <c r="X43" i="18"/>
  <c r="X42" i="18"/>
  <c r="X40" i="18"/>
  <c r="X38" i="18"/>
  <c r="X36" i="18"/>
  <c r="X34" i="18"/>
  <c r="X32" i="18"/>
  <c r="X30" i="18"/>
  <c r="X28" i="18"/>
  <c r="X26" i="18"/>
  <c r="X23" i="18"/>
  <c r="X19" i="18"/>
  <c r="W28" i="16"/>
  <c r="W26" i="16"/>
  <c r="W23" i="16"/>
  <c r="W19" i="16"/>
  <c r="B1008" i="44" l="1"/>
  <c r="B30" i="44"/>
  <c r="B153" i="44"/>
  <c r="B693" i="44"/>
  <c r="B738" i="44"/>
  <c r="B360" i="44"/>
  <c r="B954" i="44"/>
  <c r="B1131" i="44"/>
  <c r="B857" i="44"/>
  <c r="B902" i="44"/>
  <c r="B198" i="44"/>
  <c r="B817" i="44"/>
  <c r="B783" i="44"/>
  <c r="B652" i="44"/>
  <c r="B68" i="44"/>
  <c r="B605" i="44"/>
  <c r="P24" i="5"/>
  <c r="B1009" i="44" l="1"/>
  <c r="B31" i="44"/>
  <c r="B154" i="44"/>
  <c r="B955" i="44"/>
  <c r="B606" i="44"/>
  <c r="B903" i="44"/>
  <c r="B199" i="44"/>
  <c r="B858" i="44"/>
  <c r="B1132" i="44"/>
  <c r="B694" i="44"/>
  <c r="B784" i="44"/>
  <c r="B361" i="44"/>
  <c r="B69" i="44"/>
  <c r="B739" i="44"/>
  <c r="B653" i="44"/>
  <c r="B818" i="44"/>
  <c r="W691" i="15"/>
  <c r="W28" i="15"/>
  <c r="W26" i="15"/>
  <c r="W23" i="15"/>
  <c r="W19" i="15"/>
  <c r="W82" i="15"/>
  <c r="W80" i="15"/>
  <c r="W78" i="15"/>
  <c r="W67" i="15"/>
  <c r="W66" i="15"/>
  <c r="W65" i="15"/>
  <c r="W63" i="15"/>
  <c r="W61" i="15"/>
  <c r="W57" i="15"/>
  <c r="X80" i="13"/>
  <c r="X78" i="13"/>
  <c r="X67" i="13"/>
  <c r="X66" i="13"/>
  <c r="X65" i="13"/>
  <c r="X63" i="13"/>
  <c r="X61" i="13"/>
  <c r="X57" i="13"/>
  <c r="X52" i="13"/>
  <c r="X50" i="13"/>
  <c r="X48" i="13"/>
  <c r="X47" i="13"/>
  <c r="X46" i="13"/>
  <c r="X45" i="13"/>
  <c r="X44" i="13"/>
  <c r="X43" i="13"/>
  <c r="X42" i="13"/>
  <c r="X40" i="13"/>
  <c r="X38" i="13"/>
  <c r="X36" i="13"/>
  <c r="X34" i="13"/>
  <c r="X32" i="13"/>
  <c r="X30" i="13"/>
  <c r="X28" i="13"/>
  <c r="X26" i="13"/>
  <c r="X23" i="13"/>
  <c r="X19" i="13"/>
  <c r="B1010" i="44" l="1"/>
  <c r="B32" i="44"/>
  <c r="B155" i="44"/>
  <c r="B859" i="44"/>
  <c r="B70" i="44"/>
  <c r="B695" i="44"/>
  <c r="B904" i="44"/>
  <c r="B785" i="44"/>
  <c r="B819" i="44"/>
  <c r="B607" i="44"/>
  <c r="B740" i="44"/>
  <c r="B654" i="44"/>
  <c r="B362" i="44"/>
  <c r="B1133" i="44"/>
  <c r="B956" i="44"/>
  <c r="I1126" i="8"/>
  <c r="H1126" i="8"/>
  <c r="G1126" i="8"/>
  <c r="F1126" i="8"/>
  <c r="F1125" i="8"/>
  <c r="G1125" i="8"/>
  <c r="H1125" i="8"/>
  <c r="I1125" i="8"/>
  <c r="F1124" i="8"/>
  <c r="G1124" i="8"/>
  <c r="H1124" i="8"/>
  <c r="I1124" i="8"/>
  <c r="B1011" i="44" l="1"/>
  <c r="B33" i="44"/>
  <c r="B156" i="44"/>
  <c r="B363" i="44"/>
  <c r="B905" i="44"/>
  <c r="B786" i="44"/>
  <c r="B1134" i="44"/>
  <c r="B608" i="44"/>
  <c r="B655" i="44"/>
  <c r="B696" i="44"/>
  <c r="B741" i="44"/>
  <c r="B820" i="44"/>
  <c r="B71" i="44"/>
  <c r="B957" i="44"/>
  <c r="B860" i="44"/>
  <c r="F1125" i="16"/>
  <c r="J1125" i="44" s="1"/>
  <c r="F1124" i="16"/>
  <c r="J1124" i="44" s="1"/>
  <c r="F1126" i="15"/>
  <c r="H1126" i="44" s="1"/>
  <c r="F1126" i="16"/>
  <c r="J1126" i="44" s="1"/>
  <c r="L527" i="8"/>
  <c r="L526" i="8"/>
  <c r="L523" i="8"/>
  <c r="L531" i="8"/>
  <c r="L535" i="8"/>
  <c r="L1126" i="8"/>
  <c r="L537" i="8"/>
  <c r="L528" i="8"/>
  <c r="L536" i="8"/>
  <c r="L534" i="8"/>
  <c r="L1129" i="8"/>
  <c r="L1125" i="8"/>
  <c r="L529" i="8"/>
  <c r="L521" i="8"/>
  <c r="L524" i="8"/>
  <c r="L532" i="8"/>
  <c r="L522" i="8"/>
  <c r="L530" i="8"/>
  <c r="L1124" i="8"/>
  <c r="L1128" i="8"/>
  <c r="L525" i="8"/>
  <c r="L533" i="8"/>
  <c r="F1126" i="13"/>
  <c r="F1126" i="44" s="1"/>
  <c r="J1126" i="8"/>
  <c r="J1125" i="8"/>
  <c r="J1128" i="8"/>
  <c r="J1129" i="8"/>
  <c r="J1124" i="8"/>
  <c r="J533" i="8"/>
  <c r="J532" i="8"/>
  <c r="J531" i="8"/>
  <c r="J535" i="8"/>
  <c r="F531" i="18" l="1"/>
  <c r="F522" i="18"/>
  <c r="F532" i="18"/>
  <c r="F524" i="18"/>
  <c r="F526" i="18"/>
  <c r="F527" i="18"/>
  <c r="F533" i="18"/>
  <c r="F534" i="18"/>
  <c r="F536" i="18"/>
  <c r="F535" i="18"/>
  <c r="F523" i="18"/>
  <c r="F521" i="18"/>
  <c r="F529" i="18"/>
  <c r="F525" i="18"/>
  <c r="F528" i="18"/>
  <c r="F537" i="18"/>
  <c r="F530" i="18"/>
  <c r="N530" i="44"/>
  <c r="B1012" i="44"/>
  <c r="B157" i="44"/>
  <c r="B742" i="44"/>
  <c r="B1135" i="44"/>
  <c r="B787" i="44"/>
  <c r="B906" i="44"/>
  <c r="B72" i="44"/>
  <c r="B656" i="44"/>
  <c r="B364" i="44"/>
  <c r="B861" i="44"/>
  <c r="B697" i="44"/>
  <c r="B821" i="44"/>
  <c r="B609" i="44"/>
  <c r="L524" i="44"/>
  <c r="N524" i="44" s="1"/>
  <c r="L523" i="44"/>
  <c r="N523" i="44" s="1"/>
  <c r="L522" i="44"/>
  <c r="N522" i="44" s="1"/>
  <c r="L521" i="44"/>
  <c r="N521" i="44" s="1"/>
  <c r="L529" i="44"/>
  <c r="N529" i="44" s="1"/>
  <c r="L525" i="44"/>
  <c r="N525" i="44" s="1"/>
  <c r="L536" i="44"/>
  <c r="N536" i="44" s="1"/>
  <c r="L530" i="44"/>
  <c r="L534" i="44"/>
  <c r="N534" i="44" s="1"/>
  <c r="L528" i="44"/>
  <c r="N528" i="44" s="1"/>
  <c r="L526" i="44"/>
  <c r="N526" i="44" s="1"/>
  <c r="L537" i="44"/>
  <c r="N537" i="44" s="1"/>
  <c r="N531" i="8"/>
  <c r="F1126" i="18"/>
  <c r="N1124" i="8"/>
  <c r="N535" i="8"/>
  <c r="L532" i="44"/>
  <c r="N532" i="44" s="1"/>
  <c r="L531" i="44"/>
  <c r="N531" i="44" s="1"/>
  <c r="L533" i="44"/>
  <c r="N533" i="44" s="1"/>
  <c r="L535" i="44"/>
  <c r="N535" i="44" s="1"/>
  <c r="L1126" i="44"/>
  <c r="N1126" i="44" s="1"/>
  <c r="L527" i="44"/>
  <c r="N527" i="44" s="1"/>
  <c r="N1129" i="8"/>
  <c r="N1125" i="8"/>
  <c r="N1128" i="8"/>
  <c r="N1126" i="8"/>
  <c r="N532" i="8"/>
  <c r="N533" i="8"/>
  <c r="B1013" i="44" l="1"/>
  <c r="B158" i="44"/>
  <c r="B862" i="44"/>
  <c r="B1136" i="44"/>
  <c r="B73" i="44"/>
  <c r="B365" i="44"/>
  <c r="B822" i="44"/>
  <c r="B610" i="44"/>
  <c r="B657" i="44"/>
  <c r="B698" i="44"/>
  <c r="B907" i="44"/>
  <c r="B743" i="44"/>
  <c r="F494" i="15"/>
  <c r="H494" i="44" s="1"/>
  <c r="B1014" i="44" l="1"/>
  <c r="B159" i="44"/>
  <c r="B611" i="44"/>
  <c r="B658" i="44"/>
  <c r="B74" i="44"/>
  <c r="B744" i="44"/>
  <c r="B908" i="44"/>
  <c r="B823" i="44"/>
  <c r="B699" i="44"/>
  <c r="B366" i="44"/>
  <c r="B1137" i="44"/>
  <c r="B863" i="44"/>
  <c r="F494" i="18"/>
  <c r="B1138" i="44" l="1"/>
  <c r="B1015" i="44"/>
  <c r="B160" i="44"/>
  <c r="B367" i="44"/>
  <c r="B864" i="44"/>
  <c r="B700" i="44"/>
  <c r="B745" i="44"/>
  <c r="B75" i="44"/>
  <c r="B659" i="44"/>
  <c r="B909" i="44"/>
  <c r="B612" i="44"/>
  <c r="B1139" i="44" l="1"/>
  <c r="B1016" i="44"/>
  <c r="B161" i="44"/>
  <c r="B613" i="44"/>
  <c r="B910" i="44"/>
  <c r="B746" i="44"/>
  <c r="B701" i="44"/>
  <c r="B660" i="44"/>
  <c r="B865" i="44"/>
  <c r="B76" i="44"/>
  <c r="B368" i="44"/>
  <c r="L494" i="44"/>
  <c r="S1266" i="13"/>
  <c r="S1266" i="16"/>
  <c r="S1266" i="15"/>
  <c r="R1266" i="13"/>
  <c r="R1266" i="16"/>
  <c r="R1266" i="15"/>
  <c r="B1140" i="44" l="1"/>
  <c r="B1141" i="44" s="1"/>
  <c r="B1142" i="44" s="1"/>
  <c r="B1143" i="44" s="1"/>
  <c r="B1144" i="44" s="1"/>
  <c r="B1145" i="44" s="1"/>
  <c r="B1146" i="44" s="1"/>
  <c r="B1147" i="44" s="1"/>
  <c r="B1148" i="44" s="1"/>
  <c r="B1149" i="44" s="1"/>
  <c r="B1150" i="44" s="1"/>
  <c r="B1151" i="44" s="1"/>
  <c r="B1152" i="44" s="1"/>
  <c r="B1153" i="44" s="1"/>
  <c r="B1154" i="44" s="1"/>
  <c r="B1155" i="44" s="1"/>
  <c r="B1156" i="44" s="1"/>
  <c r="B1157" i="44" s="1"/>
  <c r="B1158" i="44" s="1"/>
  <c r="B1159" i="44" s="1"/>
  <c r="B1160" i="44" s="1"/>
  <c r="B1161" i="44" s="1"/>
  <c r="B1162" i="44" s="1"/>
  <c r="B1017" i="44"/>
  <c r="B162" i="44"/>
  <c r="B702" i="44"/>
  <c r="B866" i="44"/>
  <c r="B747" i="44"/>
  <c r="B911" i="44"/>
  <c r="B614" i="44"/>
  <c r="B77" i="44"/>
  <c r="B661" i="44"/>
  <c r="B5" i="14"/>
  <c r="B7" i="5"/>
  <c r="B6" i="5"/>
  <c r="B4" i="5"/>
  <c r="B3" i="5"/>
  <c r="B7" i="4"/>
  <c r="B6" i="4"/>
  <c r="B4" i="4"/>
  <c r="B3" i="4"/>
  <c r="B7" i="3"/>
  <c r="B6" i="3"/>
  <c r="B3" i="3"/>
  <c r="B3" i="2"/>
  <c r="B4" i="44" s="1"/>
  <c r="B4" i="2"/>
  <c r="B5" i="44" s="1"/>
  <c r="B6" i="2"/>
  <c r="B7" i="44" s="1"/>
  <c r="B7" i="2"/>
  <c r="B1018" i="44" l="1"/>
  <c r="B1019" i="44" s="1"/>
  <c r="B1020" i="44" s="1"/>
  <c r="B1021" i="44" s="1"/>
  <c r="B1022" i="44" s="1"/>
  <c r="B1023" i="44" s="1"/>
  <c r="B1024" i="44" s="1"/>
  <c r="B1025" i="44" s="1"/>
  <c r="B1026" i="44" s="1"/>
  <c r="B1027" i="44" s="1"/>
  <c r="B1028" i="44" s="1"/>
  <c r="B1029" i="44" s="1"/>
  <c r="B1030" i="44" s="1"/>
  <c r="B1031" i="44" s="1"/>
  <c r="B1032" i="44" s="1"/>
  <c r="B163" i="44"/>
  <c r="B662" i="44"/>
  <c r="B78" i="44"/>
  <c r="B748" i="44"/>
  <c r="B703" i="44"/>
  <c r="B615" i="44"/>
  <c r="B867" i="44"/>
  <c r="B912" i="44"/>
  <c r="B667" i="44"/>
  <c r="B876" i="44"/>
  <c r="B278" i="44"/>
  <c r="B203" i="44"/>
  <c r="B1192" i="44"/>
  <c r="B928" i="44"/>
  <c r="B229" i="44"/>
  <c r="B331" i="44"/>
  <c r="B1074" i="44"/>
  <c r="B42" i="44"/>
  <c r="B1036" i="44"/>
  <c r="B1166" i="44"/>
  <c r="B172" i="44"/>
  <c r="B1105" i="44"/>
  <c r="B791" i="44"/>
  <c r="B91" i="44"/>
  <c r="B459" i="44"/>
  <c r="B981" i="44"/>
  <c r="B831" i="44"/>
  <c r="B417" i="44"/>
  <c r="B712" i="44"/>
  <c r="B505" i="44"/>
  <c r="B124" i="44"/>
  <c r="B372" i="44"/>
  <c r="B482" i="44"/>
  <c r="B757" i="44"/>
  <c r="B579" i="44"/>
  <c r="B246" i="44"/>
  <c r="B961" i="44"/>
  <c r="B439" i="44"/>
  <c r="B392" i="44"/>
  <c r="B626" i="44"/>
  <c r="B964" i="44"/>
  <c r="B760" i="44"/>
  <c r="B1077" i="44"/>
  <c r="B629" i="44"/>
  <c r="B127" i="44"/>
  <c r="B1039" i="44"/>
  <c r="B375" i="44"/>
  <c r="B715" i="44"/>
  <c r="B249" i="44"/>
  <c r="B395" i="44"/>
  <c r="B794" i="44"/>
  <c r="B281" i="44"/>
  <c r="B1108" i="44"/>
  <c r="B984" i="44"/>
  <c r="B420" i="44"/>
  <c r="B879" i="44"/>
  <c r="B175" i="44"/>
  <c r="B334" i="44"/>
  <c r="B206" i="44"/>
  <c r="B45" i="44"/>
  <c r="B442" i="44"/>
  <c r="B834" i="44"/>
  <c r="B1195" i="44"/>
  <c r="B931" i="44"/>
  <c r="B462" i="44"/>
  <c r="B94" i="44"/>
  <c r="B232" i="44"/>
  <c r="B508" i="44"/>
  <c r="B582" i="44"/>
  <c r="B1169" i="44"/>
  <c r="B670" i="44"/>
  <c r="B485" i="44"/>
  <c r="B8" i="15"/>
  <c r="B1347" i="15" s="1"/>
  <c r="B8" i="44"/>
  <c r="B8" i="8"/>
  <c r="B460" i="44"/>
  <c r="B1075" i="44"/>
  <c r="B832" i="44"/>
  <c r="B204" i="44"/>
  <c r="B792" i="44"/>
  <c r="B1193" i="44"/>
  <c r="B125" i="44"/>
  <c r="B393" i="44"/>
  <c r="B483" i="44"/>
  <c r="B1167" i="44"/>
  <c r="B1037" i="44"/>
  <c r="B758" i="44"/>
  <c r="B173" i="44"/>
  <c r="B440" i="44"/>
  <c r="B668" i="44"/>
  <c r="B92" i="44"/>
  <c r="B506" i="44"/>
  <c r="B373" i="44"/>
  <c r="B982" i="44"/>
  <c r="B962" i="44"/>
  <c r="B627" i="44"/>
  <c r="B43" i="44"/>
  <c r="B713" i="44"/>
  <c r="B279" i="44"/>
  <c r="B230" i="44"/>
  <c r="B929" i="44"/>
  <c r="B877" i="44"/>
  <c r="B580" i="44"/>
  <c r="B1106" i="44"/>
  <c r="B418" i="44"/>
  <c r="B247" i="44"/>
  <c r="B332" i="44"/>
  <c r="B4" i="8"/>
  <c r="B5" i="36"/>
  <c r="B7" i="14"/>
  <c r="B9" i="36"/>
  <c r="B7" i="7"/>
  <c r="B7" i="28"/>
  <c r="B8" i="36"/>
  <c r="B7" i="8"/>
  <c r="B5" i="8"/>
  <c r="B6" i="36"/>
  <c r="B6" i="14"/>
  <c r="B6" i="28"/>
  <c r="B4" i="14"/>
  <c r="B4" i="28"/>
  <c r="B3" i="14"/>
  <c r="B3" i="28"/>
  <c r="B8" i="18"/>
  <c r="B1109" i="18" s="1"/>
  <c r="B8" i="13"/>
  <c r="B1196" i="13" s="1"/>
  <c r="B8" i="16"/>
  <c r="B1196" i="16" s="1"/>
  <c r="R10" i="18"/>
  <c r="R1198" i="18" s="1"/>
  <c r="R10" i="16"/>
  <c r="R209" i="16" s="1"/>
  <c r="R10" i="15"/>
  <c r="R209" i="15" s="1"/>
  <c r="I1354" i="16"/>
  <c r="J1354" i="16" s="1"/>
  <c r="I1354" i="15"/>
  <c r="J1354" i="15" s="1"/>
  <c r="L1352" i="13"/>
  <c r="L1245" i="13"/>
  <c r="L1201" i="13"/>
  <c r="L1175" i="13"/>
  <c r="L1114" i="13"/>
  <c r="L1083" i="13"/>
  <c r="L1045" i="13"/>
  <c r="L990" i="13"/>
  <c r="L970" i="13"/>
  <c r="L937" i="13"/>
  <c r="L885" i="13"/>
  <c r="L840" i="13"/>
  <c r="L800" i="13"/>
  <c r="L766" i="13"/>
  <c r="L721" i="13"/>
  <c r="L676" i="13"/>
  <c r="L635" i="13"/>
  <c r="L588" i="13"/>
  <c r="L514" i="13"/>
  <c r="L491" i="13"/>
  <c r="L468" i="13"/>
  <c r="L448" i="13"/>
  <c r="L426" i="13"/>
  <c r="L401" i="13"/>
  <c r="L381" i="13"/>
  <c r="L340" i="13"/>
  <c r="L287" i="13"/>
  <c r="L255" i="13"/>
  <c r="L238" i="13"/>
  <c r="L212" i="13"/>
  <c r="L181" i="13"/>
  <c r="H108" i="8"/>
  <c r="R1273" i="15"/>
  <c r="P28" i="1"/>
  <c r="G37" i="5"/>
  <c r="H37" i="5"/>
  <c r="I37" i="5"/>
  <c r="J37" i="5"/>
  <c r="L37" i="5"/>
  <c r="H109" i="8"/>
  <c r="H113" i="8"/>
  <c r="H114" i="8"/>
  <c r="H115" i="8"/>
  <c r="H116" i="8"/>
  <c r="H117" i="8"/>
  <c r="H118" i="8"/>
  <c r="H119" i="8"/>
  <c r="H120" i="8"/>
  <c r="H263" i="8"/>
  <c r="H264" i="8"/>
  <c r="H268" i="8"/>
  <c r="H269" i="8"/>
  <c r="H270" i="8"/>
  <c r="H271" i="8"/>
  <c r="H272" i="8"/>
  <c r="H273" i="8"/>
  <c r="H274" i="8"/>
  <c r="H275" i="8"/>
  <c r="H138" i="8"/>
  <c r="H141" i="8"/>
  <c r="H26" i="3"/>
  <c r="H29" i="3"/>
  <c r="H32" i="3"/>
  <c r="H35" i="3"/>
  <c r="H38" i="3"/>
  <c r="K37" i="5"/>
  <c r="H153" i="8"/>
  <c r="H154" i="8"/>
  <c r="H155" i="8"/>
  <c r="H156" i="8"/>
  <c r="H157" i="8"/>
  <c r="H136" i="8"/>
  <c r="H137" i="8"/>
  <c r="H158" i="8"/>
  <c r="H290" i="8"/>
  <c r="H291" i="8"/>
  <c r="H292" i="8"/>
  <c r="H44" i="3"/>
  <c r="H47" i="3"/>
  <c r="H53" i="3"/>
  <c r="H56" i="3"/>
  <c r="H307" i="8"/>
  <c r="H308" i="8"/>
  <c r="H309" i="8"/>
  <c r="H310" i="8"/>
  <c r="H311" i="8"/>
  <c r="H196" i="8"/>
  <c r="H195" i="8"/>
  <c r="H184" i="8"/>
  <c r="H185" i="8"/>
  <c r="H186" i="8"/>
  <c r="H187" i="8"/>
  <c r="H188" i="8"/>
  <c r="H189" i="8"/>
  <c r="H190" i="8"/>
  <c r="H191" i="8"/>
  <c r="H192" i="8"/>
  <c r="H359" i="8"/>
  <c r="H360" i="8"/>
  <c r="H345" i="8"/>
  <c r="H346" i="8"/>
  <c r="H347" i="8"/>
  <c r="H348" i="8"/>
  <c r="H349" i="8"/>
  <c r="H350" i="8"/>
  <c r="H351" i="8"/>
  <c r="H352" i="8"/>
  <c r="H353" i="8"/>
  <c r="H103" i="8"/>
  <c r="H104" i="8"/>
  <c r="H105" i="8"/>
  <c r="H411" i="8"/>
  <c r="I912" i="8"/>
  <c r="J1256" i="16"/>
  <c r="J1257" i="16" s="1"/>
  <c r="R1256" i="16"/>
  <c r="S1256" i="16"/>
  <c r="K1256" i="16"/>
  <c r="K1257" i="16" s="1"/>
  <c r="L1256" i="16"/>
  <c r="L1257" i="16" s="1"/>
  <c r="M1256" i="16"/>
  <c r="M1257" i="16" s="1"/>
  <c r="N1256" i="16"/>
  <c r="N1257" i="16" s="1"/>
  <c r="O1256" i="16"/>
  <c r="O1257" i="16" s="1"/>
  <c r="P1256" i="16"/>
  <c r="P1257" i="16" s="1"/>
  <c r="Q1256" i="16"/>
  <c r="Q1257" i="16" s="1"/>
  <c r="I913" i="8"/>
  <c r="I914" i="8"/>
  <c r="I917" i="8"/>
  <c r="I918" i="8"/>
  <c r="I900" i="8"/>
  <c r="I902" i="8"/>
  <c r="I905" i="8"/>
  <c r="I906" i="8"/>
  <c r="I888" i="8"/>
  <c r="I889" i="8"/>
  <c r="I892" i="8"/>
  <c r="I893" i="8"/>
  <c r="E73" i="5"/>
  <c r="F108" i="14" s="1"/>
  <c r="F109" i="14"/>
  <c r="E75" i="5"/>
  <c r="F110" i="14" s="1"/>
  <c r="E76" i="5"/>
  <c r="F111" i="14" s="1"/>
  <c r="M73" i="5"/>
  <c r="N108" i="14" s="1"/>
  <c r="M75" i="5"/>
  <c r="N110" i="14" s="1"/>
  <c r="M76" i="5"/>
  <c r="N111" i="14" s="1"/>
  <c r="N73" i="5"/>
  <c r="O108" i="14" s="1"/>
  <c r="N75" i="5"/>
  <c r="O110" i="14" s="1"/>
  <c r="N76" i="5"/>
  <c r="O111" i="14" s="1"/>
  <c r="F73" i="5"/>
  <c r="G108" i="14" s="1"/>
  <c r="G109" i="14"/>
  <c r="F75" i="5"/>
  <c r="G110" i="14" s="1"/>
  <c r="F76" i="5"/>
  <c r="G111" i="14" s="1"/>
  <c r="G75" i="5"/>
  <c r="H110" i="14" s="1"/>
  <c r="G76" i="5"/>
  <c r="H111" i="14" s="1"/>
  <c r="I108" i="14"/>
  <c r="I109" i="14"/>
  <c r="H75" i="5"/>
  <c r="I110" i="14" s="1"/>
  <c r="H76" i="5"/>
  <c r="I111" i="14" s="1"/>
  <c r="J108" i="14"/>
  <c r="I75" i="5"/>
  <c r="J110" i="14" s="1"/>
  <c r="I76" i="5"/>
  <c r="J111" i="14" s="1"/>
  <c r="J73" i="5"/>
  <c r="K108" i="14" s="1"/>
  <c r="J75" i="5"/>
  <c r="K110" i="14" s="1"/>
  <c r="J76" i="5"/>
  <c r="K111" i="14" s="1"/>
  <c r="K73" i="5"/>
  <c r="L108" i="14" s="1"/>
  <c r="K75" i="5"/>
  <c r="L110" i="14" s="1"/>
  <c r="K76" i="5"/>
  <c r="L111" i="14" s="1"/>
  <c r="L73" i="5"/>
  <c r="M108" i="14" s="1"/>
  <c r="M109" i="14"/>
  <c r="L75" i="5"/>
  <c r="M110" i="14" s="1"/>
  <c r="L76" i="5"/>
  <c r="M111" i="14" s="1"/>
  <c r="I894" i="8"/>
  <c r="I844" i="8"/>
  <c r="I138" i="8"/>
  <c r="I845" i="8"/>
  <c r="I29" i="3"/>
  <c r="I846" i="8"/>
  <c r="I35" i="3"/>
  <c r="I847" i="8"/>
  <c r="I848" i="8"/>
  <c r="I849" i="8"/>
  <c r="I850" i="8"/>
  <c r="I681" i="8"/>
  <c r="I682" i="8"/>
  <c r="I683" i="8"/>
  <c r="I684" i="8"/>
  <c r="I685" i="8"/>
  <c r="I686" i="8"/>
  <c r="I687" i="8"/>
  <c r="I689" i="8"/>
  <c r="I851" i="8"/>
  <c r="I852" i="8"/>
  <c r="I855" i="8"/>
  <c r="I141" i="8"/>
  <c r="I26" i="3"/>
  <c r="I32" i="3"/>
  <c r="I38" i="3"/>
  <c r="I153" i="8"/>
  <c r="I154" i="8"/>
  <c r="I155" i="8"/>
  <c r="I156" i="8"/>
  <c r="I157" i="8"/>
  <c r="I137" i="8"/>
  <c r="I860" i="8"/>
  <c r="I861" i="8"/>
  <c r="I862" i="8"/>
  <c r="I863" i="8"/>
  <c r="I864" i="8"/>
  <c r="I865" i="8"/>
  <c r="I866" i="8"/>
  <c r="I697" i="8"/>
  <c r="I698" i="8"/>
  <c r="I699" i="8"/>
  <c r="I700" i="8"/>
  <c r="I701" i="8"/>
  <c r="I702" i="8"/>
  <c r="I703" i="8"/>
  <c r="I867" i="8"/>
  <c r="I870" i="8"/>
  <c r="I818" i="8"/>
  <c r="I819" i="8"/>
  <c r="I820" i="8"/>
  <c r="I821" i="8"/>
  <c r="I822" i="8"/>
  <c r="I817" i="8"/>
  <c r="J1270" i="16"/>
  <c r="K1270" i="16"/>
  <c r="L1270" i="16"/>
  <c r="M1270" i="16"/>
  <c r="N1270" i="16"/>
  <c r="O1270" i="16"/>
  <c r="P1270" i="16"/>
  <c r="Q1270" i="16"/>
  <c r="I196" i="8"/>
  <c r="I195" i="8"/>
  <c r="I184" i="8"/>
  <c r="I185" i="8"/>
  <c r="I186" i="8"/>
  <c r="I187" i="8"/>
  <c r="I188" i="8"/>
  <c r="I189" i="8"/>
  <c r="I190" i="8"/>
  <c r="I191" i="8"/>
  <c r="I192" i="8"/>
  <c r="I359" i="8"/>
  <c r="I360" i="8"/>
  <c r="I345" i="8"/>
  <c r="I346" i="8"/>
  <c r="I347" i="8"/>
  <c r="I348" i="8"/>
  <c r="I349" i="8"/>
  <c r="I350" i="8"/>
  <c r="I351" i="8"/>
  <c r="I352" i="8"/>
  <c r="I353" i="8"/>
  <c r="I108" i="8"/>
  <c r="I109" i="8"/>
  <c r="I113" i="8"/>
  <c r="I114" i="8"/>
  <c r="I115" i="8"/>
  <c r="I116" i="8"/>
  <c r="I117" i="8"/>
  <c r="I118" i="8"/>
  <c r="I119" i="8"/>
  <c r="I120" i="8"/>
  <c r="I263" i="8"/>
  <c r="I264" i="8"/>
  <c r="I268" i="8"/>
  <c r="I269" i="8"/>
  <c r="I270" i="8"/>
  <c r="I271" i="8"/>
  <c r="I272" i="8"/>
  <c r="I273" i="8"/>
  <c r="I274" i="8"/>
  <c r="I275" i="8"/>
  <c r="I136" i="8"/>
  <c r="I158" i="8"/>
  <c r="I290" i="8"/>
  <c r="I291" i="8"/>
  <c r="I292" i="8"/>
  <c r="I44" i="3"/>
  <c r="I47" i="3"/>
  <c r="I53" i="3"/>
  <c r="I56" i="3"/>
  <c r="I307" i="8"/>
  <c r="I308" i="8"/>
  <c r="I309" i="8"/>
  <c r="I310" i="8"/>
  <c r="I311" i="8"/>
  <c r="I103" i="8"/>
  <c r="I104" i="8"/>
  <c r="I105" i="8"/>
  <c r="I411" i="8"/>
  <c r="G411" i="8"/>
  <c r="G196" i="8"/>
  <c r="G108" i="8"/>
  <c r="G109" i="8"/>
  <c r="G113" i="8"/>
  <c r="G114" i="8"/>
  <c r="G115" i="8"/>
  <c r="G116" i="8"/>
  <c r="G117" i="8"/>
  <c r="G118" i="8"/>
  <c r="G119" i="8"/>
  <c r="G120" i="8"/>
  <c r="G263" i="8"/>
  <c r="G264" i="8"/>
  <c r="G268" i="8"/>
  <c r="G269" i="8"/>
  <c r="G270" i="8"/>
  <c r="G271" i="8"/>
  <c r="G272" i="8"/>
  <c r="G273" i="8"/>
  <c r="G274" i="8"/>
  <c r="G275" i="8"/>
  <c r="G136" i="8"/>
  <c r="G138" i="8"/>
  <c r="F138" i="13" s="1"/>
  <c r="F138" i="44" s="1"/>
  <c r="G141" i="8"/>
  <c r="G26" i="3"/>
  <c r="G29" i="3"/>
  <c r="G32" i="3"/>
  <c r="G35" i="3"/>
  <c r="G38" i="3"/>
  <c r="G153" i="8"/>
  <c r="G154" i="8"/>
  <c r="G155" i="8"/>
  <c r="G156" i="8"/>
  <c r="G157" i="8"/>
  <c r="G137" i="8"/>
  <c r="G158" i="8"/>
  <c r="G290" i="8"/>
  <c r="G291" i="8"/>
  <c r="G292" i="8"/>
  <c r="G44" i="3"/>
  <c r="G47" i="3"/>
  <c r="G50" i="3"/>
  <c r="G53" i="3"/>
  <c r="G56" i="3"/>
  <c r="G307" i="8"/>
  <c r="G308" i="8"/>
  <c r="G309" i="8"/>
  <c r="G310" i="8"/>
  <c r="G311" i="8"/>
  <c r="G195" i="8"/>
  <c r="G184" i="8"/>
  <c r="G185" i="8"/>
  <c r="G186" i="8"/>
  <c r="G187" i="8"/>
  <c r="G188" i="8"/>
  <c r="G189" i="8"/>
  <c r="G190" i="8"/>
  <c r="G191" i="8"/>
  <c r="G192" i="8"/>
  <c r="G103" i="8"/>
  <c r="G359" i="8"/>
  <c r="G360" i="8"/>
  <c r="G345" i="8"/>
  <c r="G346" i="8"/>
  <c r="G347" i="8"/>
  <c r="G348" i="8"/>
  <c r="G349" i="8"/>
  <c r="G350" i="8"/>
  <c r="G351" i="8"/>
  <c r="G352" i="8"/>
  <c r="G353" i="8"/>
  <c r="G104" i="8"/>
  <c r="G105" i="8"/>
  <c r="J409" i="18"/>
  <c r="J70" i="18" s="1"/>
  <c r="F77" i="14" s="1"/>
  <c r="K409" i="18"/>
  <c r="K70" i="18" s="1"/>
  <c r="G77" i="14" s="1"/>
  <c r="L409" i="18"/>
  <c r="L70" i="18" s="1"/>
  <c r="H77" i="14" s="1"/>
  <c r="M409" i="18"/>
  <c r="M70" i="18" s="1"/>
  <c r="I77" i="14" s="1"/>
  <c r="N409" i="18"/>
  <c r="N70" i="18" s="1"/>
  <c r="J77" i="14" s="1"/>
  <c r="O409" i="18"/>
  <c r="O70" i="18" s="1"/>
  <c r="K77" i="14" s="1"/>
  <c r="P409" i="18"/>
  <c r="P70" i="18" s="1"/>
  <c r="L77" i="14" s="1"/>
  <c r="Q409" i="18"/>
  <c r="Q70" i="18" s="1"/>
  <c r="M77" i="14" s="1"/>
  <c r="R409" i="18"/>
  <c r="R70" i="18" s="1"/>
  <c r="N77" i="14" s="1"/>
  <c r="S409" i="18"/>
  <c r="S70" i="18" s="1"/>
  <c r="O77" i="14" s="1"/>
  <c r="R10" i="13"/>
  <c r="R97" i="13" s="1"/>
  <c r="F16" i="3"/>
  <c r="H16" i="3"/>
  <c r="H17" i="3" s="1"/>
  <c r="G16" i="3"/>
  <c r="E18" i="3"/>
  <c r="I1354" i="13"/>
  <c r="J1354" i="13" s="1"/>
  <c r="G258" i="8"/>
  <c r="G259" i="8"/>
  <c r="G260" i="8"/>
  <c r="H653" i="8"/>
  <c r="H654" i="8"/>
  <c r="H655" i="8"/>
  <c r="H656" i="8"/>
  <c r="H657" i="8"/>
  <c r="H658" i="8"/>
  <c r="H640" i="8"/>
  <c r="H641" i="8"/>
  <c r="H642" i="8"/>
  <c r="H643" i="8"/>
  <c r="H644" i="8"/>
  <c r="H645" i="8"/>
  <c r="H646" i="8"/>
  <c r="H647" i="8"/>
  <c r="H696" i="8"/>
  <c r="H697" i="8"/>
  <c r="H698" i="8"/>
  <c r="H699" i="8"/>
  <c r="H700" i="8"/>
  <c r="H701" i="8"/>
  <c r="H702" i="8"/>
  <c r="H703" i="8"/>
  <c r="H704" i="8"/>
  <c r="H680" i="8"/>
  <c r="H681" i="8"/>
  <c r="H682" i="8"/>
  <c r="H683" i="8"/>
  <c r="H684" i="8"/>
  <c r="H685" i="8"/>
  <c r="H686" i="8"/>
  <c r="H687" i="8"/>
  <c r="H689" i="8"/>
  <c r="H688" i="8"/>
  <c r="H724" i="8"/>
  <c r="H725" i="8"/>
  <c r="H726" i="8"/>
  <c r="H727" i="8"/>
  <c r="H728" i="8"/>
  <c r="H734" i="8"/>
  <c r="R1256" i="15"/>
  <c r="S1256" i="15"/>
  <c r="J1256" i="15"/>
  <c r="J1257" i="15" s="1"/>
  <c r="K1256" i="15"/>
  <c r="K1257" i="15" s="1"/>
  <c r="L1256" i="15"/>
  <c r="L1257" i="15" s="1"/>
  <c r="M1256" i="15"/>
  <c r="M1257" i="15" s="1"/>
  <c r="N1256" i="15"/>
  <c r="N1257" i="15" s="1"/>
  <c r="O1256" i="15"/>
  <c r="O1257" i="15" s="1"/>
  <c r="P1256" i="15"/>
  <c r="P1257" i="15" s="1"/>
  <c r="Q1256" i="15"/>
  <c r="Q1257" i="15" s="1"/>
  <c r="H735" i="8"/>
  <c r="H736" i="8"/>
  <c r="H737" i="8"/>
  <c r="H738" i="8"/>
  <c r="H744" i="8"/>
  <c r="H745" i="8"/>
  <c r="H746" i="8"/>
  <c r="H747" i="8"/>
  <c r="H748" i="8"/>
  <c r="H769" i="8"/>
  <c r="J1270" i="15"/>
  <c r="K1270" i="15"/>
  <c r="L1270" i="15"/>
  <c r="M1270" i="15"/>
  <c r="N1270" i="15"/>
  <c r="O1270" i="15"/>
  <c r="P1270" i="15"/>
  <c r="Q1270" i="15"/>
  <c r="H770" i="8"/>
  <c r="H771" i="8"/>
  <c r="H772" i="8"/>
  <c r="H773" i="8"/>
  <c r="H774" i="8"/>
  <c r="H775" i="8"/>
  <c r="H912" i="8"/>
  <c r="H913" i="8"/>
  <c r="H914" i="8"/>
  <c r="H917" i="8"/>
  <c r="H918" i="8"/>
  <c r="H905" i="8"/>
  <c r="H900" i="8"/>
  <c r="H902" i="8"/>
  <c r="H906" i="8"/>
  <c r="H888" i="8"/>
  <c r="H889" i="8"/>
  <c r="H892" i="8"/>
  <c r="H893" i="8"/>
  <c r="H894" i="8"/>
  <c r="H844" i="8"/>
  <c r="H845" i="8"/>
  <c r="H846" i="8"/>
  <c r="H847" i="8"/>
  <c r="H848" i="8"/>
  <c r="H849" i="8"/>
  <c r="H850" i="8"/>
  <c r="H851" i="8"/>
  <c r="H852" i="8"/>
  <c r="H855" i="8"/>
  <c r="H860" i="8"/>
  <c r="H861" i="8"/>
  <c r="H862" i="8"/>
  <c r="H863" i="8"/>
  <c r="H864" i="8"/>
  <c r="H865" i="8"/>
  <c r="H866" i="8"/>
  <c r="H867" i="8"/>
  <c r="H870" i="8"/>
  <c r="H817" i="8"/>
  <c r="H818" i="8"/>
  <c r="H819" i="8"/>
  <c r="H820" i="8"/>
  <c r="H821" i="8"/>
  <c r="H822" i="8"/>
  <c r="F804" i="15"/>
  <c r="H804" i="44" s="1"/>
  <c r="F806" i="15"/>
  <c r="H806" i="44" s="1"/>
  <c r="F808" i="15"/>
  <c r="H808" i="44" s="1"/>
  <c r="F809" i="15"/>
  <c r="H809" i="44" s="1"/>
  <c r="F810" i="15"/>
  <c r="H810" i="44" s="1"/>
  <c r="F811" i="15"/>
  <c r="H811" i="44" s="1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776" i="8"/>
  <c r="H777" i="8"/>
  <c r="H778" i="8"/>
  <c r="H779" i="8"/>
  <c r="H780" i="8"/>
  <c r="H781" i="8"/>
  <c r="H995" i="8"/>
  <c r="H258" i="8"/>
  <c r="H259" i="8"/>
  <c r="H260" i="8"/>
  <c r="H996" i="8"/>
  <c r="H997" i="8"/>
  <c r="H1001" i="8"/>
  <c r="H1016" i="8"/>
  <c r="H1017" i="8"/>
  <c r="H1018" i="8"/>
  <c r="H1022" i="8"/>
  <c r="H1023" i="8"/>
  <c r="H1024" i="8"/>
  <c r="H1025" i="8"/>
  <c r="H1026" i="8"/>
  <c r="H1027" i="8"/>
  <c r="H1028" i="8"/>
  <c r="H1029" i="8"/>
  <c r="H1030" i="8"/>
  <c r="H1031" i="8"/>
  <c r="H1049" i="8"/>
  <c r="H1050" i="8"/>
  <c r="H1051" i="8"/>
  <c r="H1052" i="8"/>
  <c r="H1053" i="8"/>
  <c r="H1054" i="8"/>
  <c r="H1055" i="8"/>
  <c r="H1060" i="8"/>
  <c r="H1061" i="8"/>
  <c r="H1062" i="8"/>
  <c r="H1067" i="8"/>
  <c r="H1068" i="8"/>
  <c r="H1098" i="8"/>
  <c r="F572" i="15"/>
  <c r="H572" i="44" s="1"/>
  <c r="H595" i="8"/>
  <c r="H596" i="8"/>
  <c r="H600" i="8"/>
  <c r="H473" i="8"/>
  <c r="H452" i="8"/>
  <c r="H431" i="8"/>
  <c r="H432" i="8"/>
  <c r="H385" i="8"/>
  <c r="H620" i="8"/>
  <c r="H1121" i="8"/>
  <c r="J1266" i="15"/>
  <c r="K1266" i="15"/>
  <c r="L1266" i="15"/>
  <c r="M1266" i="15"/>
  <c r="N1266" i="15"/>
  <c r="O1266" i="15"/>
  <c r="P1266" i="15"/>
  <c r="H1122" i="8"/>
  <c r="H1123" i="8"/>
  <c r="F1125" i="15"/>
  <c r="H1125" i="44" s="1"/>
  <c r="H1127" i="8"/>
  <c r="F1133" i="15"/>
  <c r="H1133" i="44" s="1"/>
  <c r="F1134" i="15"/>
  <c r="H1134" i="44" s="1"/>
  <c r="F1135" i="15"/>
  <c r="H1135" i="44" s="1"/>
  <c r="F1136" i="15"/>
  <c r="H1136" i="44" s="1"/>
  <c r="H1099" i="8"/>
  <c r="H1094" i="8"/>
  <c r="H1088" i="8"/>
  <c r="H1089" i="8"/>
  <c r="H1090" i="8"/>
  <c r="F1148" i="15"/>
  <c r="F1150" i="15"/>
  <c r="H1150" i="44" s="1"/>
  <c r="F1156" i="15"/>
  <c r="H1156" i="44" s="1"/>
  <c r="H241" i="8"/>
  <c r="R409" i="15"/>
  <c r="R70" i="15" s="1"/>
  <c r="S409" i="15"/>
  <c r="S70" i="15" s="1"/>
  <c r="J409" i="15"/>
  <c r="J70" i="15" s="1"/>
  <c r="K409" i="15"/>
  <c r="K70" i="15" s="1"/>
  <c r="L409" i="15"/>
  <c r="L70" i="15" s="1"/>
  <c r="M409" i="15"/>
  <c r="M70" i="15" s="1"/>
  <c r="N409" i="15"/>
  <c r="N70" i="15" s="1"/>
  <c r="O409" i="15"/>
  <c r="O70" i="15" s="1"/>
  <c r="P409" i="15"/>
  <c r="P70" i="15" s="1"/>
  <c r="Q409" i="15"/>
  <c r="Q70" i="15" s="1"/>
  <c r="I653" i="8"/>
  <c r="I654" i="8"/>
  <c r="I655" i="8"/>
  <c r="I656" i="8"/>
  <c r="I657" i="8"/>
  <c r="I658" i="8"/>
  <c r="I640" i="8"/>
  <c r="I641" i="8"/>
  <c r="I642" i="8"/>
  <c r="I643" i="8"/>
  <c r="I644" i="8"/>
  <c r="I645" i="8"/>
  <c r="I646" i="8"/>
  <c r="I647" i="8"/>
  <c r="I696" i="8"/>
  <c r="I704" i="8"/>
  <c r="I680" i="8"/>
  <c r="I688" i="8"/>
  <c r="I725" i="8"/>
  <c r="I726" i="8"/>
  <c r="I724" i="8"/>
  <c r="I727" i="8"/>
  <c r="I728" i="8"/>
  <c r="I734" i="8"/>
  <c r="I736" i="8"/>
  <c r="I737" i="8"/>
  <c r="I735" i="8"/>
  <c r="I738" i="8"/>
  <c r="I744" i="8"/>
  <c r="I745" i="8"/>
  <c r="I746" i="8"/>
  <c r="I747" i="8"/>
  <c r="I748" i="8"/>
  <c r="I769" i="8"/>
  <c r="I770" i="8"/>
  <c r="I771" i="8"/>
  <c r="I772" i="8"/>
  <c r="I773" i="8"/>
  <c r="I774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775" i="8"/>
  <c r="I776" i="8"/>
  <c r="I777" i="8"/>
  <c r="I778" i="8"/>
  <c r="I779" i="8"/>
  <c r="I780" i="8"/>
  <c r="I781" i="8"/>
  <c r="I258" i="8"/>
  <c r="I259" i="8"/>
  <c r="I260" i="8"/>
  <c r="I995" i="8"/>
  <c r="I996" i="8"/>
  <c r="I997" i="8"/>
  <c r="I1001" i="8"/>
  <c r="I1016" i="8"/>
  <c r="I1017" i="8"/>
  <c r="I1018" i="8"/>
  <c r="I1022" i="8"/>
  <c r="F1022" i="16" s="1"/>
  <c r="J1022" i="44" s="1"/>
  <c r="I1023" i="8"/>
  <c r="I1024" i="8"/>
  <c r="I1025" i="8"/>
  <c r="I1026" i="8"/>
  <c r="I1027" i="8"/>
  <c r="I1028" i="8"/>
  <c r="I1029" i="8"/>
  <c r="I1030" i="8"/>
  <c r="I1031" i="8"/>
  <c r="I1049" i="8"/>
  <c r="I1050" i="8"/>
  <c r="I1051" i="8"/>
  <c r="I1052" i="8"/>
  <c r="I1053" i="8"/>
  <c r="I1054" i="8"/>
  <c r="I1055" i="8"/>
  <c r="I1060" i="8"/>
  <c r="I1061" i="8"/>
  <c r="I1062" i="8"/>
  <c r="I1067" i="8"/>
  <c r="I1068" i="8"/>
  <c r="F572" i="16"/>
  <c r="J572" i="44" s="1"/>
  <c r="I595" i="8"/>
  <c r="I596" i="8"/>
  <c r="I600" i="8"/>
  <c r="O1266" i="16"/>
  <c r="J1266" i="16"/>
  <c r="K1266" i="16"/>
  <c r="L1266" i="16"/>
  <c r="M1266" i="16"/>
  <c r="N1266" i="16"/>
  <c r="P1266" i="16"/>
  <c r="I473" i="8"/>
  <c r="I452" i="8"/>
  <c r="I431" i="8"/>
  <c r="I432" i="8"/>
  <c r="I385" i="8"/>
  <c r="I620" i="8"/>
  <c r="I1121" i="8"/>
  <c r="I1122" i="8"/>
  <c r="I1123" i="8"/>
  <c r="I1127" i="8"/>
  <c r="I1098" i="8"/>
  <c r="I1099" i="8"/>
  <c r="I1094" i="8"/>
  <c r="I1088" i="8"/>
  <c r="I1089" i="8"/>
  <c r="I1090" i="8"/>
  <c r="I241" i="8"/>
  <c r="O409" i="16"/>
  <c r="O70" i="16" s="1"/>
  <c r="O1270" i="13"/>
  <c r="J1270" i="13"/>
  <c r="K1270" i="13"/>
  <c r="L1270" i="13"/>
  <c r="M1270" i="13"/>
  <c r="N1270" i="13"/>
  <c r="P1270" i="13"/>
  <c r="Q1270" i="13"/>
  <c r="N115" i="14"/>
  <c r="G744" i="8"/>
  <c r="G745" i="8"/>
  <c r="G746" i="8"/>
  <c r="G747" i="8"/>
  <c r="G748" i="8"/>
  <c r="R1256" i="13"/>
  <c r="S1256" i="13"/>
  <c r="J1256" i="13"/>
  <c r="J1257" i="13" s="1"/>
  <c r="K1256" i="13"/>
  <c r="L1256" i="13"/>
  <c r="L1257" i="13" s="1"/>
  <c r="M1256" i="13"/>
  <c r="O1256" i="13"/>
  <c r="O1257" i="13" s="1"/>
  <c r="N1256" i="13"/>
  <c r="N1257" i="13" s="1"/>
  <c r="P1256" i="13"/>
  <c r="P1257" i="13" s="1"/>
  <c r="Q1256" i="13"/>
  <c r="Q1257" i="13" s="1"/>
  <c r="G734" i="8"/>
  <c r="G736" i="8"/>
  <c r="G737" i="8"/>
  <c r="G735" i="8"/>
  <c r="G738" i="8"/>
  <c r="G725" i="8"/>
  <c r="F725" i="13" s="1"/>
  <c r="G726" i="8"/>
  <c r="F726" i="13" s="1"/>
  <c r="F726" i="44" s="1"/>
  <c r="G724" i="8"/>
  <c r="G727" i="8"/>
  <c r="G728" i="8"/>
  <c r="G697" i="8"/>
  <c r="G698" i="8"/>
  <c r="G699" i="8"/>
  <c r="G700" i="8"/>
  <c r="G701" i="8"/>
  <c r="G702" i="8"/>
  <c r="G703" i="8"/>
  <c r="G696" i="8"/>
  <c r="G704" i="8"/>
  <c r="G681" i="8"/>
  <c r="G682" i="8"/>
  <c r="G683" i="8"/>
  <c r="G684" i="8"/>
  <c r="G685" i="8"/>
  <c r="G686" i="8"/>
  <c r="G687" i="8"/>
  <c r="G689" i="8"/>
  <c r="G680" i="8"/>
  <c r="G688" i="8"/>
  <c r="G653" i="8"/>
  <c r="G654" i="8"/>
  <c r="G655" i="8"/>
  <c r="G656" i="8"/>
  <c r="G657" i="8"/>
  <c r="G658" i="8"/>
  <c r="G640" i="8"/>
  <c r="G641" i="8"/>
  <c r="G642" i="8"/>
  <c r="G643" i="8"/>
  <c r="G644" i="8"/>
  <c r="G645" i="8"/>
  <c r="G646" i="8"/>
  <c r="G647" i="8"/>
  <c r="G769" i="8"/>
  <c r="G770" i="8"/>
  <c r="G771" i="8"/>
  <c r="G772" i="8"/>
  <c r="G773" i="8"/>
  <c r="G774" i="8"/>
  <c r="G912" i="8"/>
  <c r="G913" i="8"/>
  <c r="G914" i="8"/>
  <c r="G917" i="8"/>
  <c r="G918" i="8"/>
  <c r="G900" i="8"/>
  <c r="G902" i="8"/>
  <c r="G905" i="8"/>
  <c r="G906" i="8"/>
  <c r="G888" i="8"/>
  <c r="G889" i="8"/>
  <c r="G892" i="8"/>
  <c r="G893" i="8"/>
  <c r="G894" i="8"/>
  <c r="G844" i="8"/>
  <c r="G845" i="8"/>
  <c r="G846" i="8"/>
  <c r="G847" i="8"/>
  <c r="G848" i="8"/>
  <c r="G849" i="8"/>
  <c r="G850" i="8"/>
  <c r="G851" i="8"/>
  <c r="G852" i="8"/>
  <c r="G855" i="8"/>
  <c r="G860" i="8"/>
  <c r="G861" i="8"/>
  <c r="G862" i="8"/>
  <c r="G863" i="8"/>
  <c r="G864" i="8"/>
  <c r="G865" i="8"/>
  <c r="G866" i="8"/>
  <c r="G867" i="8"/>
  <c r="G870" i="8"/>
  <c r="G818" i="8"/>
  <c r="G819" i="8"/>
  <c r="G820" i="8"/>
  <c r="G821" i="8"/>
  <c r="G822" i="8"/>
  <c r="G817" i="8"/>
  <c r="L805" i="8"/>
  <c r="L806" i="8"/>
  <c r="L810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775" i="8"/>
  <c r="G777" i="8"/>
  <c r="F777" i="13" s="1"/>
  <c r="F777" i="44" s="1"/>
  <c r="G778" i="8"/>
  <c r="G779" i="8"/>
  <c r="G780" i="8"/>
  <c r="G781" i="8"/>
  <c r="G995" i="8"/>
  <c r="G996" i="8"/>
  <c r="G997" i="8"/>
  <c r="G1001" i="8"/>
  <c r="G1016" i="8"/>
  <c r="G1017" i="8"/>
  <c r="G1018" i="8"/>
  <c r="G1022" i="8"/>
  <c r="G1023" i="8"/>
  <c r="G1024" i="8"/>
  <c r="G1025" i="8"/>
  <c r="G1026" i="8"/>
  <c r="G1027" i="8"/>
  <c r="G1028" i="8"/>
  <c r="G1029" i="8"/>
  <c r="F1030" i="13"/>
  <c r="F1030" i="44" s="1"/>
  <c r="G1031" i="8"/>
  <c r="G1049" i="8"/>
  <c r="G1050" i="8"/>
  <c r="G1051" i="8"/>
  <c r="G1052" i="8"/>
  <c r="G1053" i="8"/>
  <c r="G1054" i="8"/>
  <c r="G1055" i="8"/>
  <c r="G1060" i="8"/>
  <c r="G1061" i="8"/>
  <c r="G1062" i="8"/>
  <c r="G1067" i="8"/>
  <c r="G1068" i="8"/>
  <c r="L565" i="8"/>
  <c r="N565" i="44" s="1"/>
  <c r="L566" i="8"/>
  <c r="N566" i="44" s="1"/>
  <c r="L567" i="8"/>
  <c r="F572" i="13"/>
  <c r="F572" i="44" s="1"/>
  <c r="G595" i="8"/>
  <c r="G596" i="8"/>
  <c r="G600" i="8"/>
  <c r="G473" i="8"/>
  <c r="G452" i="8"/>
  <c r="G431" i="8"/>
  <c r="G432" i="8"/>
  <c r="G385" i="8"/>
  <c r="G620" i="8"/>
  <c r="J1266" i="13"/>
  <c r="K1266" i="13"/>
  <c r="L1266" i="13"/>
  <c r="M1266" i="13"/>
  <c r="O1266" i="13"/>
  <c r="N1266" i="13"/>
  <c r="P1266" i="13"/>
  <c r="Q1266" i="13"/>
  <c r="G1121" i="8"/>
  <c r="G1122" i="8"/>
  <c r="G1123" i="8"/>
  <c r="F1124" i="13"/>
  <c r="F1124" i="44" s="1"/>
  <c r="F1125" i="13"/>
  <c r="F1125" i="44" s="1"/>
  <c r="G1127" i="8"/>
  <c r="L1133" i="8"/>
  <c r="L1134" i="8"/>
  <c r="G1098" i="8"/>
  <c r="G1099" i="8"/>
  <c r="G1094" i="8"/>
  <c r="G1088" i="8"/>
  <c r="G1089" i="8"/>
  <c r="G1090" i="8"/>
  <c r="G241" i="8"/>
  <c r="F1205" i="13"/>
  <c r="F1205" i="44" s="1"/>
  <c r="F1206" i="13"/>
  <c r="F1206" i="44" s="1"/>
  <c r="F1208" i="13"/>
  <c r="F1208" i="44" s="1"/>
  <c r="F1209" i="13"/>
  <c r="F1209" i="44" s="1"/>
  <c r="F1210" i="13"/>
  <c r="F1210" i="44" s="1"/>
  <c r="F1213" i="13"/>
  <c r="F1213" i="44" s="1"/>
  <c r="F1214" i="13"/>
  <c r="F1214" i="44" s="1"/>
  <c r="O115" i="14"/>
  <c r="O409" i="13"/>
  <c r="O70" i="13" s="1"/>
  <c r="J409" i="13"/>
  <c r="J70" i="13" s="1"/>
  <c r="J409" i="16"/>
  <c r="J70" i="16" s="1"/>
  <c r="K409" i="13"/>
  <c r="K70" i="13" s="1"/>
  <c r="K409" i="16"/>
  <c r="K70" i="16" s="1"/>
  <c r="L409" i="13"/>
  <c r="L70" i="13" s="1"/>
  <c r="L409" i="16"/>
  <c r="L70" i="16" s="1"/>
  <c r="M409" i="13"/>
  <c r="M70" i="13" s="1"/>
  <c r="M409" i="16"/>
  <c r="M70" i="16" s="1"/>
  <c r="N409" i="13"/>
  <c r="N70" i="13" s="1"/>
  <c r="N409" i="16"/>
  <c r="N70" i="16" s="1"/>
  <c r="P409" i="13"/>
  <c r="P70" i="13" s="1"/>
  <c r="P409" i="16"/>
  <c r="P70" i="16" s="1"/>
  <c r="Q409" i="13"/>
  <c r="Q70" i="13" s="1"/>
  <c r="Q409" i="16"/>
  <c r="Q70" i="16" s="1"/>
  <c r="R409" i="13"/>
  <c r="R70" i="13" s="1"/>
  <c r="R409" i="16"/>
  <c r="R70" i="16" s="1"/>
  <c r="S409" i="13"/>
  <c r="S70" i="13" s="1"/>
  <c r="S409" i="16"/>
  <c r="S70" i="16" s="1"/>
  <c r="F31" i="1"/>
  <c r="G1354" i="16"/>
  <c r="G1355" i="16" s="1"/>
  <c r="G1356" i="16" s="1"/>
  <c r="G1357" i="16" s="1"/>
  <c r="G1358" i="16" s="1"/>
  <c r="G1359" i="16" s="1"/>
  <c r="G1360" i="16" s="1"/>
  <c r="G1361" i="16" s="1"/>
  <c r="G1362" i="16" s="1"/>
  <c r="G1363" i="16" s="1"/>
  <c r="G1364" i="16" s="1"/>
  <c r="G1365" i="16" s="1"/>
  <c r="G1366" i="16" s="1"/>
  <c r="G1367" i="16" s="1"/>
  <c r="G1368" i="16" s="1"/>
  <c r="G1369" i="16" s="1"/>
  <c r="G1370" i="16" s="1"/>
  <c r="G1371" i="16" s="1"/>
  <c r="G1372" i="16" s="1"/>
  <c r="G1373" i="16" s="1"/>
  <c r="G1374" i="16" s="1"/>
  <c r="G1375" i="16" s="1"/>
  <c r="G1376" i="16" s="1"/>
  <c r="G1377" i="16" s="1"/>
  <c r="G1378" i="16" s="1"/>
  <c r="G1379" i="16" s="1"/>
  <c r="G1380" i="16" s="1"/>
  <c r="G1381" i="16" s="1"/>
  <c r="G1382" i="16" s="1"/>
  <c r="G1383" i="16" s="1"/>
  <c r="G1384" i="16" s="1"/>
  <c r="G1385" i="16" s="1"/>
  <c r="G1386" i="16" s="1"/>
  <c r="G1387" i="16" s="1"/>
  <c r="G1388" i="16" s="1"/>
  <c r="G1389" i="16" s="1"/>
  <c r="G1390" i="16" s="1"/>
  <c r="G1391" i="16" s="1"/>
  <c r="G1392" i="16" s="1"/>
  <c r="G1393" i="16" s="1"/>
  <c r="G1394" i="16" s="1"/>
  <c r="G1395" i="16" s="1"/>
  <c r="G1396" i="16" s="1"/>
  <c r="G1397" i="16" s="1"/>
  <c r="G1398" i="16" s="1"/>
  <c r="G1399" i="16" s="1"/>
  <c r="G1400" i="16" s="1"/>
  <c r="G1401" i="16" s="1"/>
  <c r="G1248" i="16"/>
  <c r="G1249" i="16" s="1"/>
  <c r="G1250" i="16" s="1"/>
  <c r="G1251" i="16" s="1"/>
  <c r="G1252" i="16" s="1"/>
  <c r="G1253" i="16" s="1"/>
  <c r="G1254" i="16" s="1"/>
  <c r="G1248" i="15"/>
  <c r="G1249" i="15" s="1"/>
  <c r="G1250" i="15" s="1"/>
  <c r="G1251" i="15" s="1"/>
  <c r="G1252" i="15" s="1"/>
  <c r="G1253" i="15" s="1"/>
  <c r="G1354" i="15"/>
  <c r="G1355" i="15" s="1"/>
  <c r="G1356" i="15" s="1"/>
  <c r="G1357" i="15" s="1"/>
  <c r="G1358" i="15" s="1"/>
  <c r="G1359" i="15" s="1"/>
  <c r="G1360" i="15" s="1"/>
  <c r="G1361" i="15" s="1"/>
  <c r="G1362" i="15" s="1"/>
  <c r="G1363" i="15" s="1"/>
  <c r="G1364" i="15" s="1"/>
  <c r="G1365" i="15" s="1"/>
  <c r="G1366" i="15" s="1"/>
  <c r="G1367" i="15" s="1"/>
  <c r="G1368" i="15" s="1"/>
  <c r="G1369" i="15" s="1"/>
  <c r="G1370" i="15" s="1"/>
  <c r="G1371" i="15" s="1"/>
  <c r="G1372" i="15" s="1"/>
  <c r="G1373" i="15" s="1"/>
  <c r="G1374" i="15" s="1"/>
  <c r="G1375" i="15" s="1"/>
  <c r="G1376" i="15" s="1"/>
  <c r="G1377" i="15" s="1"/>
  <c r="G1378" i="15" s="1"/>
  <c r="G1379" i="15" s="1"/>
  <c r="G1380" i="15" s="1"/>
  <c r="G1381" i="15" s="1"/>
  <c r="G1382" i="15" s="1"/>
  <c r="G1383" i="15" s="1"/>
  <c r="G1384" i="15" s="1"/>
  <c r="G1385" i="15" s="1"/>
  <c r="G1386" i="15" s="1"/>
  <c r="G1387" i="15" s="1"/>
  <c r="G1388" i="15" s="1"/>
  <c r="G1389" i="15" s="1"/>
  <c r="G1390" i="15" s="1"/>
  <c r="G1391" i="15" s="1"/>
  <c r="G1392" i="15" s="1"/>
  <c r="G1393" i="15" s="1"/>
  <c r="G1394" i="15" s="1"/>
  <c r="G1395" i="15" s="1"/>
  <c r="G1396" i="15" s="1"/>
  <c r="G1397" i="15" s="1"/>
  <c r="G1398" i="15" s="1"/>
  <c r="G1399" i="15" s="1"/>
  <c r="G1400" i="15" s="1"/>
  <c r="G1401" i="15" s="1"/>
  <c r="H1100" i="15" s="1"/>
  <c r="I1100" i="44" s="1"/>
  <c r="G1354" i="13"/>
  <c r="G1355" i="13" s="1"/>
  <c r="G1356" i="13" s="1"/>
  <c r="G1357" i="13" s="1"/>
  <c r="G1358" i="13" s="1"/>
  <c r="G1359" i="13" s="1"/>
  <c r="G1360" i="13" s="1"/>
  <c r="G1361" i="13" s="1"/>
  <c r="G1362" i="13" s="1"/>
  <c r="G1363" i="13" s="1"/>
  <c r="G1364" i="13" s="1"/>
  <c r="G1365" i="13" s="1"/>
  <c r="G1366" i="13" s="1"/>
  <c r="G1367" i="13" s="1"/>
  <c r="G1368" i="13" s="1"/>
  <c r="G1369" i="13" s="1"/>
  <c r="G1370" i="13" s="1"/>
  <c r="G1371" i="13" s="1"/>
  <c r="G1372" i="13" s="1"/>
  <c r="G1373" i="13" s="1"/>
  <c r="G1374" i="13" s="1"/>
  <c r="G1375" i="13" s="1"/>
  <c r="G1376" i="13" s="1"/>
  <c r="G1377" i="13" s="1"/>
  <c r="G1378" i="13" s="1"/>
  <c r="G1379" i="13" s="1"/>
  <c r="G1380" i="13" s="1"/>
  <c r="G1381" i="13" s="1"/>
  <c r="G1382" i="13" s="1"/>
  <c r="G1383" i="13" s="1"/>
  <c r="G1384" i="13" s="1"/>
  <c r="G1385" i="13" s="1"/>
  <c r="G1386" i="13" s="1"/>
  <c r="G1387" i="13" s="1"/>
  <c r="G1388" i="13" s="1"/>
  <c r="G1389" i="13" s="1"/>
  <c r="G1390" i="13" s="1"/>
  <c r="G1391" i="13" s="1"/>
  <c r="G1392" i="13" s="1"/>
  <c r="G1393" i="13" s="1"/>
  <c r="G1394" i="13" s="1"/>
  <c r="G1395" i="13" s="1"/>
  <c r="G1396" i="13" s="1"/>
  <c r="G1397" i="13" s="1"/>
  <c r="G1398" i="13" s="1"/>
  <c r="G1399" i="13" s="1"/>
  <c r="G1400" i="13" s="1"/>
  <c r="G1401" i="13" s="1"/>
  <c r="G1248" i="13"/>
  <c r="G1249" i="13" s="1"/>
  <c r="G1250" i="13" s="1"/>
  <c r="G1251" i="13" s="1"/>
  <c r="G1252" i="13" s="1"/>
  <c r="G1253" i="13" s="1"/>
  <c r="G1254" i="13" s="1"/>
  <c r="B15" i="18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53" i="18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15" i="16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53" i="16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53" i="15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15" i="15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53" i="13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15" i="13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F103" i="8"/>
  <c r="F104" i="8"/>
  <c r="F105" i="8"/>
  <c r="F108" i="8"/>
  <c r="F109" i="8"/>
  <c r="F113" i="8"/>
  <c r="F114" i="8"/>
  <c r="F115" i="8"/>
  <c r="F116" i="8"/>
  <c r="F117" i="8"/>
  <c r="F118" i="8"/>
  <c r="F119" i="8"/>
  <c r="F120" i="8"/>
  <c r="F136" i="8"/>
  <c r="F137" i="8"/>
  <c r="F141" i="8"/>
  <c r="F26" i="3"/>
  <c r="F29" i="3"/>
  <c r="F32" i="3"/>
  <c r="F35" i="3"/>
  <c r="F38" i="3"/>
  <c r="F153" i="8"/>
  <c r="F154" i="8"/>
  <c r="F155" i="8"/>
  <c r="F156" i="8"/>
  <c r="F157" i="8"/>
  <c r="F158" i="8"/>
  <c r="B53" i="8"/>
  <c r="B15" i="8"/>
  <c r="F1200" i="18"/>
  <c r="F1174" i="18"/>
  <c r="F1113" i="18"/>
  <c r="F1082" i="18"/>
  <c r="F1044" i="18"/>
  <c r="F989" i="18"/>
  <c r="F969" i="18"/>
  <c r="F936" i="18"/>
  <c r="F884" i="18"/>
  <c r="F839" i="18"/>
  <c r="F799" i="18"/>
  <c r="F765" i="18"/>
  <c r="F720" i="18"/>
  <c r="F675" i="18"/>
  <c r="F634" i="18"/>
  <c r="F587" i="18"/>
  <c r="F513" i="18"/>
  <c r="F490" i="18"/>
  <c r="F467" i="18"/>
  <c r="F447" i="18"/>
  <c r="F425" i="18"/>
  <c r="F400" i="18"/>
  <c r="F380" i="18"/>
  <c r="F339" i="18"/>
  <c r="F286" i="18"/>
  <c r="F254" i="18"/>
  <c r="F237" i="18"/>
  <c r="F211" i="18"/>
  <c r="F180" i="18"/>
  <c r="F132" i="18"/>
  <c r="F99" i="18"/>
  <c r="F50" i="18"/>
  <c r="B18" i="7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M2" i="8"/>
  <c r="B4" i="18"/>
  <c r="B203" i="18" s="1"/>
  <c r="B5" i="18"/>
  <c r="B1038" i="18"/>
  <c r="B7" i="18"/>
  <c r="B290" i="18"/>
  <c r="B291" i="18" s="1"/>
  <c r="B292" i="18" s="1"/>
  <c r="B293" i="18" s="1"/>
  <c r="B294" i="18" s="1"/>
  <c r="B295" i="18" s="1"/>
  <c r="B296" i="18" s="1"/>
  <c r="B297" i="18" s="1"/>
  <c r="B298" i="18" s="1"/>
  <c r="B299" i="18" s="1"/>
  <c r="B300" i="18" s="1"/>
  <c r="B301" i="18" s="1"/>
  <c r="B302" i="18" s="1"/>
  <c r="B303" i="18" s="1"/>
  <c r="B304" i="18" s="1"/>
  <c r="B305" i="18" s="1"/>
  <c r="B306" i="18" s="1"/>
  <c r="B307" i="18" s="1"/>
  <c r="B308" i="18" s="1"/>
  <c r="B309" i="18" s="1"/>
  <c r="B310" i="18" s="1"/>
  <c r="B311" i="18" s="1"/>
  <c r="B312" i="18" s="1"/>
  <c r="B313" i="18" s="1"/>
  <c r="B314" i="18" s="1"/>
  <c r="B315" i="18" s="1"/>
  <c r="B316" i="18" s="1"/>
  <c r="B317" i="18" s="1"/>
  <c r="B318" i="18" s="1"/>
  <c r="B319" i="18" s="1"/>
  <c r="B320" i="18" s="1"/>
  <c r="B321" i="18" s="1"/>
  <c r="B322" i="18" s="1"/>
  <c r="B323" i="18" s="1"/>
  <c r="B324" i="18" s="1"/>
  <c r="B325" i="18" s="1"/>
  <c r="B326" i="18" s="1"/>
  <c r="B327" i="18" s="1"/>
  <c r="B257" i="18"/>
  <c r="B258" i="18" s="1"/>
  <c r="B259" i="18" s="1"/>
  <c r="B260" i="18" s="1"/>
  <c r="B261" i="18" s="1"/>
  <c r="B262" i="18" s="1"/>
  <c r="B263" i="18" s="1"/>
  <c r="B264" i="18" s="1"/>
  <c r="B265" i="18" s="1"/>
  <c r="B266" i="18" s="1"/>
  <c r="B267" i="18" s="1"/>
  <c r="B268" i="18" s="1"/>
  <c r="B269" i="18" s="1"/>
  <c r="B270" i="18" s="1"/>
  <c r="B271" i="18" s="1"/>
  <c r="B272" i="18" s="1"/>
  <c r="B273" i="18" s="1"/>
  <c r="B274" i="18" s="1"/>
  <c r="B275" i="18" s="1"/>
  <c r="B276" i="18" s="1"/>
  <c r="B102" i="18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F263" i="8"/>
  <c r="F264" i="8"/>
  <c r="F268" i="8"/>
  <c r="F269" i="8"/>
  <c r="F270" i="8"/>
  <c r="F271" i="8"/>
  <c r="F272" i="8"/>
  <c r="F273" i="8"/>
  <c r="F274" i="8"/>
  <c r="F275" i="8"/>
  <c r="F290" i="8"/>
  <c r="F291" i="8"/>
  <c r="F292" i="8"/>
  <c r="F307" i="8"/>
  <c r="F308" i="8"/>
  <c r="F309" i="8"/>
  <c r="F310" i="8"/>
  <c r="F311" i="8"/>
  <c r="F258" i="8"/>
  <c r="F259" i="8"/>
  <c r="F260" i="8"/>
  <c r="B257" i="8"/>
  <c r="B102" i="8"/>
  <c r="B257" i="13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102" i="13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257" i="15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102" i="15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290" i="16"/>
  <c r="B257" i="16"/>
  <c r="B102" i="16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F407" i="18"/>
  <c r="L49" i="8"/>
  <c r="L48" i="8"/>
  <c r="B6" i="16"/>
  <c r="B793" i="16" s="1"/>
  <c r="B6" i="13"/>
  <c r="B669" i="13" s="1"/>
  <c r="B6" i="15"/>
  <c r="B231" i="15" s="1"/>
  <c r="B1203" i="18"/>
  <c r="B1204" i="18" s="1"/>
  <c r="B1205" i="18" s="1"/>
  <c r="B1206" i="18" s="1"/>
  <c r="B1207" i="18" s="1"/>
  <c r="B1208" i="18" s="1"/>
  <c r="B1209" i="18" s="1"/>
  <c r="B1210" i="18" s="1"/>
  <c r="B1211" i="18" s="1"/>
  <c r="B1212" i="18" s="1"/>
  <c r="B1213" i="18" s="1"/>
  <c r="B1214" i="18" s="1"/>
  <c r="B1215" i="18" s="1"/>
  <c r="B1216" i="18" s="1"/>
  <c r="B1217" i="18" s="1"/>
  <c r="B1218" i="18" s="1"/>
  <c r="B1219" i="18" s="1"/>
  <c r="B1220" i="18" s="1"/>
  <c r="B1221" i="18" s="1"/>
  <c r="B1222" i="18" s="1"/>
  <c r="B1223" i="18" s="1"/>
  <c r="B1224" i="18" s="1"/>
  <c r="B1225" i="18" s="1"/>
  <c r="B1226" i="18" s="1"/>
  <c r="B1227" i="18" s="1"/>
  <c r="B1228" i="18" s="1"/>
  <c r="B1229" i="18" s="1"/>
  <c r="B1230" i="18" s="1"/>
  <c r="B1203" i="16"/>
  <c r="B1203" i="15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03" i="13"/>
  <c r="B1204" i="13" s="1"/>
  <c r="B1205" i="13" s="1"/>
  <c r="B1206" i="13" s="1"/>
  <c r="B1207" i="13" s="1"/>
  <c r="B1208" i="13" s="1"/>
  <c r="B1209" i="13" s="1"/>
  <c r="B1210" i="13" s="1"/>
  <c r="B1211" i="13" s="1"/>
  <c r="B1212" i="13" s="1"/>
  <c r="B1213" i="13" s="1"/>
  <c r="B1214" i="13" s="1"/>
  <c r="B1215" i="13" s="1"/>
  <c r="B1216" i="13" s="1"/>
  <c r="B1217" i="13" s="1"/>
  <c r="B1218" i="13" s="1"/>
  <c r="B1219" i="13" s="1"/>
  <c r="B1220" i="13" s="1"/>
  <c r="B1221" i="13" s="1"/>
  <c r="B1222" i="13" s="1"/>
  <c r="B1223" i="13" s="1"/>
  <c r="B1224" i="13" s="1"/>
  <c r="B1225" i="13" s="1"/>
  <c r="B1226" i="13" s="1"/>
  <c r="B1227" i="13" s="1"/>
  <c r="B1228" i="13" s="1"/>
  <c r="B1229" i="13" s="1"/>
  <c r="B1230" i="13" s="1"/>
  <c r="B1204" i="8"/>
  <c r="B52" i="5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P59" i="5"/>
  <c r="P58" i="5"/>
  <c r="E61" i="5"/>
  <c r="E89" i="5" s="1"/>
  <c r="F61" i="5"/>
  <c r="F89" i="5" s="1"/>
  <c r="H61" i="5"/>
  <c r="H89" i="5" s="1"/>
  <c r="L61" i="5"/>
  <c r="L89" i="5" s="1"/>
  <c r="P54" i="5"/>
  <c r="P67" i="5"/>
  <c r="P17" i="7"/>
  <c r="G409" i="8"/>
  <c r="H409" i="8"/>
  <c r="I409" i="8"/>
  <c r="D306" i="18"/>
  <c r="D305" i="18"/>
  <c r="D304" i="18"/>
  <c r="D152" i="18"/>
  <c r="D151" i="18"/>
  <c r="D150" i="18"/>
  <c r="D306" i="16"/>
  <c r="D305" i="16"/>
  <c r="D304" i="16"/>
  <c r="D152" i="16"/>
  <c r="D151" i="16"/>
  <c r="D150" i="16"/>
  <c r="B7" i="16"/>
  <c r="B281" i="16" s="1"/>
  <c r="B5" i="16"/>
  <c r="B4" i="16"/>
  <c r="B712" i="16" s="1"/>
  <c r="F407" i="15"/>
  <c r="H407" i="44" s="1"/>
  <c r="F406" i="15"/>
  <c r="H406" i="44" s="1"/>
  <c r="F405" i="15"/>
  <c r="H405" i="44" s="1"/>
  <c r="D306" i="15"/>
  <c r="D305" i="15"/>
  <c r="D304" i="15"/>
  <c r="D152" i="15"/>
  <c r="D151" i="15"/>
  <c r="D150" i="15"/>
  <c r="B7" i="15"/>
  <c r="B94" i="15" s="1"/>
  <c r="B5" i="15"/>
  <c r="B332" i="15" s="1"/>
  <c r="B4" i="15"/>
  <c r="B1236" i="15" s="1"/>
  <c r="F407" i="13"/>
  <c r="F407" i="44" s="1"/>
  <c r="F406" i="13"/>
  <c r="F406" i="44" s="1"/>
  <c r="F405" i="13"/>
  <c r="F405" i="44" s="1"/>
  <c r="D306" i="13"/>
  <c r="D305" i="13"/>
  <c r="D304" i="13"/>
  <c r="D152" i="13"/>
  <c r="D151" i="13"/>
  <c r="D150" i="13"/>
  <c r="B7" i="13"/>
  <c r="B175" i="13" s="1"/>
  <c r="B5" i="13"/>
  <c r="B92" i="13" s="1"/>
  <c r="B4" i="13"/>
  <c r="B372" i="13" s="1"/>
  <c r="F196" i="8"/>
  <c r="F195" i="8"/>
  <c r="F184" i="8"/>
  <c r="F185" i="8"/>
  <c r="F186" i="8"/>
  <c r="F187" i="8"/>
  <c r="F188" i="8"/>
  <c r="F189" i="8"/>
  <c r="F190" i="8"/>
  <c r="F191" i="8"/>
  <c r="F192" i="8"/>
  <c r="F359" i="8"/>
  <c r="F360" i="8"/>
  <c r="F345" i="8"/>
  <c r="F346" i="8"/>
  <c r="F347" i="8"/>
  <c r="F348" i="8"/>
  <c r="F349" i="8"/>
  <c r="F350" i="8"/>
  <c r="F351" i="8"/>
  <c r="F352" i="8"/>
  <c r="F353" i="8"/>
  <c r="F595" i="8"/>
  <c r="F596" i="8"/>
  <c r="F600" i="8"/>
  <c r="F473" i="8"/>
  <c r="F452" i="8"/>
  <c r="F431" i="8"/>
  <c r="F432" i="8"/>
  <c r="F385" i="8"/>
  <c r="F411" i="8"/>
  <c r="F620" i="8"/>
  <c r="F1121" i="8"/>
  <c r="F1122" i="8"/>
  <c r="F1123" i="8"/>
  <c r="F1127" i="8"/>
  <c r="F1098" i="8"/>
  <c r="F1099" i="8"/>
  <c r="F1094" i="8"/>
  <c r="F1088" i="8"/>
  <c r="F1089" i="8"/>
  <c r="F1090" i="8"/>
  <c r="F995" i="8"/>
  <c r="F996" i="8"/>
  <c r="F997" i="8"/>
  <c r="F1001" i="8"/>
  <c r="F1016" i="8"/>
  <c r="F1017" i="8"/>
  <c r="F1018" i="8"/>
  <c r="F1022" i="8"/>
  <c r="F1023" i="8"/>
  <c r="F1024" i="8"/>
  <c r="F1025" i="8"/>
  <c r="F1026" i="8"/>
  <c r="F1027" i="8"/>
  <c r="F1028" i="8"/>
  <c r="F1029" i="8"/>
  <c r="F1030" i="8"/>
  <c r="F1031" i="8"/>
  <c r="F1049" i="8"/>
  <c r="F1050" i="8"/>
  <c r="F1051" i="8"/>
  <c r="F1052" i="8"/>
  <c r="F1053" i="8"/>
  <c r="F1054" i="8"/>
  <c r="F1055" i="8"/>
  <c r="F1060" i="8"/>
  <c r="F1061" i="8"/>
  <c r="F1062" i="8"/>
  <c r="F1067" i="8"/>
  <c r="F10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44" i="8"/>
  <c r="F745" i="8"/>
  <c r="F746" i="8"/>
  <c r="F747" i="8"/>
  <c r="F748" i="8"/>
  <c r="F734" i="8"/>
  <c r="F735" i="8"/>
  <c r="F736" i="8"/>
  <c r="F737" i="8"/>
  <c r="F738" i="8"/>
  <c r="F724" i="8"/>
  <c r="F725" i="8"/>
  <c r="F726" i="8"/>
  <c r="F727" i="8"/>
  <c r="F728" i="8"/>
  <c r="F696" i="8"/>
  <c r="F697" i="8"/>
  <c r="F698" i="8"/>
  <c r="F699" i="8"/>
  <c r="F700" i="8"/>
  <c r="F701" i="8"/>
  <c r="F702" i="8"/>
  <c r="F703" i="8"/>
  <c r="F704" i="8"/>
  <c r="F680" i="8"/>
  <c r="F681" i="8"/>
  <c r="F682" i="8"/>
  <c r="F683" i="8"/>
  <c r="F684" i="8"/>
  <c r="F685" i="8"/>
  <c r="F686" i="8"/>
  <c r="F687" i="8"/>
  <c r="F688" i="8"/>
  <c r="F689" i="8"/>
  <c r="F653" i="8"/>
  <c r="F654" i="8"/>
  <c r="F655" i="8"/>
  <c r="F656" i="8"/>
  <c r="F657" i="8"/>
  <c r="F658" i="8"/>
  <c r="F640" i="8"/>
  <c r="F641" i="8"/>
  <c r="F642" i="8"/>
  <c r="F643" i="8"/>
  <c r="F644" i="8"/>
  <c r="F645" i="8"/>
  <c r="F646" i="8"/>
  <c r="F647" i="8"/>
  <c r="F912" i="8"/>
  <c r="F913" i="8"/>
  <c r="F914" i="8"/>
  <c r="F917" i="8"/>
  <c r="F918" i="8"/>
  <c r="F905" i="8"/>
  <c r="F906" i="8"/>
  <c r="F900" i="8"/>
  <c r="F901" i="8"/>
  <c r="F888" i="8"/>
  <c r="F889" i="8"/>
  <c r="F892" i="8"/>
  <c r="F893" i="8"/>
  <c r="F894" i="8"/>
  <c r="F844" i="8"/>
  <c r="F845" i="8"/>
  <c r="F846" i="8"/>
  <c r="F847" i="8"/>
  <c r="F848" i="8"/>
  <c r="F849" i="8"/>
  <c r="F850" i="8"/>
  <c r="F851" i="8"/>
  <c r="F852" i="8"/>
  <c r="F855" i="8"/>
  <c r="F860" i="8"/>
  <c r="F861" i="8"/>
  <c r="F862" i="8"/>
  <c r="F863" i="8"/>
  <c r="F864" i="8"/>
  <c r="F865" i="8"/>
  <c r="F866" i="8"/>
  <c r="F867" i="8"/>
  <c r="F870" i="8"/>
  <c r="F817" i="8"/>
  <c r="F818" i="8"/>
  <c r="F819" i="8"/>
  <c r="F820" i="8"/>
  <c r="F821" i="8"/>
  <c r="F822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D306" i="8"/>
  <c r="D305" i="8"/>
  <c r="D304" i="8"/>
  <c r="F241" i="8"/>
  <c r="D152" i="8"/>
  <c r="D151" i="8"/>
  <c r="D150" i="8"/>
  <c r="F409" i="8"/>
  <c r="B6" i="7"/>
  <c r="B5" i="7"/>
  <c r="B4" i="7"/>
  <c r="B3" i="7"/>
  <c r="F56" i="3"/>
  <c r="F53" i="3"/>
  <c r="I50" i="3"/>
  <c r="H50" i="3"/>
  <c r="F50" i="3"/>
  <c r="F47" i="3"/>
  <c r="F44" i="3"/>
  <c r="B106" i="14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63" i="14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7" i="14"/>
  <c r="B18" i="14" s="1"/>
  <c r="Q1201" i="18"/>
  <c r="P1201" i="18"/>
  <c r="N1201" i="18"/>
  <c r="O1201" i="18"/>
  <c r="M1201" i="18"/>
  <c r="L1201" i="18"/>
  <c r="K1201" i="18"/>
  <c r="J1201" i="18"/>
  <c r="S1201" i="18"/>
  <c r="R1201" i="18"/>
  <c r="S1200" i="18"/>
  <c r="R1200" i="18"/>
  <c r="S1199" i="18"/>
  <c r="R1199" i="18"/>
  <c r="F1199" i="18"/>
  <c r="B1177" i="18"/>
  <c r="B1178" i="18" s="1"/>
  <c r="B1179" i="18" s="1"/>
  <c r="B1180" i="18" s="1"/>
  <c r="B1181" i="18" s="1"/>
  <c r="B1182" i="18" s="1"/>
  <c r="B1183" i="18" s="1"/>
  <c r="B1184" i="18" s="1"/>
  <c r="B1185" i="18" s="1"/>
  <c r="B1186" i="18" s="1"/>
  <c r="B1187" i="18" s="1"/>
  <c r="B1188" i="18" s="1"/>
  <c r="Q1175" i="18"/>
  <c r="P1175" i="18"/>
  <c r="N1175" i="18"/>
  <c r="O1175" i="18"/>
  <c r="M1175" i="18"/>
  <c r="L1175" i="18"/>
  <c r="K1175" i="18"/>
  <c r="J1175" i="18"/>
  <c r="S1175" i="18"/>
  <c r="R1175" i="18"/>
  <c r="S1174" i="18"/>
  <c r="R1174" i="18"/>
  <c r="S1173" i="18"/>
  <c r="R1173" i="18"/>
  <c r="F1173" i="18"/>
  <c r="B1116" i="18"/>
  <c r="B1117" i="18" s="1"/>
  <c r="B1118" i="18" s="1"/>
  <c r="B1119" i="18" s="1"/>
  <c r="B1120" i="18" s="1"/>
  <c r="B1121" i="18" s="1"/>
  <c r="B1122" i="18" s="1"/>
  <c r="B1123" i="18" s="1"/>
  <c r="B1124" i="18" s="1"/>
  <c r="B1125" i="18" s="1"/>
  <c r="B1126" i="18" s="1"/>
  <c r="B1127" i="18" s="1"/>
  <c r="B1128" i="18" s="1"/>
  <c r="B1129" i="18" s="1"/>
  <c r="B1130" i="18" s="1"/>
  <c r="B1131" i="18" s="1"/>
  <c r="B1132" i="18" s="1"/>
  <c r="B1133" i="18" s="1"/>
  <c r="B1134" i="18" s="1"/>
  <c r="B1135" i="18" s="1"/>
  <c r="B1136" i="18" s="1"/>
  <c r="B1137" i="18" s="1"/>
  <c r="B1138" i="18" s="1"/>
  <c r="B1139" i="18" s="1"/>
  <c r="B1140" i="18" s="1"/>
  <c r="B1141" i="18" s="1"/>
  <c r="B1142" i="18" s="1"/>
  <c r="B1143" i="18" s="1"/>
  <c r="B1144" i="18" s="1"/>
  <c r="B1145" i="18" s="1"/>
  <c r="B1146" i="18" s="1"/>
  <c r="B1147" i="18" s="1"/>
  <c r="B1148" i="18" s="1"/>
  <c r="B1149" i="18" s="1"/>
  <c r="B1150" i="18" s="1"/>
  <c r="B1151" i="18" s="1"/>
  <c r="B1152" i="18" s="1"/>
  <c r="B1153" i="18" s="1"/>
  <c r="B1154" i="18" s="1"/>
  <c r="B1155" i="18" s="1"/>
  <c r="B1156" i="18" s="1"/>
  <c r="B1157" i="18" s="1"/>
  <c r="B1158" i="18" s="1"/>
  <c r="B1159" i="18" s="1"/>
  <c r="B1160" i="18" s="1"/>
  <c r="B1161" i="18" s="1"/>
  <c r="B1162" i="18" s="1"/>
  <c r="Q1114" i="18"/>
  <c r="P1114" i="18"/>
  <c r="N1114" i="18"/>
  <c r="O1114" i="18"/>
  <c r="M1114" i="18"/>
  <c r="L1114" i="18"/>
  <c r="K1114" i="18"/>
  <c r="J1114" i="18"/>
  <c r="S1114" i="18"/>
  <c r="R1114" i="18"/>
  <c r="S1113" i="18"/>
  <c r="R1113" i="18"/>
  <c r="S1112" i="18"/>
  <c r="R1112" i="18"/>
  <c r="F1112" i="18"/>
  <c r="B1085" i="18"/>
  <c r="B1086" i="18" s="1"/>
  <c r="B1087" i="18" s="1"/>
  <c r="B1088" i="18" s="1"/>
  <c r="B1089" i="18" s="1"/>
  <c r="B1090" i="18" s="1"/>
  <c r="B1091" i="18" s="1"/>
  <c r="B1092" i="18" s="1"/>
  <c r="B1093" i="18" s="1"/>
  <c r="B1094" i="18" s="1"/>
  <c r="B1095" i="18" s="1"/>
  <c r="B1096" i="18" s="1"/>
  <c r="B1097" i="18" s="1"/>
  <c r="B1098" i="18" s="1"/>
  <c r="B1099" i="18" s="1"/>
  <c r="Q1083" i="18"/>
  <c r="P1083" i="18"/>
  <c r="N1083" i="18"/>
  <c r="O1083" i="18"/>
  <c r="M1083" i="18"/>
  <c r="L1083" i="18"/>
  <c r="K1083" i="18"/>
  <c r="J1083" i="18"/>
  <c r="S1083" i="18"/>
  <c r="R1083" i="18"/>
  <c r="S1082" i="18"/>
  <c r="R1082" i="18"/>
  <c r="S1081" i="18"/>
  <c r="R1081" i="18"/>
  <c r="F1081" i="18"/>
  <c r="B1047" i="18"/>
  <c r="B1048" i="18" s="1"/>
  <c r="B1049" i="18" s="1"/>
  <c r="B1050" i="18" s="1"/>
  <c r="B1051" i="18" s="1"/>
  <c r="B1052" i="18" s="1"/>
  <c r="B1053" i="18" s="1"/>
  <c r="B1054" i="18" s="1"/>
  <c r="B1055" i="18" s="1"/>
  <c r="B1056" i="18" s="1"/>
  <c r="B1057" i="18" s="1"/>
  <c r="B1058" i="18" s="1"/>
  <c r="B1059" i="18" s="1"/>
  <c r="B1060" i="18" s="1"/>
  <c r="B1061" i="18" s="1"/>
  <c r="B1062" i="18" s="1"/>
  <c r="B1063" i="18" s="1"/>
  <c r="B1064" i="18" s="1"/>
  <c r="B1065" i="18" s="1"/>
  <c r="B1066" i="18" s="1"/>
  <c r="B1067" i="18" s="1"/>
  <c r="B1068" i="18" s="1"/>
  <c r="B1069" i="18" s="1"/>
  <c r="B1070" i="18" s="1"/>
  <c r="Q1045" i="18"/>
  <c r="P1045" i="18"/>
  <c r="N1045" i="18"/>
  <c r="O1045" i="18"/>
  <c r="M1045" i="18"/>
  <c r="L1045" i="18"/>
  <c r="K1045" i="18"/>
  <c r="J1045" i="18"/>
  <c r="S1045" i="18"/>
  <c r="R1045" i="18"/>
  <c r="S1044" i="18"/>
  <c r="R1044" i="18"/>
  <c r="S1043" i="18"/>
  <c r="R1043" i="18"/>
  <c r="F1043" i="18"/>
  <c r="B992" i="18"/>
  <c r="B993" i="18" s="1"/>
  <c r="B994" i="18" s="1"/>
  <c r="B995" i="18" s="1"/>
  <c r="B996" i="18" s="1"/>
  <c r="B997" i="18" s="1"/>
  <c r="B998" i="18" s="1"/>
  <c r="B999" i="18" s="1"/>
  <c r="B1000" i="18" s="1"/>
  <c r="B1001" i="18" s="1"/>
  <c r="B1002" i="18" s="1"/>
  <c r="B1003" i="18" s="1"/>
  <c r="B1004" i="18" s="1"/>
  <c r="B1005" i="18" s="1"/>
  <c r="B1006" i="18" s="1"/>
  <c r="B1007" i="18" s="1"/>
  <c r="B1008" i="18" s="1"/>
  <c r="B1009" i="18" s="1"/>
  <c r="B1010" i="18" s="1"/>
  <c r="B1011" i="18" s="1"/>
  <c r="B1012" i="18" s="1"/>
  <c r="B1013" i="18" s="1"/>
  <c r="B1014" i="18" s="1"/>
  <c r="B1015" i="18" s="1"/>
  <c r="B1016" i="18" s="1"/>
  <c r="B1017" i="18" s="1"/>
  <c r="B1018" i="18" s="1"/>
  <c r="B1019" i="18" s="1"/>
  <c r="B1020" i="18" s="1"/>
  <c r="B1021" i="18" s="1"/>
  <c r="B1022" i="18" s="1"/>
  <c r="B1023" i="18" s="1"/>
  <c r="B1024" i="18" s="1"/>
  <c r="B1025" i="18" s="1"/>
  <c r="B1026" i="18" s="1"/>
  <c r="B1027" i="18" s="1"/>
  <c r="B1028" i="18" s="1"/>
  <c r="B1029" i="18" s="1"/>
  <c r="B1030" i="18" s="1"/>
  <c r="B1031" i="18" s="1"/>
  <c r="B1032" i="18" s="1"/>
  <c r="Q990" i="18"/>
  <c r="P990" i="18"/>
  <c r="N990" i="18"/>
  <c r="O990" i="18"/>
  <c r="M990" i="18"/>
  <c r="L990" i="18"/>
  <c r="K990" i="18"/>
  <c r="J990" i="18"/>
  <c r="S990" i="18"/>
  <c r="R990" i="18"/>
  <c r="S989" i="18"/>
  <c r="R989" i="18"/>
  <c r="S988" i="18"/>
  <c r="R988" i="18"/>
  <c r="F988" i="18"/>
  <c r="F978" i="18"/>
  <c r="B972" i="18"/>
  <c r="B973" i="18" s="1"/>
  <c r="B974" i="18" s="1"/>
  <c r="B975" i="18" s="1"/>
  <c r="B976" i="18" s="1"/>
  <c r="B977" i="18" s="1"/>
  <c r="B978" i="18" s="1"/>
  <c r="Q970" i="18"/>
  <c r="P970" i="18"/>
  <c r="N970" i="18"/>
  <c r="O970" i="18"/>
  <c r="M970" i="18"/>
  <c r="L970" i="18"/>
  <c r="K970" i="18"/>
  <c r="J970" i="18"/>
  <c r="S970" i="18"/>
  <c r="R970" i="18"/>
  <c r="S969" i="18"/>
  <c r="R969" i="18"/>
  <c r="S968" i="18"/>
  <c r="R968" i="18"/>
  <c r="F968" i="18"/>
  <c r="B939" i="18"/>
  <c r="B940" i="18" s="1"/>
  <c r="B941" i="18" s="1"/>
  <c r="B942" i="18" s="1"/>
  <c r="B943" i="18" s="1"/>
  <c r="B944" i="18" s="1"/>
  <c r="B945" i="18" s="1"/>
  <c r="B946" i="18" s="1"/>
  <c r="B947" i="18" s="1"/>
  <c r="B948" i="18" s="1"/>
  <c r="B949" i="18" s="1"/>
  <c r="B950" i="18" s="1"/>
  <c r="B951" i="18" s="1"/>
  <c r="B952" i="18" s="1"/>
  <c r="B953" i="18" s="1"/>
  <c r="B954" i="18" s="1"/>
  <c r="B955" i="18" s="1"/>
  <c r="B956" i="18" s="1"/>
  <c r="B957" i="18" s="1"/>
  <c r="Q937" i="18"/>
  <c r="P937" i="18"/>
  <c r="N937" i="18"/>
  <c r="O937" i="18"/>
  <c r="M937" i="18"/>
  <c r="L937" i="18"/>
  <c r="K937" i="18"/>
  <c r="J937" i="18"/>
  <c r="S937" i="18"/>
  <c r="R937" i="18"/>
  <c r="S936" i="18"/>
  <c r="R936" i="18"/>
  <c r="S935" i="18"/>
  <c r="R935" i="18"/>
  <c r="F935" i="18"/>
  <c r="B887" i="18"/>
  <c r="B888" i="18" s="1"/>
  <c r="B889" i="18" s="1"/>
  <c r="B890" i="18" s="1"/>
  <c r="B891" i="18" s="1"/>
  <c r="B892" i="18" s="1"/>
  <c r="B893" i="18" s="1"/>
  <c r="B894" i="18" s="1"/>
  <c r="B895" i="18" s="1"/>
  <c r="B896" i="18" s="1"/>
  <c r="B897" i="18" s="1"/>
  <c r="B898" i="18" s="1"/>
  <c r="B899" i="18" s="1"/>
  <c r="B900" i="18" s="1"/>
  <c r="B901" i="18" s="1"/>
  <c r="B902" i="18" s="1"/>
  <c r="B903" i="18" s="1"/>
  <c r="B904" i="18" s="1"/>
  <c r="B905" i="18" s="1"/>
  <c r="B906" i="18" s="1"/>
  <c r="B907" i="18" s="1"/>
  <c r="B908" i="18" s="1"/>
  <c r="B909" i="18" s="1"/>
  <c r="B910" i="18" s="1"/>
  <c r="B911" i="18" s="1"/>
  <c r="B912" i="18" s="1"/>
  <c r="B913" i="18" s="1"/>
  <c r="B914" i="18" s="1"/>
  <c r="B915" i="18" s="1"/>
  <c r="B916" i="18" s="1"/>
  <c r="B917" i="18" s="1"/>
  <c r="B918" i="18" s="1"/>
  <c r="B919" i="18" s="1"/>
  <c r="B920" i="18" s="1"/>
  <c r="B921" i="18" s="1"/>
  <c r="B922" i="18" s="1"/>
  <c r="B923" i="18" s="1"/>
  <c r="B924" i="18" s="1"/>
  <c r="B925" i="18" s="1"/>
  <c r="Q885" i="18"/>
  <c r="P885" i="18"/>
  <c r="N885" i="18"/>
  <c r="O885" i="18"/>
  <c r="M885" i="18"/>
  <c r="L885" i="18"/>
  <c r="K885" i="18"/>
  <c r="J885" i="18"/>
  <c r="S885" i="18"/>
  <c r="R885" i="18"/>
  <c r="S884" i="18"/>
  <c r="R884" i="18"/>
  <c r="S883" i="18"/>
  <c r="R883" i="18"/>
  <c r="F883" i="18"/>
  <c r="B842" i="18"/>
  <c r="B843" i="18" s="1"/>
  <c r="B844" i="18" s="1"/>
  <c r="B845" i="18" s="1"/>
  <c r="B846" i="18" s="1"/>
  <c r="B847" i="18" s="1"/>
  <c r="B848" i="18" s="1"/>
  <c r="B849" i="18" s="1"/>
  <c r="B850" i="18" s="1"/>
  <c r="B851" i="18" s="1"/>
  <c r="B852" i="18" s="1"/>
  <c r="B853" i="18" s="1"/>
  <c r="B854" i="18" s="1"/>
  <c r="B855" i="18" s="1"/>
  <c r="B856" i="18" s="1"/>
  <c r="B857" i="18" s="1"/>
  <c r="B858" i="18" s="1"/>
  <c r="B859" i="18" s="1"/>
  <c r="B860" i="18" s="1"/>
  <c r="B861" i="18" s="1"/>
  <c r="B862" i="18" s="1"/>
  <c r="B863" i="18" s="1"/>
  <c r="B864" i="18" s="1"/>
  <c r="B865" i="18" s="1"/>
  <c r="B866" i="18" s="1"/>
  <c r="B867" i="18" s="1"/>
  <c r="B868" i="18" s="1"/>
  <c r="B869" i="18" s="1"/>
  <c r="B870" i="18" s="1"/>
  <c r="B871" i="18" s="1"/>
  <c r="B872" i="18" s="1"/>
  <c r="B873" i="18" s="1"/>
  <c r="B874" i="18" s="1"/>
  <c r="Q840" i="18"/>
  <c r="P840" i="18"/>
  <c r="N840" i="18"/>
  <c r="O840" i="18"/>
  <c r="M840" i="18"/>
  <c r="L840" i="18"/>
  <c r="K840" i="18"/>
  <c r="J840" i="18"/>
  <c r="S840" i="18"/>
  <c r="R840" i="18"/>
  <c r="S839" i="18"/>
  <c r="R839" i="18"/>
  <c r="S838" i="18"/>
  <c r="R838" i="18"/>
  <c r="F838" i="18"/>
  <c r="B802" i="18"/>
  <c r="B803" i="18" s="1"/>
  <c r="B804" i="18" s="1"/>
  <c r="B805" i="18" s="1"/>
  <c r="B806" i="18" s="1"/>
  <c r="B807" i="18" s="1"/>
  <c r="B808" i="18" s="1"/>
  <c r="B809" i="18" s="1"/>
  <c r="B810" i="18" s="1"/>
  <c r="B811" i="18" s="1"/>
  <c r="B812" i="18" s="1"/>
  <c r="B813" i="18" s="1"/>
  <c r="B814" i="18" s="1"/>
  <c r="B815" i="18" s="1"/>
  <c r="B816" i="18" s="1"/>
  <c r="B817" i="18" s="1"/>
  <c r="B818" i="18" s="1"/>
  <c r="B819" i="18" s="1"/>
  <c r="B820" i="18" s="1"/>
  <c r="B821" i="18" s="1"/>
  <c r="B822" i="18" s="1"/>
  <c r="B823" i="18" s="1"/>
  <c r="B824" i="18" s="1"/>
  <c r="Q800" i="18"/>
  <c r="P800" i="18"/>
  <c r="N800" i="18"/>
  <c r="O800" i="18"/>
  <c r="M800" i="18"/>
  <c r="L800" i="18"/>
  <c r="K800" i="18"/>
  <c r="J800" i="18"/>
  <c r="S800" i="18"/>
  <c r="R800" i="18"/>
  <c r="S799" i="18"/>
  <c r="R799" i="18"/>
  <c r="S798" i="18"/>
  <c r="R798" i="18"/>
  <c r="F798" i="18"/>
  <c r="B768" i="18"/>
  <c r="B769" i="18" s="1"/>
  <c r="B770" i="18" s="1"/>
  <c r="B771" i="18" s="1"/>
  <c r="B772" i="18" s="1"/>
  <c r="B773" i="18" s="1"/>
  <c r="B774" i="18" s="1"/>
  <c r="B775" i="18" s="1"/>
  <c r="B776" i="18" s="1"/>
  <c r="B777" i="18" s="1"/>
  <c r="B778" i="18" s="1"/>
  <c r="B779" i="18" s="1"/>
  <c r="B780" i="18" s="1"/>
  <c r="B781" i="18" s="1"/>
  <c r="B782" i="18" s="1"/>
  <c r="B783" i="18" s="1"/>
  <c r="B784" i="18" s="1"/>
  <c r="B785" i="18" s="1"/>
  <c r="B786" i="18" s="1"/>
  <c r="B787" i="18" s="1"/>
  <c r="Q766" i="18"/>
  <c r="P766" i="18"/>
  <c r="N766" i="18"/>
  <c r="O766" i="18"/>
  <c r="M766" i="18"/>
  <c r="L766" i="18"/>
  <c r="K766" i="18"/>
  <c r="J766" i="18"/>
  <c r="S766" i="18"/>
  <c r="R766" i="18"/>
  <c r="S765" i="18"/>
  <c r="R765" i="18"/>
  <c r="S764" i="18"/>
  <c r="R764" i="18"/>
  <c r="F764" i="18"/>
  <c r="B723" i="18"/>
  <c r="B724" i="18" s="1"/>
  <c r="B725" i="18" s="1"/>
  <c r="B726" i="18" s="1"/>
  <c r="B727" i="18" s="1"/>
  <c r="B728" i="18" s="1"/>
  <c r="B729" i="18" s="1"/>
  <c r="B730" i="18" s="1"/>
  <c r="B731" i="18" s="1"/>
  <c r="B732" i="18" s="1"/>
  <c r="B733" i="18" s="1"/>
  <c r="B734" i="18" s="1"/>
  <c r="B735" i="18" s="1"/>
  <c r="B736" i="18" s="1"/>
  <c r="B737" i="18" s="1"/>
  <c r="B738" i="18" s="1"/>
  <c r="B739" i="18" s="1"/>
  <c r="B740" i="18" s="1"/>
  <c r="B741" i="18" s="1"/>
  <c r="B742" i="18" s="1"/>
  <c r="B743" i="18" s="1"/>
  <c r="B744" i="18" s="1"/>
  <c r="B745" i="18" s="1"/>
  <c r="B746" i="18" s="1"/>
  <c r="B747" i="18" s="1"/>
  <c r="B748" i="18" s="1"/>
  <c r="B749" i="18" s="1"/>
  <c r="B750" i="18" s="1"/>
  <c r="B751" i="18" s="1"/>
  <c r="B752" i="18" s="1"/>
  <c r="B753" i="18" s="1"/>
  <c r="B754" i="18" s="1"/>
  <c r="Q721" i="18"/>
  <c r="P721" i="18"/>
  <c r="N721" i="18"/>
  <c r="O721" i="18"/>
  <c r="M721" i="18"/>
  <c r="L721" i="18"/>
  <c r="K721" i="18"/>
  <c r="J721" i="18"/>
  <c r="S721" i="18"/>
  <c r="R721" i="18"/>
  <c r="S720" i="18"/>
  <c r="R720" i="18"/>
  <c r="S719" i="18"/>
  <c r="R719" i="18"/>
  <c r="F719" i="18"/>
  <c r="B678" i="18"/>
  <c r="B679" i="18" s="1"/>
  <c r="B680" i="18" s="1"/>
  <c r="B681" i="18" s="1"/>
  <c r="B682" i="18" s="1"/>
  <c r="B683" i="18" s="1"/>
  <c r="B684" i="18" s="1"/>
  <c r="B685" i="18" s="1"/>
  <c r="B686" i="18" s="1"/>
  <c r="B687" i="18" s="1"/>
  <c r="B688" i="18" s="1"/>
  <c r="B689" i="18" s="1"/>
  <c r="B690" i="18" s="1"/>
  <c r="B691" i="18" s="1"/>
  <c r="B692" i="18" s="1"/>
  <c r="B693" i="18" s="1"/>
  <c r="B694" i="18" s="1"/>
  <c r="B695" i="18" s="1"/>
  <c r="B696" i="18" s="1"/>
  <c r="B697" i="18" s="1"/>
  <c r="B698" i="18" s="1"/>
  <c r="B699" i="18" s="1"/>
  <c r="B700" i="18" s="1"/>
  <c r="B701" i="18" s="1"/>
  <c r="B702" i="18" s="1"/>
  <c r="B703" i="18" s="1"/>
  <c r="B704" i="18" s="1"/>
  <c r="B705" i="18" s="1"/>
  <c r="B706" i="18" s="1"/>
  <c r="B707" i="18" s="1"/>
  <c r="B708" i="18" s="1"/>
  <c r="B709" i="18" s="1"/>
  <c r="Q676" i="18"/>
  <c r="P676" i="18"/>
  <c r="N676" i="18"/>
  <c r="O676" i="18"/>
  <c r="M676" i="18"/>
  <c r="L676" i="18"/>
  <c r="K676" i="18"/>
  <c r="J676" i="18"/>
  <c r="S676" i="18"/>
  <c r="R676" i="18"/>
  <c r="S675" i="18"/>
  <c r="R675" i="18"/>
  <c r="S674" i="18"/>
  <c r="R674" i="18"/>
  <c r="F674" i="18"/>
  <c r="B637" i="18"/>
  <c r="B638" i="18" s="1"/>
  <c r="B639" i="18" s="1"/>
  <c r="B640" i="18" s="1"/>
  <c r="B641" i="18" s="1"/>
  <c r="B642" i="18" s="1"/>
  <c r="B643" i="18" s="1"/>
  <c r="B644" i="18" s="1"/>
  <c r="B645" i="18" s="1"/>
  <c r="B646" i="18" s="1"/>
  <c r="B647" i="18" s="1"/>
  <c r="B648" i="18" s="1"/>
  <c r="B649" i="18" s="1"/>
  <c r="B650" i="18" s="1"/>
  <c r="B651" i="18" s="1"/>
  <c r="B652" i="18" s="1"/>
  <c r="B653" i="18" s="1"/>
  <c r="B654" i="18" s="1"/>
  <c r="B655" i="18" s="1"/>
  <c r="B656" i="18" s="1"/>
  <c r="B657" i="18" s="1"/>
  <c r="B658" i="18" s="1"/>
  <c r="B659" i="18" s="1"/>
  <c r="B660" i="18" s="1"/>
  <c r="B661" i="18" s="1"/>
  <c r="B662" i="18" s="1"/>
  <c r="B663" i="18" s="1"/>
  <c r="Q635" i="18"/>
  <c r="P635" i="18"/>
  <c r="N635" i="18"/>
  <c r="O635" i="18"/>
  <c r="M635" i="18"/>
  <c r="L635" i="18"/>
  <c r="K635" i="18"/>
  <c r="J635" i="18"/>
  <c r="S635" i="18"/>
  <c r="R635" i="18"/>
  <c r="S634" i="18"/>
  <c r="R634" i="18"/>
  <c r="S633" i="18"/>
  <c r="R633" i="18"/>
  <c r="F633" i="18"/>
  <c r="B590" i="18"/>
  <c r="B591" i="18" s="1"/>
  <c r="B592" i="18" s="1"/>
  <c r="B593" i="18" s="1"/>
  <c r="B594" i="18" s="1"/>
  <c r="B595" i="18" s="1"/>
  <c r="B596" i="18" s="1"/>
  <c r="B597" i="18" s="1"/>
  <c r="B598" i="18" s="1"/>
  <c r="B599" i="18" s="1"/>
  <c r="B600" i="18" s="1"/>
  <c r="B601" i="18" s="1"/>
  <c r="B602" i="18" s="1"/>
  <c r="B603" i="18" s="1"/>
  <c r="B604" i="18" s="1"/>
  <c r="B605" i="18" s="1"/>
  <c r="B606" i="18" s="1"/>
  <c r="B607" i="18" s="1"/>
  <c r="B608" i="18" s="1"/>
  <c r="B609" i="18" s="1"/>
  <c r="B610" i="18" s="1"/>
  <c r="B611" i="18" s="1"/>
  <c r="B612" i="18" s="1"/>
  <c r="B613" i="18" s="1"/>
  <c r="B614" i="18" s="1"/>
  <c r="B615" i="18" s="1"/>
  <c r="B616" i="18" s="1"/>
  <c r="B617" i="18" s="1"/>
  <c r="B618" i="18" s="1"/>
  <c r="B619" i="18" s="1"/>
  <c r="B620" i="18" s="1"/>
  <c r="B621" i="18" s="1"/>
  <c r="B622" i="18" s="1"/>
  <c r="Q588" i="18"/>
  <c r="P588" i="18"/>
  <c r="N588" i="18"/>
  <c r="O588" i="18"/>
  <c r="M588" i="18"/>
  <c r="L588" i="18"/>
  <c r="K588" i="18"/>
  <c r="J588" i="18"/>
  <c r="S588" i="18"/>
  <c r="R588" i="18"/>
  <c r="S587" i="18"/>
  <c r="R587" i="18"/>
  <c r="S586" i="18"/>
  <c r="R586" i="18"/>
  <c r="F586" i="18"/>
  <c r="B516" i="18"/>
  <c r="B517" i="18" s="1"/>
  <c r="B518" i="18" s="1"/>
  <c r="B519" i="18" s="1"/>
  <c r="B520" i="18" s="1"/>
  <c r="Q514" i="18"/>
  <c r="P514" i="18"/>
  <c r="N514" i="18"/>
  <c r="O514" i="18"/>
  <c r="M514" i="18"/>
  <c r="L514" i="18"/>
  <c r="K514" i="18"/>
  <c r="J514" i="18"/>
  <c r="S514" i="18"/>
  <c r="R514" i="18"/>
  <c r="S513" i="18"/>
  <c r="R513" i="18"/>
  <c r="S512" i="18"/>
  <c r="R512" i="18"/>
  <c r="F512" i="18"/>
  <c r="B493" i="18"/>
  <c r="B494" i="18" s="1"/>
  <c r="B495" i="18" s="1"/>
  <c r="B496" i="18" s="1"/>
  <c r="B497" i="18" s="1"/>
  <c r="B498" i="18" s="1"/>
  <c r="B499" i="18" s="1"/>
  <c r="B500" i="18" s="1"/>
  <c r="B501" i="18" s="1"/>
  <c r="Q491" i="18"/>
  <c r="P491" i="18"/>
  <c r="N491" i="18"/>
  <c r="O491" i="18"/>
  <c r="M491" i="18"/>
  <c r="L491" i="18"/>
  <c r="K491" i="18"/>
  <c r="J491" i="18"/>
  <c r="S491" i="18"/>
  <c r="R491" i="18"/>
  <c r="S490" i="18"/>
  <c r="R490" i="18"/>
  <c r="S489" i="18"/>
  <c r="R489" i="18"/>
  <c r="F489" i="18"/>
  <c r="B470" i="18"/>
  <c r="B471" i="18" s="1"/>
  <c r="B472" i="18" s="1"/>
  <c r="B473" i="18" s="1"/>
  <c r="B474" i="18" s="1"/>
  <c r="B475" i="18" s="1"/>
  <c r="B476" i="18" s="1"/>
  <c r="B477" i="18" s="1"/>
  <c r="B478" i="18" s="1"/>
  <c r="Q468" i="18"/>
  <c r="P468" i="18"/>
  <c r="N468" i="18"/>
  <c r="O468" i="18"/>
  <c r="M468" i="18"/>
  <c r="L468" i="18"/>
  <c r="K468" i="18"/>
  <c r="J468" i="18"/>
  <c r="S468" i="18"/>
  <c r="R468" i="18"/>
  <c r="S467" i="18"/>
  <c r="R467" i="18"/>
  <c r="S466" i="18"/>
  <c r="R466" i="18"/>
  <c r="F466" i="18"/>
  <c r="B450" i="18"/>
  <c r="B451" i="18" s="1"/>
  <c r="B452" i="18" s="1"/>
  <c r="B453" i="18" s="1"/>
  <c r="B454" i="18" s="1"/>
  <c r="B455" i="18" s="1"/>
  <c r="Q448" i="18"/>
  <c r="P448" i="18"/>
  <c r="N448" i="18"/>
  <c r="O448" i="18"/>
  <c r="M448" i="18"/>
  <c r="L448" i="18"/>
  <c r="K448" i="18"/>
  <c r="J448" i="18"/>
  <c r="S448" i="18"/>
  <c r="R448" i="18"/>
  <c r="S447" i="18"/>
  <c r="R447" i="18"/>
  <c r="S446" i="18"/>
  <c r="R446" i="18"/>
  <c r="F446" i="18"/>
  <c r="B428" i="18"/>
  <c r="B429" i="18" s="1"/>
  <c r="B430" i="18" s="1"/>
  <c r="B431" i="18" s="1"/>
  <c r="B432" i="18" s="1"/>
  <c r="B433" i="18" s="1"/>
  <c r="B434" i="18" s="1"/>
  <c r="B435" i="18" s="1"/>
  <c r="Q426" i="18"/>
  <c r="P426" i="18"/>
  <c r="N426" i="18"/>
  <c r="O426" i="18"/>
  <c r="M426" i="18"/>
  <c r="L426" i="18"/>
  <c r="K426" i="18"/>
  <c r="J426" i="18"/>
  <c r="S426" i="18"/>
  <c r="R426" i="18"/>
  <c r="S425" i="18"/>
  <c r="R425" i="18"/>
  <c r="S424" i="18"/>
  <c r="R424" i="18"/>
  <c r="F424" i="18"/>
  <c r="B403" i="18"/>
  <c r="B404" i="18" s="1"/>
  <c r="B405" i="18" s="1"/>
  <c r="B406" i="18" s="1"/>
  <c r="B407" i="18" s="1"/>
  <c r="B408" i="18" s="1"/>
  <c r="B409" i="18" s="1"/>
  <c r="B410" i="18" s="1"/>
  <c r="B411" i="18" s="1"/>
  <c r="B412" i="18" s="1"/>
  <c r="B413" i="18" s="1"/>
  <c r="U407" i="18"/>
  <c r="U406" i="18"/>
  <c r="U405" i="18"/>
  <c r="Q401" i="18"/>
  <c r="P401" i="18"/>
  <c r="N401" i="18"/>
  <c r="O401" i="18"/>
  <c r="M401" i="18"/>
  <c r="L401" i="18"/>
  <c r="K401" i="18"/>
  <c r="J401" i="18"/>
  <c r="S401" i="18"/>
  <c r="R401" i="18"/>
  <c r="S400" i="18"/>
  <c r="R400" i="18"/>
  <c r="S399" i="18"/>
  <c r="R399" i="18"/>
  <c r="F399" i="18"/>
  <c r="B383" i="18"/>
  <c r="B384" i="18" s="1"/>
  <c r="B385" i="18" s="1"/>
  <c r="B386" i="18" s="1"/>
  <c r="B387" i="18" s="1"/>
  <c r="B388" i="18" s="1"/>
  <c r="Q381" i="18"/>
  <c r="P381" i="18"/>
  <c r="N381" i="18"/>
  <c r="O381" i="18"/>
  <c r="M381" i="18"/>
  <c r="L381" i="18"/>
  <c r="K381" i="18"/>
  <c r="J381" i="18"/>
  <c r="S381" i="18"/>
  <c r="R381" i="18"/>
  <c r="S380" i="18"/>
  <c r="R380" i="18"/>
  <c r="S379" i="18"/>
  <c r="R379" i="18"/>
  <c r="F379" i="18"/>
  <c r="B343" i="18"/>
  <c r="B344" i="18" s="1"/>
  <c r="B345" i="18" s="1"/>
  <c r="B346" i="18" s="1"/>
  <c r="B347" i="18" s="1"/>
  <c r="B348" i="18" s="1"/>
  <c r="B349" i="18" s="1"/>
  <c r="B350" i="18" s="1"/>
  <c r="B351" i="18" s="1"/>
  <c r="B352" i="18" s="1"/>
  <c r="B353" i="18" s="1"/>
  <c r="B354" i="18" s="1"/>
  <c r="B355" i="18" s="1"/>
  <c r="B356" i="18" s="1"/>
  <c r="B357" i="18" s="1"/>
  <c r="B358" i="18" s="1"/>
  <c r="B359" i="18" s="1"/>
  <c r="B360" i="18" s="1"/>
  <c r="B361" i="18" s="1"/>
  <c r="B362" i="18" s="1"/>
  <c r="B363" i="18" s="1"/>
  <c r="B364" i="18" s="1"/>
  <c r="B365" i="18" s="1"/>
  <c r="B366" i="18" s="1"/>
  <c r="B367" i="18" s="1"/>
  <c r="B368" i="18" s="1"/>
  <c r="Q340" i="18"/>
  <c r="P340" i="18"/>
  <c r="N340" i="18"/>
  <c r="O340" i="18"/>
  <c r="M340" i="18"/>
  <c r="L340" i="18"/>
  <c r="K340" i="18"/>
  <c r="J340" i="18"/>
  <c r="S340" i="18"/>
  <c r="R340" i="18"/>
  <c r="S339" i="18"/>
  <c r="R339" i="18"/>
  <c r="S338" i="18"/>
  <c r="R338" i="18"/>
  <c r="F338" i="18"/>
  <c r="Q287" i="18"/>
  <c r="P287" i="18"/>
  <c r="N287" i="18"/>
  <c r="O287" i="18"/>
  <c r="M287" i="18"/>
  <c r="L287" i="18"/>
  <c r="K287" i="18"/>
  <c r="J287" i="18"/>
  <c r="S287" i="18"/>
  <c r="R287" i="18"/>
  <c r="S286" i="18"/>
  <c r="R286" i="18"/>
  <c r="S285" i="18"/>
  <c r="R285" i="18"/>
  <c r="F285" i="18"/>
  <c r="Q255" i="18"/>
  <c r="P255" i="18"/>
  <c r="N255" i="18"/>
  <c r="O255" i="18"/>
  <c r="M255" i="18"/>
  <c r="L255" i="18"/>
  <c r="K255" i="18"/>
  <c r="J255" i="18"/>
  <c r="S255" i="18"/>
  <c r="R255" i="18"/>
  <c r="S254" i="18"/>
  <c r="R254" i="18"/>
  <c r="S253" i="18"/>
  <c r="R253" i="18"/>
  <c r="F253" i="18"/>
  <c r="B240" i="18"/>
  <c r="B241" i="18" s="1"/>
  <c r="B242" i="18" s="1"/>
  <c r="B243" i="18" s="1"/>
  <c r="B244" i="18" s="1"/>
  <c r="Q238" i="18"/>
  <c r="P238" i="18"/>
  <c r="N238" i="18"/>
  <c r="O238" i="18"/>
  <c r="M238" i="18"/>
  <c r="L238" i="18"/>
  <c r="K238" i="18"/>
  <c r="J238" i="18"/>
  <c r="S238" i="18"/>
  <c r="R238" i="18"/>
  <c r="S237" i="18"/>
  <c r="R237" i="18"/>
  <c r="S236" i="18"/>
  <c r="R236" i="18"/>
  <c r="F236" i="18"/>
  <c r="B214" i="18"/>
  <c r="B215" i="18" s="1"/>
  <c r="B216" i="18" s="1"/>
  <c r="B217" i="18" s="1"/>
  <c r="B218" i="18" s="1"/>
  <c r="B219" i="18" s="1"/>
  <c r="B220" i="18" s="1"/>
  <c r="B221" i="18" s="1"/>
  <c r="B222" i="18" s="1"/>
  <c r="B223" i="18" s="1"/>
  <c r="B224" i="18" s="1"/>
  <c r="B225" i="18" s="1"/>
  <c r="Q212" i="18"/>
  <c r="P212" i="18"/>
  <c r="N212" i="18"/>
  <c r="O212" i="18"/>
  <c r="M212" i="18"/>
  <c r="L212" i="18"/>
  <c r="K212" i="18"/>
  <c r="J212" i="18"/>
  <c r="S212" i="18"/>
  <c r="R212" i="18"/>
  <c r="S211" i="18"/>
  <c r="R211" i="18"/>
  <c r="S210" i="18"/>
  <c r="R210" i="18"/>
  <c r="F210" i="18"/>
  <c r="B183" i="18"/>
  <c r="B184" i="18" s="1"/>
  <c r="B185" i="18" s="1"/>
  <c r="B186" i="18" s="1"/>
  <c r="B187" i="18" s="1"/>
  <c r="B188" i="18" s="1"/>
  <c r="B189" i="18" s="1"/>
  <c r="B190" i="18" s="1"/>
  <c r="B191" i="18" s="1"/>
  <c r="B192" i="18" s="1"/>
  <c r="B193" i="18" s="1"/>
  <c r="B194" i="18" s="1"/>
  <c r="B195" i="18" s="1"/>
  <c r="B196" i="18" s="1"/>
  <c r="B197" i="18" s="1"/>
  <c r="B198" i="18" s="1"/>
  <c r="B199" i="18" s="1"/>
  <c r="Q181" i="18"/>
  <c r="P181" i="18"/>
  <c r="N181" i="18"/>
  <c r="O181" i="18"/>
  <c r="M181" i="18"/>
  <c r="L181" i="18"/>
  <c r="K181" i="18"/>
  <c r="J181" i="18"/>
  <c r="S181" i="18"/>
  <c r="R181" i="18"/>
  <c r="S180" i="18"/>
  <c r="R180" i="18"/>
  <c r="S179" i="18"/>
  <c r="R179" i="18"/>
  <c r="F179" i="18"/>
  <c r="B136" i="18"/>
  <c r="B137" i="18" s="1"/>
  <c r="B138" i="18" s="1"/>
  <c r="B139" i="18" s="1"/>
  <c r="B140" i="18" s="1"/>
  <c r="B141" i="18" s="1"/>
  <c r="B142" i="18" s="1"/>
  <c r="B143" i="18" s="1"/>
  <c r="B144" i="18" s="1"/>
  <c r="B145" i="18" s="1"/>
  <c r="B146" i="18" s="1"/>
  <c r="B147" i="18" s="1"/>
  <c r="B148" i="18" s="1"/>
  <c r="B149" i="18" s="1"/>
  <c r="B150" i="18" s="1"/>
  <c r="B151" i="18" s="1"/>
  <c r="B152" i="18" s="1"/>
  <c r="B153" i="18" s="1"/>
  <c r="B154" i="18" s="1"/>
  <c r="B155" i="18" s="1"/>
  <c r="B156" i="18" s="1"/>
  <c r="B157" i="18" s="1"/>
  <c r="B158" i="18" s="1"/>
  <c r="B159" i="18" s="1"/>
  <c r="B160" i="18" s="1"/>
  <c r="B161" i="18" s="1"/>
  <c r="B162" i="18" s="1"/>
  <c r="B163" i="18" s="1"/>
  <c r="B164" i="18" s="1"/>
  <c r="B165" i="18" s="1"/>
  <c r="B166" i="18" s="1"/>
  <c r="B167" i="18" s="1"/>
  <c r="B168" i="18" s="1"/>
  <c r="Q133" i="18"/>
  <c r="P133" i="18"/>
  <c r="N133" i="18"/>
  <c r="O133" i="18"/>
  <c r="M133" i="18"/>
  <c r="L133" i="18"/>
  <c r="K133" i="18"/>
  <c r="J133" i="18"/>
  <c r="S133" i="18"/>
  <c r="R133" i="18"/>
  <c r="S132" i="18"/>
  <c r="R132" i="18"/>
  <c r="S131" i="18"/>
  <c r="R131" i="18"/>
  <c r="F131" i="18"/>
  <c r="Q100" i="18"/>
  <c r="P100" i="18"/>
  <c r="N100" i="18"/>
  <c r="O100" i="18"/>
  <c r="M100" i="18"/>
  <c r="L100" i="18"/>
  <c r="K100" i="18"/>
  <c r="J100" i="18"/>
  <c r="S100" i="18"/>
  <c r="R100" i="18"/>
  <c r="S99" i="18"/>
  <c r="R99" i="18"/>
  <c r="S98" i="18"/>
  <c r="R98" i="18"/>
  <c r="F98" i="18"/>
  <c r="Q51" i="18"/>
  <c r="P51" i="18"/>
  <c r="N51" i="18"/>
  <c r="O51" i="18"/>
  <c r="M51" i="18"/>
  <c r="L51" i="18"/>
  <c r="K51" i="18"/>
  <c r="J51" i="18"/>
  <c r="S51" i="18"/>
  <c r="R51" i="18"/>
  <c r="S50" i="18"/>
  <c r="R50" i="18"/>
  <c r="S49" i="18"/>
  <c r="R49" i="18"/>
  <c r="F49" i="18"/>
  <c r="B1355" i="16"/>
  <c r="B1356" i="16" s="1"/>
  <c r="B1357" i="16" s="1"/>
  <c r="B1358" i="16" s="1"/>
  <c r="B1359" i="16" s="1"/>
  <c r="B1360" i="16" s="1"/>
  <c r="B1361" i="16" s="1"/>
  <c r="B1362" i="16" s="1"/>
  <c r="B1363" i="16" s="1"/>
  <c r="B1364" i="16" s="1"/>
  <c r="B1365" i="16" s="1"/>
  <c r="B1366" i="16" s="1"/>
  <c r="B1367" i="16" s="1"/>
  <c r="B1368" i="16" s="1"/>
  <c r="B1369" i="16" s="1"/>
  <c r="B1370" i="16" s="1"/>
  <c r="B1371" i="16" s="1"/>
  <c r="B1372" i="16" s="1"/>
  <c r="B1373" i="16" s="1"/>
  <c r="B1374" i="16" s="1"/>
  <c r="B1375" i="16" s="1"/>
  <c r="B1376" i="16" s="1"/>
  <c r="B1377" i="16" s="1"/>
  <c r="B1378" i="16" s="1"/>
  <c r="B1379" i="16" s="1"/>
  <c r="B1380" i="16" s="1"/>
  <c r="B1381" i="16" s="1"/>
  <c r="B1382" i="16" s="1"/>
  <c r="B1383" i="16" s="1"/>
  <c r="B1384" i="16" s="1"/>
  <c r="B1385" i="16" s="1"/>
  <c r="B1386" i="16" s="1"/>
  <c r="B1387" i="16" s="1"/>
  <c r="B1388" i="16" s="1"/>
  <c r="B1389" i="16" s="1"/>
  <c r="B1390" i="16" s="1"/>
  <c r="B1391" i="16" s="1"/>
  <c r="B1392" i="16" s="1"/>
  <c r="B1393" i="16" s="1"/>
  <c r="B1394" i="16" s="1"/>
  <c r="B1395" i="16" s="1"/>
  <c r="B1396" i="16" s="1"/>
  <c r="B1397" i="16" s="1"/>
  <c r="B1398" i="16" s="1"/>
  <c r="B1399" i="16" s="1"/>
  <c r="B1400" i="16" s="1"/>
  <c r="B1401" i="16" s="1"/>
  <c r="B1402" i="16" s="1"/>
  <c r="B1403" i="16" s="1"/>
  <c r="B1404" i="16" s="1"/>
  <c r="B1405" i="16" s="1"/>
  <c r="B1406" i="16" s="1"/>
  <c r="B1407" i="16" s="1"/>
  <c r="B1408" i="16" s="1"/>
  <c r="B1409" i="16" s="1"/>
  <c r="B1410" i="16" s="1"/>
  <c r="B1411" i="16" s="1"/>
  <c r="B1412" i="16" s="1"/>
  <c r="B1413" i="16" s="1"/>
  <c r="B1414" i="16" s="1"/>
  <c r="B1415" i="16" s="1"/>
  <c r="B1416" i="16" s="1"/>
  <c r="B1417" i="16" s="1"/>
  <c r="B1418" i="16" s="1"/>
  <c r="B1419" i="16" s="1"/>
  <c r="B1420" i="16" s="1"/>
  <c r="B1421" i="16" s="1"/>
  <c r="B1422" i="16" s="1"/>
  <c r="B1423" i="16" s="1"/>
  <c r="B1424" i="16" s="1"/>
  <c r="B1425" i="16" s="1"/>
  <c r="B1426" i="16" s="1"/>
  <c r="B1427" i="16" s="1"/>
  <c r="B1428" i="16" s="1"/>
  <c r="B1429" i="16" s="1"/>
  <c r="B1430" i="16" s="1"/>
  <c r="B1431" i="16" s="1"/>
  <c r="B1432" i="16" s="1"/>
  <c r="B1433" i="16" s="1"/>
  <c r="B1434" i="16" s="1"/>
  <c r="B1435" i="16" s="1"/>
  <c r="B1436" i="16" s="1"/>
  <c r="B1437" i="16" s="1"/>
  <c r="B1438" i="16" s="1"/>
  <c r="B1439" i="16" s="1"/>
  <c r="B1440" i="16" s="1"/>
  <c r="B1441" i="16" s="1"/>
  <c r="B1442" i="16" s="1"/>
  <c r="B1443" i="16" s="1"/>
  <c r="B1444" i="16" s="1"/>
  <c r="B1445" i="16" s="1"/>
  <c r="B1446" i="16" s="1"/>
  <c r="B1447" i="16" s="1"/>
  <c r="B1448" i="16" s="1"/>
  <c r="B1345" i="16"/>
  <c r="B1248" i="16"/>
  <c r="B1249" i="16" s="1"/>
  <c r="B1250" i="16" s="1"/>
  <c r="B1251" i="16" s="1"/>
  <c r="B1252" i="16" s="1"/>
  <c r="B1253" i="16" s="1"/>
  <c r="B1254" i="16" s="1"/>
  <c r="B1255" i="16" s="1"/>
  <c r="B1256" i="16" s="1"/>
  <c r="B1257" i="16" s="1"/>
  <c r="B1258" i="16" s="1"/>
  <c r="B1259" i="16" s="1"/>
  <c r="B1260" i="16" s="1"/>
  <c r="B1261" i="16" s="1"/>
  <c r="B1262" i="16" s="1"/>
  <c r="B1263" i="16" s="1"/>
  <c r="B1264" i="16" s="1"/>
  <c r="B1265" i="16" s="1"/>
  <c r="B1266" i="16" s="1"/>
  <c r="B1267" i="16" s="1"/>
  <c r="B1268" i="16" s="1"/>
  <c r="B1269" i="16" s="1"/>
  <c r="B1270" i="16" s="1"/>
  <c r="B1271" i="16" s="1"/>
  <c r="B1272" i="16" s="1"/>
  <c r="B1273" i="16" s="1"/>
  <c r="B1274" i="16" s="1"/>
  <c r="B1275" i="16" s="1"/>
  <c r="B1276" i="16" s="1"/>
  <c r="B1277" i="16" s="1"/>
  <c r="B1278" i="16" s="1"/>
  <c r="B1279" i="16" s="1"/>
  <c r="B1280" i="16" s="1"/>
  <c r="B1281" i="16" s="1"/>
  <c r="B1282" i="16" s="1"/>
  <c r="B1283" i="16" s="1"/>
  <c r="B1284" i="16" s="1"/>
  <c r="B1285" i="16" s="1"/>
  <c r="B1286" i="16" s="1"/>
  <c r="B1287" i="16" s="1"/>
  <c r="B1288" i="16" s="1"/>
  <c r="B1289" i="16" s="1"/>
  <c r="B1290" i="16" s="1"/>
  <c r="B1291" i="16" s="1"/>
  <c r="B1292" i="16" s="1"/>
  <c r="B1293" i="16" s="1"/>
  <c r="B1294" i="16" s="1"/>
  <c r="B1295" i="16" s="1"/>
  <c r="B1296" i="16" s="1"/>
  <c r="B1297" i="16" s="1"/>
  <c r="B1298" i="16" s="1"/>
  <c r="B1299" i="16" s="1"/>
  <c r="B1300" i="16" s="1"/>
  <c r="B1301" i="16" s="1"/>
  <c r="B1302" i="16" s="1"/>
  <c r="B1303" i="16" s="1"/>
  <c r="B1304" i="16" s="1"/>
  <c r="B1305" i="16" s="1"/>
  <c r="B1306" i="16" s="1"/>
  <c r="B1307" i="16" s="1"/>
  <c r="B1308" i="16" s="1"/>
  <c r="B1309" i="16" s="1"/>
  <c r="B1310" i="16" s="1"/>
  <c r="B1311" i="16" s="1"/>
  <c r="B1312" i="16" s="1"/>
  <c r="B1313" i="16" s="1"/>
  <c r="B1314" i="16" s="1"/>
  <c r="B1315" i="16" s="1"/>
  <c r="B1316" i="16" s="1"/>
  <c r="B1317" i="16" s="1"/>
  <c r="B1318" i="16" s="1"/>
  <c r="B1319" i="16" s="1"/>
  <c r="B1320" i="16" s="1"/>
  <c r="B1321" i="16" s="1"/>
  <c r="B1322" i="16" s="1"/>
  <c r="B1323" i="16" s="1"/>
  <c r="B1324" i="16" s="1"/>
  <c r="B1325" i="16" s="1"/>
  <c r="B1326" i="16" s="1"/>
  <c r="B1327" i="16" s="1"/>
  <c r="B1328" i="16" s="1"/>
  <c r="B1329" i="16" s="1"/>
  <c r="B1330" i="16" s="1"/>
  <c r="B1331" i="16" s="1"/>
  <c r="B1332" i="16" s="1"/>
  <c r="B1333" i="16" s="1"/>
  <c r="B1334" i="16" s="1"/>
  <c r="B1335" i="16" s="1"/>
  <c r="B1336" i="16" s="1"/>
  <c r="B1337" i="16" s="1"/>
  <c r="B1338" i="16" s="1"/>
  <c r="B1339" i="16" s="1"/>
  <c r="B1340" i="16" s="1"/>
  <c r="B1341" i="16" s="1"/>
  <c r="F1199" i="16"/>
  <c r="J1199" i="44" s="1"/>
  <c r="B1177" i="16"/>
  <c r="F1173" i="16"/>
  <c r="J1173" i="44" s="1"/>
  <c r="B1116" i="16"/>
  <c r="F1112" i="16"/>
  <c r="J1112" i="44" s="1"/>
  <c r="B1085" i="16"/>
  <c r="F1081" i="16"/>
  <c r="J1081" i="44" s="1"/>
  <c r="B1047" i="16"/>
  <c r="F1043" i="16"/>
  <c r="J1043" i="44" s="1"/>
  <c r="B992" i="16"/>
  <c r="F988" i="16"/>
  <c r="J988" i="44" s="1"/>
  <c r="F978" i="16"/>
  <c r="J978" i="44" s="1"/>
  <c r="B972" i="16"/>
  <c r="F968" i="16"/>
  <c r="J968" i="44" s="1"/>
  <c r="B939" i="16"/>
  <c r="F935" i="16"/>
  <c r="J935" i="44" s="1"/>
  <c r="B887" i="16"/>
  <c r="F883" i="16"/>
  <c r="J883" i="44" s="1"/>
  <c r="B842" i="16"/>
  <c r="F838" i="16"/>
  <c r="J838" i="44" s="1"/>
  <c r="B802" i="16"/>
  <c r="F798" i="16"/>
  <c r="J798" i="44" s="1"/>
  <c r="B768" i="16"/>
  <c r="F764" i="16"/>
  <c r="J764" i="44" s="1"/>
  <c r="B723" i="16"/>
  <c r="F719" i="16"/>
  <c r="J719" i="44" s="1"/>
  <c r="B678" i="16"/>
  <c r="F674" i="16"/>
  <c r="J674" i="44" s="1"/>
  <c r="B637" i="16"/>
  <c r="F633" i="16"/>
  <c r="J633" i="44" s="1"/>
  <c r="B590" i="16"/>
  <c r="F586" i="16"/>
  <c r="J586" i="44" s="1"/>
  <c r="B516" i="16"/>
  <c r="F512" i="16"/>
  <c r="J512" i="44" s="1"/>
  <c r="B493" i="16"/>
  <c r="F489" i="16"/>
  <c r="J489" i="44" s="1"/>
  <c r="B470" i="16"/>
  <c r="F466" i="16"/>
  <c r="J466" i="44" s="1"/>
  <c r="B450" i="16"/>
  <c r="F446" i="16"/>
  <c r="J446" i="44" s="1"/>
  <c r="B428" i="16"/>
  <c r="F424" i="16"/>
  <c r="J424" i="44" s="1"/>
  <c r="B403" i="16"/>
  <c r="F399" i="16"/>
  <c r="J399" i="44" s="1"/>
  <c r="B383" i="16"/>
  <c r="F379" i="16"/>
  <c r="J379" i="44" s="1"/>
  <c r="B343" i="16"/>
  <c r="F338" i="16"/>
  <c r="J338" i="44" s="1"/>
  <c r="F285" i="16"/>
  <c r="J285" i="44" s="1"/>
  <c r="F253" i="16"/>
  <c r="J253" i="44" s="1"/>
  <c r="B240" i="16"/>
  <c r="F236" i="16"/>
  <c r="J236" i="44" s="1"/>
  <c r="B214" i="16"/>
  <c r="F210" i="16"/>
  <c r="J210" i="44" s="1"/>
  <c r="B183" i="16"/>
  <c r="F179" i="16"/>
  <c r="J179" i="44" s="1"/>
  <c r="B136" i="16"/>
  <c r="F131" i="16"/>
  <c r="J131" i="44" s="1"/>
  <c r="F98" i="16"/>
  <c r="J98" i="44" s="1"/>
  <c r="F49" i="16"/>
  <c r="J49" i="44" s="1"/>
  <c r="V41" i="16"/>
  <c r="R49" i="16"/>
  <c r="S49" i="16"/>
  <c r="R50" i="16"/>
  <c r="S50" i="16"/>
  <c r="R51" i="16"/>
  <c r="S51" i="16"/>
  <c r="J51" i="16"/>
  <c r="K51" i="16"/>
  <c r="L51" i="16"/>
  <c r="M51" i="16"/>
  <c r="O51" i="16"/>
  <c r="N51" i="16"/>
  <c r="P51" i="16"/>
  <c r="Q51" i="16"/>
  <c r="V91" i="16"/>
  <c r="R98" i="16"/>
  <c r="S98" i="16"/>
  <c r="R99" i="16"/>
  <c r="S99" i="16"/>
  <c r="R100" i="16"/>
  <c r="S100" i="16"/>
  <c r="J100" i="16"/>
  <c r="K100" i="16"/>
  <c r="L100" i="16"/>
  <c r="M100" i="16"/>
  <c r="O100" i="16"/>
  <c r="N100" i="16"/>
  <c r="P100" i="16"/>
  <c r="Q100" i="16"/>
  <c r="V122" i="16"/>
  <c r="R131" i="16"/>
  <c r="S131" i="16"/>
  <c r="R132" i="16"/>
  <c r="S132" i="16"/>
  <c r="R133" i="16"/>
  <c r="S133" i="16"/>
  <c r="J133" i="16"/>
  <c r="K133" i="16"/>
  <c r="L133" i="16"/>
  <c r="M133" i="16"/>
  <c r="O133" i="16"/>
  <c r="N133" i="16"/>
  <c r="P133" i="16"/>
  <c r="Q133" i="16"/>
  <c r="V170" i="16"/>
  <c r="R179" i="16"/>
  <c r="S179" i="16"/>
  <c r="R180" i="16"/>
  <c r="S180" i="16"/>
  <c r="R181" i="16"/>
  <c r="S181" i="16"/>
  <c r="J181" i="16"/>
  <c r="K181" i="16"/>
  <c r="L181" i="16"/>
  <c r="M181" i="16"/>
  <c r="O181" i="16"/>
  <c r="N181" i="16"/>
  <c r="P181" i="16"/>
  <c r="Q181" i="16"/>
  <c r="V201" i="16"/>
  <c r="R210" i="16"/>
  <c r="S210" i="16"/>
  <c r="R211" i="16"/>
  <c r="S211" i="16"/>
  <c r="R212" i="16"/>
  <c r="S212" i="16"/>
  <c r="J212" i="16"/>
  <c r="K212" i="16"/>
  <c r="L212" i="16"/>
  <c r="M212" i="16"/>
  <c r="O212" i="16"/>
  <c r="N212" i="16"/>
  <c r="P212" i="16"/>
  <c r="Q212" i="16"/>
  <c r="V227" i="16"/>
  <c r="R236" i="16"/>
  <c r="S236" i="16"/>
  <c r="R237" i="16"/>
  <c r="S237" i="16"/>
  <c r="R238" i="16"/>
  <c r="S238" i="16"/>
  <c r="J238" i="16"/>
  <c r="K238" i="16"/>
  <c r="L238" i="16"/>
  <c r="M238" i="16"/>
  <c r="O238" i="16"/>
  <c r="N238" i="16"/>
  <c r="P238" i="16"/>
  <c r="Q238" i="16"/>
  <c r="V246" i="16"/>
  <c r="R253" i="16"/>
  <c r="S253" i="16"/>
  <c r="R254" i="16"/>
  <c r="S254" i="16"/>
  <c r="R255" i="16"/>
  <c r="S255" i="16"/>
  <c r="J255" i="16"/>
  <c r="K255" i="16"/>
  <c r="L255" i="16"/>
  <c r="M255" i="16"/>
  <c r="O255" i="16"/>
  <c r="N255" i="16"/>
  <c r="P255" i="16"/>
  <c r="Q255" i="16"/>
  <c r="V277" i="16"/>
  <c r="V278" i="16"/>
  <c r="R285" i="16"/>
  <c r="S285" i="16"/>
  <c r="R286" i="16"/>
  <c r="S286" i="16"/>
  <c r="R287" i="16"/>
  <c r="S287" i="16"/>
  <c r="J287" i="16"/>
  <c r="K287" i="16"/>
  <c r="L287" i="16"/>
  <c r="M287" i="16"/>
  <c r="O287" i="16"/>
  <c r="N287" i="16"/>
  <c r="P287" i="16"/>
  <c r="Q287" i="16"/>
  <c r="V329" i="16"/>
  <c r="R338" i="16"/>
  <c r="S338" i="16"/>
  <c r="R339" i="16"/>
  <c r="S339" i="16"/>
  <c r="R340" i="16"/>
  <c r="S340" i="16"/>
  <c r="J340" i="16"/>
  <c r="K340" i="16"/>
  <c r="L340" i="16"/>
  <c r="M340" i="16"/>
  <c r="O340" i="16"/>
  <c r="N340" i="16"/>
  <c r="P340" i="16"/>
  <c r="Q340" i="16"/>
  <c r="V370" i="16"/>
  <c r="R379" i="16"/>
  <c r="S379" i="16"/>
  <c r="R380" i="16"/>
  <c r="S380" i="16"/>
  <c r="R381" i="16"/>
  <c r="S381" i="16"/>
  <c r="J381" i="16"/>
  <c r="K381" i="16"/>
  <c r="L381" i="16"/>
  <c r="M381" i="16"/>
  <c r="O381" i="16"/>
  <c r="N381" i="16"/>
  <c r="P381" i="16"/>
  <c r="Q381" i="16"/>
  <c r="V390" i="16"/>
  <c r="R399" i="16"/>
  <c r="S399" i="16"/>
  <c r="R400" i="16"/>
  <c r="S400" i="16"/>
  <c r="R401" i="16"/>
  <c r="S401" i="16"/>
  <c r="J401" i="16"/>
  <c r="K401" i="16"/>
  <c r="L401" i="16"/>
  <c r="M401" i="16"/>
  <c r="O401" i="16"/>
  <c r="N401" i="16"/>
  <c r="P401" i="16"/>
  <c r="Q401" i="16"/>
  <c r="U405" i="16"/>
  <c r="U406" i="16"/>
  <c r="U407" i="16"/>
  <c r="V415" i="16"/>
  <c r="R424" i="16"/>
  <c r="S424" i="16"/>
  <c r="R425" i="16"/>
  <c r="S425" i="16"/>
  <c r="R426" i="16"/>
  <c r="S426" i="16"/>
  <c r="J426" i="16"/>
  <c r="K426" i="16"/>
  <c r="L426" i="16"/>
  <c r="M426" i="16"/>
  <c r="O426" i="16"/>
  <c r="N426" i="16"/>
  <c r="P426" i="16"/>
  <c r="Q426" i="16"/>
  <c r="V437" i="16"/>
  <c r="R446" i="16"/>
  <c r="S446" i="16"/>
  <c r="R447" i="16"/>
  <c r="S447" i="16"/>
  <c r="R448" i="16"/>
  <c r="S448" i="16"/>
  <c r="J448" i="16"/>
  <c r="K448" i="16"/>
  <c r="L448" i="16"/>
  <c r="M448" i="16"/>
  <c r="O448" i="16"/>
  <c r="N448" i="16"/>
  <c r="P448" i="16"/>
  <c r="Q448" i="16"/>
  <c r="V457" i="16"/>
  <c r="R466" i="16"/>
  <c r="S466" i="16"/>
  <c r="R467" i="16"/>
  <c r="S467" i="16"/>
  <c r="R468" i="16"/>
  <c r="S468" i="16"/>
  <c r="J468" i="16"/>
  <c r="K468" i="16"/>
  <c r="L468" i="16"/>
  <c r="M468" i="16"/>
  <c r="O468" i="16"/>
  <c r="N468" i="16"/>
  <c r="P468" i="16"/>
  <c r="Q468" i="16"/>
  <c r="V480" i="16"/>
  <c r="R489" i="16"/>
  <c r="S489" i="16"/>
  <c r="R490" i="16"/>
  <c r="S490" i="16"/>
  <c r="R491" i="16"/>
  <c r="S491" i="16"/>
  <c r="J491" i="16"/>
  <c r="K491" i="16"/>
  <c r="L491" i="16"/>
  <c r="M491" i="16"/>
  <c r="O491" i="16"/>
  <c r="N491" i="16"/>
  <c r="P491" i="16"/>
  <c r="Q491" i="16"/>
  <c r="V503" i="16"/>
  <c r="R512" i="16"/>
  <c r="S512" i="16"/>
  <c r="R513" i="16"/>
  <c r="S513" i="16"/>
  <c r="R514" i="16"/>
  <c r="S514" i="16"/>
  <c r="J514" i="16"/>
  <c r="K514" i="16"/>
  <c r="L514" i="16"/>
  <c r="M514" i="16"/>
  <c r="O514" i="16"/>
  <c r="N514" i="16"/>
  <c r="P514" i="16"/>
  <c r="Q514" i="16"/>
  <c r="V577" i="16"/>
  <c r="R586" i="16"/>
  <c r="S586" i="16"/>
  <c r="R587" i="16"/>
  <c r="S587" i="16"/>
  <c r="R588" i="16"/>
  <c r="S588" i="16"/>
  <c r="J588" i="16"/>
  <c r="K588" i="16"/>
  <c r="L588" i="16"/>
  <c r="M588" i="16"/>
  <c r="O588" i="16"/>
  <c r="N588" i="16"/>
  <c r="P588" i="16"/>
  <c r="Q588" i="16"/>
  <c r="V624" i="16"/>
  <c r="R633" i="16"/>
  <c r="S633" i="16"/>
  <c r="R634" i="16"/>
  <c r="S634" i="16"/>
  <c r="R635" i="16"/>
  <c r="S635" i="16"/>
  <c r="J635" i="16"/>
  <c r="K635" i="16"/>
  <c r="L635" i="16"/>
  <c r="M635" i="16"/>
  <c r="O635" i="16"/>
  <c r="N635" i="16"/>
  <c r="P635" i="16"/>
  <c r="Q635" i="16"/>
  <c r="V665" i="16"/>
  <c r="R674" i="16"/>
  <c r="S674" i="16"/>
  <c r="R675" i="16"/>
  <c r="S675" i="16"/>
  <c r="R676" i="16"/>
  <c r="S676" i="16"/>
  <c r="J676" i="16"/>
  <c r="K676" i="16"/>
  <c r="L676" i="16"/>
  <c r="M676" i="16"/>
  <c r="O676" i="16"/>
  <c r="N676" i="16"/>
  <c r="P676" i="16"/>
  <c r="Q676" i="16"/>
  <c r="V711" i="16"/>
  <c r="R719" i="16"/>
  <c r="S719" i="16"/>
  <c r="R720" i="16"/>
  <c r="S720" i="16"/>
  <c r="R721" i="16"/>
  <c r="S721" i="16"/>
  <c r="J721" i="16"/>
  <c r="K721" i="16"/>
  <c r="L721" i="16"/>
  <c r="M721" i="16"/>
  <c r="O721" i="16"/>
  <c r="N721" i="16"/>
  <c r="P721" i="16"/>
  <c r="Q721" i="16"/>
  <c r="V755" i="16"/>
  <c r="R764" i="16"/>
  <c r="S764" i="16"/>
  <c r="R765" i="16"/>
  <c r="S765" i="16"/>
  <c r="R766" i="16"/>
  <c r="S766" i="16"/>
  <c r="J766" i="16"/>
  <c r="K766" i="16"/>
  <c r="L766" i="16"/>
  <c r="M766" i="16"/>
  <c r="O766" i="16"/>
  <c r="N766" i="16"/>
  <c r="P766" i="16"/>
  <c r="Q766" i="16"/>
  <c r="V789" i="16"/>
  <c r="R798" i="16"/>
  <c r="S798" i="16"/>
  <c r="R799" i="16"/>
  <c r="S799" i="16"/>
  <c r="R800" i="16"/>
  <c r="S800" i="16"/>
  <c r="J800" i="16"/>
  <c r="K800" i="16"/>
  <c r="L800" i="16"/>
  <c r="M800" i="16"/>
  <c r="O800" i="16"/>
  <c r="N800" i="16"/>
  <c r="P800" i="16"/>
  <c r="Q800" i="16"/>
  <c r="V829" i="16"/>
  <c r="R838" i="16"/>
  <c r="S838" i="16"/>
  <c r="R839" i="16"/>
  <c r="S839" i="16"/>
  <c r="R840" i="16"/>
  <c r="S840" i="16"/>
  <c r="J840" i="16"/>
  <c r="K840" i="16"/>
  <c r="L840" i="16"/>
  <c r="M840" i="16"/>
  <c r="O840" i="16"/>
  <c r="N840" i="16"/>
  <c r="P840" i="16"/>
  <c r="Q840" i="16"/>
  <c r="V876" i="16"/>
  <c r="R883" i="16"/>
  <c r="S883" i="16"/>
  <c r="R884" i="16"/>
  <c r="S884" i="16"/>
  <c r="R885" i="16"/>
  <c r="S885" i="16"/>
  <c r="J885" i="16"/>
  <c r="K885" i="16"/>
  <c r="L885" i="16"/>
  <c r="M885" i="16"/>
  <c r="O885" i="16"/>
  <c r="N885" i="16"/>
  <c r="P885" i="16"/>
  <c r="Q885" i="16"/>
  <c r="V926" i="16"/>
  <c r="R935" i="16"/>
  <c r="S935" i="16"/>
  <c r="R936" i="16"/>
  <c r="S936" i="16"/>
  <c r="R937" i="16"/>
  <c r="S937" i="16"/>
  <c r="J937" i="16"/>
  <c r="K937" i="16"/>
  <c r="L937" i="16"/>
  <c r="M937" i="16"/>
  <c r="O937" i="16"/>
  <c r="N937" i="16"/>
  <c r="P937" i="16"/>
  <c r="Q937" i="16"/>
  <c r="V959" i="16"/>
  <c r="R968" i="16"/>
  <c r="S968" i="16"/>
  <c r="R969" i="16"/>
  <c r="S969" i="16"/>
  <c r="R970" i="16"/>
  <c r="S970" i="16"/>
  <c r="J970" i="16"/>
  <c r="K970" i="16"/>
  <c r="L970" i="16"/>
  <c r="M970" i="16"/>
  <c r="O970" i="16"/>
  <c r="N970" i="16"/>
  <c r="P970" i="16"/>
  <c r="Q970" i="16"/>
  <c r="V980" i="16"/>
  <c r="R988" i="16"/>
  <c r="S988" i="16"/>
  <c r="R989" i="16"/>
  <c r="S989" i="16"/>
  <c r="R990" i="16"/>
  <c r="S990" i="16"/>
  <c r="J990" i="16"/>
  <c r="K990" i="16"/>
  <c r="L990" i="16"/>
  <c r="M990" i="16"/>
  <c r="O990" i="16"/>
  <c r="N990" i="16"/>
  <c r="P990" i="16"/>
  <c r="Q990" i="16"/>
  <c r="V1034" i="16"/>
  <c r="R1043" i="16"/>
  <c r="S1043" i="16"/>
  <c r="R1044" i="16"/>
  <c r="S1044" i="16"/>
  <c r="R1045" i="16"/>
  <c r="S1045" i="16"/>
  <c r="J1045" i="16"/>
  <c r="K1045" i="16"/>
  <c r="L1045" i="16"/>
  <c r="M1045" i="16"/>
  <c r="O1045" i="16"/>
  <c r="N1045" i="16"/>
  <c r="P1045" i="16"/>
  <c r="Q1045" i="16"/>
  <c r="V1072" i="16"/>
  <c r="R1081" i="16"/>
  <c r="S1081" i="16"/>
  <c r="R1082" i="16"/>
  <c r="S1082" i="16"/>
  <c r="R1083" i="16"/>
  <c r="S1083" i="16"/>
  <c r="J1083" i="16"/>
  <c r="K1083" i="16"/>
  <c r="L1083" i="16"/>
  <c r="M1083" i="16"/>
  <c r="O1083" i="16"/>
  <c r="N1083" i="16"/>
  <c r="P1083" i="16"/>
  <c r="Q1083" i="16"/>
  <c r="V1105" i="16"/>
  <c r="R1112" i="16"/>
  <c r="S1112" i="16"/>
  <c r="R1113" i="16"/>
  <c r="S1113" i="16"/>
  <c r="R1114" i="16"/>
  <c r="S1114" i="16"/>
  <c r="J1114" i="16"/>
  <c r="K1114" i="16"/>
  <c r="L1114" i="16"/>
  <c r="M1114" i="16"/>
  <c r="O1114" i="16"/>
  <c r="N1114" i="16"/>
  <c r="P1114" i="16"/>
  <c r="Q1114" i="16"/>
  <c r="V1164" i="16"/>
  <c r="R1173" i="16"/>
  <c r="S1173" i="16"/>
  <c r="R1174" i="16"/>
  <c r="S1174" i="16"/>
  <c r="R1175" i="16"/>
  <c r="S1175" i="16"/>
  <c r="J1175" i="16"/>
  <c r="K1175" i="16"/>
  <c r="L1175" i="16"/>
  <c r="M1175" i="16"/>
  <c r="O1175" i="16"/>
  <c r="N1175" i="16"/>
  <c r="P1175" i="16"/>
  <c r="Q1175" i="16"/>
  <c r="V1190" i="16"/>
  <c r="R1199" i="16"/>
  <c r="S1199" i="16"/>
  <c r="R1200" i="16"/>
  <c r="S1200" i="16"/>
  <c r="R1201" i="16"/>
  <c r="S1201" i="16"/>
  <c r="J1201" i="16"/>
  <c r="K1201" i="16"/>
  <c r="L1201" i="16"/>
  <c r="M1201" i="16"/>
  <c r="O1201" i="16"/>
  <c r="N1201" i="16"/>
  <c r="P1201" i="16"/>
  <c r="Q1201" i="16"/>
  <c r="H1242" i="16"/>
  <c r="R1243" i="16"/>
  <c r="S1243" i="16"/>
  <c r="R1244" i="16"/>
  <c r="S1244" i="16"/>
  <c r="R1245" i="16"/>
  <c r="S1245" i="16"/>
  <c r="J1245" i="16"/>
  <c r="K1245" i="16"/>
  <c r="L1245" i="16"/>
  <c r="M1245" i="16"/>
  <c r="O1245" i="16"/>
  <c r="N1245" i="16"/>
  <c r="P1245" i="16"/>
  <c r="Q1245" i="16"/>
  <c r="U1337" i="16"/>
  <c r="H1349" i="16"/>
  <c r="R1350" i="16"/>
  <c r="S1350" i="16"/>
  <c r="R1351" i="16"/>
  <c r="S1351" i="16"/>
  <c r="R1352" i="16"/>
  <c r="S1352" i="16"/>
  <c r="J1352" i="16"/>
  <c r="K1352" i="16"/>
  <c r="L1352" i="16"/>
  <c r="M1352" i="16"/>
  <c r="O1352" i="16"/>
  <c r="N1352" i="16"/>
  <c r="P1352" i="16"/>
  <c r="Q1352" i="16"/>
  <c r="B1355" i="15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345" i="15"/>
  <c r="B1248" i="15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F1199" i="15"/>
  <c r="H1199" i="44" s="1"/>
  <c r="B1177" i="15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F1173" i="15"/>
  <c r="H1173" i="44" s="1"/>
  <c r="B1116" i="15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F1112" i="15"/>
  <c r="H1112" i="44" s="1"/>
  <c r="B1085" i="15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F1081" i="15"/>
  <c r="H1081" i="44" s="1"/>
  <c r="B1047" i="15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F1043" i="15"/>
  <c r="H1043" i="44" s="1"/>
  <c r="B992" i="15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F988" i="15"/>
  <c r="H988" i="44" s="1"/>
  <c r="F978" i="15"/>
  <c r="H978" i="44" s="1"/>
  <c r="B972" i="15"/>
  <c r="B973" i="15" s="1"/>
  <c r="B974" i="15" s="1"/>
  <c r="B975" i="15" s="1"/>
  <c r="B976" i="15" s="1"/>
  <c r="B977" i="15" s="1"/>
  <c r="B978" i="15" s="1"/>
  <c r="F968" i="15"/>
  <c r="H968" i="44" s="1"/>
  <c r="B939" i="15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F935" i="15"/>
  <c r="H935" i="44" s="1"/>
  <c r="B887" i="15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F883" i="15"/>
  <c r="H883" i="44" s="1"/>
  <c r="B842" i="15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F838" i="15"/>
  <c r="H838" i="44" s="1"/>
  <c r="B802" i="15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F798" i="15"/>
  <c r="H798" i="44" s="1"/>
  <c r="B768" i="15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F764" i="15"/>
  <c r="H764" i="44" s="1"/>
  <c r="B723" i="15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F719" i="15"/>
  <c r="H719" i="44" s="1"/>
  <c r="B678" i="15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F674" i="15"/>
  <c r="H674" i="44" s="1"/>
  <c r="B637" i="15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F633" i="15"/>
  <c r="H633" i="44" s="1"/>
  <c r="B590" i="15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F586" i="15"/>
  <c r="H586" i="44" s="1"/>
  <c r="B516" i="15"/>
  <c r="B517" i="15" s="1"/>
  <c r="B518" i="15" s="1"/>
  <c r="B519" i="15" s="1"/>
  <c r="F512" i="15"/>
  <c r="H512" i="44" s="1"/>
  <c r="B493" i="15"/>
  <c r="B494" i="15" s="1"/>
  <c r="B495" i="15" s="1"/>
  <c r="B496" i="15" s="1"/>
  <c r="B497" i="15" s="1"/>
  <c r="B498" i="15" s="1"/>
  <c r="B499" i="15" s="1"/>
  <c r="B500" i="15" s="1"/>
  <c r="B501" i="15" s="1"/>
  <c r="F489" i="15"/>
  <c r="H489" i="44" s="1"/>
  <c r="B470" i="15"/>
  <c r="B471" i="15" s="1"/>
  <c r="B472" i="15" s="1"/>
  <c r="B473" i="15" s="1"/>
  <c r="B474" i="15" s="1"/>
  <c r="B475" i="15" s="1"/>
  <c r="B476" i="15" s="1"/>
  <c r="B477" i="15" s="1"/>
  <c r="B478" i="15" s="1"/>
  <c r="F466" i="15"/>
  <c r="H466" i="44" s="1"/>
  <c r="B450" i="15"/>
  <c r="B451" i="15" s="1"/>
  <c r="B452" i="15" s="1"/>
  <c r="B453" i="15" s="1"/>
  <c r="B454" i="15" s="1"/>
  <c r="B455" i="15" s="1"/>
  <c r="F446" i="15"/>
  <c r="H446" i="44" s="1"/>
  <c r="B428" i="15"/>
  <c r="B429" i="15" s="1"/>
  <c r="B430" i="15" s="1"/>
  <c r="B431" i="15" s="1"/>
  <c r="B432" i="15" s="1"/>
  <c r="B433" i="15" s="1"/>
  <c r="B434" i="15" s="1"/>
  <c r="B435" i="15" s="1"/>
  <c r="F424" i="15"/>
  <c r="H424" i="44" s="1"/>
  <c r="B403" i="15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F399" i="15"/>
  <c r="H399" i="44" s="1"/>
  <c r="B383" i="15"/>
  <c r="B384" i="15" s="1"/>
  <c r="B385" i="15" s="1"/>
  <c r="B386" i="15" s="1"/>
  <c r="B387" i="15" s="1"/>
  <c r="B388" i="15" s="1"/>
  <c r="F379" i="15"/>
  <c r="H379" i="44" s="1"/>
  <c r="B343" i="15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F338" i="15"/>
  <c r="H338" i="44" s="1"/>
  <c r="B290" i="15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F285" i="15"/>
  <c r="H285" i="44" s="1"/>
  <c r="F253" i="15"/>
  <c r="H253" i="44" s="1"/>
  <c r="B240" i="15"/>
  <c r="B241" i="15" s="1"/>
  <c r="B242" i="15" s="1"/>
  <c r="B243" i="15" s="1"/>
  <c r="B244" i="15" s="1"/>
  <c r="F236" i="15"/>
  <c r="H236" i="44" s="1"/>
  <c r="B214" i="15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F210" i="15"/>
  <c r="H210" i="44" s="1"/>
  <c r="B183" i="15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F179" i="15"/>
  <c r="H179" i="44" s="1"/>
  <c r="B136" i="15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F131" i="15"/>
  <c r="H131" i="44" s="1"/>
  <c r="F98" i="15"/>
  <c r="H98" i="44" s="1"/>
  <c r="F49" i="15"/>
  <c r="H49" i="44" s="1"/>
  <c r="R49" i="15"/>
  <c r="S49" i="15"/>
  <c r="R50" i="15"/>
  <c r="S50" i="15"/>
  <c r="R51" i="15"/>
  <c r="S51" i="15"/>
  <c r="J51" i="15"/>
  <c r="K51" i="15"/>
  <c r="L51" i="15"/>
  <c r="M51" i="15"/>
  <c r="O51" i="15"/>
  <c r="N51" i="15"/>
  <c r="P51" i="15"/>
  <c r="Q51" i="15"/>
  <c r="V91" i="15"/>
  <c r="R98" i="15"/>
  <c r="S98" i="15"/>
  <c r="R99" i="15"/>
  <c r="S99" i="15"/>
  <c r="R100" i="15"/>
  <c r="S100" i="15"/>
  <c r="J100" i="15"/>
  <c r="K100" i="15"/>
  <c r="L100" i="15"/>
  <c r="M100" i="15"/>
  <c r="O100" i="15"/>
  <c r="N100" i="15"/>
  <c r="P100" i="15"/>
  <c r="Q100" i="15"/>
  <c r="V122" i="15"/>
  <c r="R131" i="15"/>
  <c r="S131" i="15"/>
  <c r="R132" i="15"/>
  <c r="S132" i="15"/>
  <c r="R133" i="15"/>
  <c r="S133" i="15"/>
  <c r="J133" i="15"/>
  <c r="K133" i="15"/>
  <c r="L133" i="15"/>
  <c r="M133" i="15"/>
  <c r="O133" i="15"/>
  <c r="N133" i="15"/>
  <c r="P133" i="15"/>
  <c r="Q133" i="15"/>
  <c r="V170" i="15"/>
  <c r="R179" i="15"/>
  <c r="S179" i="15"/>
  <c r="R180" i="15"/>
  <c r="S180" i="15"/>
  <c r="R181" i="15"/>
  <c r="S181" i="15"/>
  <c r="J181" i="15"/>
  <c r="K181" i="15"/>
  <c r="L181" i="15"/>
  <c r="M181" i="15"/>
  <c r="O181" i="15"/>
  <c r="N181" i="15"/>
  <c r="P181" i="15"/>
  <c r="Q181" i="15"/>
  <c r="R210" i="15"/>
  <c r="S210" i="15"/>
  <c r="R211" i="15"/>
  <c r="S211" i="15"/>
  <c r="R212" i="15"/>
  <c r="S212" i="15"/>
  <c r="J212" i="15"/>
  <c r="K212" i="15"/>
  <c r="L212" i="15"/>
  <c r="M212" i="15"/>
  <c r="O212" i="15"/>
  <c r="N212" i="15"/>
  <c r="P212" i="15"/>
  <c r="Q212" i="15"/>
  <c r="V227" i="15"/>
  <c r="R236" i="15"/>
  <c r="S236" i="15"/>
  <c r="R237" i="15"/>
  <c r="S237" i="15"/>
  <c r="R238" i="15"/>
  <c r="S238" i="15"/>
  <c r="J238" i="15"/>
  <c r="K238" i="15"/>
  <c r="L238" i="15"/>
  <c r="M238" i="15"/>
  <c r="O238" i="15"/>
  <c r="N238" i="15"/>
  <c r="P238" i="15"/>
  <c r="Q238" i="15"/>
  <c r="V246" i="15"/>
  <c r="R253" i="15"/>
  <c r="S253" i="15"/>
  <c r="R254" i="15"/>
  <c r="S254" i="15"/>
  <c r="R255" i="15"/>
  <c r="S255" i="15"/>
  <c r="J255" i="15"/>
  <c r="K255" i="15"/>
  <c r="L255" i="15"/>
  <c r="M255" i="15"/>
  <c r="O255" i="15"/>
  <c r="N255" i="15"/>
  <c r="P255" i="15"/>
  <c r="Q255" i="15"/>
  <c r="V277" i="15"/>
  <c r="V278" i="15"/>
  <c r="R285" i="15"/>
  <c r="S285" i="15"/>
  <c r="R286" i="15"/>
  <c r="S286" i="15"/>
  <c r="R287" i="15"/>
  <c r="S287" i="15"/>
  <c r="J287" i="15"/>
  <c r="K287" i="15"/>
  <c r="L287" i="15"/>
  <c r="M287" i="15"/>
  <c r="O287" i="15"/>
  <c r="N287" i="15"/>
  <c r="P287" i="15"/>
  <c r="Q287" i="15"/>
  <c r="V329" i="15"/>
  <c r="R338" i="15"/>
  <c r="S338" i="15"/>
  <c r="R339" i="15"/>
  <c r="S339" i="15"/>
  <c r="R340" i="15"/>
  <c r="S340" i="15"/>
  <c r="J340" i="15"/>
  <c r="K340" i="15"/>
  <c r="L340" i="15"/>
  <c r="M340" i="15"/>
  <c r="O340" i="15"/>
  <c r="N340" i="15"/>
  <c r="P340" i="15"/>
  <c r="Q340" i="15"/>
  <c r="V370" i="15"/>
  <c r="R379" i="15"/>
  <c r="S379" i="15"/>
  <c r="R380" i="15"/>
  <c r="S380" i="15"/>
  <c r="R381" i="15"/>
  <c r="S381" i="15"/>
  <c r="J381" i="15"/>
  <c r="K381" i="15"/>
  <c r="L381" i="15"/>
  <c r="M381" i="15"/>
  <c r="O381" i="15"/>
  <c r="N381" i="15"/>
  <c r="P381" i="15"/>
  <c r="Q381" i="15"/>
  <c r="V390" i="15"/>
  <c r="R399" i="15"/>
  <c r="S399" i="15"/>
  <c r="R400" i="15"/>
  <c r="S400" i="15"/>
  <c r="R401" i="15"/>
  <c r="S401" i="15"/>
  <c r="J401" i="15"/>
  <c r="K401" i="15"/>
  <c r="L401" i="15"/>
  <c r="M401" i="15"/>
  <c r="O401" i="15"/>
  <c r="N401" i="15"/>
  <c r="P401" i="15"/>
  <c r="Q401" i="15"/>
  <c r="U405" i="15"/>
  <c r="U406" i="15"/>
  <c r="U407" i="15"/>
  <c r="V415" i="15"/>
  <c r="R424" i="15"/>
  <c r="S424" i="15"/>
  <c r="R425" i="15"/>
  <c r="S425" i="15"/>
  <c r="R426" i="15"/>
  <c r="S426" i="15"/>
  <c r="J426" i="15"/>
  <c r="K426" i="15"/>
  <c r="L426" i="15"/>
  <c r="M426" i="15"/>
  <c r="O426" i="15"/>
  <c r="N426" i="15"/>
  <c r="P426" i="15"/>
  <c r="Q426" i="15"/>
  <c r="V437" i="15"/>
  <c r="R446" i="15"/>
  <c r="S446" i="15"/>
  <c r="R447" i="15"/>
  <c r="S447" i="15"/>
  <c r="R448" i="15"/>
  <c r="S448" i="15"/>
  <c r="J448" i="15"/>
  <c r="K448" i="15"/>
  <c r="L448" i="15"/>
  <c r="M448" i="15"/>
  <c r="O448" i="15"/>
  <c r="N448" i="15"/>
  <c r="P448" i="15"/>
  <c r="Q448" i="15"/>
  <c r="V457" i="15"/>
  <c r="R466" i="15"/>
  <c r="S466" i="15"/>
  <c r="R467" i="15"/>
  <c r="S467" i="15"/>
  <c r="R468" i="15"/>
  <c r="S468" i="15"/>
  <c r="J468" i="15"/>
  <c r="K468" i="15"/>
  <c r="L468" i="15"/>
  <c r="M468" i="15"/>
  <c r="O468" i="15"/>
  <c r="N468" i="15"/>
  <c r="P468" i="15"/>
  <c r="Q468" i="15"/>
  <c r="V480" i="15"/>
  <c r="R489" i="15"/>
  <c r="S489" i="15"/>
  <c r="R490" i="15"/>
  <c r="S490" i="15"/>
  <c r="R491" i="15"/>
  <c r="S491" i="15"/>
  <c r="J491" i="15"/>
  <c r="K491" i="15"/>
  <c r="L491" i="15"/>
  <c r="M491" i="15"/>
  <c r="O491" i="15"/>
  <c r="N491" i="15"/>
  <c r="P491" i="15"/>
  <c r="Q491" i="15"/>
  <c r="V503" i="15"/>
  <c r="R512" i="15"/>
  <c r="S512" i="15"/>
  <c r="R513" i="15"/>
  <c r="S513" i="15"/>
  <c r="R514" i="15"/>
  <c r="S514" i="15"/>
  <c r="J514" i="15"/>
  <c r="K514" i="15"/>
  <c r="L514" i="15"/>
  <c r="M514" i="15"/>
  <c r="O514" i="15"/>
  <c r="N514" i="15"/>
  <c r="P514" i="15"/>
  <c r="Q514" i="15"/>
  <c r="V577" i="15"/>
  <c r="R586" i="15"/>
  <c r="S586" i="15"/>
  <c r="R587" i="15"/>
  <c r="S587" i="15"/>
  <c r="R588" i="15"/>
  <c r="S588" i="15"/>
  <c r="J588" i="15"/>
  <c r="K588" i="15"/>
  <c r="L588" i="15"/>
  <c r="M588" i="15"/>
  <c r="O588" i="15"/>
  <c r="N588" i="15"/>
  <c r="P588" i="15"/>
  <c r="Q588" i="15"/>
  <c r="V624" i="15"/>
  <c r="R633" i="15"/>
  <c r="S633" i="15"/>
  <c r="R634" i="15"/>
  <c r="S634" i="15"/>
  <c r="R635" i="15"/>
  <c r="S635" i="15"/>
  <c r="J635" i="15"/>
  <c r="K635" i="15"/>
  <c r="L635" i="15"/>
  <c r="M635" i="15"/>
  <c r="O635" i="15"/>
  <c r="N635" i="15"/>
  <c r="P635" i="15"/>
  <c r="Q635" i="15"/>
  <c r="V665" i="15"/>
  <c r="R674" i="15"/>
  <c r="S674" i="15"/>
  <c r="R675" i="15"/>
  <c r="S675" i="15"/>
  <c r="R676" i="15"/>
  <c r="S676" i="15"/>
  <c r="J676" i="15"/>
  <c r="K676" i="15"/>
  <c r="L676" i="15"/>
  <c r="M676" i="15"/>
  <c r="O676" i="15"/>
  <c r="N676" i="15"/>
  <c r="P676" i="15"/>
  <c r="Q676" i="15"/>
  <c r="V711" i="15"/>
  <c r="R719" i="15"/>
  <c r="S719" i="15"/>
  <c r="R720" i="15"/>
  <c r="S720" i="15"/>
  <c r="R721" i="15"/>
  <c r="S721" i="15"/>
  <c r="J721" i="15"/>
  <c r="K721" i="15"/>
  <c r="L721" i="15"/>
  <c r="M721" i="15"/>
  <c r="O721" i="15"/>
  <c r="N721" i="15"/>
  <c r="P721" i="15"/>
  <c r="Q721" i="15"/>
  <c r="V755" i="15"/>
  <c r="R764" i="15"/>
  <c r="S764" i="15"/>
  <c r="R765" i="15"/>
  <c r="S765" i="15"/>
  <c r="R766" i="15"/>
  <c r="S766" i="15"/>
  <c r="J766" i="15"/>
  <c r="K766" i="15"/>
  <c r="L766" i="15"/>
  <c r="M766" i="15"/>
  <c r="O766" i="15"/>
  <c r="N766" i="15"/>
  <c r="P766" i="15"/>
  <c r="Q766" i="15"/>
  <c r="V789" i="15"/>
  <c r="R798" i="15"/>
  <c r="S798" i="15"/>
  <c r="R799" i="15"/>
  <c r="S799" i="15"/>
  <c r="R800" i="15"/>
  <c r="S800" i="15"/>
  <c r="J800" i="15"/>
  <c r="K800" i="15"/>
  <c r="L800" i="15"/>
  <c r="M800" i="15"/>
  <c r="O800" i="15"/>
  <c r="N800" i="15"/>
  <c r="P800" i="15"/>
  <c r="Q800" i="15"/>
  <c r="V829" i="15"/>
  <c r="R838" i="15"/>
  <c r="S838" i="15"/>
  <c r="R839" i="15"/>
  <c r="S839" i="15"/>
  <c r="R840" i="15"/>
  <c r="S840" i="15"/>
  <c r="J840" i="15"/>
  <c r="K840" i="15"/>
  <c r="L840" i="15"/>
  <c r="M840" i="15"/>
  <c r="O840" i="15"/>
  <c r="N840" i="15"/>
  <c r="P840" i="15"/>
  <c r="Q840" i="15"/>
  <c r="V876" i="15"/>
  <c r="R883" i="15"/>
  <c r="S883" i="15"/>
  <c r="R884" i="15"/>
  <c r="S884" i="15"/>
  <c r="R885" i="15"/>
  <c r="S885" i="15"/>
  <c r="J885" i="15"/>
  <c r="K885" i="15"/>
  <c r="L885" i="15"/>
  <c r="M885" i="15"/>
  <c r="O885" i="15"/>
  <c r="N885" i="15"/>
  <c r="P885" i="15"/>
  <c r="Q885" i="15"/>
  <c r="V926" i="15"/>
  <c r="R935" i="15"/>
  <c r="S935" i="15"/>
  <c r="R936" i="15"/>
  <c r="S936" i="15"/>
  <c r="R937" i="15"/>
  <c r="S937" i="15"/>
  <c r="J937" i="15"/>
  <c r="K937" i="15"/>
  <c r="L937" i="15"/>
  <c r="M937" i="15"/>
  <c r="O937" i="15"/>
  <c r="N937" i="15"/>
  <c r="P937" i="15"/>
  <c r="Q937" i="15"/>
  <c r="V959" i="15"/>
  <c r="R968" i="15"/>
  <c r="S968" i="15"/>
  <c r="R969" i="15"/>
  <c r="S969" i="15"/>
  <c r="R970" i="15"/>
  <c r="S970" i="15"/>
  <c r="J970" i="15"/>
  <c r="K970" i="15"/>
  <c r="L970" i="15"/>
  <c r="M970" i="15"/>
  <c r="O970" i="15"/>
  <c r="N970" i="15"/>
  <c r="P970" i="15"/>
  <c r="Q970" i="15"/>
  <c r="V980" i="15"/>
  <c r="R988" i="15"/>
  <c r="S988" i="15"/>
  <c r="R989" i="15"/>
  <c r="S989" i="15"/>
  <c r="R990" i="15"/>
  <c r="S990" i="15"/>
  <c r="J990" i="15"/>
  <c r="K990" i="15"/>
  <c r="L990" i="15"/>
  <c r="M990" i="15"/>
  <c r="O990" i="15"/>
  <c r="N990" i="15"/>
  <c r="P990" i="15"/>
  <c r="Q990" i="15"/>
  <c r="V1034" i="15"/>
  <c r="R1043" i="15"/>
  <c r="S1043" i="15"/>
  <c r="R1044" i="15"/>
  <c r="S1044" i="15"/>
  <c r="R1045" i="15"/>
  <c r="S1045" i="15"/>
  <c r="J1045" i="15"/>
  <c r="K1045" i="15"/>
  <c r="L1045" i="15"/>
  <c r="M1045" i="15"/>
  <c r="O1045" i="15"/>
  <c r="N1045" i="15"/>
  <c r="P1045" i="15"/>
  <c r="Q1045" i="15"/>
  <c r="V1072" i="15"/>
  <c r="R1081" i="15"/>
  <c r="S1081" i="15"/>
  <c r="R1082" i="15"/>
  <c r="S1082" i="15"/>
  <c r="R1083" i="15"/>
  <c r="S1083" i="15"/>
  <c r="J1083" i="15"/>
  <c r="K1083" i="15"/>
  <c r="L1083" i="15"/>
  <c r="M1083" i="15"/>
  <c r="O1083" i="15"/>
  <c r="N1083" i="15"/>
  <c r="P1083" i="15"/>
  <c r="Q1083" i="15"/>
  <c r="V1105" i="15"/>
  <c r="R1112" i="15"/>
  <c r="S1112" i="15"/>
  <c r="R1113" i="15"/>
  <c r="S1113" i="15"/>
  <c r="R1114" i="15"/>
  <c r="S1114" i="15"/>
  <c r="J1114" i="15"/>
  <c r="K1114" i="15"/>
  <c r="L1114" i="15"/>
  <c r="M1114" i="15"/>
  <c r="O1114" i="15"/>
  <c r="N1114" i="15"/>
  <c r="P1114" i="15"/>
  <c r="Q1114" i="15"/>
  <c r="V1164" i="15"/>
  <c r="R1173" i="15"/>
  <c r="S1173" i="15"/>
  <c r="R1174" i="15"/>
  <c r="S1174" i="15"/>
  <c r="R1175" i="15"/>
  <c r="S1175" i="15"/>
  <c r="J1175" i="15"/>
  <c r="K1175" i="15"/>
  <c r="L1175" i="15"/>
  <c r="M1175" i="15"/>
  <c r="O1175" i="15"/>
  <c r="N1175" i="15"/>
  <c r="P1175" i="15"/>
  <c r="Q1175" i="15"/>
  <c r="V1190" i="15"/>
  <c r="R1199" i="15"/>
  <c r="S1199" i="15"/>
  <c r="R1200" i="15"/>
  <c r="S1200" i="15"/>
  <c r="R1201" i="15"/>
  <c r="S1201" i="15"/>
  <c r="J1201" i="15"/>
  <c r="K1201" i="15"/>
  <c r="L1201" i="15"/>
  <c r="M1201" i="15"/>
  <c r="O1201" i="15"/>
  <c r="N1201" i="15"/>
  <c r="P1201" i="15"/>
  <c r="Q1201" i="15"/>
  <c r="H1242" i="15"/>
  <c r="R1243" i="15"/>
  <c r="S1243" i="15"/>
  <c r="R1244" i="15"/>
  <c r="S1244" i="15"/>
  <c r="R1245" i="15"/>
  <c r="S1245" i="15"/>
  <c r="J1245" i="15"/>
  <c r="K1245" i="15"/>
  <c r="L1245" i="15"/>
  <c r="M1245" i="15"/>
  <c r="O1245" i="15"/>
  <c r="N1245" i="15"/>
  <c r="P1245" i="15"/>
  <c r="Q1245" i="15"/>
  <c r="U1337" i="15"/>
  <c r="H1349" i="15"/>
  <c r="R1350" i="15"/>
  <c r="S1350" i="15"/>
  <c r="R1351" i="15"/>
  <c r="S1351" i="15"/>
  <c r="R1352" i="15"/>
  <c r="S1352" i="15"/>
  <c r="J1352" i="15"/>
  <c r="K1352" i="15"/>
  <c r="L1352" i="15"/>
  <c r="M1352" i="15"/>
  <c r="O1352" i="15"/>
  <c r="N1352" i="15"/>
  <c r="P1352" i="15"/>
  <c r="Q1352" i="15"/>
  <c r="B1355" i="13"/>
  <c r="B1356" i="13" s="1"/>
  <c r="B1357" i="13" s="1"/>
  <c r="B1358" i="13" s="1"/>
  <c r="B1359" i="13" s="1"/>
  <c r="B1360" i="13" s="1"/>
  <c r="B1361" i="13" s="1"/>
  <c r="B1362" i="13" s="1"/>
  <c r="B1363" i="13" s="1"/>
  <c r="B1364" i="13" s="1"/>
  <c r="B1365" i="13" s="1"/>
  <c r="B1366" i="13" s="1"/>
  <c r="B1367" i="13" s="1"/>
  <c r="B1368" i="13" s="1"/>
  <c r="B1369" i="13" s="1"/>
  <c r="B1370" i="13" s="1"/>
  <c r="B1371" i="13" s="1"/>
  <c r="B1372" i="13" s="1"/>
  <c r="B1373" i="13" s="1"/>
  <c r="B1374" i="13" s="1"/>
  <c r="B1375" i="13" s="1"/>
  <c r="B1376" i="13" s="1"/>
  <c r="B1377" i="13" s="1"/>
  <c r="B1378" i="13" s="1"/>
  <c r="B1379" i="13" s="1"/>
  <c r="B1380" i="13" s="1"/>
  <c r="B1381" i="13" s="1"/>
  <c r="B1382" i="13" s="1"/>
  <c r="B1383" i="13" s="1"/>
  <c r="B1384" i="13" s="1"/>
  <c r="B1385" i="13" s="1"/>
  <c r="B1386" i="13" s="1"/>
  <c r="B1387" i="13" s="1"/>
  <c r="B1388" i="13" s="1"/>
  <c r="B1389" i="13" s="1"/>
  <c r="B1390" i="13" s="1"/>
  <c r="B1391" i="13" s="1"/>
  <c r="B1392" i="13" s="1"/>
  <c r="B1393" i="13" s="1"/>
  <c r="B1394" i="13" s="1"/>
  <c r="B1395" i="13" s="1"/>
  <c r="B1396" i="13" s="1"/>
  <c r="B1397" i="13" s="1"/>
  <c r="B1398" i="13" s="1"/>
  <c r="B1399" i="13" s="1"/>
  <c r="B1400" i="13" s="1"/>
  <c r="B1401" i="13" s="1"/>
  <c r="B1402" i="13" s="1"/>
  <c r="B1403" i="13" s="1"/>
  <c r="B1404" i="13" s="1"/>
  <c r="B1405" i="13" s="1"/>
  <c r="B1406" i="13" s="1"/>
  <c r="B1407" i="13" s="1"/>
  <c r="B1408" i="13" s="1"/>
  <c r="B1409" i="13" s="1"/>
  <c r="B1410" i="13" s="1"/>
  <c r="B1411" i="13" s="1"/>
  <c r="B1412" i="13" s="1"/>
  <c r="B1413" i="13" s="1"/>
  <c r="B1414" i="13" s="1"/>
  <c r="B1415" i="13" s="1"/>
  <c r="B1416" i="13" s="1"/>
  <c r="B1417" i="13" s="1"/>
  <c r="B1418" i="13" s="1"/>
  <c r="B1419" i="13" s="1"/>
  <c r="B1420" i="13" s="1"/>
  <c r="B1421" i="13" s="1"/>
  <c r="B1422" i="13" s="1"/>
  <c r="B1423" i="13" s="1"/>
  <c r="B1424" i="13" s="1"/>
  <c r="B1425" i="13" s="1"/>
  <c r="B1426" i="13" s="1"/>
  <c r="B1427" i="13" s="1"/>
  <c r="B1428" i="13" s="1"/>
  <c r="B1429" i="13" s="1"/>
  <c r="B1430" i="13" s="1"/>
  <c r="B1431" i="13" s="1"/>
  <c r="B1432" i="13" s="1"/>
  <c r="B1433" i="13" s="1"/>
  <c r="B1434" i="13" s="1"/>
  <c r="B1435" i="13" s="1"/>
  <c r="B1436" i="13" s="1"/>
  <c r="B1437" i="13" s="1"/>
  <c r="B1438" i="13" s="1"/>
  <c r="B1439" i="13" s="1"/>
  <c r="B1440" i="13" s="1"/>
  <c r="B1441" i="13" s="1"/>
  <c r="B1442" i="13" s="1"/>
  <c r="B1443" i="13" s="1"/>
  <c r="B1444" i="13" s="1"/>
  <c r="B1445" i="13" s="1"/>
  <c r="B1446" i="13" s="1"/>
  <c r="B1447" i="13" s="1"/>
  <c r="B1448" i="13" s="1"/>
  <c r="Q1352" i="13"/>
  <c r="P1352" i="13"/>
  <c r="N1352" i="13"/>
  <c r="O1352" i="13"/>
  <c r="M1352" i="13"/>
  <c r="K1352" i="13"/>
  <c r="J1352" i="13"/>
  <c r="S1352" i="13"/>
  <c r="R1352" i="13"/>
  <c r="S1351" i="13"/>
  <c r="R1351" i="13"/>
  <c r="S1350" i="13"/>
  <c r="R1350" i="13"/>
  <c r="H1349" i="13"/>
  <c r="B1345" i="13"/>
  <c r="B1248" i="13"/>
  <c r="B1249" i="13" s="1"/>
  <c r="B1250" i="13" s="1"/>
  <c r="B1251" i="13" s="1"/>
  <c r="B1252" i="13" s="1"/>
  <c r="B1253" i="13" s="1"/>
  <c r="B1254" i="13" s="1"/>
  <c r="B1255" i="13" s="1"/>
  <c r="B1256" i="13" s="1"/>
  <c r="B1257" i="13" s="1"/>
  <c r="B1258" i="13" s="1"/>
  <c r="B1259" i="13" s="1"/>
  <c r="B1260" i="13" s="1"/>
  <c r="B1261" i="13" s="1"/>
  <c r="B1262" i="13" s="1"/>
  <c r="B1263" i="13" s="1"/>
  <c r="B1264" i="13" s="1"/>
  <c r="B1265" i="13" s="1"/>
  <c r="B1266" i="13" s="1"/>
  <c r="B1267" i="13" s="1"/>
  <c r="B1268" i="13" s="1"/>
  <c r="B1269" i="13" s="1"/>
  <c r="B1270" i="13" s="1"/>
  <c r="B1271" i="13" s="1"/>
  <c r="B1272" i="13" s="1"/>
  <c r="B1273" i="13" s="1"/>
  <c r="B1274" i="13" s="1"/>
  <c r="B1275" i="13" s="1"/>
  <c r="B1276" i="13" s="1"/>
  <c r="B1277" i="13" s="1"/>
  <c r="B1278" i="13" s="1"/>
  <c r="B1279" i="13" s="1"/>
  <c r="B1280" i="13" s="1"/>
  <c r="B1281" i="13" s="1"/>
  <c r="B1282" i="13" s="1"/>
  <c r="B1283" i="13" s="1"/>
  <c r="B1284" i="13" s="1"/>
  <c r="B1285" i="13" s="1"/>
  <c r="B1286" i="13" s="1"/>
  <c r="B1287" i="13" s="1"/>
  <c r="B1288" i="13" s="1"/>
  <c r="B1289" i="13" s="1"/>
  <c r="B1290" i="13" s="1"/>
  <c r="B1291" i="13" s="1"/>
  <c r="B1292" i="13" s="1"/>
  <c r="B1293" i="13" s="1"/>
  <c r="B1294" i="13" s="1"/>
  <c r="B1295" i="13" s="1"/>
  <c r="B1296" i="13" s="1"/>
  <c r="B1297" i="13" s="1"/>
  <c r="B1298" i="13" s="1"/>
  <c r="B1299" i="13" s="1"/>
  <c r="B1300" i="13" s="1"/>
  <c r="B1301" i="13" s="1"/>
  <c r="B1302" i="13" s="1"/>
  <c r="B1303" i="13" s="1"/>
  <c r="B1304" i="13" s="1"/>
  <c r="B1305" i="13" s="1"/>
  <c r="B1306" i="13" s="1"/>
  <c r="B1307" i="13" s="1"/>
  <c r="B1308" i="13" s="1"/>
  <c r="B1309" i="13" s="1"/>
  <c r="B1310" i="13" s="1"/>
  <c r="B1311" i="13" s="1"/>
  <c r="B1312" i="13" s="1"/>
  <c r="B1313" i="13" s="1"/>
  <c r="B1314" i="13" s="1"/>
  <c r="B1315" i="13" s="1"/>
  <c r="B1316" i="13" s="1"/>
  <c r="B1317" i="13" s="1"/>
  <c r="B1318" i="13" s="1"/>
  <c r="B1319" i="13" s="1"/>
  <c r="B1320" i="13" s="1"/>
  <c r="B1321" i="13" s="1"/>
  <c r="B1322" i="13" s="1"/>
  <c r="B1323" i="13" s="1"/>
  <c r="B1324" i="13" s="1"/>
  <c r="B1325" i="13" s="1"/>
  <c r="B1326" i="13" s="1"/>
  <c r="B1327" i="13" s="1"/>
  <c r="B1328" i="13" s="1"/>
  <c r="B1329" i="13" s="1"/>
  <c r="B1330" i="13" s="1"/>
  <c r="B1331" i="13" s="1"/>
  <c r="B1332" i="13" s="1"/>
  <c r="B1333" i="13" s="1"/>
  <c r="B1334" i="13" s="1"/>
  <c r="B1335" i="13" s="1"/>
  <c r="B1336" i="13" s="1"/>
  <c r="B1337" i="13" s="1"/>
  <c r="B1338" i="13" s="1"/>
  <c r="B1339" i="13" s="1"/>
  <c r="B1340" i="13" s="1"/>
  <c r="B1341" i="13" s="1"/>
  <c r="U1337" i="13"/>
  <c r="Q1245" i="13"/>
  <c r="P1245" i="13"/>
  <c r="N1245" i="13"/>
  <c r="O1245" i="13"/>
  <c r="M1245" i="13"/>
  <c r="K1245" i="13"/>
  <c r="J1245" i="13"/>
  <c r="S1245" i="13"/>
  <c r="R1245" i="13"/>
  <c r="S1244" i="13"/>
  <c r="R1244" i="13"/>
  <c r="S1243" i="13"/>
  <c r="R1243" i="13"/>
  <c r="H1242" i="13"/>
  <c r="Q1201" i="13"/>
  <c r="P1201" i="13"/>
  <c r="N1201" i="13"/>
  <c r="O1201" i="13"/>
  <c r="M1201" i="13"/>
  <c r="K1201" i="13"/>
  <c r="J1201" i="13"/>
  <c r="S1201" i="13"/>
  <c r="R1201" i="13"/>
  <c r="S1200" i="13"/>
  <c r="R1200" i="13"/>
  <c r="S1199" i="13"/>
  <c r="R1199" i="13"/>
  <c r="F1199" i="13"/>
  <c r="F1199" i="44" s="1"/>
  <c r="V1190" i="13"/>
  <c r="B1177" i="13"/>
  <c r="B1178" i="13" s="1"/>
  <c r="B1179" i="13" s="1"/>
  <c r="B1180" i="13" s="1"/>
  <c r="B1181" i="13" s="1"/>
  <c r="B1182" i="13" s="1"/>
  <c r="B1183" i="13" s="1"/>
  <c r="B1184" i="13" s="1"/>
  <c r="B1185" i="13" s="1"/>
  <c r="B1186" i="13" s="1"/>
  <c r="B1187" i="13" s="1"/>
  <c r="B1188" i="13" s="1"/>
  <c r="Q1175" i="13"/>
  <c r="P1175" i="13"/>
  <c r="N1175" i="13"/>
  <c r="O1175" i="13"/>
  <c r="M1175" i="13"/>
  <c r="K1175" i="13"/>
  <c r="J1175" i="13"/>
  <c r="S1175" i="13"/>
  <c r="R1175" i="13"/>
  <c r="S1174" i="13"/>
  <c r="R1174" i="13"/>
  <c r="S1173" i="13"/>
  <c r="R1173" i="13"/>
  <c r="F1173" i="13"/>
  <c r="F1173" i="44" s="1"/>
  <c r="V1164" i="13"/>
  <c r="B1116" i="13"/>
  <c r="B1117" i="13" s="1"/>
  <c r="B1118" i="13" s="1"/>
  <c r="B1119" i="13" s="1"/>
  <c r="B1120" i="13" s="1"/>
  <c r="B1121" i="13" s="1"/>
  <c r="B1122" i="13" s="1"/>
  <c r="B1123" i="13" s="1"/>
  <c r="B1124" i="13" s="1"/>
  <c r="B1125" i="13" s="1"/>
  <c r="B1126" i="13" s="1"/>
  <c r="B1127" i="13" s="1"/>
  <c r="B1128" i="13" s="1"/>
  <c r="B1129" i="13" s="1"/>
  <c r="B1130" i="13" s="1"/>
  <c r="B1131" i="13" s="1"/>
  <c r="B1132" i="13" s="1"/>
  <c r="B1133" i="13" s="1"/>
  <c r="B1134" i="13" s="1"/>
  <c r="B1135" i="13" s="1"/>
  <c r="B1136" i="13" s="1"/>
  <c r="B1137" i="13" s="1"/>
  <c r="B1138" i="13" s="1"/>
  <c r="B1139" i="13" s="1"/>
  <c r="B1140" i="13" s="1"/>
  <c r="B1141" i="13" s="1"/>
  <c r="B1142" i="13" s="1"/>
  <c r="B1143" i="13" s="1"/>
  <c r="B1144" i="13" s="1"/>
  <c r="B1145" i="13" s="1"/>
  <c r="B1146" i="13" s="1"/>
  <c r="B1147" i="13" s="1"/>
  <c r="B1148" i="13" s="1"/>
  <c r="B1149" i="13" s="1"/>
  <c r="B1150" i="13" s="1"/>
  <c r="B1151" i="13" s="1"/>
  <c r="B1152" i="13" s="1"/>
  <c r="B1153" i="13" s="1"/>
  <c r="B1154" i="13" s="1"/>
  <c r="B1155" i="13" s="1"/>
  <c r="B1156" i="13" s="1"/>
  <c r="B1157" i="13" s="1"/>
  <c r="B1158" i="13" s="1"/>
  <c r="B1159" i="13" s="1"/>
  <c r="B1160" i="13" s="1"/>
  <c r="B1161" i="13" s="1"/>
  <c r="B1162" i="13" s="1"/>
  <c r="Q1114" i="13"/>
  <c r="P1114" i="13"/>
  <c r="N1114" i="13"/>
  <c r="O1114" i="13"/>
  <c r="M1114" i="13"/>
  <c r="K1114" i="13"/>
  <c r="J1114" i="13"/>
  <c r="S1114" i="13"/>
  <c r="R1114" i="13"/>
  <c r="S1113" i="13"/>
  <c r="R1113" i="13"/>
  <c r="S1112" i="13"/>
  <c r="R1112" i="13"/>
  <c r="F1112" i="13"/>
  <c r="F1112" i="44" s="1"/>
  <c r="V1105" i="13"/>
  <c r="B1085" i="13"/>
  <c r="B1086" i="13" s="1"/>
  <c r="B1087" i="13" s="1"/>
  <c r="B1088" i="13" s="1"/>
  <c r="B1089" i="13" s="1"/>
  <c r="B1090" i="13" s="1"/>
  <c r="B1091" i="13" s="1"/>
  <c r="B1092" i="13" s="1"/>
  <c r="B1093" i="13" s="1"/>
  <c r="B1094" i="13" s="1"/>
  <c r="B1095" i="13" s="1"/>
  <c r="B1096" i="13" s="1"/>
  <c r="B1097" i="13" s="1"/>
  <c r="B1098" i="13" s="1"/>
  <c r="B1099" i="13" s="1"/>
  <c r="Q1083" i="13"/>
  <c r="P1083" i="13"/>
  <c r="N1083" i="13"/>
  <c r="O1083" i="13"/>
  <c r="M1083" i="13"/>
  <c r="K1083" i="13"/>
  <c r="J1083" i="13"/>
  <c r="S1083" i="13"/>
  <c r="R1083" i="13"/>
  <c r="S1082" i="13"/>
  <c r="R1082" i="13"/>
  <c r="S1081" i="13"/>
  <c r="R1081" i="13"/>
  <c r="F1081" i="13"/>
  <c r="F1081" i="44" s="1"/>
  <c r="V1072" i="13"/>
  <c r="B1047" i="13"/>
  <c r="B1048" i="13" s="1"/>
  <c r="B1049" i="13" s="1"/>
  <c r="B1050" i="13" s="1"/>
  <c r="B1051" i="13" s="1"/>
  <c r="B1052" i="13" s="1"/>
  <c r="B1053" i="13" s="1"/>
  <c r="B1054" i="13" s="1"/>
  <c r="B1055" i="13" s="1"/>
  <c r="B1056" i="13" s="1"/>
  <c r="B1057" i="13" s="1"/>
  <c r="B1058" i="13" s="1"/>
  <c r="B1059" i="13" s="1"/>
  <c r="B1060" i="13" s="1"/>
  <c r="B1061" i="13" s="1"/>
  <c r="B1062" i="13" s="1"/>
  <c r="B1063" i="13" s="1"/>
  <c r="B1064" i="13" s="1"/>
  <c r="B1065" i="13" s="1"/>
  <c r="B1066" i="13" s="1"/>
  <c r="B1067" i="13" s="1"/>
  <c r="B1068" i="13" s="1"/>
  <c r="B1069" i="13" s="1"/>
  <c r="B1070" i="13" s="1"/>
  <c r="Q1045" i="13"/>
  <c r="P1045" i="13"/>
  <c r="N1045" i="13"/>
  <c r="O1045" i="13"/>
  <c r="M1045" i="13"/>
  <c r="K1045" i="13"/>
  <c r="J1045" i="13"/>
  <c r="S1045" i="13"/>
  <c r="R1045" i="13"/>
  <c r="S1044" i="13"/>
  <c r="R1044" i="13"/>
  <c r="S1043" i="13"/>
  <c r="R1043" i="13"/>
  <c r="F1043" i="13"/>
  <c r="F1043" i="44" s="1"/>
  <c r="V1034" i="13"/>
  <c r="B992" i="13"/>
  <c r="B993" i="13" s="1"/>
  <c r="B994" i="13" s="1"/>
  <c r="B995" i="13" s="1"/>
  <c r="B996" i="13" s="1"/>
  <c r="B997" i="13" s="1"/>
  <c r="B998" i="13" s="1"/>
  <c r="B999" i="13" s="1"/>
  <c r="B1000" i="13" s="1"/>
  <c r="B1001" i="13" s="1"/>
  <c r="B1002" i="13" s="1"/>
  <c r="B1003" i="13" s="1"/>
  <c r="B1004" i="13" s="1"/>
  <c r="B1005" i="13" s="1"/>
  <c r="B1006" i="13" s="1"/>
  <c r="B1007" i="13" s="1"/>
  <c r="B1008" i="13" s="1"/>
  <c r="B1009" i="13" s="1"/>
  <c r="B1010" i="13" s="1"/>
  <c r="B1011" i="13" s="1"/>
  <c r="B1012" i="13" s="1"/>
  <c r="B1013" i="13" s="1"/>
  <c r="B1014" i="13" s="1"/>
  <c r="B1015" i="13" s="1"/>
  <c r="B1016" i="13" s="1"/>
  <c r="B1017" i="13" s="1"/>
  <c r="B1018" i="13" s="1"/>
  <c r="B1019" i="13" s="1"/>
  <c r="B1020" i="13" s="1"/>
  <c r="B1021" i="13" s="1"/>
  <c r="B1022" i="13" s="1"/>
  <c r="B1023" i="13" s="1"/>
  <c r="B1024" i="13" s="1"/>
  <c r="B1025" i="13" s="1"/>
  <c r="B1026" i="13" s="1"/>
  <c r="B1027" i="13" s="1"/>
  <c r="B1028" i="13" s="1"/>
  <c r="B1029" i="13" s="1"/>
  <c r="B1030" i="13" s="1"/>
  <c r="B1031" i="13" s="1"/>
  <c r="B1032" i="13" s="1"/>
  <c r="Q990" i="13"/>
  <c r="P990" i="13"/>
  <c r="N990" i="13"/>
  <c r="O990" i="13"/>
  <c r="M990" i="13"/>
  <c r="K990" i="13"/>
  <c r="J990" i="13"/>
  <c r="S990" i="13"/>
  <c r="R990" i="13"/>
  <c r="S989" i="13"/>
  <c r="R989" i="13"/>
  <c r="S988" i="13"/>
  <c r="R988" i="13"/>
  <c r="F988" i="13"/>
  <c r="F988" i="44" s="1"/>
  <c r="V980" i="13"/>
  <c r="F978" i="13"/>
  <c r="F978" i="44" s="1"/>
  <c r="B972" i="13"/>
  <c r="B973" i="13" s="1"/>
  <c r="B974" i="13" s="1"/>
  <c r="B975" i="13" s="1"/>
  <c r="B976" i="13" s="1"/>
  <c r="B977" i="13" s="1"/>
  <c r="B978" i="13" s="1"/>
  <c r="Q970" i="13"/>
  <c r="P970" i="13"/>
  <c r="N970" i="13"/>
  <c r="O970" i="13"/>
  <c r="M970" i="13"/>
  <c r="K970" i="13"/>
  <c r="J970" i="13"/>
  <c r="S970" i="13"/>
  <c r="R970" i="13"/>
  <c r="S969" i="13"/>
  <c r="R969" i="13"/>
  <c r="S968" i="13"/>
  <c r="R968" i="13"/>
  <c r="F968" i="13"/>
  <c r="F968" i="44" s="1"/>
  <c r="V959" i="13"/>
  <c r="B939" i="13"/>
  <c r="B940" i="13" s="1"/>
  <c r="B941" i="13" s="1"/>
  <c r="B942" i="13" s="1"/>
  <c r="B943" i="13" s="1"/>
  <c r="B944" i="13" s="1"/>
  <c r="B945" i="13" s="1"/>
  <c r="B946" i="13" s="1"/>
  <c r="B947" i="13" s="1"/>
  <c r="B948" i="13" s="1"/>
  <c r="B949" i="13" s="1"/>
  <c r="B950" i="13" s="1"/>
  <c r="B951" i="13" s="1"/>
  <c r="B952" i="13" s="1"/>
  <c r="B953" i="13" s="1"/>
  <c r="B954" i="13" s="1"/>
  <c r="B955" i="13" s="1"/>
  <c r="B956" i="13" s="1"/>
  <c r="B957" i="13" s="1"/>
  <c r="Q937" i="13"/>
  <c r="P937" i="13"/>
  <c r="N937" i="13"/>
  <c r="O937" i="13"/>
  <c r="M937" i="13"/>
  <c r="K937" i="13"/>
  <c r="J937" i="13"/>
  <c r="S937" i="13"/>
  <c r="R937" i="13"/>
  <c r="S936" i="13"/>
  <c r="R936" i="13"/>
  <c r="S935" i="13"/>
  <c r="R935" i="13"/>
  <c r="F935" i="13"/>
  <c r="F935" i="44" s="1"/>
  <c r="V926" i="13"/>
  <c r="B887" i="13"/>
  <c r="B888" i="13" s="1"/>
  <c r="B889" i="13" s="1"/>
  <c r="B890" i="13" s="1"/>
  <c r="B891" i="13" s="1"/>
  <c r="B892" i="13" s="1"/>
  <c r="B893" i="13" s="1"/>
  <c r="B894" i="13" s="1"/>
  <c r="B895" i="13" s="1"/>
  <c r="B896" i="13" s="1"/>
  <c r="B897" i="13" s="1"/>
  <c r="B898" i="13" s="1"/>
  <c r="B899" i="13" s="1"/>
  <c r="B900" i="13" s="1"/>
  <c r="B901" i="13" s="1"/>
  <c r="B902" i="13" s="1"/>
  <c r="B903" i="13" s="1"/>
  <c r="B904" i="13" s="1"/>
  <c r="B905" i="13" s="1"/>
  <c r="B906" i="13" s="1"/>
  <c r="B907" i="13" s="1"/>
  <c r="B908" i="13" s="1"/>
  <c r="B909" i="13" s="1"/>
  <c r="B910" i="13" s="1"/>
  <c r="B911" i="13" s="1"/>
  <c r="B912" i="13" s="1"/>
  <c r="B913" i="13" s="1"/>
  <c r="B914" i="13" s="1"/>
  <c r="B915" i="13" s="1"/>
  <c r="B916" i="13" s="1"/>
  <c r="B917" i="13" s="1"/>
  <c r="B918" i="13" s="1"/>
  <c r="B919" i="13" s="1"/>
  <c r="B920" i="13" s="1"/>
  <c r="B921" i="13" s="1"/>
  <c r="B922" i="13" s="1"/>
  <c r="B923" i="13" s="1"/>
  <c r="B924" i="13" s="1"/>
  <c r="B925" i="13" s="1"/>
  <c r="Q885" i="13"/>
  <c r="P885" i="13"/>
  <c r="N885" i="13"/>
  <c r="O885" i="13"/>
  <c r="M885" i="13"/>
  <c r="K885" i="13"/>
  <c r="J885" i="13"/>
  <c r="S885" i="13"/>
  <c r="R885" i="13"/>
  <c r="S884" i="13"/>
  <c r="R884" i="13"/>
  <c r="S883" i="13"/>
  <c r="R883" i="13"/>
  <c r="F883" i="13"/>
  <c r="F883" i="44" s="1"/>
  <c r="V876" i="13"/>
  <c r="B842" i="13"/>
  <c r="B843" i="13" s="1"/>
  <c r="B844" i="13" s="1"/>
  <c r="B845" i="13" s="1"/>
  <c r="B846" i="13" s="1"/>
  <c r="B847" i="13" s="1"/>
  <c r="B848" i="13" s="1"/>
  <c r="B849" i="13" s="1"/>
  <c r="B850" i="13" s="1"/>
  <c r="B851" i="13" s="1"/>
  <c r="B852" i="13" s="1"/>
  <c r="B853" i="13" s="1"/>
  <c r="B854" i="13" s="1"/>
  <c r="B855" i="13" s="1"/>
  <c r="B856" i="13" s="1"/>
  <c r="B857" i="13" s="1"/>
  <c r="B858" i="13" s="1"/>
  <c r="B859" i="13" s="1"/>
  <c r="B860" i="13" s="1"/>
  <c r="B861" i="13" s="1"/>
  <c r="B862" i="13" s="1"/>
  <c r="B863" i="13" s="1"/>
  <c r="B864" i="13" s="1"/>
  <c r="B865" i="13" s="1"/>
  <c r="B866" i="13" s="1"/>
  <c r="B867" i="13" s="1"/>
  <c r="B868" i="13" s="1"/>
  <c r="B869" i="13" s="1"/>
  <c r="B870" i="13" s="1"/>
  <c r="B871" i="13" s="1"/>
  <c r="B872" i="13" s="1"/>
  <c r="B873" i="13" s="1"/>
  <c r="B874" i="13" s="1"/>
  <c r="Q840" i="13"/>
  <c r="P840" i="13"/>
  <c r="N840" i="13"/>
  <c r="O840" i="13"/>
  <c r="M840" i="13"/>
  <c r="K840" i="13"/>
  <c r="J840" i="13"/>
  <c r="S840" i="13"/>
  <c r="R840" i="13"/>
  <c r="S839" i="13"/>
  <c r="R839" i="13"/>
  <c r="S838" i="13"/>
  <c r="R838" i="13"/>
  <c r="F838" i="13"/>
  <c r="F838" i="44" s="1"/>
  <c r="V829" i="13"/>
  <c r="B802" i="13"/>
  <c r="B803" i="13" s="1"/>
  <c r="B804" i="13" s="1"/>
  <c r="B805" i="13" s="1"/>
  <c r="B806" i="13" s="1"/>
  <c r="B807" i="13" s="1"/>
  <c r="B808" i="13" s="1"/>
  <c r="B809" i="13" s="1"/>
  <c r="B810" i="13" s="1"/>
  <c r="B811" i="13" s="1"/>
  <c r="B812" i="13" s="1"/>
  <c r="B813" i="13" s="1"/>
  <c r="B814" i="13" s="1"/>
  <c r="B815" i="13" s="1"/>
  <c r="B816" i="13" s="1"/>
  <c r="B817" i="13" s="1"/>
  <c r="B818" i="13" s="1"/>
  <c r="B819" i="13" s="1"/>
  <c r="B820" i="13" s="1"/>
  <c r="B821" i="13" s="1"/>
  <c r="B822" i="13" s="1"/>
  <c r="B823" i="13" s="1"/>
  <c r="B824" i="13" s="1"/>
  <c r="Q800" i="13"/>
  <c r="P800" i="13"/>
  <c r="N800" i="13"/>
  <c r="O800" i="13"/>
  <c r="M800" i="13"/>
  <c r="K800" i="13"/>
  <c r="J800" i="13"/>
  <c r="S800" i="13"/>
  <c r="R800" i="13"/>
  <c r="S799" i="13"/>
  <c r="R799" i="13"/>
  <c r="S798" i="13"/>
  <c r="R798" i="13"/>
  <c r="F798" i="13"/>
  <c r="F798" i="44" s="1"/>
  <c r="V789" i="13"/>
  <c r="B768" i="13"/>
  <c r="B769" i="13" s="1"/>
  <c r="B770" i="13" s="1"/>
  <c r="B771" i="13" s="1"/>
  <c r="B772" i="13" s="1"/>
  <c r="B773" i="13" s="1"/>
  <c r="B774" i="13" s="1"/>
  <c r="B775" i="13" s="1"/>
  <c r="B776" i="13" s="1"/>
  <c r="B777" i="13" s="1"/>
  <c r="B778" i="13" s="1"/>
  <c r="B779" i="13" s="1"/>
  <c r="B780" i="13" s="1"/>
  <c r="B781" i="13" s="1"/>
  <c r="B782" i="13" s="1"/>
  <c r="B783" i="13" s="1"/>
  <c r="B784" i="13" s="1"/>
  <c r="B785" i="13" s="1"/>
  <c r="B786" i="13" s="1"/>
  <c r="B787" i="13" s="1"/>
  <c r="Q766" i="13"/>
  <c r="P766" i="13"/>
  <c r="N766" i="13"/>
  <c r="O766" i="13"/>
  <c r="M766" i="13"/>
  <c r="K766" i="13"/>
  <c r="J766" i="13"/>
  <c r="S766" i="13"/>
  <c r="R766" i="13"/>
  <c r="S765" i="13"/>
  <c r="R765" i="13"/>
  <c r="S764" i="13"/>
  <c r="R764" i="13"/>
  <c r="F764" i="13"/>
  <c r="F764" i="44" s="1"/>
  <c r="V755" i="13"/>
  <c r="B723" i="13"/>
  <c r="B724" i="13" s="1"/>
  <c r="B725" i="13" s="1"/>
  <c r="B726" i="13" s="1"/>
  <c r="B727" i="13" s="1"/>
  <c r="B728" i="13" s="1"/>
  <c r="B729" i="13" s="1"/>
  <c r="B730" i="13" s="1"/>
  <c r="B731" i="13" s="1"/>
  <c r="B732" i="13" s="1"/>
  <c r="B733" i="13" s="1"/>
  <c r="B734" i="13" s="1"/>
  <c r="B735" i="13" s="1"/>
  <c r="B736" i="13" s="1"/>
  <c r="B737" i="13" s="1"/>
  <c r="B738" i="13" s="1"/>
  <c r="B739" i="13" s="1"/>
  <c r="B740" i="13" s="1"/>
  <c r="B741" i="13" s="1"/>
  <c r="B742" i="13" s="1"/>
  <c r="B743" i="13" s="1"/>
  <c r="B744" i="13" s="1"/>
  <c r="B745" i="13" s="1"/>
  <c r="B746" i="13" s="1"/>
  <c r="B747" i="13" s="1"/>
  <c r="B748" i="13" s="1"/>
  <c r="B749" i="13" s="1"/>
  <c r="B750" i="13" s="1"/>
  <c r="B751" i="13" s="1"/>
  <c r="B752" i="13" s="1"/>
  <c r="B753" i="13" s="1"/>
  <c r="B754" i="13" s="1"/>
  <c r="Q721" i="13"/>
  <c r="P721" i="13"/>
  <c r="N721" i="13"/>
  <c r="O721" i="13"/>
  <c r="M721" i="13"/>
  <c r="K721" i="13"/>
  <c r="J721" i="13"/>
  <c r="S721" i="13"/>
  <c r="R721" i="13"/>
  <c r="S720" i="13"/>
  <c r="R720" i="13"/>
  <c r="S719" i="13"/>
  <c r="R719" i="13"/>
  <c r="F719" i="13"/>
  <c r="F719" i="44" s="1"/>
  <c r="V711" i="13"/>
  <c r="B678" i="13"/>
  <c r="B679" i="13" s="1"/>
  <c r="B680" i="13" s="1"/>
  <c r="B681" i="13" s="1"/>
  <c r="B682" i="13" s="1"/>
  <c r="B683" i="13" s="1"/>
  <c r="B684" i="13" s="1"/>
  <c r="B685" i="13" s="1"/>
  <c r="B686" i="13" s="1"/>
  <c r="B687" i="13" s="1"/>
  <c r="B688" i="13" s="1"/>
  <c r="B689" i="13" s="1"/>
  <c r="B690" i="13" s="1"/>
  <c r="B691" i="13" s="1"/>
  <c r="B692" i="13" s="1"/>
  <c r="B693" i="13" s="1"/>
  <c r="B694" i="13" s="1"/>
  <c r="B695" i="13" s="1"/>
  <c r="B696" i="13" s="1"/>
  <c r="B697" i="13" s="1"/>
  <c r="B698" i="13" s="1"/>
  <c r="B699" i="13" s="1"/>
  <c r="B700" i="13" s="1"/>
  <c r="B701" i="13" s="1"/>
  <c r="B702" i="13" s="1"/>
  <c r="B703" i="13" s="1"/>
  <c r="B704" i="13" s="1"/>
  <c r="B705" i="13" s="1"/>
  <c r="B706" i="13" s="1"/>
  <c r="B707" i="13" s="1"/>
  <c r="B708" i="13" s="1"/>
  <c r="B709" i="13" s="1"/>
  <c r="Q676" i="13"/>
  <c r="P676" i="13"/>
  <c r="N676" i="13"/>
  <c r="O676" i="13"/>
  <c r="M676" i="13"/>
  <c r="K676" i="13"/>
  <c r="J676" i="13"/>
  <c r="S676" i="13"/>
  <c r="R676" i="13"/>
  <c r="S675" i="13"/>
  <c r="R675" i="13"/>
  <c r="S674" i="13"/>
  <c r="R674" i="13"/>
  <c r="F674" i="13"/>
  <c r="F674" i="44" s="1"/>
  <c r="V665" i="13"/>
  <c r="B637" i="13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Q635" i="13"/>
  <c r="P635" i="13"/>
  <c r="N635" i="13"/>
  <c r="O635" i="13"/>
  <c r="M635" i="13"/>
  <c r="K635" i="13"/>
  <c r="J635" i="13"/>
  <c r="S635" i="13"/>
  <c r="R635" i="13"/>
  <c r="S634" i="13"/>
  <c r="R634" i="13"/>
  <c r="S633" i="13"/>
  <c r="R633" i="13"/>
  <c r="F633" i="13"/>
  <c r="F633" i="44" s="1"/>
  <c r="V624" i="13"/>
  <c r="B590" i="13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Q588" i="13"/>
  <c r="P588" i="13"/>
  <c r="N588" i="13"/>
  <c r="O588" i="13"/>
  <c r="M588" i="13"/>
  <c r="K588" i="13"/>
  <c r="J588" i="13"/>
  <c r="S588" i="13"/>
  <c r="R588" i="13"/>
  <c r="S587" i="13"/>
  <c r="R587" i="13"/>
  <c r="S586" i="13"/>
  <c r="R586" i="13"/>
  <c r="F586" i="13"/>
  <c r="F586" i="44" s="1"/>
  <c r="V577" i="13"/>
  <c r="B516" i="13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B530" i="13" s="1"/>
  <c r="B531" i="13" s="1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Q514" i="13"/>
  <c r="P514" i="13"/>
  <c r="N514" i="13"/>
  <c r="O514" i="13"/>
  <c r="M514" i="13"/>
  <c r="K514" i="13"/>
  <c r="J514" i="13"/>
  <c r="S514" i="13"/>
  <c r="R514" i="13"/>
  <c r="S513" i="13"/>
  <c r="R513" i="13"/>
  <c r="S512" i="13"/>
  <c r="R512" i="13"/>
  <c r="F512" i="13"/>
  <c r="F512" i="44" s="1"/>
  <c r="V503" i="13"/>
  <c r="B493" i="13"/>
  <c r="B494" i="13" s="1"/>
  <c r="B495" i="13" s="1"/>
  <c r="B496" i="13" s="1"/>
  <c r="B497" i="13" s="1"/>
  <c r="B498" i="13" s="1"/>
  <c r="B499" i="13" s="1"/>
  <c r="B500" i="13" s="1"/>
  <c r="B501" i="13" s="1"/>
  <c r="Q491" i="13"/>
  <c r="P491" i="13"/>
  <c r="N491" i="13"/>
  <c r="O491" i="13"/>
  <c r="M491" i="13"/>
  <c r="K491" i="13"/>
  <c r="J491" i="13"/>
  <c r="S491" i="13"/>
  <c r="R491" i="13"/>
  <c r="S490" i="13"/>
  <c r="R490" i="13"/>
  <c r="S489" i="13"/>
  <c r="R489" i="13"/>
  <c r="F489" i="13"/>
  <c r="F489" i="44" s="1"/>
  <c r="V480" i="13"/>
  <c r="B470" i="13"/>
  <c r="B471" i="13" s="1"/>
  <c r="B472" i="13" s="1"/>
  <c r="B473" i="13" s="1"/>
  <c r="B474" i="13" s="1"/>
  <c r="B475" i="13" s="1"/>
  <c r="B476" i="13" s="1"/>
  <c r="B477" i="13" s="1"/>
  <c r="B478" i="13" s="1"/>
  <c r="Q468" i="13"/>
  <c r="P468" i="13"/>
  <c r="N468" i="13"/>
  <c r="O468" i="13"/>
  <c r="M468" i="13"/>
  <c r="K468" i="13"/>
  <c r="J468" i="13"/>
  <c r="S468" i="13"/>
  <c r="R468" i="13"/>
  <c r="S467" i="13"/>
  <c r="R467" i="13"/>
  <c r="S466" i="13"/>
  <c r="R466" i="13"/>
  <c r="F466" i="13"/>
  <c r="F466" i="44" s="1"/>
  <c r="V457" i="13"/>
  <c r="B450" i="13"/>
  <c r="B451" i="13" s="1"/>
  <c r="B452" i="13" s="1"/>
  <c r="B453" i="13" s="1"/>
  <c r="B454" i="13" s="1"/>
  <c r="B455" i="13" s="1"/>
  <c r="Q448" i="13"/>
  <c r="P448" i="13"/>
  <c r="N448" i="13"/>
  <c r="O448" i="13"/>
  <c r="M448" i="13"/>
  <c r="K448" i="13"/>
  <c r="J448" i="13"/>
  <c r="S448" i="13"/>
  <c r="R448" i="13"/>
  <c r="S447" i="13"/>
  <c r="R447" i="13"/>
  <c r="S446" i="13"/>
  <c r="R446" i="13"/>
  <c r="F446" i="13"/>
  <c r="F446" i="44" s="1"/>
  <c r="V437" i="13"/>
  <c r="B428" i="13"/>
  <c r="B429" i="13" s="1"/>
  <c r="B430" i="13" s="1"/>
  <c r="B431" i="13" s="1"/>
  <c r="B432" i="13" s="1"/>
  <c r="B433" i="13" s="1"/>
  <c r="B434" i="13" s="1"/>
  <c r="B435" i="13" s="1"/>
  <c r="Q426" i="13"/>
  <c r="P426" i="13"/>
  <c r="N426" i="13"/>
  <c r="O426" i="13"/>
  <c r="M426" i="13"/>
  <c r="K426" i="13"/>
  <c r="J426" i="13"/>
  <c r="S426" i="13"/>
  <c r="R426" i="13"/>
  <c r="S425" i="13"/>
  <c r="R425" i="13"/>
  <c r="S424" i="13"/>
  <c r="R424" i="13"/>
  <c r="F424" i="13"/>
  <c r="F424" i="44" s="1"/>
  <c r="V415" i="13"/>
  <c r="B403" i="13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U407" i="13"/>
  <c r="U406" i="13"/>
  <c r="U405" i="13"/>
  <c r="Q401" i="13"/>
  <c r="P401" i="13"/>
  <c r="N401" i="13"/>
  <c r="O401" i="13"/>
  <c r="M401" i="13"/>
  <c r="K401" i="13"/>
  <c r="J401" i="13"/>
  <c r="S401" i="13"/>
  <c r="R401" i="13"/>
  <c r="S400" i="13"/>
  <c r="R400" i="13"/>
  <c r="S399" i="13"/>
  <c r="R399" i="13"/>
  <c r="F399" i="13"/>
  <c r="F399" i="44" s="1"/>
  <c r="V390" i="13"/>
  <c r="B383" i="13"/>
  <c r="B384" i="13" s="1"/>
  <c r="B385" i="13" s="1"/>
  <c r="B386" i="13" s="1"/>
  <c r="B387" i="13" s="1"/>
  <c r="B388" i="13" s="1"/>
  <c r="Q381" i="13"/>
  <c r="P381" i="13"/>
  <c r="N381" i="13"/>
  <c r="O381" i="13"/>
  <c r="M381" i="13"/>
  <c r="K381" i="13"/>
  <c r="J381" i="13"/>
  <c r="S381" i="13"/>
  <c r="R381" i="13"/>
  <c r="S380" i="13"/>
  <c r="R380" i="13"/>
  <c r="S379" i="13"/>
  <c r="R379" i="13"/>
  <c r="F379" i="13"/>
  <c r="F379" i="44" s="1"/>
  <c r="V370" i="13"/>
  <c r="B343" i="13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Q340" i="13"/>
  <c r="P340" i="13"/>
  <c r="N340" i="13"/>
  <c r="O340" i="13"/>
  <c r="M340" i="13"/>
  <c r="K340" i="13"/>
  <c r="J340" i="13"/>
  <c r="S340" i="13"/>
  <c r="R340" i="13"/>
  <c r="S339" i="13"/>
  <c r="R339" i="13"/>
  <c r="S338" i="13"/>
  <c r="R338" i="13"/>
  <c r="F338" i="13"/>
  <c r="F338" i="44" s="1"/>
  <c r="V329" i="13"/>
  <c r="B290" i="13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Q287" i="13"/>
  <c r="P287" i="13"/>
  <c r="N287" i="13"/>
  <c r="O287" i="13"/>
  <c r="M287" i="13"/>
  <c r="K287" i="13"/>
  <c r="J287" i="13"/>
  <c r="S287" i="13"/>
  <c r="R287" i="13"/>
  <c r="S286" i="13"/>
  <c r="R286" i="13"/>
  <c r="S285" i="13"/>
  <c r="R285" i="13"/>
  <c r="F285" i="13"/>
  <c r="F285" i="44" s="1"/>
  <c r="V278" i="13"/>
  <c r="V277" i="13"/>
  <c r="Q255" i="13"/>
  <c r="P255" i="13"/>
  <c r="N255" i="13"/>
  <c r="O255" i="13"/>
  <c r="M255" i="13"/>
  <c r="K255" i="13"/>
  <c r="J255" i="13"/>
  <c r="S255" i="13"/>
  <c r="R255" i="13"/>
  <c r="S254" i="13"/>
  <c r="R254" i="13"/>
  <c r="S253" i="13"/>
  <c r="R253" i="13"/>
  <c r="F253" i="13"/>
  <c r="F253" i="44" s="1"/>
  <c r="V246" i="13"/>
  <c r="B240" i="13"/>
  <c r="B241" i="13" s="1"/>
  <c r="B242" i="13" s="1"/>
  <c r="B243" i="13" s="1"/>
  <c r="B244" i="13" s="1"/>
  <c r="Q238" i="13"/>
  <c r="P238" i="13"/>
  <c r="N238" i="13"/>
  <c r="O238" i="13"/>
  <c r="M238" i="13"/>
  <c r="K238" i="13"/>
  <c r="J238" i="13"/>
  <c r="S238" i="13"/>
  <c r="R238" i="13"/>
  <c r="S237" i="13"/>
  <c r="R237" i="13"/>
  <c r="S236" i="13"/>
  <c r="R236" i="13"/>
  <c r="F236" i="13"/>
  <c r="F236" i="44" s="1"/>
  <c r="V227" i="13"/>
  <c r="Q212" i="13"/>
  <c r="P212" i="13"/>
  <c r="N212" i="13"/>
  <c r="O212" i="13"/>
  <c r="M212" i="13"/>
  <c r="K212" i="13"/>
  <c r="S212" i="13"/>
  <c r="R212" i="13"/>
  <c r="S211" i="13"/>
  <c r="R211" i="13"/>
  <c r="S210" i="13"/>
  <c r="R210" i="13"/>
  <c r="F210" i="13"/>
  <c r="F210" i="44" s="1"/>
  <c r="V201" i="13"/>
  <c r="B183" i="13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Q181" i="13"/>
  <c r="P181" i="13"/>
  <c r="N181" i="13"/>
  <c r="O181" i="13"/>
  <c r="M181" i="13"/>
  <c r="K181" i="13"/>
  <c r="J181" i="13"/>
  <c r="S181" i="13"/>
  <c r="R181" i="13"/>
  <c r="S180" i="13"/>
  <c r="R180" i="13"/>
  <c r="S179" i="13"/>
  <c r="R179" i="13"/>
  <c r="F179" i="13"/>
  <c r="F179" i="44" s="1"/>
  <c r="V170" i="13"/>
  <c r="B136" i="13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Q133" i="13"/>
  <c r="P133" i="13"/>
  <c r="N133" i="13"/>
  <c r="O133" i="13"/>
  <c r="M133" i="13"/>
  <c r="L133" i="13"/>
  <c r="K133" i="13"/>
  <c r="J133" i="13"/>
  <c r="S133" i="13"/>
  <c r="R133" i="13"/>
  <c r="S132" i="13"/>
  <c r="R132" i="13"/>
  <c r="S131" i="13"/>
  <c r="R131" i="13"/>
  <c r="F131" i="13"/>
  <c r="F131" i="44" s="1"/>
  <c r="V122" i="13"/>
  <c r="Q100" i="13"/>
  <c r="P100" i="13"/>
  <c r="N100" i="13"/>
  <c r="O100" i="13"/>
  <c r="M100" i="13"/>
  <c r="L100" i="13"/>
  <c r="K100" i="13"/>
  <c r="J100" i="13"/>
  <c r="S100" i="13"/>
  <c r="R100" i="13"/>
  <c r="S99" i="13"/>
  <c r="R99" i="13"/>
  <c r="S98" i="13"/>
  <c r="R98" i="13"/>
  <c r="F98" i="13"/>
  <c r="F98" i="44" s="1"/>
  <c r="V91" i="13"/>
  <c r="Q51" i="13"/>
  <c r="P51" i="13"/>
  <c r="N51" i="13"/>
  <c r="O51" i="13"/>
  <c r="M51" i="13"/>
  <c r="L51" i="13"/>
  <c r="K51" i="13"/>
  <c r="J51" i="13"/>
  <c r="S51" i="13"/>
  <c r="R51" i="13"/>
  <c r="S50" i="13"/>
  <c r="R50" i="13"/>
  <c r="S49" i="13"/>
  <c r="R49" i="13"/>
  <c r="F49" i="13"/>
  <c r="F49" i="44" s="1"/>
  <c r="V41" i="13"/>
  <c r="B1178" i="8"/>
  <c r="B1116" i="8"/>
  <c r="B1085" i="8"/>
  <c r="B1047" i="8"/>
  <c r="B992" i="8"/>
  <c r="G978" i="8"/>
  <c r="H978" i="8"/>
  <c r="I978" i="8"/>
  <c r="F978" i="8"/>
  <c r="B972" i="8"/>
  <c r="J976" i="8"/>
  <c r="J975" i="8"/>
  <c r="J974" i="8"/>
  <c r="J973" i="8"/>
  <c r="J972" i="8"/>
  <c r="B939" i="8"/>
  <c r="B887" i="8"/>
  <c r="B842" i="8"/>
  <c r="B802" i="8"/>
  <c r="B768" i="8"/>
  <c r="B723" i="8"/>
  <c r="B678" i="8"/>
  <c r="B637" i="8"/>
  <c r="B590" i="8"/>
  <c r="B516" i="8"/>
  <c r="B493" i="8"/>
  <c r="B494" i="8" s="1"/>
  <c r="B495" i="8" s="1"/>
  <c r="B496" i="8" s="1"/>
  <c r="B497" i="8" s="1"/>
  <c r="B498" i="8" s="1"/>
  <c r="B499" i="8" s="1"/>
  <c r="B500" i="8" s="1"/>
  <c r="B501" i="8" s="1"/>
  <c r="B470" i="8"/>
  <c r="B450" i="8"/>
  <c r="B428" i="8"/>
  <c r="B403" i="8"/>
  <c r="J407" i="8"/>
  <c r="J406" i="8"/>
  <c r="J405" i="8"/>
  <c r="B383" i="8"/>
  <c r="B343" i="8"/>
  <c r="B290" i="8"/>
  <c r="B240" i="8"/>
  <c r="B183" i="8"/>
  <c r="B136" i="8"/>
  <c r="P60" i="5"/>
  <c r="P57" i="5"/>
  <c r="P53" i="5"/>
  <c r="P40" i="5"/>
  <c r="P35" i="5"/>
  <c r="P34" i="5"/>
  <c r="P33" i="5"/>
  <c r="P32" i="5"/>
  <c r="P31" i="5"/>
  <c r="P30" i="5"/>
  <c r="P29" i="5"/>
  <c r="P28" i="5"/>
  <c r="P27" i="5"/>
  <c r="P26" i="5"/>
  <c r="P25" i="5"/>
  <c r="P20" i="5"/>
  <c r="P14" i="5"/>
  <c r="B18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G31" i="4"/>
  <c r="G28" i="4"/>
  <c r="G25" i="4"/>
  <c r="G22" i="4"/>
  <c r="G19" i="4"/>
  <c r="D59" i="3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D58" i="3"/>
  <c r="D57" i="3"/>
  <c r="B17" i="2"/>
  <c r="K18" i="2"/>
  <c r="F1101" i="8" l="1"/>
  <c r="F567" i="18"/>
  <c r="N567" i="44"/>
  <c r="H1148" i="44"/>
  <c r="G1101" i="8"/>
  <c r="I1101" i="8"/>
  <c r="H1101" i="8"/>
  <c r="H1218" i="16"/>
  <c r="K1218" i="44" s="1"/>
  <c r="H1216" i="16"/>
  <c r="K1216" i="44" s="1"/>
  <c r="H1207" i="16"/>
  <c r="K1207" i="44" s="1"/>
  <c r="H1219" i="16"/>
  <c r="K1219" i="44" s="1"/>
  <c r="H1002" i="16"/>
  <c r="K1002" i="44" s="1"/>
  <c r="H1215" i="15"/>
  <c r="I1215" i="44" s="1"/>
  <c r="H1207" i="15"/>
  <c r="I1207" i="44" s="1"/>
  <c r="H1219" i="15"/>
  <c r="I1219" i="44" s="1"/>
  <c r="H1218" i="15"/>
  <c r="I1218" i="44" s="1"/>
  <c r="H1207" i="13"/>
  <c r="G1207" i="44" s="1"/>
  <c r="H1215" i="13"/>
  <c r="G1215" i="44" s="1"/>
  <c r="H1219" i="13"/>
  <c r="G1219" i="44" s="1"/>
  <c r="H1218" i="13"/>
  <c r="G1218" i="44" s="1"/>
  <c r="F731" i="13"/>
  <c r="F731" i="44" s="1"/>
  <c r="F725" i="44"/>
  <c r="B344" i="16"/>
  <c r="B494" i="16"/>
  <c r="B769" i="16"/>
  <c r="B993" i="16"/>
  <c r="B137" i="16"/>
  <c r="B384" i="16"/>
  <c r="B517" i="16"/>
  <c r="B803" i="16"/>
  <c r="B1048" i="16"/>
  <c r="B184" i="16"/>
  <c r="B404" i="16"/>
  <c r="B591" i="16"/>
  <c r="B843" i="16"/>
  <c r="B1086" i="16"/>
  <c r="B215" i="16"/>
  <c r="B429" i="16"/>
  <c r="B638" i="16"/>
  <c r="B888" i="16"/>
  <c r="B1117" i="16"/>
  <c r="B241" i="16"/>
  <c r="B451" i="16"/>
  <c r="B679" i="16"/>
  <c r="B940" i="16"/>
  <c r="B1178" i="16"/>
  <c r="B258" i="16"/>
  <c r="B471" i="16"/>
  <c r="B724" i="16"/>
  <c r="B973" i="16"/>
  <c r="B291" i="16"/>
  <c r="B1204" i="16"/>
  <c r="B103" i="16"/>
  <c r="F573" i="16"/>
  <c r="J573" i="44" s="1"/>
  <c r="F573" i="15"/>
  <c r="H573" i="44" s="1"/>
  <c r="F573" i="13"/>
  <c r="F573" i="44" s="1"/>
  <c r="B164" i="44"/>
  <c r="B704" i="44"/>
  <c r="B913" i="44"/>
  <c r="B749" i="44"/>
  <c r="B868" i="44"/>
  <c r="B79" i="44"/>
  <c r="B616" i="44"/>
  <c r="B663" i="44"/>
  <c r="H294" i="16"/>
  <c r="K294" i="44" s="1"/>
  <c r="H293" i="16"/>
  <c r="K293" i="44" s="1"/>
  <c r="H141" i="16"/>
  <c r="K141" i="44" s="1"/>
  <c r="H140" i="16"/>
  <c r="K140" i="44" s="1"/>
  <c r="H139" i="16"/>
  <c r="K139" i="44" s="1"/>
  <c r="H140" i="15"/>
  <c r="I140" i="44" s="1"/>
  <c r="H139" i="15"/>
  <c r="I139" i="44" s="1"/>
  <c r="H141" i="13"/>
  <c r="G141" i="44" s="1"/>
  <c r="H139" i="13"/>
  <c r="G139" i="44" s="1"/>
  <c r="H294" i="13"/>
  <c r="G294" i="44" s="1"/>
  <c r="H293" i="13"/>
  <c r="G293" i="44" s="1"/>
  <c r="H267" i="13"/>
  <c r="G267" i="44" s="1"/>
  <c r="H266" i="13"/>
  <c r="G266" i="44" s="1"/>
  <c r="H265" i="13"/>
  <c r="G265" i="44" s="1"/>
  <c r="H140" i="13"/>
  <c r="G140" i="44" s="1"/>
  <c r="H294" i="15"/>
  <c r="I294" i="44" s="1"/>
  <c r="H293" i="15"/>
  <c r="I293" i="44" s="1"/>
  <c r="H267" i="16"/>
  <c r="K267" i="44" s="1"/>
  <c r="H266" i="16"/>
  <c r="K266" i="44" s="1"/>
  <c r="H265" i="16"/>
  <c r="K265" i="44" s="1"/>
  <c r="B583" i="15"/>
  <c r="H265" i="15"/>
  <c r="I265" i="44" s="1"/>
  <c r="H266" i="15"/>
  <c r="I266" i="44" s="1"/>
  <c r="H267" i="15"/>
  <c r="I267" i="44" s="1"/>
  <c r="B761" i="15"/>
  <c r="B1240" i="15"/>
  <c r="H112" i="16"/>
  <c r="K112" i="44" s="1"/>
  <c r="H111" i="16"/>
  <c r="K111" i="44" s="1"/>
  <c r="H110" i="16"/>
  <c r="K110" i="44" s="1"/>
  <c r="H112" i="15"/>
  <c r="I112" i="44" s="1"/>
  <c r="H111" i="15"/>
  <c r="I111" i="44" s="1"/>
  <c r="H110" i="15"/>
  <c r="I110" i="44" s="1"/>
  <c r="B233" i="15"/>
  <c r="B443" i="15"/>
  <c r="B335" i="15"/>
  <c r="B932" i="15"/>
  <c r="B1109" i="15"/>
  <c r="H111" i="13"/>
  <c r="G111" i="44" s="1"/>
  <c r="H112" i="13"/>
  <c r="G112" i="44" s="1"/>
  <c r="H110" i="13"/>
  <c r="G110" i="44" s="1"/>
  <c r="R1349" i="13"/>
  <c r="R882" i="13"/>
  <c r="R1080" i="13"/>
  <c r="R797" i="13"/>
  <c r="R511" i="13"/>
  <c r="R378" i="13"/>
  <c r="R934" i="13"/>
  <c r="R178" i="13"/>
  <c r="R718" i="13"/>
  <c r="R987" i="13"/>
  <c r="R423" i="13"/>
  <c r="R1198" i="13"/>
  <c r="R632" i="13"/>
  <c r="R465" i="13"/>
  <c r="R209" i="13"/>
  <c r="R130" i="13"/>
  <c r="R445" i="13"/>
  <c r="G361" i="8"/>
  <c r="I361" i="8"/>
  <c r="H361" i="8"/>
  <c r="F361" i="8"/>
  <c r="B64" i="5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G784" i="8"/>
  <c r="F566" i="18"/>
  <c r="O566" i="8"/>
  <c r="F565" i="18"/>
  <c r="O565" i="8"/>
  <c r="O567" i="8"/>
  <c r="F1140" i="15"/>
  <c r="H1140" i="44" s="1"/>
  <c r="J29" i="3"/>
  <c r="B404" i="8"/>
  <c r="B679" i="8"/>
  <c r="N973" i="8"/>
  <c r="F453" i="8"/>
  <c r="F1127" i="13"/>
  <c r="F1127" i="44" s="1"/>
  <c r="L821" i="8"/>
  <c r="L864" i="8"/>
  <c r="L893" i="8"/>
  <c r="L900" i="8"/>
  <c r="L701" i="8"/>
  <c r="F1123" i="16"/>
  <c r="J1123" i="44" s="1"/>
  <c r="F473" i="16"/>
  <c r="J473" i="44" s="1"/>
  <c r="F600" i="16"/>
  <c r="J600" i="44" s="1"/>
  <c r="F1068" i="16"/>
  <c r="J1068" i="44" s="1"/>
  <c r="F1054" i="16"/>
  <c r="J1054" i="44" s="1"/>
  <c r="F1029" i="16"/>
  <c r="J1029" i="44" s="1"/>
  <c r="F1008" i="16"/>
  <c r="J1008" i="44" s="1"/>
  <c r="F260" i="16"/>
  <c r="J260" i="44" s="1"/>
  <c r="F776" i="16"/>
  <c r="J776" i="44" s="1"/>
  <c r="F946" i="16"/>
  <c r="J946" i="44" s="1"/>
  <c r="F773" i="16"/>
  <c r="J773" i="44" s="1"/>
  <c r="F745" i="16"/>
  <c r="J745" i="44" s="1"/>
  <c r="F727" i="16"/>
  <c r="J727" i="44" s="1"/>
  <c r="F647" i="16"/>
  <c r="J647" i="44" s="1"/>
  <c r="F658" i="16"/>
  <c r="J658" i="44" s="1"/>
  <c r="F241" i="15"/>
  <c r="H241" i="44" s="1"/>
  <c r="F1094" i="15"/>
  <c r="H1094" i="44" s="1"/>
  <c r="F1123" i="15"/>
  <c r="H1123" i="44" s="1"/>
  <c r="F600" i="15"/>
  <c r="H600" i="44" s="1"/>
  <c r="F1031" i="15"/>
  <c r="H1031" i="44" s="1"/>
  <c r="F1023" i="15"/>
  <c r="H1023" i="44" s="1"/>
  <c r="F1010" i="15"/>
  <c r="H1010" i="44" s="1"/>
  <c r="F778" i="15"/>
  <c r="H778" i="44" s="1"/>
  <c r="F947" i="15"/>
  <c r="H947" i="44" s="1"/>
  <c r="F820" i="15"/>
  <c r="H820" i="44" s="1"/>
  <c r="F864" i="15"/>
  <c r="H864" i="44" s="1"/>
  <c r="F893" i="15"/>
  <c r="H893" i="44" s="1"/>
  <c r="F905" i="15"/>
  <c r="H905" i="44" s="1"/>
  <c r="F773" i="15"/>
  <c r="H773" i="44" s="1"/>
  <c r="F734" i="15"/>
  <c r="H734" i="44" s="1"/>
  <c r="F687" i="15"/>
  <c r="H687" i="44" s="1"/>
  <c r="F704" i="15"/>
  <c r="H704" i="44" s="1"/>
  <c r="F696" i="15"/>
  <c r="H696" i="44" s="1"/>
  <c r="F640" i="15"/>
  <c r="H640" i="44" s="1"/>
  <c r="F105" i="16"/>
  <c r="J105" i="44" s="1"/>
  <c r="F158" i="16"/>
  <c r="J158" i="44" s="1"/>
  <c r="F269" i="16"/>
  <c r="J269" i="44" s="1"/>
  <c r="F116" i="16"/>
  <c r="J116" i="44" s="1"/>
  <c r="F351" i="16"/>
  <c r="J351" i="44" s="1"/>
  <c r="F359" i="16"/>
  <c r="J359" i="44" s="1"/>
  <c r="F187" i="16"/>
  <c r="J187" i="44" s="1"/>
  <c r="F821" i="16"/>
  <c r="J821" i="44" s="1"/>
  <c r="F701" i="16"/>
  <c r="J701" i="44" s="1"/>
  <c r="F863" i="16"/>
  <c r="J863" i="44" s="1"/>
  <c r="F154" i="16"/>
  <c r="J154" i="44" s="1"/>
  <c r="F851" i="16"/>
  <c r="J851" i="44" s="1"/>
  <c r="F681" i="16"/>
  <c r="J681" i="44" s="1"/>
  <c r="F845" i="16"/>
  <c r="J845" i="44" s="1"/>
  <c r="F892" i="16"/>
  <c r="J892" i="44" s="1"/>
  <c r="F918" i="16"/>
  <c r="J918" i="44" s="1"/>
  <c r="F105" i="15"/>
  <c r="H105" i="44" s="1"/>
  <c r="F348" i="15"/>
  <c r="H348" i="44" s="1"/>
  <c r="F192" i="15"/>
  <c r="H192" i="44" s="1"/>
  <c r="F158" i="15"/>
  <c r="H158" i="44" s="1"/>
  <c r="F141" i="15"/>
  <c r="H141" i="44" s="1"/>
  <c r="F269" i="15"/>
  <c r="H269" i="44" s="1"/>
  <c r="F116" i="15"/>
  <c r="H116" i="44" s="1"/>
  <c r="B241" i="8"/>
  <c r="B429" i="8"/>
  <c r="B724" i="8"/>
  <c r="N974" i="8"/>
  <c r="B993" i="8"/>
  <c r="F474" i="8"/>
  <c r="F573" i="8"/>
  <c r="G1181" i="8"/>
  <c r="F1090" i="16"/>
  <c r="J1090" i="44" s="1"/>
  <c r="F1122" i="16"/>
  <c r="J1122" i="44" s="1"/>
  <c r="F596" i="16"/>
  <c r="J596" i="44" s="1"/>
  <c r="I1181" i="8"/>
  <c r="F1180" i="16" s="1"/>
  <c r="J1180" i="44" s="1"/>
  <c r="F1053" i="16"/>
  <c r="J1053" i="44" s="1"/>
  <c r="F1028" i="16"/>
  <c r="J1028" i="44" s="1"/>
  <c r="F1018" i="16"/>
  <c r="J1018" i="44" s="1"/>
  <c r="F1007" i="16"/>
  <c r="J1007" i="44" s="1"/>
  <c r="F259" i="16"/>
  <c r="J259" i="44" s="1"/>
  <c r="F775" i="16"/>
  <c r="J775" i="44" s="1"/>
  <c r="F945" i="16"/>
  <c r="J945" i="44" s="1"/>
  <c r="F772" i="16"/>
  <c r="J772" i="44" s="1"/>
  <c r="F744" i="16"/>
  <c r="J744" i="44" s="1"/>
  <c r="F724" i="16"/>
  <c r="J724" i="44" s="1"/>
  <c r="F646" i="16"/>
  <c r="J646" i="44" s="1"/>
  <c r="F657" i="16"/>
  <c r="J657" i="44" s="1"/>
  <c r="F1122" i="15"/>
  <c r="H1122" i="44" s="1"/>
  <c r="F596" i="15"/>
  <c r="H596" i="44" s="1"/>
  <c r="F1098" i="15"/>
  <c r="F1055" i="15"/>
  <c r="H1055" i="44" s="1"/>
  <c r="F1022" i="15"/>
  <c r="H1022" i="44" s="1"/>
  <c r="F1009" i="15"/>
  <c r="H1009" i="44" s="1"/>
  <c r="F260" i="15"/>
  <c r="H260" i="44" s="1"/>
  <c r="F777" i="15"/>
  <c r="H777" i="44" s="1"/>
  <c r="F946" i="15"/>
  <c r="H946" i="44" s="1"/>
  <c r="F819" i="15"/>
  <c r="H819" i="44" s="1"/>
  <c r="F863" i="15"/>
  <c r="H863" i="44" s="1"/>
  <c r="F849" i="15"/>
  <c r="H849" i="44" s="1"/>
  <c r="F892" i="15"/>
  <c r="H892" i="44" s="1"/>
  <c r="F918" i="15"/>
  <c r="H918" i="44" s="1"/>
  <c r="F772" i="15"/>
  <c r="H772" i="44" s="1"/>
  <c r="F744" i="15"/>
  <c r="H744" i="44" s="1"/>
  <c r="F728" i="15"/>
  <c r="H728" i="44" s="1"/>
  <c r="F686" i="15"/>
  <c r="H686" i="44" s="1"/>
  <c r="F703" i="15"/>
  <c r="H703" i="44" s="1"/>
  <c r="F647" i="15"/>
  <c r="H647" i="44" s="1"/>
  <c r="F658" i="15"/>
  <c r="H658" i="44" s="1"/>
  <c r="L290" i="8"/>
  <c r="F104" i="16"/>
  <c r="J104" i="44" s="1"/>
  <c r="F136" i="16"/>
  <c r="J136" i="44" s="1"/>
  <c r="F268" i="16"/>
  <c r="J268" i="44" s="1"/>
  <c r="F115" i="16"/>
  <c r="J115" i="44" s="1"/>
  <c r="F350" i="16"/>
  <c r="J350" i="44" s="1"/>
  <c r="F358" i="16"/>
  <c r="J358" i="44" s="1"/>
  <c r="F186" i="16"/>
  <c r="J186" i="44" s="1"/>
  <c r="F820" i="16"/>
  <c r="J820" i="44" s="1"/>
  <c r="F700" i="16"/>
  <c r="J700" i="44" s="1"/>
  <c r="F862" i="16"/>
  <c r="J862" i="44" s="1"/>
  <c r="F153" i="16"/>
  <c r="J153" i="44" s="1"/>
  <c r="F689" i="16"/>
  <c r="J689" i="44" s="1"/>
  <c r="F850" i="16"/>
  <c r="J850" i="44" s="1"/>
  <c r="F138" i="16"/>
  <c r="J138" i="44" s="1"/>
  <c r="F889" i="16"/>
  <c r="J889" i="44" s="1"/>
  <c r="F917" i="16"/>
  <c r="J917" i="44" s="1"/>
  <c r="F104" i="15"/>
  <c r="H104" i="44" s="1"/>
  <c r="F347" i="15"/>
  <c r="H347" i="44" s="1"/>
  <c r="F191" i="15"/>
  <c r="H191" i="44" s="1"/>
  <c r="F195" i="15"/>
  <c r="H195" i="44" s="1"/>
  <c r="F137" i="15"/>
  <c r="H137" i="44" s="1"/>
  <c r="F268" i="15"/>
  <c r="H268" i="44" s="1"/>
  <c r="B291" i="8"/>
  <c r="B451" i="8"/>
  <c r="B769" i="8"/>
  <c r="N975" i="8"/>
  <c r="B1048" i="8"/>
  <c r="F1181" i="8"/>
  <c r="L770" i="8"/>
  <c r="F1089" i="16"/>
  <c r="J1089" i="44" s="1"/>
  <c r="F1121" i="16"/>
  <c r="J1121" i="44" s="1"/>
  <c r="F595" i="16"/>
  <c r="J595" i="44" s="1"/>
  <c r="F1062" i="16"/>
  <c r="J1062" i="44" s="1"/>
  <c r="F1052" i="16"/>
  <c r="J1052" i="44" s="1"/>
  <c r="F1027" i="16"/>
  <c r="J1027" i="44" s="1"/>
  <c r="F1017" i="16"/>
  <c r="J1017" i="44" s="1"/>
  <c r="F1006" i="16"/>
  <c r="J1006" i="44" s="1"/>
  <c r="F258" i="16"/>
  <c r="J258" i="44" s="1"/>
  <c r="F952" i="16"/>
  <c r="J952" i="44" s="1"/>
  <c r="F944" i="16"/>
  <c r="J944" i="44" s="1"/>
  <c r="F771" i="16"/>
  <c r="J771" i="44" s="1"/>
  <c r="F738" i="16"/>
  <c r="J738" i="44" s="1"/>
  <c r="F726" i="16"/>
  <c r="J726" i="44" s="1"/>
  <c r="F645" i="16"/>
  <c r="J645" i="44" s="1"/>
  <c r="F656" i="16"/>
  <c r="J656" i="44" s="1"/>
  <c r="F1068" i="15"/>
  <c r="H1068" i="44" s="1"/>
  <c r="F1054" i="15"/>
  <c r="H1054" i="44" s="1"/>
  <c r="F1029" i="15"/>
  <c r="H1029" i="44" s="1"/>
  <c r="F1008" i="15"/>
  <c r="H1008" i="44" s="1"/>
  <c r="F945" i="15"/>
  <c r="H945" i="44" s="1"/>
  <c r="F862" i="15"/>
  <c r="H862" i="44" s="1"/>
  <c r="F848" i="15"/>
  <c r="H848" i="44" s="1"/>
  <c r="F889" i="15"/>
  <c r="H889" i="44" s="1"/>
  <c r="F917" i="15"/>
  <c r="H917" i="44" s="1"/>
  <c r="F771" i="15"/>
  <c r="H771" i="44" s="1"/>
  <c r="F727" i="15"/>
  <c r="H727" i="44" s="1"/>
  <c r="F685" i="15"/>
  <c r="H685" i="44" s="1"/>
  <c r="F646" i="15"/>
  <c r="H646" i="44" s="1"/>
  <c r="F657" i="15"/>
  <c r="H657" i="44" s="1"/>
  <c r="L274" i="8"/>
  <c r="L263" i="8"/>
  <c r="L113" i="8"/>
  <c r="F103" i="16"/>
  <c r="J103" i="44" s="1"/>
  <c r="F275" i="16"/>
  <c r="J275" i="44" s="1"/>
  <c r="F264" i="16"/>
  <c r="J264" i="44" s="1"/>
  <c r="F114" i="16"/>
  <c r="J114" i="44" s="1"/>
  <c r="F349" i="16"/>
  <c r="J349" i="44" s="1"/>
  <c r="F185" i="16"/>
  <c r="J185" i="44" s="1"/>
  <c r="F819" i="16"/>
  <c r="J819" i="44" s="1"/>
  <c r="F699" i="16"/>
  <c r="J699" i="44" s="1"/>
  <c r="F861" i="16"/>
  <c r="J861" i="44" s="1"/>
  <c r="F687" i="16"/>
  <c r="J687" i="44" s="1"/>
  <c r="F849" i="16"/>
  <c r="J849" i="44" s="1"/>
  <c r="F844" i="16"/>
  <c r="J844" i="44" s="1"/>
  <c r="F888" i="16"/>
  <c r="J888" i="44" s="1"/>
  <c r="F914" i="16"/>
  <c r="J914" i="44" s="1"/>
  <c r="F346" i="15"/>
  <c r="H346" i="44" s="1"/>
  <c r="F190" i="15"/>
  <c r="H190" i="44" s="1"/>
  <c r="F136" i="15"/>
  <c r="H136" i="44" s="1"/>
  <c r="F275" i="15"/>
  <c r="H275" i="44" s="1"/>
  <c r="F264" i="15"/>
  <c r="H264" i="44" s="1"/>
  <c r="F114" i="15"/>
  <c r="H114" i="44" s="1"/>
  <c r="B344" i="8"/>
  <c r="B471" i="8"/>
  <c r="B803" i="8"/>
  <c r="N976" i="8"/>
  <c r="B1086" i="8"/>
  <c r="F242" i="8"/>
  <c r="F244" i="8" s="1"/>
  <c r="F81" i="8"/>
  <c r="G573" i="8"/>
  <c r="L847" i="8"/>
  <c r="F1088" i="16"/>
  <c r="J1088" i="44" s="1"/>
  <c r="F594" i="16"/>
  <c r="J594" i="44" s="1"/>
  <c r="F1061" i="16"/>
  <c r="J1061" i="44" s="1"/>
  <c r="F1051" i="16"/>
  <c r="J1051" i="44" s="1"/>
  <c r="F1026" i="16"/>
  <c r="J1026" i="44" s="1"/>
  <c r="F1016" i="16"/>
  <c r="J1016" i="44" s="1"/>
  <c r="F1005" i="16"/>
  <c r="J1005" i="44" s="1"/>
  <c r="F781" i="16"/>
  <c r="J781" i="44" s="1"/>
  <c r="F951" i="16"/>
  <c r="J951" i="44" s="1"/>
  <c r="F943" i="16"/>
  <c r="J943" i="44" s="1"/>
  <c r="F770" i="16"/>
  <c r="J770" i="44" s="1"/>
  <c r="F735" i="16"/>
  <c r="J735" i="44" s="1"/>
  <c r="F725" i="16"/>
  <c r="J725" i="44" s="1"/>
  <c r="F644" i="16"/>
  <c r="J644" i="44" s="1"/>
  <c r="F655" i="16"/>
  <c r="J655" i="44" s="1"/>
  <c r="F594" i="15"/>
  <c r="H594" i="44" s="1"/>
  <c r="H1181" i="8"/>
  <c r="F1053" i="15"/>
  <c r="H1053" i="44" s="1"/>
  <c r="F1028" i="15"/>
  <c r="H1028" i="44" s="1"/>
  <c r="F1007" i="15"/>
  <c r="H1007" i="44" s="1"/>
  <c r="F258" i="15"/>
  <c r="H258" i="44" s="1"/>
  <c r="F944" i="15"/>
  <c r="H944" i="44" s="1"/>
  <c r="F817" i="15"/>
  <c r="H817" i="44" s="1"/>
  <c r="F861" i="15"/>
  <c r="H861" i="44" s="1"/>
  <c r="F847" i="15"/>
  <c r="H847" i="44" s="1"/>
  <c r="F888" i="15"/>
  <c r="H888" i="44" s="1"/>
  <c r="F737" i="15"/>
  <c r="H737" i="44" s="1"/>
  <c r="F726" i="15"/>
  <c r="H726" i="44" s="1"/>
  <c r="F684" i="15"/>
  <c r="H684" i="44" s="1"/>
  <c r="F701" i="15"/>
  <c r="H701" i="44" s="1"/>
  <c r="F645" i="15"/>
  <c r="H645" i="44" s="1"/>
  <c r="L273" i="8"/>
  <c r="L120" i="8"/>
  <c r="L109" i="8"/>
  <c r="F311" i="16"/>
  <c r="J311" i="44" s="1"/>
  <c r="F274" i="16"/>
  <c r="J274" i="44" s="1"/>
  <c r="F263" i="16"/>
  <c r="J263" i="44" s="1"/>
  <c r="F113" i="16"/>
  <c r="J113" i="44" s="1"/>
  <c r="F348" i="16"/>
  <c r="J348" i="44" s="1"/>
  <c r="F192" i="16"/>
  <c r="J192" i="44" s="1"/>
  <c r="F184" i="16"/>
  <c r="J184" i="44" s="1"/>
  <c r="F818" i="16"/>
  <c r="J818" i="44" s="1"/>
  <c r="F698" i="16"/>
  <c r="J698" i="44" s="1"/>
  <c r="F860" i="16"/>
  <c r="J860" i="44" s="1"/>
  <c r="F686" i="16"/>
  <c r="J686" i="44" s="1"/>
  <c r="F848" i="16"/>
  <c r="J848" i="44" s="1"/>
  <c r="F894" i="16"/>
  <c r="J894" i="44" s="1"/>
  <c r="F906" i="16"/>
  <c r="J906" i="44" s="1"/>
  <c r="F913" i="16"/>
  <c r="J913" i="44" s="1"/>
  <c r="F353" i="15"/>
  <c r="H353" i="44" s="1"/>
  <c r="F345" i="15"/>
  <c r="H345" i="44" s="1"/>
  <c r="F189" i="15"/>
  <c r="H189" i="44" s="1"/>
  <c r="F311" i="15"/>
  <c r="H311" i="44" s="1"/>
  <c r="F157" i="15"/>
  <c r="H157" i="44" s="1"/>
  <c r="F274" i="15"/>
  <c r="H274" i="44" s="1"/>
  <c r="F113" i="15"/>
  <c r="H113" i="44" s="1"/>
  <c r="B384" i="8"/>
  <c r="B843" i="8"/>
  <c r="B973" i="8"/>
  <c r="B1117" i="8"/>
  <c r="F1095" i="8"/>
  <c r="B103" i="8"/>
  <c r="L870" i="8"/>
  <c r="L860" i="8"/>
  <c r="L906" i="8"/>
  <c r="L913" i="8"/>
  <c r="L697" i="8"/>
  <c r="F593" i="16"/>
  <c r="J593" i="44" s="1"/>
  <c r="F1060" i="16"/>
  <c r="J1060" i="44" s="1"/>
  <c r="F1050" i="16"/>
  <c r="J1050" i="44" s="1"/>
  <c r="F1025" i="16"/>
  <c r="J1025" i="44" s="1"/>
  <c r="F1012" i="16"/>
  <c r="J1012" i="44" s="1"/>
  <c r="F1001" i="16"/>
  <c r="J1001" i="44" s="1"/>
  <c r="F780" i="16"/>
  <c r="J780" i="44" s="1"/>
  <c r="F950" i="16"/>
  <c r="J950" i="44" s="1"/>
  <c r="F942" i="16"/>
  <c r="J942" i="44" s="1"/>
  <c r="F769" i="16"/>
  <c r="J769" i="44" s="1"/>
  <c r="F737" i="16"/>
  <c r="J737" i="44" s="1"/>
  <c r="F688" i="16"/>
  <c r="J688" i="44" s="1"/>
  <c r="F643" i="16"/>
  <c r="J643" i="44" s="1"/>
  <c r="F654" i="16"/>
  <c r="J654" i="44" s="1"/>
  <c r="F1062" i="15"/>
  <c r="H1062" i="44" s="1"/>
  <c r="F1052" i="15"/>
  <c r="H1052" i="44" s="1"/>
  <c r="F1027" i="15"/>
  <c r="H1027" i="44" s="1"/>
  <c r="F1017" i="15"/>
  <c r="H1017" i="44" s="1"/>
  <c r="F1006" i="15"/>
  <c r="H1006" i="44" s="1"/>
  <c r="F995" i="15"/>
  <c r="H995" i="44" s="1"/>
  <c r="F951" i="15"/>
  <c r="H951" i="44" s="1"/>
  <c r="F943" i="15"/>
  <c r="H943" i="44" s="1"/>
  <c r="F870" i="15"/>
  <c r="H870" i="44" s="1"/>
  <c r="F860" i="15"/>
  <c r="H860" i="44" s="1"/>
  <c r="F846" i="15"/>
  <c r="H846" i="44" s="1"/>
  <c r="F906" i="15"/>
  <c r="H906" i="44" s="1"/>
  <c r="F913" i="15"/>
  <c r="H913" i="44" s="1"/>
  <c r="F736" i="15"/>
  <c r="H736" i="44" s="1"/>
  <c r="F725" i="15"/>
  <c r="H725" i="44" s="1"/>
  <c r="F683" i="15"/>
  <c r="H683" i="44" s="1"/>
  <c r="F700" i="15"/>
  <c r="H700" i="44" s="1"/>
  <c r="F644" i="15"/>
  <c r="H644" i="44" s="1"/>
  <c r="F655" i="15"/>
  <c r="H655" i="44" s="1"/>
  <c r="L311" i="8"/>
  <c r="F310" i="16"/>
  <c r="J310" i="44" s="1"/>
  <c r="F295" i="16"/>
  <c r="J295" i="44" s="1"/>
  <c r="F273" i="16"/>
  <c r="J273" i="44" s="1"/>
  <c r="F120" i="16"/>
  <c r="J120" i="44" s="1"/>
  <c r="F109" i="16"/>
  <c r="J109" i="44" s="1"/>
  <c r="F347" i="16"/>
  <c r="J347" i="44" s="1"/>
  <c r="F191" i="16"/>
  <c r="J191" i="44" s="1"/>
  <c r="F195" i="16"/>
  <c r="J195" i="44" s="1"/>
  <c r="F870" i="16"/>
  <c r="J870" i="44" s="1"/>
  <c r="F697" i="16"/>
  <c r="J697" i="44" s="1"/>
  <c r="F137" i="16"/>
  <c r="J137" i="44" s="1"/>
  <c r="F685" i="16"/>
  <c r="J685" i="44" s="1"/>
  <c r="F847" i="16"/>
  <c r="J847" i="44" s="1"/>
  <c r="F905" i="16"/>
  <c r="J905" i="44" s="1"/>
  <c r="F352" i="15"/>
  <c r="H352" i="44" s="1"/>
  <c r="F360" i="15"/>
  <c r="H360" i="44" s="1"/>
  <c r="F188" i="15"/>
  <c r="H188" i="44" s="1"/>
  <c r="F310" i="15"/>
  <c r="H310" i="44" s="1"/>
  <c r="F295" i="15"/>
  <c r="H295" i="44" s="1"/>
  <c r="F156" i="15"/>
  <c r="H156" i="44" s="1"/>
  <c r="F120" i="15"/>
  <c r="H120" i="44" s="1"/>
  <c r="F109" i="15"/>
  <c r="H109" i="44" s="1"/>
  <c r="N405" i="8"/>
  <c r="B517" i="8"/>
  <c r="B888" i="8"/>
  <c r="B1179" i="8"/>
  <c r="F386" i="8"/>
  <c r="H70" i="8"/>
  <c r="B258" i="8"/>
  <c r="B16" i="8"/>
  <c r="L867" i="8"/>
  <c r="L736" i="8"/>
  <c r="F1099" i="16"/>
  <c r="J1099" i="44" s="1"/>
  <c r="F432" i="16"/>
  <c r="J432" i="44" s="1"/>
  <c r="F592" i="16"/>
  <c r="J592" i="44" s="1"/>
  <c r="F1049" i="16"/>
  <c r="J1049" i="44" s="1"/>
  <c r="F1024" i="16"/>
  <c r="J1024" i="44" s="1"/>
  <c r="F1011" i="16"/>
  <c r="J1011" i="44" s="1"/>
  <c r="F997" i="16"/>
  <c r="J997" i="44" s="1"/>
  <c r="F779" i="16"/>
  <c r="J779" i="44" s="1"/>
  <c r="F949" i="16"/>
  <c r="J949" i="44" s="1"/>
  <c r="F941" i="16"/>
  <c r="J941" i="44" s="1"/>
  <c r="F748" i="16"/>
  <c r="J748" i="44" s="1"/>
  <c r="F736" i="16"/>
  <c r="J736" i="44" s="1"/>
  <c r="F680" i="16"/>
  <c r="J680" i="44" s="1"/>
  <c r="F642" i="16"/>
  <c r="J642" i="44" s="1"/>
  <c r="F653" i="16"/>
  <c r="J653" i="44" s="1"/>
  <c r="F1090" i="15"/>
  <c r="H1090" i="44" s="1"/>
  <c r="F1061" i="15"/>
  <c r="H1061" i="44" s="1"/>
  <c r="F1051" i="15"/>
  <c r="H1051" i="44" s="1"/>
  <c r="F1026" i="15"/>
  <c r="H1026" i="44" s="1"/>
  <c r="F1016" i="15"/>
  <c r="H1016" i="44" s="1"/>
  <c r="F781" i="15"/>
  <c r="H781" i="44" s="1"/>
  <c r="F942" i="15"/>
  <c r="H942" i="44" s="1"/>
  <c r="F867" i="15"/>
  <c r="H867" i="44" s="1"/>
  <c r="F855" i="15"/>
  <c r="H855" i="44" s="1"/>
  <c r="F845" i="15"/>
  <c r="H845" i="44" s="1"/>
  <c r="F902" i="15"/>
  <c r="H902" i="44" s="1"/>
  <c r="F912" i="15"/>
  <c r="H912" i="44" s="1"/>
  <c r="F748" i="15"/>
  <c r="H748" i="44" s="1"/>
  <c r="F682" i="15"/>
  <c r="H682" i="44" s="1"/>
  <c r="F699" i="15"/>
  <c r="H699" i="44" s="1"/>
  <c r="F643" i="15"/>
  <c r="H643" i="44" s="1"/>
  <c r="F654" i="15"/>
  <c r="H654" i="44" s="1"/>
  <c r="L352" i="8"/>
  <c r="L360" i="8"/>
  <c r="L310" i="8"/>
  <c r="F309" i="16"/>
  <c r="J309" i="44" s="1"/>
  <c r="F292" i="16"/>
  <c r="J292" i="44" s="1"/>
  <c r="F272" i="16"/>
  <c r="J272" i="44" s="1"/>
  <c r="F119" i="16"/>
  <c r="J119" i="44" s="1"/>
  <c r="F108" i="16"/>
  <c r="J108" i="44" s="1"/>
  <c r="F346" i="16"/>
  <c r="J346" i="44" s="1"/>
  <c r="F190" i="16"/>
  <c r="J190" i="44" s="1"/>
  <c r="F196" i="16"/>
  <c r="J196" i="44" s="1"/>
  <c r="F867" i="16"/>
  <c r="J867" i="44" s="1"/>
  <c r="F866" i="16"/>
  <c r="J866" i="44" s="1"/>
  <c r="F157" i="16"/>
  <c r="J157" i="44" s="1"/>
  <c r="F141" i="16"/>
  <c r="J141" i="44" s="1"/>
  <c r="F684" i="16"/>
  <c r="J684" i="44" s="1"/>
  <c r="F902" i="16"/>
  <c r="J902" i="44" s="1"/>
  <c r="F351" i="15"/>
  <c r="H351" i="44" s="1"/>
  <c r="F359" i="15"/>
  <c r="H359" i="44" s="1"/>
  <c r="F187" i="15"/>
  <c r="H187" i="44" s="1"/>
  <c r="F309" i="15"/>
  <c r="H309" i="44" s="1"/>
  <c r="F292" i="15"/>
  <c r="H292" i="44" s="1"/>
  <c r="F155" i="15"/>
  <c r="H155" i="44" s="1"/>
  <c r="F272" i="15"/>
  <c r="H272" i="44" s="1"/>
  <c r="F119" i="15"/>
  <c r="H119" i="44" s="1"/>
  <c r="B137" i="8"/>
  <c r="N406" i="8"/>
  <c r="B591" i="8"/>
  <c r="B940" i="8"/>
  <c r="L409" i="8"/>
  <c r="B54" i="8"/>
  <c r="L817" i="8"/>
  <c r="L852" i="8"/>
  <c r="L774" i="8"/>
  <c r="F645" i="13"/>
  <c r="F645" i="44" s="1"/>
  <c r="F1098" i="16"/>
  <c r="F431" i="16"/>
  <c r="J431" i="44" s="1"/>
  <c r="F591" i="16"/>
  <c r="J591" i="44" s="1"/>
  <c r="F1056" i="16"/>
  <c r="J1056" i="44" s="1"/>
  <c r="F1031" i="16"/>
  <c r="J1031" i="44" s="1"/>
  <c r="F1023" i="16"/>
  <c r="J1023" i="44" s="1"/>
  <c r="F1010" i="16"/>
  <c r="J1010" i="44" s="1"/>
  <c r="F996" i="16"/>
  <c r="J996" i="44" s="1"/>
  <c r="F778" i="16"/>
  <c r="J778" i="44" s="1"/>
  <c r="F948" i="16"/>
  <c r="J948" i="44" s="1"/>
  <c r="F940" i="16"/>
  <c r="J940" i="44" s="1"/>
  <c r="F747" i="16"/>
  <c r="J747" i="44" s="1"/>
  <c r="F734" i="16"/>
  <c r="J734" i="44" s="1"/>
  <c r="F704" i="16"/>
  <c r="J704" i="44" s="1"/>
  <c r="F641" i="16"/>
  <c r="J641" i="44" s="1"/>
  <c r="F452" i="15"/>
  <c r="H452" i="44" s="1"/>
  <c r="F591" i="15"/>
  <c r="H591" i="44" s="1"/>
  <c r="F1060" i="15"/>
  <c r="H1060" i="44" s="1"/>
  <c r="F1050" i="15"/>
  <c r="H1050" i="44" s="1"/>
  <c r="F1025" i="15"/>
  <c r="H1025" i="44" s="1"/>
  <c r="F1001" i="15"/>
  <c r="H1001" i="44" s="1"/>
  <c r="F780" i="15"/>
  <c r="H780" i="44" s="1"/>
  <c r="F949" i="15"/>
  <c r="H949" i="44" s="1"/>
  <c r="F941" i="15"/>
  <c r="H941" i="44" s="1"/>
  <c r="F866" i="15"/>
  <c r="H866" i="44" s="1"/>
  <c r="F852" i="15"/>
  <c r="H852" i="44" s="1"/>
  <c r="F844" i="15"/>
  <c r="H844" i="44" s="1"/>
  <c r="F901" i="15"/>
  <c r="H901" i="44" s="1"/>
  <c r="F775" i="15"/>
  <c r="H775" i="44" s="1"/>
  <c r="F747" i="15"/>
  <c r="H747" i="44" s="1"/>
  <c r="F688" i="15"/>
  <c r="H688" i="44" s="1"/>
  <c r="F681" i="15"/>
  <c r="H681" i="44" s="1"/>
  <c r="F698" i="15"/>
  <c r="H698" i="44" s="1"/>
  <c r="F642" i="15"/>
  <c r="H642" i="44" s="1"/>
  <c r="L188" i="8"/>
  <c r="L155" i="8"/>
  <c r="F155" i="18" s="1"/>
  <c r="L270" i="8"/>
  <c r="L117" i="8"/>
  <c r="L411" i="8"/>
  <c r="F411" i="18" s="1"/>
  <c r="F308" i="16"/>
  <c r="J308" i="44" s="1"/>
  <c r="F291" i="16"/>
  <c r="J291" i="44" s="1"/>
  <c r="F271" i="16"/>
  <c r="J271" i="44" s="1"/>
  <c r="F118" i="16"/>
  <c r="J118" i="44" s="1"/>
  <c r="F353" i="16"/>
  <c r="J353" i="44" s="1"/>
  <c r="F345" i="16"/>
  <c r="J345" i="44" s="1"/>
  <c r="F189" i="16"/>
  <c r="J189" i="44" s="1"/>
  <c r="F817" i="16"/>
  <c r="J817" i="44" s="1"/>
  <c r="F703" i="16"/>
  <c r="J703" i="44" s="1"/>
  <c r="F865" i="16"/>
  <c r="J865" i="44" s="1"/>
  <c r="F156" i="16"/>
  <c r="J156" i="44" s="1"/>
  <c r="F855" i="16"/>
  <c r="J855" i="44" s="1"/>
  <c r="F683" i="16"/>
  <c r="J683" i="44" s="1"/>
  <c r="F846" i="16"/>
  <c r="J846" i="44" s="1"/>
  <c r="F901" i="16"/>
  <c r="J901" i="44" s="1"/>
  <c r="F912" i="16"/>
  <c r="J912" i="44" s="1"/>
  <c r="F350" i="15"/>
  <c r="H350" i="44" s="1"/>
  <c r="F186" i="15"/>
  <c r="H186" i="44" s="1"/>
  <c r="F308" i="15"/>
  <c r="H308" i="44" s="1"/>
  <c r="F291" i="15"/>
  <c r="H291" i="44" s="1"/>
  <c r="F154" i="15"/>
  <c r="H154" i="44" s="1"/>
  <c r="F118" i="15"/>
  <c r="H118" i="44" s="1"/>
  <c r="B184" i="8"/>
  <c r="N407" i="8"/>
  <c r="B638" i="8"/>
  <c r="N972" i="8"/>
  <c r="B1205" i="8"/>
  <c r="L894" i="8"/>
  <c r="I573" i="8"/>
  <c r="F1055" i="16"/>
  <c r="J1055" i="44" s="1"/>
  <c r="F1030" i="16"/>
  <c r="J1030" i="44" s="1"/>
  <c r="F1009" i="16"/>
  <c r="J1009" i="44" s="1"/>
  <c r="F995" i="16"/>
  <c r="J995" i="44" s="1"/>
  <c r="F777" i="16"/>
  <c r="J777" i="44" s="1"/>
  <c r="F947" i="16"/>
  <c r="J947" i="44" s="1"/>
  <c r="F774" i="16"/>
  <c r="J774" i="44" s="1"/>
  <c r="F746" i="16"/>
  <c r="J746" i="44" s="1"/>
  <c r="F728" i="16"/>
  <c r="J728" i="44" s="1"/>
  <c r="F696" i="16"/>
  <c r="J696" i="44" s="1"/>
  <c r="F640" i="16"/>
  <c r="J640" i="44" s="1"/>
  <c r="F1088" i="15"/>
  <c r="H1088" i="44" s="1"/>
  <c r="F1049" i="15"/>
  <c r="H1049" i="44" s="1"/>
  <c r="F1024" i="15"/>
  <c r="H1024" i="44" s="1"/>
  <c r="F1011" i="15"/>
  <c r="H1011" i="44" s="1"/>
  <c r="F997" i="15"/>
  <c r="H997" i="44" s="1"/>
  <c r="F779" i="15"/>
  <c r="H779" i="44" s="1"/>
  <c r="F948" i="15"/>
  <c r="H948" i="44" s="1"/>
  <c r="F940" i="15"/>
  <c r="H940" i="44" s="1"/>
  <c r="F821" i="15"/>
  <c r="H821" i="44" s="1"/>
  <c r="F865" i="15"/>
  <c r="H865" i="44" s="1"/>
  <c r="F851" i="15"/>
  <c r="H851" i="44" s="1"/>
  <c r="F894" i="15"/>
  <c r="H894" i="44" s="1"/>
  <c r="F900" i="15"/>
  <c r="H900" i="44" s="1"/>
  <c r="F774" i="15"/>
  <c r="H774" i="44" s="1"/>
  <c r="F411" i="16"/>
  <c r="J411" i="44" s="1"/>
  <c r="F307" i="16"/>
  <c r="J307" i="44" s="1"/>
  <c r="F290" i="16"/>
  <c r="J290" i="44" s="1"/>
  <c r="F270" i="16"/>
  <c r="J270" i="44" s="1"/>
  <c r="F117" i="16"/>
  <c r="J117" i="44" s="1"/>
  <c r="F352" i="16"/>
  <c r="J352" i="44" s="1"/>
  <c r="F360" i="16"/>
  <c r="J360" i="44" s="1"/>
  <c r="F188" i="16"/>
  <c r="J188" i="44" s="1"/>
  <c r="F822" i="16"/>
  <c r="J822" i="44" s="1"/>
  <c r="F702" i="16"/>
  <c r="J702" i="44" s="1"/>
  <c r="F864" i="16"/>
  <c r="J864" i="44" s="1"/>
  <c r="F155" i="16"/>
  <c r="J155" i="44" s="1"/>
  <c r="F852" i="16"/>
  <c r="J852" i="44" s="1"/>
  <c r="F682" i="16"/>
  <c r="J682" i="44" s="1"/>
  <c r="F893" i="16"/>
  <c r="J893" i="44" s="1"/>
  <c r="F900" i="16"/>
  <c r="J900" i="44" s="1"/>
  <c r="F411" i="15"/>
  <c r="H411" i="44" s="1"/>
  <c r="F349" i="15"/>
  <c r="H349" i="44" s="1"/>
  <c r="F216" i="15"/>
  <c r="H216" i="44" s="1"/>
  <c r="F185" i="15"/>
  <c r="H185" i="44" s="1"/>
  <c r="F307" i="15"/>
  <c r="H307" i="44" s="1"/>
  <c r="F290" i="15"/>
  <c r="H290" i="44" s="1"/>
  <c r="F270" i="15"/>
  <c r="H270" i="44" s="1"/>
  <c r="F117" i="15"/>
  <c r="H117" i="44" s="1"/>
  <c r="L192" i="8"/>
  <c r="L473" i="8"/>
  <c r="L947" i="8"/>
  <c r="L158" i="8"/>
  <c r="L184" i="8"/>
  <c r="L845" i="8"/>
  <c r="L905" i="8"/>
  <c r="L348" i="8"/>
  <c r="L351" i="8"/>
  <c r="L359" i="8"/>
  <c r="L105" i="8"/>
  <c r="L851" i="8"/>
  <c r="L187" i="8"/>
  <c r="L269" i="8"/>
  <c r="L116" i="8"/>
  <c r="L726" i="8"/>
  <c r="L595" i="8"/>
  <c r="L645" i="8"/>
  <c r="L656" i="8"/>
  <c r="J56" i="3"/>
  <c r="J26" i="3"/>
  <c r="L949" i="8"/>
  <c r="L941" i="8"/>
  <c r="L779" i="8"/>
  <c r="L680" i="8"/>
  <c r="J44" i="3"/>
  <c r="J50" i="3"/>
  <c r="L978" i="8"/>
  <c r="I453" i="8"/>
  <c r="F452" i="16"/>
  <c r="J452" i="44" s="1"/>
  <c r="I242" i="8"/>
  <c r="F241" i="16"/>
  <c r="J241" i="44" s="1"/>
  <c r="F1067" i="16"/>
  <c r="J1067" i="44" s="1"/>
  <c r="I81" i="8"/>
  <c r="F620" i="16"/>
  <c r="J620" i="44" s="1"/>
  <c r="I1095" i="8"/>
  <c r="F1094" i="16"/>
  <c r="J1094" i="44" s="1"/>
  <c r="I386" i="8"/>
  <c r="F385" i="16"/>
  <c r="J385" i="44" s="1"/>
  <c r="H496" i="15"/>
  <c r="I496" i="44" s="1"/>
  <c r="B521" i="18"/>
  <c r="B522" i="18" s="1"/>
  <c r="B523" i="18" s="1"/>
  <c r="B524" i="18" s="1"/>
  <c r="B525" i="18" s="1"/>
  <c r="B526" i="18" s="1"/>
  <c r="B527" i="18" s="1"/>
  <c r="B528" i="18" s="1"/>
  <c r="B529" i="18" s="1"/>
  <c r="B530" i="18" s="1"/>
  <c r="B531" i="18" s="1"/>
  <c r="B532" i="18" s="1"/>
  <c r="B533" i="18" s="1"/>
  <c r="B534" i="18" s="1"/>
  <c r="B535" i="18" s="1"/>
  <c r="B536" i="18" s="1"/>
  <c r="B537" i="18" s="1"/>
  <c r="B538" i="18" s="1"/>
  <c r="B539" i="18" s="1"/>
  <c r="B540" i="18" s="1"/>
  <c r="B541" i="18" s="1"/>
  <c r="B542" i="18" s="1"/>
  <c r="B543" i="18" s="1"/>
  <c r="B544" i="18" s="1"/>
  <c r="B545" i="18" s="1"/>
  <c r="B546" i="18" s="1"/>
  <c r="H496" i="16"/>
  <c r="K496" i="44" s="1"/>
  <c r="L600" i="8"/>
  <c r="L748" i="8"/>
  <c r="L682" i="8"/>
  <c r="L157" i="8"/>
  <c r="L272" i="8"/>
  <c r="L119" i="8"/>
  <c r="J600" i="8"/>
  <c r="L804" i="8"/>
  <c r="L866" i="8"/>
  <c r="L902" i="8"/>
  <c r="L309" i="8"/>
  <c r="L141" i="8"/>
  <c r="L591" i="8"/>
  <c r="L292" i="8"/>
  <c r="L1049" i="8"/>
  <c r="L1024" i="8"/>
  <c r="L1011" i="8"/>
  <c r="L997" i="8"/>
  <c r="L643" i="8"/>
  <c r="L654" i="8"/>
  <c r="L684" i="8"/>
  <c r="L307" i="8"/>
  <c r="L725" i="8"/>
  <c r="L781" i="8"/>
  <c r="L735" i="8"/>
  <c r="L594" i="8"/>
  <c r="L1159" i="8"/>
  <c r="L1061" i="8"/>
  <c r="L1051" i="8"/>
  <c r="L1026" i="8"/>
  <c r="L1016" i="8"/>
  <c r="L1005" i="8"/>
  <c r="L1158" i="8"/>
  <c r="L1088" i="8"/>
  <c r="L644" i="8"/>
  <c r="L655" i="8"/>
  <c r="L1094" i="8"/>
  <c r="L1123" i="8"/>
  <c r="L642" i="8"/>
  <c r="L653" i="8"/>
  <c r="L683" i="8"/>
  <c r="L596" i="8"/>
  <c r="L1055" i="8"/>
  <c r="L1022" i="8"/>
  <c r="L1009" i="8"/>
  <c r="L640" i="8"/>
  <c r="L681" i="8"/>
  <c r="L698" i="8"/>
  <c r="L746" i="8"/>
  <c r="L846" i="8"/>
  <c r="L353" i="8"/>
  <c r="L345" i="8"/>
  <c r="L108" i="8"/>
  <c r="L1127" i="8"/>
  <c r="L855" i="8"/>
  <c r="L912" i="8"/>
  <c r="L696" i="8"/>
  <c r="L728" i="8"/>
  <c r="L189" i="8"/>
  <c r="L156" i="8"/>
  <c r="L271" i="8"/>
  <c r="L118" i="8"/>
  <c r="L452" i="8"/>
  <c r="L777" i="8"/>
  <c r="L811" i="8"/>
  <c r="L822" i="8"/>
  <c r="L865" i="8"/>
  <c r="L901" i="8"/>
  <c r="L308" i="8"/>
  <c r="L154" i="8"/>
  <c r="L291" i="8"/>
  <c r="L1060" i="8"/>
  <c r="L1050" i="8"/>
  <c r="L1025" i="8"/>
  <c r="L1012" i="8"/>
  <c r="L1001" i="8"/>
  <c r="L1135" i="8"/>
  <c r="L688" i="8"/>
  <c r="L950" i="8"/>
  <c r="L942" i="8"/>
  <c r="L769" i="8"/>
  <c r="L385" i="8"/>
  <c r="L780" i="8"/>
  <c r="L737" i="8"/>
  <c r="L1156" i="8"/>
  <c r="L1099" i="8"/>
  <c r="L778" i="8"/>
  <c r="L844" i="8"/>
  <c r="L734" i="8"/>
  <c r="L1031" i="8"/>
  <c r="L1023" i="8"/>
  <c r="L1010" i="8"/>
  <c r="L996" i="8"/>
  <c r="H573" i="8"/>
  <c r="L641" i="8"/>
  <c r="L747" i="8"/>
  <c r="L1148" i="8"/>
  <c r="L1136" i="8"/>
  <c r="L704" i="8"/>
  <c r="L948" i="8"/>
  <c r="L940" i="8"/>
  <c r="L686" i="8"/>
  <c r="L703" i="8"/>
  <c r="L727" i="8"/>
  <c r="L347" i="8"/>
  <c r="L432" i="8"/>
  <c r="L572" i="8"/>
  <c r="L946" i="8"/>
  <c r="L773" i="8"/>
  <c r="L104" i="8"/>
  <c r="L191" i="8"/>
  <c r="L195" i="8"/>
  <c r="L137" i="8"/>
  <c r="L1150" i="8"/>
  <c r="L850" i="8"/>
  <c r="L1098" i="8"/>
  <c r="L952" i="8"/>
  <c r="L944" i="8"/>
  <c r="L809" i="8"/>
  <c r="L820" i="8"/>
  <c r="L863" i="8"/>
  <c r="L892" i="8"/>
  <c r="L918" i="8"/>
  <c r="L700" i="8"/>
  <c r="L241" i="8"/>
  <c r="L1122" i="8"/>
  <c r="L1068" i="8"/>
  <c r="L1054" i="8"/>
  <c r="L1029" i="8"/>
  <c r="L1008" i="8"/>
  <c r="L350" i="8"/>
  <c r="L358" i="8"/>
  <c r="L138" i="8"/>
  <c r="L1090" i="8"/>
  <c r="L593" i="8"/>
  <c r="L647" i="8"/>
  <c r="L658" i="8"/>
  <c r="L689" i="8"/>
  <c r="L745" i="8"/>
  <c r="L186" i="8"/>
  <c r="L153" i="8"/>
  <c r="L268" i="8"/>
  <c r="L115" i="8"/>
  <c r="L564" i="8"/>
  <c r="L1089" i="8"/>
  <c r="L592" i="8"/>
  <c r="L1062" i="8"/>
  <c r="L1052" i="8"/>
  <c r="L1027" i="8"/>
  <c r="L1017" i="8"/>
  <c r="L1006" i="8"/>
  <c r="L646" i="8"/>
  <c r="L657" i="8"/>
  <c r="L687" i="8"/>
  <c r="L744" i="8"/>
  <c r="L258" i="8"/>
  <c r="L216" i="8"/>
  <c r="L217" i="8" s="1"/>
  <c r="L185" i="8"/>
  <c r="L275" i="8"/>
  <c r="L264" i="8"/>
  <c r="L114" i="8"/>
  <c r="L685" i="8"/>
  <c r="L702" i="8"/>
  <c r="L724" i="8"/>
  <c r="L346" i="8"/>
  <c r="L431" i="8"/>
  <c r="L571" i="8"/>
  <c r="N571" i="44" s="1"/>
  <c r="L775" i="8"/>
  <c r="L945" i="8"/>
  <c r="L772" i="8"/>
  <c r="L190" i="8"/>
  <c r="L1149" i="8"/>
  <c r="L849" i="8"/>
  <c r="L771" i="8"/>
  <c r="L196" i="8"/>
  <c r="L1139" i="8"/>
  <c r="L995" i="8"/>
  <c r="L951" i="8"/>
  <c r="L943" i="8"/>
  <c r="L808" i="8"/>
  <c r="L819" i="8"/>
  <c r="L862" i="8"/>
  <c r="L848" i="8"/>
  <c r="L889" i="8"/>
  <c r="L917" i="8"/>
  <c r="L699" i="8"/>
  <c r="L738" i="8"/>
  <c r="L807" i="8"/>
  <c r="L818" i="8"/>
  <c r="L861" i="8"/>
  <c r="L888" i="8"/>
  <c r="L914" i="8"/>
  <c r="F1030" i="15"/>
  <c r="H1030" i="44" s="1"/>
  <c r="L1030" i="8"/>
  <c r="L260" i="8"/>
  <c r="L1160" i="8"/>
  <c r="L1121" i="8"/>
  <c r="L1067" i="8"/>
  <c r="L1053" i="8"/>
  <c r="L1028" i="8"/>
  <c r="L1018" i="8"/>
  <c r="L1007" i="8"/>
  <c r="L776" i="8"/>
  <c r="L259" i="8"/>
  <c r="L349" i="8"/>
  <c r="L103" i="8"/>
  <c r="L136" i="8"/>
  <c r="J53" i="3"/>
  <c r="J47" i="3"/>
  <c r="J38" i="3"/>
  <c r="J35" i="3"/>
  <c r="J32" i="3"/>
  <c r="B95" i="15"/>
  <c r="B207" i="15"/>
  <c r="B282" i="15"/>
  <c r="B421" i="15"/>
  <c r="B509" i="15"/>
  <c r="B176" i="15"/>
  <c r="B396" i="15"/>
  <c r="B486" i="15"/>
  <c r="B671" i="15"/>
  <c r="B835" i="15"/>
  <c r="B1040" i="15"/>
  <c r="B1196" i="15"/>
  <c r="B716" i="15"/>
  <c r="B880" i="15"/>
  <c r="B1078" i="15"/>
  <c r="B46" i="15"/>
  <c r="B128" i="15"/>
  <c r="B250" i="15"/>
  <c r="B376" i="15"/>
  <c r="B463" i="15"/>
  <c r="B630" i="15"/>
  <c r="B795" i="15"/>
  <c r="B965" i="15"/>
  <c r="B985" i="15"/>
  <c r="B1170" i="15"/>
  <c r="R130" i="18"/>
  <c r="R178" i="18"/>
  <c r="R209" i="18"/>
  <c r="R235" i="18"/>
  <c r="R252" i="18"/>
  <c r="R423" i="18"/>
  <c r="R445" i="18"/>
  <c r="R465" i="18"/>
  <c r="R488" i="18"/>
  <c r="R511" i="18"/>
  <c r="R585" i="18"/>
  <c r="R632" i="18"/>
  <c r="R673" i="18"/>
  <c r="R718" i="18"/>
  <c r="R763" i="18"/>
  <c r="R797" i="18"/>
  <c r="U409" i="18"/>
  <c r="U409" i="15"/>
  <c r="B19" i="14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X406" i="13"/>
  <c r="W405" i="15"/>
  <c r="X407" i="18"/>
  <c r="X407" i="13"/>
  <c r="W406" i="15"/>
  <c r="B1197" i="8"/>
  <c r="B985" i="8"/>
  <c r="B671" i="8"/>
  <c r="B396" i="8"/>
  <c r="B128" i="8"/>
  <c r="B1078" i="8"/>
  <c r="B761" i="8"/>
  <c r="B443" i="8"/>
  <c r="B207" i="8"/>
  <c r="B1171" i="8"/>
  <c r="B835" i="8"/>
  <c r="B486" i="8"/>
  <c r="B250" i="8"/>
  <c r="B932" i="8"/>
  <c r="B583" i="8"/>
  <c r="B335" i="8"/>
  <c r="B46" i="8"/>
  <c r="B95" i="8"/>
  <c r="B376" i="8"/>
  <c r="B630" i="8"/>
  <c r="B965" i="8"/>
  <c r="B176" i="8"/>
  <c r="B421" i="8"/>
  <c r="B716" i="8"/>
  <c r="B1040" i="8"/>
  <c r="B233" i="8"/>
  <c r="B463" i="8"/>
  <c r="B795" i="8"/>
  <c r="B1109" i="8"/>
  <c r="B282" i="8"/>
  <c r="B509" i="8"/>
  <c r="B880" i="8"/>
  <c r="R97" i="18"/>
  <c r="R337" i="18"/>
  <c r="R378" i="18"/>
  <c r="R398" i="18"/>
  <c r="R837" i="18"/>
  <c r="R882" i="18"/>
  <c r="R934" i="18"/>
  <c r="R967" i="18"/>
  <c r="S129" i="14"/>
  <c r="W407" i="15"/>
  <c r="M1191" i="8"/>
  <c r="M370" i="8"/>
  <c r="M227" i="8"/>
  <c r="H496" i="13"/>
  <c r="G496" i="44" s="1"/>
  <c r="B176" i="44"/>
  <c r="B421" i="44"/>
  <c r="B207" i="44"/>
  <c r="B1196" i="44"/>
  <c r="B795" i="44"/>
  <c r="B282" i="44"/>
  <c r="B463" i="44"/>
  <c r="B396" i="44"/>
  <c r="B671" i="44"/>
  <c r="B880" i="44"/>
  <c r="B583" i="44"/>
  <c r="B1109" i="44"/>
  <c r="B761" i="44"/>
  <c r="B250" i="44"/>
  <c r="B486" i="44"/>
  <c r="B335" i="44"/>
  <c r="B835" i="44"/>
  <c r="B1170" i="44"/>
  <c r="B716" i="44"/>
  <c r="B509" i="44"/>
  <c r="B233" i="44"/>
  <c r="B630" i="44"/>
  <c r="B932" i="44"/>
  <c r="B965" i="44"/>
  <c r="B95" i="44"/>
  <c r="B46" i="44"/>
  <c r="B1040" i="44"/>
  <c r="B443" i="44"/>
  <c r="B376" i="44"/>
  <c r="B1078" i="44"/>
  <c r="B128" i="44"/>
  <c r="B985" i="44"/>
  <c r="R48" i="18"/>
  <c r="R284" i="18"/>
  <c r="R987" i="18"/>
  <c r="R1042" i="18"/>
  <c r="R1080" i="18"/>
  <c r="R1111" i="18"/>
  <c r="R1172" i="18"/>
  <c r="X405" i="13"/>
  <c r="F1150" i="13"/>
  <c r="F1150" i="44" s="1"/>
  <c r="F345" i="13"/>
  <c r="F345" i="44" s="1"/>
  <c r="F196" i="13"/>
  <c r="F196" i="44" s="1"/>
  <c r="F359" i="13"/>
  <c r="F359" i="44" s="1"/>
  <c r="F184" i="13"/>
  <c r="F184" i="44" s="1"/>
  <c r="G474" i="8"/>
  <c r="F431" i="13"/>
  <c r="F431" i="44" s="1"/>
  <c r="F104" i="13"/>
  <c r="F104" i="44" s="1"/>
  <c r="F346" i="13"/>
  <c r="F346" i="44" s="1"/>
  <c r="J1273" i="15"/>
  <c r="J1277" i="15" s="1"/>
  <c r="O1273" i="15"/>
  <c r="O1275" i="15" s="1"/>
  <c r="H28" i="1"/>
  <c r="L1273" i="15"/>
  <c r="L1277" i="15" s="1"/>
  <c r="N1273" i="15"/>
  <c r="N1277" i="15" s="1"/>
  <c r="Q1273" i="15"/>
  <c r="Q1280" i="15" s="1"/>
  <c r="U1280" i="15" s="1"/>
  <c r="Q1387" i="15" s="1"/>
  <c r="U1387" i="15" s="1"/>
  <c r="P1273" i="15"/>
  <c r="B1077" i="8"/>
  <c r="B931" i="8"/>
  <c r="B760" i="8"/>
  <c r="B582" i="8"/>
  <c r="B442" i="8"/>
  <c r="B334" i="8"/>
  <c r="B206" i="8"/>
  <c r="B45" i="8"/>
  <c r="B1196" i="8"/>
  <c r="B1039" i="8"/>
  <c r="B879" i="8"/>
  <c r="B715" i="8"/>
  <c r="B508" i="8"/>
  <c r="B420" i="8"/>
  <c r="B281" i="8"/>
  <c r="B175" i="8"/>
  <c r="B1170" i="8"/>
  <c r="B984" i="8"/>
  <c r="B834" i="8"/>
  <c r="B670" i="8"/>
  <c r="B485" i="8"/>
  <c r="B395" i="8"/>
  <c r="B249" i="8"/>
  <c r="B127" i="8"/>
  <c r="B1108" i="8"/>
  <c r="B964" i="8"/>
  <c r="B794" i="8"/>
  <c r="B629" i="8"/>
  <c r="B462" i="8"/>
  <c r="B375" i="8"/>
  <c r="B232" i="8"/>
  <c r="B94" i="8"/>
  <c r="B1193" i="8"/>
  <c r="B1036" i="8"/>
  <c r="B876" i="8"/>
  <c r="B712" i="8"/>
  <c r="B505" i="8"/>
  <c r="B417" i="8"/>
  <c r="B278" i="8"/>
  <c r="B172" i="8"/>
  <c r="B1167" i="8"/>
  <c r="B981" i="8"/>
  <c r="B831" i="8"/>
  <c r="B667" i="8"/>
  <c r="B482" i="8"/>
  <c r="B392" i="8"/>
  <c r="B246" i="8"/>
  <c r="B1105" i="8"/>
  <c r="B961" i="8"/>
  <c r="B791" i="8"/>
  <c r="B626" i="8"/>
  <c r="B459" i="8"/>
  <c r="B372" i="8"/>
  <c r="B229" i="8"/>
  <c r="B91" i="8"/>
  <c r="B1074" i="8"/>
  <c r="B928" i="8"/>
  <c r="B757" i="8"/>
  <c r="B579" i="8"/>
  <c r="B439" i="8"/>
  <c r="B331" i="8"/>
  <c r="B203" i="8"/>
  <c r="B42" i="8"/>
  <c r="B124" i="8"/>
  <c r="B1168" i="8"/>
  <c r="B982" i="8"/>
  <c r="B832" i="8"/>
  <c r="B668" i="8"/>
  <c r="B483" i="8"/>
  <c r="B393" i="8"/>
  <c r="B247" i="8"/>
  <c r="B125" i="8"/>
  <c r="B1106" i="8"/>
  <c r="B962" i="8"/>
  <c r="B792" i="8"/>
  <c r="B627" i="8"/>
  <c r="B460" i="8"/>
  <c r="B373" i="8"/>
  <c r="B92" i="8"/>
  <c r="B1075" i="8"/>
  <c r="B929" i="8"/>
  <c r="B758" i="8"/>
  <c r="B580" i="8"/>
  <c r="B440" i="8"/>
  <c r="B332" i="8"/>
  <c r="B204" i="8"/>
  <c r="B43" i="8"/>
  <c r="B1194" i="8"/>
  <c r="B1037" i="8"/>
  <c r="B877" i="8"/>
  <c r="B713" i="8"/>
  <c r="B506" i="8"/>
  <c r="B418" i="8"/>
  <c r="B279" i="8"/>
  <c r="B173" i="8"/>
  <c r="B230" i="8"/>
  <c r="F784" i="8"/>
  <c r="F769" i="15"/>
  <c r="H769" i="44" s="1"/>
  <c r="H784" i="8"/>
  <c r="I784" i="8"/>
  <c r="B333" i="13"/>
  <c r="B126" i="13"/>
  <c r="B280" i="13"/>
  <c r="B461" i="18"/>
  <c r="F776" i="15"/>
  <c r="H776" i="44" s="1"/>
  <c r="H1212" i="8"/>
  <c r="F1211" i="15" s="1"/>
  <c r="H1211" i="44" s="1"/>
  <c r="F783" i="8"/>
  <c r="F1156" i="13"/>
  <c r="F1156" i="44" s="1"/>
  <c r="F1134" i="13"/>
  <c r="F1134" i="44" s="1"/>
  <c r="F620" i="13"/>
  <c r="F620" i="44" s="1"/>
  <c r="F600" i="13"/>
  <c r="F600" i="44" s="1"/>
  <c r="F593" i="13"/>
  <c r="F593" i="44" s="1"/>
  <c r="F1059" i="13"/>
  <c r="F1059" i="44" s="1"/>
  <c r="F1053" i="13"/>
  <c r="F1053" i="44" s="1"/>
  <c r="F1049" i="13"/>
  <c r="F1049" i="44" s="1"/>
  <c r="F1028" i="13"/>
  <c r="F1028" i="44" s="1"/>
  <c r="F1024" i="13"/>
  <c r="F1024" i="44" s="1"/>
  <c r="F1018" i="13"/>
  <c r="F1018" i="44" s="1"/>
  <c r="F1011" i="13"/>
  <c r="F1011" i="44" s="1"/>
  <c r="F1007" i="13"/>
  <c r="F1007" i="44" s="1"/>
  <c r="F780" i="13"/>
  <c r="F780" i="44" s="1"/>
  <c r="F950" i="13"/>
  <c r="F950" i="44" s="1"/>
  <c r="F946" i="13"/>
  <c r="F946" i="44" s="1"/>
  <c r="F942" i="13"/>
  <c r="F942" i="44" s="1"/>
  <c r="F811" i="13"/>
  <c r="F811" i="44" s="1"/>
  <c r="F807" i="13"/>
  <c r="F807" i="44" s="1"/>
  <c r="F822" i="13"/>
  <c r="F822" i="44" s="1"/>
  <c r="F865" i="13"/>
  <c r="F865" i="44" s="1"/>
  <c r="F861" i="13"/>
  <c r="F861" i="44" s="1"/>
  <c r="F851" i="13"/>
  <c r="F851" i="44" s="1"/>
  <c r="F847" i="13"/>
  <c r="F847" i="44" s="1"/>
  <c r="F894" i="13"/>
  <c r="F894" i="44" s="1"/>
  <c r="F901" i="13"/>
  <c r="F901" i="44" s="1"/>
  <c r="F769" i="13"/>
  <c r="F769" i="44" s="1"/>
  <c r="F644" i="13"/>
  <c r="F644" i="44" s="1"/>
  <c r="F640" i="13"/>
  <c r="F640" i="44" s="1"/>
  <c r="F655" i="13"/>
  <c r="F655" i="44" s="1"/>
  <c r="F680" i="13"/>
  <c r="F680" i="44" s="1"/>
  <c r="F681" i="13"/>
  <c r="F681" i="44" s="1"/>
  <c r="F702" i="13"/>
  <c r="F702" i="44" s="1"/>
  <c r="F698" i="13"/>
  <c r="F698" i="44" s="1"/>
  <c r="F724" i="13"/>
  <c r="F724" i="44" s="1"/>
  <c r="F735" i="13"/>
  <c r="F735" i="44" s="1"/>
  <c r="F746" i="13"/>
  <c r="F746" i="44" s="1"/>
  <c r="F187" i="13"/>
  <c r="F187" i="44" s="1"/>
  <c r="F308" i="13"/>
  <c r="F308" i="44" s="1"/>
  <c r="F137" i="13"/>
  <c r="F137" i="44" s="1"/>
  <c r="F154" i="13"/>
  <c r="F154" i="44" s="1"/>
  <c r="F273" i="13"/>
  <c r="F273" i="44" s="1"/>
  <c r="F120" i="13"/>
  <c r="F120" i="44" s="1"/>
  <c r="F109" i="13"/>
  <c r="F109" i="44" s="1"/>
  <c r="F1088" i="13"/>
  <c r="F1088" i="44" s="1"/>
  <c r="F1123" i="13"/>
  <c r="F1123" i="44" s="1"/>
  <c r="F596" i="13"/>
  <c r="F596" i="44" s="1"/>
  <c r="F1062" i="13"/>
  <c r="F1062" i="44" s="1"/>
  <c r="F1056" i="13"/>
  <c r="F1056" i="44" s="1"/>
  <c r="F1052" i="13"/>
  <c r="F1052" i="44" s="1"/>
  <c r="F1031" i="13"/>
  <c r="F1031" i="44" s="1"/>
  <c r="F1027" i="13"/>
  <c r="F1027" i="44" s="1"/>
  <c r="F1023" i="13"/>
  <c r="F1023" i="44" s="1"/>
  <c r="F1010" i="13"/>
  <c r="F1010" i="44" s="1"/>
  <c r="F996" i="13"/>
  <c r="F996" i="44" s="1"/>
  <c r="F779" i="13"/>
  <c r="F779" i="44" s="1"/>
  <c r="F775" i="13"/>
  <c r="F775" i="44" s="1"/>
  <c r="F949" i="13"/>
  <c r="F949" i="44" s="1"/>
  <c r="F945" i="13"/>
  <c r="F945" i="44" s="1"/>
  <c r="F810" i="13"/>
  <c r="F810" i="44" s="1"/>
  <c r="F821" i="13"/>
  <c r="F821" i="44" s="1"/>
  <c r="F870" i="13"/>
  <c r="F870" i="44" s="1"/>
  <c r="F864" i="13"/>
  <c r="F864" i="44" s="1"/>
  <c r="F860" i="13"/>
  <c r="F860" i="44" s="1"/>
  <c r="F850" i="13"/>
  <c r="F850" i="44" s="1"/>
  <c r="F846" i="13"/>
  <c r="F846" i="44" s="1"/>
  <c r="F893" i="13"/>
  <c r="F893" i="44" s="1"/>
  <c r="F906" i="13"/>
  <c r="F906" i="44" s="1"/>
  <c r="F900" i="13"/>
  <c r="F900" i="44" s="1"/>
  <c r="F913" i="13"/>
  <c r="F913" i="44" s="1"/>
  <c r="F772" i="13"/>
  <c r="F772" i="44" s="1"/>
  <c r="F647" i="13"/>
  <c r="F647" i="44" s="1"/>
  <c r="F643" i="13"/>
  <c r="F643" i="44" s="1"/>
  <c r="F658" i="13"/>
  <c r="F658" i="44" s="1"/>
  <c r="F654" i="13"/>
  <c r="F654" i="44" s="1"/>
  <c r="F689" i="13"/>
  <c r="F689" i="44" s="1"/>
  <c r="F704" i="13"/>
  <c r="F704" i="44" s="1"/>
  <c r="F701" i="13"/>
  <c r="F701" i="44" s="1"/>
  <c r="F737" i="13"/>
  <c r="F737" i="44" s="1"/>
  <c r="F745" i="13"/>
  <c r="F745" i="44" s="1"/>
  <c r="F186" i="13"/>
  <c r="F186" i="44" s="1"/>
  <c r="F307" i="13"/>
  <c r="F307" i="44" s="1"/>
  <c r="F291" i="13"/>
  <c r="F291" i="44" s="1"/>
  <c r="F153" i="13"/>
  <c r="F153" i="44" s="1"/>
  <c r="F268" i="13"/>
  <c r="F268" i="44" s="1"/>
  <c r="F108" i="13"/>
  <c r="F108" i="44" s="1"/>
  <c r="F1136" i="13"/>
  <c r="F1136" i="44" s="1"/>
  <c r="F595" i="13"/>
  <c r="F595" i="44" s="1"/>
  <c r="F591" i="13"/>
  <c r="F591" i="44" s="1"/>
  <c r="F1061" i="13"/>
  <c r="F1061" i="44" s="1"/>
  <c r="F1055" i="13"/>
  <c r="F1055" i="44" s="1"/>
  <c r="F1051" i="13"/>
  <c r="F1051" i="44" s="1"/>
  <c r="F1022" i="13"/>
  <c r="F1022" i="44" s="1"/>
  <c r="F1016" i="13"/>
  <c r="F1016" i="44" s="1"/>
  <c r="F1009" i="13"/>
  <c r="F1009" i="44" s="1"/>
  <c r="F995" i="13"/>
  <c r="F995" i="44" s="1"/>
  <c r="F778" i="13"/>
  <c r="F778" i="44" s="1"/>
  <c r="F952" i="13"/>
  <c r="F952" i="44" s="1"/>
  <c r="F948" i="13"/>
  <c r="F948" i="44" s="1"/>
  <c r="F944" i="13"/>
  <c r="F944" i="44" s="1"/>
  <c r="F809" i="13"/>
  <c r="F809" i="44" s="1"/>
  <c r="F805" i="13"/>
  <c r="F805" i="44" s="1"/>
  <c r="F820" i="13"/>
  <c r="F820" i="44" s="1"/>
  <c r="F867" i="13"/>
  <c r="F867" i="44" s="1"/>
  <c r="F863" i="13"/>
  <c r="F863" i="44" s="1"/>
  <c r="F855" i="13"/>
  <c r="F855" i="44" s="1"/>
  <c r="F849" i="13"/>
  <c r="F849" i="44" s="1"/>
  <c r="F845" i="13"/>
  <c r="F845" i="44" s="1"/>
  <c r="F918" i="13"/>
  <c r="F918" i="44" s="1"/>
  <c r="F912" i="13"/>
  <c r="F912" i="44" s="1"/>
  <c r="F771" i="13"/>
  <c r="F771" i="44" s="1"/>
  <c r="F646" i="13"/>
  <c r="F646" i="44" s="1"/>
  <c r="F642" i="13"/>
  <c r="F642" i="44" s="1"/>
  <c r="F657" i="13"/>
  <c r="F657" i="44" s="1"/>
  <c r="F653" i="13"/>
  <c r="F653" i="44" s="1"/>
  <c r="F687" i="13"/>
  <c r="F687" i="44" s="1"/>
  <c r="F683" i="13"/>
  <c r="F683" i="44" s="1"/>
  <c r="F696" i="13"/>
  <c r="F696" i="44" s="1"/>
  <c r="F736" i="13"/>
  <c r="F736" i="44" s="1"/>
  <c r="F748" i="13"/>
  <c r="F748" i="44" s="1"/>
  <c r="F260" i="13"/>
  <c r="F260" i="44" s="1"/>
  <c r="F352" i="13"/>
  <c r="F352" i="44" s="1"/>
  <c r="F189" i="13"/>
  <c r="F189" i="44" s="1"/>
  <c r="F310" i="13"/>
  <c r="F310" i="44" s="1"/>
  <c r="F275" i="13"/>
  <c r="F275" i="44" s="1"/>
  <c r="F271" i="13"/>
  <c r="F271" i="44" s="1"/>
  <c r="F264" i="13"/>
  <c r="F264" i="44" s="1"/>
  <c r="F114" i="13"/>
  <c r="F114" i="44" s="1"/>
  <c r="F1148" i="13"/>
  <c r="F1148" i="44" s="1"/>
  <c r="F1090" i="13"/>
  <c r="F1090" i="44" s="1"/>
  <c r="F1099" i="13"/>
  <c r="F1099" i="44" s="1"/>
  <c r="F1135" i="13"/>
  <c r="F1135" i="44" s="1"/>
  <c r="F594" i="13"/>
  <c r="F594" i="44" s="1"/>
  <c r="F1068" i="13"/>
  <c r="F1068" i="44" s="1"/>
  <c r="F1060" i="13"/>
  <c r="F1060" i="44" s="1"/>
  <c r="F1029" i="13"/>
  <c r="F1029" i="44" s="1"/>
  <c r="F1025" i="13"/>
  <c r="F1025" i="44" s="1"/>
  <c r="F1012" i="13"/>
  <c r="F1012" i="44" s="1"/>
  <c r="F1001" i="13"/>
  <c r="F1001" i="44" s="1"/>
  <c r="F781" i="13"/>
  <c r="F781" i="44" s="1"/>
  <c r="F951" i="13"/>
  <c r="F951" i="44" s="1"/>
  <c r="F947" i="13"/>
  <c r="F947" i="44" s="1"/>
  <c r="F943" i="13"/>
  <c r="F943" i="44" s="1"/>
  <c r="F804" i="13"/>
  <c r="F804" i="44" s="1"/>
  <c r="F808" i="13"/>
  <c r="F808" i="44" s="1"/>
  <c r="F817" i="13"/>
  <c r="F817" i="44" s="1"/>
  <c r="F819" i="13"/>
  <c r="F819" i="44" s="1"/>
  <c r="F866" i="13"/>
  <c r="F866" i="44" s="1"/>
  <c r="F862" i="13"/>
  <c r="F862" i="44" s="1"/>
  <c r="F852" i="13"/>
  <c r="F852" i="44" s="1"/>
  <c r="F848" i="13"/>
  <c r="F848" i="44" s="1"/>
  <c r="F889" i="13"/>
  <c r="F889" i="44" s="1"/>
  <c r="F902" i="13"/>
  <c r="F902" i="44" s="1"/>
  <c r="F774" i="13"/>
  <c r="F774" i="44" s="1"/>
  <c r="F641" i="13"/>
  <c r="F641" i="44" s="1"/>
  <c r="F686" i="13"/>
  <c r="F686" i="44" s="1"/>
  <c r="F699" i="13"/>
  <c r="F699" i="44" s="1"/>
  <c r="F727" i="13"/>
  <c r="F727" i="44" s="1"/>
  <c r="F351" i="13"/>
  <c r="F351" i="44" s="1"/>
  <c r="F347" i="13"/>
  <c r="F347" i="44" s="1"/>
  <c r="F192" i="13"/>
  <c r="F192" i="44" s="1"/>
  <c r="F188" i="13"/>
  <c r="F188" i="44" s="1"/>
  <c r="F158" i="13"/>
  <c r="F158" i="44" s="1"/>
  <c r="F155" i="13"/>
  <c r="F155" i="44" s="1"/>
  <c r="F270" i="13"/>
  <c r="F270" i="44" s="1"/>
  <c r="F117" i="13"/>
  <c r="F117" i="44" s="1"/>
  <c r="F113" i="13"/>
  <c r="F113" i="44" s="1"/>
  <c r="F411" i="13"/>
  <c r="F411" i="44" s="1"/>
  <c r="L28" i="1"/>
  <c r="S1273" i="13"/>
  <c r="S1277" i="13" s="1"/>
  <c r="B280" i="18"/>
  <c r="B231" i="18"/>
  <c r="I692" i="8"/>
  <c r="K28" i="1"/>
  <c r="J1273" i="13"/>
  <c r="J1275" i="13" s="1"/>
  <c r="N1273" i="13"/>
  <c r="N1277" i="13" s="1"/>
  <c r="N1273" i="16"/>
  <c r="N1275" i="16" s="1"/>
  <c r="B207" i="18"/>
  <c r="B376" i="18"/>
  <c r="B463" i="18"/>
  <c r="B630" i="18"/>
  <c r="B795" i="18"/>
  <c r="B932" i="18"/>
  <c r="B1170" i="18"/>
  <c r="B396" i="18"/>
  <c r="B421" i="18"/>
  <c r="B486" i="18"/>
  <c r="B671" i="18"/>
  <c r="B965" i="18"/>
  <c r="B1040" i="18"/>
  <c r="B1196" i="18"/>
  <c r="B46" i="18"/>
  <c r="B95" i="18"/>
  <c r="B128" i="18"/>
  <c r="B233" i="18"/>
  <c r="B443" i="18"/>
  <c r="B509" i="18"/>
  <c r="B716" i="18"/>
  <c r="B835" i="18"/>
  <c r="B1078" i="18"/>
  <c r="B176" i="18"/>
  <c r="B250" i="18"/>
  <c r="B282" i="18"/>
  <c r="B335" i="18"/>
  <c r="B583" i="18"/>
  <c r="B761" i="18"/>
  <c r="B880" i="18"/>
  <c r="B985" i="18"/>
  <c r="B761" i="13"/>
  <c r="B932" i="13"/>
  <c r="B1170" i="13"/>
  <c r="B1240" i="13"/>
  <c r="B1347" i="13"/>
  <c r="B95" i="16"/>
  <c r="B207" i="16"/>
  <c r="B282" i="16"/>
  <c r="B761" i="16"/>
  <c r="B965" i="16"/>
  <c r="B1170" i="16"/>
  <c r="B486" i="13"/>
  <c r="B716" i="13"/>
  <c r="B176" i="16"/>
  <c r="B376" i="16"/>
  <c r="B463" i="16"/>
  <c r="B95" i="13"/>
  <c r="B128" i="13"/>
  <c r="B1078" i="13"/>
  <c r="B46" i="16"/>
  <c r="B128" i="16"/>
  <c r="B250" i="16"/>
  <c r="B335" i="16"/>
  <c r="B443" i="16"/>
  <c r="B583" i="16"/>
  <c r="B630" i="16"/>
  <c r="B671" i="16"/>
  <c r="B835" i="16"/>
  <c r="B1078" i="16"/>
  <c r="B509" i="13"/>
  <c r="B396" i="16"/>
  <c r="B486" i="16"/>
  <c r="B985" i="16"/>
  <c r="B1347" i="16"/>
  <c r="B250" i="13"/>
  <c r="B396" i="13"/>
  <c r="B880" i="13"/>
  <c r="B1109" i="13"/>
  <c r="B716" i="16"/>
  <c r="B880" i="16"/>
  <c r="B932" i="16"/>
  <c r="B1109" i="16"/>
  <c r="B1240" i="16"/>
  <c r="B1074" i="13"/>
  <c r="B176" i="13"/>
  <c r="B207" i="13"/>
  <c r="B233" i="13"/>
  <c r="B376" i="13"/>
  <c r="B463" i="13"/>
  <c r="B630" i="13"/>
  <c r="B671" i="13"/>
  <c r="B835" i="13"/>
  <c r="B1167" i="13"/>
  <c r="B46" i="13"/>
  <c r="B282" i="13"/>
  <c r="B335" i="13"/>
  <c r="B421" i="13"/>
  <c r="B443" i="13"/>
  <c r="B583" i="13"/>
  <c r="B795" i="13"/>
  <c r="B965" i="13"/>
  <c r="B985" i="13"/>
  <c r="B1040" i="13"/>
  <c r="B233" i="16"/>
  <c r="B421" i="16"/>
  <c r="B509" i="16"/>
  <c r="B795" i="16"/>
  <c r="B1040" i="16"/>
  <c r="J1273" i="16"/>
  <c r="J1279" i="16" s="1"/>
  <c r="M91" i="8"/>
  <c r="R48" i="16"/>
  <c r="R465" i="16"/>
  <c r="R511" i="16"/>
  <c r="R763" i="16"/>
  <c r="R882" i="16"/>
  <c r="R585" i="16"/>
  <c r="R252" i="16"/>
  <c r="R1080" i="16"/>
  <c r="R97" i="16"/>
  <c r="R673" i="16"/>
  <c r="R178" i="16"/>
  <c r="R934" i="16"/>
  <c r="R632" i="16"/>
  <c r="R1242" i="16"/>
  <c r="R1042" i="16"/>
  <c r="R797" i="16"/>
  <c r="R445" i="16"/>
  <c r="R378" i="16"/>
  <c r="R967" i="16"/>
  <c r="R488" i="16"/>
  <c r="R235" i="16"/>
  <c r="R1349" i="16"/>
  <c r="R1172" i="16"/>
  <c r="R130" i="16"/>
  <c r="H494" i="16"/>
  <c r="K494" i="44" s="1"/>
  <c r="R837" i="16"/>
  <c r="R284" i="16"/>
  <c r="R1111" i="16"/>
  <c r="R423" i="16"/>
  <c r="R1198" i="16"/>
  <c r="R987" i="16"/>
  <c r="R718" i="16"/>
  <c r="R398" i="16"/>
  <c r="R337" i="16"/>
  <c r="H494" i="15"/>
  <c r="I494" i="44" s="1"/>
  <c r="B126" i="15"/>
  <c r="B174" i="15"/>
  <c r="B205" i="15"/>
  <c r="B332" i="13"/>
  <c r="R1111" i="13"/>
  <c r="R284" i="13"/>
  <c r="R398" i="13"/>
  <c r="R1172" i="13"/>
  <c r="R488" i="13"/>
  <c r="R763" i="13"/>
  <c r="R337" i="13"/>
  <c r="R673" i="13"/>
  <c r="R967" i="13"/>
  <c r="H494" i="13"/>
  <c r="G494" i="44" s="1"/>
  <c r="R48" i="13"/>
  <c r="R1242" i="13"/>
  <c r="R585" i="13"/>
  <c r="R1042" i="13"/>
  <c r="R252" i="13"/>
  <c r="R235" i="13"/>
  <c r="R837" i="13"/>
  <c r="M122" i="8"/>
  <c r="M170" i="8"/>
  <c r="M201" i="8"/>
  <c r="M246" i="8"/>
  <c r="M390" i="8"/>
  <c r="M278" i="8"/>
  <c r="M329" i="8"/>
  <c r="M415" i="8"/>
  <c r="M437" i="8"/>
  <c r="M457" i="8"/>
  <c r="M480" i="8"/>
  <c r="M503" i="8"/>
  <c r="M577" i="8"/>
  <c r="M624" i="8"/>
  <c r="M665" i="8"/>
  <c r="M711" i="8"/>
  <c r="M755" i="8"/>
  <c r="M789" i="8"/>
  <c r="M980" i="8"/>
  <c r="M1034" i="8"/>
  <c r="M1072" i="8"/>
  <c r="B876" i="16"/>
  <c r="B392" i="16"/>
  <c r="B331" i="16"/>
  <c r="B791" i="16"/>
  <c r="B1036" i="15"/>
  <c r="B506" i="13"/>
  <c r="B483" i="13"/>
  <c r="B962" i="13"/>
  <c r="H1095" i="8"/>
  <c r="M829" i="8"/>
  <c r="M876" i="8"/>
  <c r="M926" i="8"/>
  <c r="M959" i="8"/>
  <c r="M1105" i="8"/>
  <c r="M1165" i="8"/>
  <c r="J192" i="8"/>
  <c r="B520" i="15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1075" i="15"/>
  <c r="F409" i="15"/>
  <c r="H409" i="44" s="1"/>
  <c r="B758" i="15"/>
  <c r="U70" i="15"/>
  <c r="R178" i="15"/>
  <c r="R235" i="15"/>
  <c r="R48" i="15"/>
  <c r="R1242" i="15"/>
  <c r="R1172" i="15"/>
  <c r="R1080" i="15"/>
  <c r="R987" i="15"/>
  <c r="R488" i="15"/>
  <c r="R445" i="15"/>
  <c r="R97" i="15"/>
  <c r="B794" i="15"/>
  <c r="B395" i="15"/>
  <c r="R337" i="15"/>
  <c r="R837" i="15"/>
  <c r="R673" i="15"/>
  <c r="R378" i="15"/>
  <c r="R718" i="15"/>
  <c r="R511" i="15"/>
  <c r="R1198" i="15"/>
  <c r="R1111" i="15"/>
  <c r="R1042" i="15"/>
  <c r="R967" i="15"/>
  <c r="R882" i="15"/>
  <c r="R763" i="15"/>
  <c r="R465" i="15"/>
  <c r="R423" i="15"/>
  <c r="R130" i="15"/>
  <c r="R934" i="15"/>
  <c r="R252" i="15"/>
  <c r="R1349" i="15"/>
  <c r="R585" i="15"/>
  <c r="B1039" i="15"/>
  <c r="R797" i="15"/>
  <c r="R284" i="15"/>
  <c r="R632" i="15"/>
  <c r="R398" i="15"/>
  <c r="B1343" i="13"/>
  <c r="B582" i="13"/>
  <c r="U409" i="13"/>
  <c r="J698" i="8"/>
  <c r="H919" i="8"/>
  <c r="J748" i="8"/>
  <c r="F409" i="13"/>
  <c r="F409" i="44" s="1"/>
  <c r="I868" i="8"/>
  <c r="J1061" i="8"/>
  <c r="W407" i="16"/>
  <c r="J978" i="8"/>
  <c r="J565" i="8"/>
  <c r="N565" i="8" s="1"/>
  <c r="I74" i="8"/>
  <c r="F495" i="15"/>
  <c r="H495" i="44" s="1"/>
  <c r="P1273" i="16"/>
  <c r="R67" i="5"/>
  <c r="P75" i="5"/>
  <c r="R75" i="5" s="1"/>
  <c r="D111" i="14"/>
  <c r="S111" i="14" s="1"/>
  <c r="P76" i="5"/>
  <c r="R76" i="5" s="1"/>
  <c r="E77" i="5"/>
  <c r="N28" i="1"/>
  <c r="O28" i="1"/>
  <c r="R1273" i="13"/>
  <c r="R1275" i="13" s="1"/>
  <c r="M28" i="1"/>
  <c r="P1273" i="13"/>
  <c r="O1273" i="13"/>
  <c r="O1275" i="13" s="1"/>
  <c r="O1273" i="16"/>
  <c r="O1275" i="16" s="1"/>
  <c r="P37" i="5"/>
  <c r="J28" i="1"/>
  <c r="I28" i="1"/>
  <c r="L1273" i="13"/>
  <c r="L1273" i="16"/>
  <c r="L1277" i="16" s="1"/>
  <c r="J1214" i="8"/>
  <c r="J1009" i="8"/>
  <c r="H741" i="8"/>
  <c r="I907" i="8"/>
  <c r="H692" i="8"/>
  <c r="J656" i="8"/>
  <c r="G81" i="8"/>
  <c r="B1194" i="15"/>
  <c r="B983" i="15"/>
  <c r="B581" i="15"/>
  <c r="B333" i="15"/>
  <c r="B280" i="15"/>
  <c r="B930" i="15"/>
  <c r="B878" i="15"/>
  <c r="B507" i="15"/>
  <c r="B484" i="15"/>
  <c r="B461" i="15"/>
  <c r="B441" i="15"/>
  <c r="B249" i="18"/>
  <c r="B127" i="18"/>
  <c r="B45" i="18"/>
  <c r="B580" i="13"/>
  <c r="B43" i="13"/>
  <c r="B1237" i="13"/>
  <c r="B247" i="13"/>
  <c r="B373" i="13"/>
  <c r="B460" i="13"/>
  <c r="B393" i="13"/>
  <c r="B204" i="13"/>
  <c r="B833" i="15"/>
  <c r="B232" i="18"/>
  <c r="F914" i="15"/>
  <c r="H914" i="44" s="1"/>
  <c r="H915" i="8"/>
  <c r="F746" i="15"/>
  <c r="H746" i="44" s="1"/>
  <c r="H751" i="8"/>
  <c r="B279" i="13"/>
  <c r="B440" i="13"/>
  <c r="B173" i="13"/>
  <c r="B877" i="13"/>
  <c r="B1344" i="13"/>
  <c r="B929" i="13"/>
  <c r="B1193" i="13"/>
  <c r="B832" i="13"/>
  <c r="B1075" i="13"/>
  <c r="B1037" i="13"/>
  <c r="B1106" i="13"/>
  <c r="B792" i="13"/>
  <c r="B125" i="13"/>
  <c r="B758" i="13"/>
  <c r="B418" i="13"/>
  <c r="B982" i="13"/>
  <c r="B627" i="13"/>
  <c r="B713" i="13"/>
  <c r="B668" i="13"/>
  <c r="B230" i="13"/>
  <c r="B334" i="18"/>
  <c r="B670" i="18"/>
  <c r="B794" i="18"/>
  <c r="J949" i="8"/>
  <c r="J850" i="8"/>
  <c r="F680" i="15"/>
  <c r="H680" i="44" s="1"/>
  <c r="H690" i="8"/>
  <c r="H707" i="8"/>
  <c r="I825" i="8"/>
  <c r="I915" i="8"/>
  <c r="J1055" i="8"/>
  <c r="H731" i="8"/>
  <c r="J852" i="8"/>
  <c r="J848" i="8"/>
  <c r="G707" i="8"/>
  <c r="I21" i="8"/>
  <c r="I731" i="8"/>
  <c r="J688" i="8"/>
  <c r="J658" i="8"/>
  <c r="J534" i="8"/>
  <c r="G823" i="8"/>
  <c r="I1013" i="8"/>
  <c r="I783" i="8"/>
  <c r="I751" i="8"/>
  <c r="F1099" i="15"/>
  <c r="H1099" i="44" s="1"/>
  <c r="F595" i="15"/>
  <c r="H595" i="44" s="1"/>
  <c r="B1195" i="13"/>
  <c r="B760" i="13"/>
  <c r="B1074" i="15"/>
  <c r="B91" i="15"/>
  <c r="B172" i="15"/>
  <c r="B667" i="15"/>
  <c r="B392" i="15"/>
  <c r="B229" i="15"/>
  <c r="B794" i="16"/>
  <c r="B249" i="16"/>
  <c r="B232" i="16"/>
  <c r="B462" i="16"/>
  <c r="B127" i="16"/>
  <c r="B1108" i="16"/>
  <c r="B715" i="16"/>
  <c r="B420" i="16"/>
  <c r="B395" i="16"/>
  <c r="B375" i="16"/>
  <c r="B983" i="13"/>
  <c r="B793" i="13"/>
  <c r="B759" i="13"/>
  <c r="B714" i="13"/>
  <c r="B419" i="13"/>
  <c r="B374" i="13"/>
  <c r="B248" i="13"/>
  <c r="B231" i="13"/>
  <c r="B174" i="13"/>
  <c r="B963" i="13"/>
  <c r="B628" i="13"/>
  <c r="B581" i="13"/>
  <c r="B507" i="13"/>
  <c r="B484" i="13"/>
  <c r="B205" i="13"/>
  <c r="B93" i="13"/>
  <c r="B44" i="13"/>
  <c r="B1194" i="13"/>
  <c r="B1168" i="13"/>
  <c r="B1107" i="13"/>
  <c r="B1076" i="13"/>
  <c r="B1038" i="13"/>
  <c r="B930" i="13"/>
  <c r="B878" i="13"/>
  <c r="B833" i="13"/>
  <c r="B461" i="13"/>
  <c r="B441" i="13"/>
  <c r="B394" i="13"/>
  <c r="B1107" i="18"/>
  <c r="B930" i="18"/>
  <c r="B44" i="18"/>
  <c r="B1168" i="18"/>
  <c r="B1076" i="18"/>
  <c r="B714" i="18"/>
  <c r="B484" i="18"/>
  <c r="B833" i="18"/>
  <c r="B793" i="18"/>
  <c r="B759" i="18"/>
  <c r="B628" i="18"/>
  <c r="B507" i="18"/>
  <c r="B331" i="15"/>
  <c r="B757" i="15"/>
  <c r="J1136" i="8"/>
  <c r="J595" i="8"/>
  <c r="J811" i="8"/>
  <c r="J1207" i="8"/>
  <c r="J645" i="8"/>
  <c r="J641" i="8"/>
  <c r="J727" i="8"/>
  <c r="J1127" i="8"/>
  <c r="J258" i="8"/>
  <c r="B981" i="13"/>
  <c r="B172" i="13"/>
  <c r="B879" i="15"/>
  <c r="B206" i="15"/>
  <c r="B229" i="16"/>
  <c r="B1192" i="16"/>
  <c r="B1074" i="16"/>
  <c r="H890" i="8"/>
  <c r="H895" i="8"/>
  <c r="H903" i="8"/>
  <c r="J680" i="8"/>
  <c r="J700" i="8"/>
  <c r="J1220" i="8"/>
  <c r="B831" i="13"/>
  <c r="B278" i="13"/>
  <c r="B629" i="15"/>
  <c r="B984" i="15"/>
  <c r="B278" i="16"/>
  <c r="B579" i="16"/>
  <c r="H907" i="8"/>
  <c r="G814" i="8"/>
  <c r="J1215" i="8"/>
  <c r="J1209" i="8"/>
  <c r="N1209" i="8" s="1"/>
  <c r="J646" i="8"/>
  <c r="J642" i="8"/>
  <c r="J657" i="8"/>
  <c r="J686" i="8"/>
  <c r="J682" i="8"/>
  <c r="J703" i="8"/>
  <c r="J699" i="8"/>
  <c r="J728" i="8"/>
  <c r="J724" i="8"/>
  <c r="J735" i="8"/>
  <c r="J746" i="8"/>
  <c r="J780" i="8"/>
  <c r="J776" i="8"/>
  <c r="J772" i="8"/>
  <c r="J1068" i="8"/>
  <c r="J1060" i="8"/>
  <c r="J1050" i="8"/>
  <c r="J1008" i="8"/>
  <c r="J1001" i="8"/>
  <c r="J1090" i="8"/>
  <c r="J1099" i="8"/>
  <c r="J1158" i="8"/>
  <c r="J1135" i="8"/>
  <c r="J431" i="8"/>
  <c r="F597" i="8"/>
  <c r="J537" i="8"/>
  <c r="B1105" i="13"/>
  <c r="J452" i="8"/>
  <c r="B963" i="16"/>
  <c r="B374" i="16"/>
  <c r="B205" i="16"/>
  <c r="B983" i="16"/>
  <c r="B1038" i="16"/>
  <c r="B1168" i="16"/>
  <c r="B669" i="16"/>
  <c r="B419" i="16"/>
  <c r="B44" i="16"/>
  <c r="B93" i="16"/>
  <c r="B1194" i="16"/>
  <c r="B441" i="16"/>
  <c r="B713" i="18"/>
  <c r="B230" i="18"/>
  <c r="B418" i="18"/>
  <c r="B279" i="18"/>
  <c r="B204" i="18"/>
  <c r="F941" i="13"/>
  <c r="F941" i="44" s="1"/>
  <c r="G955" i="8"/>
  <c r="F806" i="13"/>
  <c r="F806" i="44" s="1"/>
  <c r="G812" i="8"/>
  <c r="F818" i="13"/>
  <c r="F818" i="44" s="1"/>
  <c r="G825" i="8"/>
  <c r="F770" i="13"/>
  <c r="F770" i="44" s="1"/>
  <c r="J770" i="8"/>
  <c r="B247" i="15"/>
  <c r="B759" i="16"/>
  <c r="B1036" i="16"/>
  <c r="B1343" i="16"/>
  <c r="B459" i="16"/>
  <c r="B667" i="16"/>
  <c r="B1166" i="16"/>
  <c r="B417" i="16"/>
  <c r="B91" i="16"/>
  <c r="B482" i="16"/>
  <c r="B505" i="16"/>
  <c r="B42" i="16"/>
  <c r="B1236" i="16"/>
  <c r="B831" i="16"/>
  <c r="B757" i="16"/>
  <c r="B876" i="13"/>
  <c r="B582" i="15"/>
  <c r="B670" i="15"/>
  <c r="B440" i="15"/>
  <c r="B175" i="15"/>
  <c r="B249" i="15"/>
  <c r="B484" i="16"/>
  <c r="B626" i="16"/>
  <c r="B439" i="16"/>
  <c r="B203" i="16"/>
  <c r="B372" i="16"/>
  <c r="B961" i="16"/>
  <c r="J902" i="8"/>
  <c r="J1030" i="8"/>
  <c r="J1149" i="8"/>
  <c r="F844" i="13"/>
  <c r="F844" i="44" s="1"/>
  <c r="G853" i="8"/>
  <c r="F892" i="13"/>
  <c r="F892" i="44" s="1"/>
  <c r="G895" i="8"/>
  <c r="F905" i="13"/>
  <c r="F905" i="44" s="1"/>
  <c r="G907" i="8"/>
  <c r="F700" i="13"/>
  <c r="F700" i="44" s="1"/>
  <c r="I1091" i="8"/>
  <c r="I1140" i="8"/>
  <c r="B982" i="15"/>
  <c r="B627" i="15"/>
  <c r="B832" i="15"/>
  <c r="B43" i="15"/>
  <c r="B1106" i="15"/>
  <c r="B1193" i="15"/>
  <c r="B173" i="15"/>
  <c r="B1167" i="15"/>
  <c r="B1237" i="15"/>
  <c r="F917" i="13"/>
  <c r="F917" i="44" s="1"/>
  <c r="G919" i="8"/>
  <c r="B1037" i="15"/>
  <c r="B714" i="16"/>
  <c r="B231" i="16"/>
  <c r="G868" i="8"/>
  <c r="B930" i="16"/>
  <c r="J1098" i="8"/>
  <c r="B91" i="13"/>
  <c r="B579" i="13"/>
  <c r="B439" i="13"/>
  <c r="B1192" i="13"/>
  <c r="B331" i="13"/>
  <c r="B626" i="13"/>
  <c r="B203" i="13"/>
  <c r="B392" i="13"/>
  <c r="B961" i="13"/>
  <c r="B45" i="15"/>
  <c r="B127" i="15"/>
  <c r="B420" i="15"/>
  <c r="B1346" i="15"/>
  <c r="B1239" i="15"/>
  <c r="B1195" i="15"/>
  <c r="B462" i="15"/>
  <c r="B1077" i="15"/>
  <c r="B442" i="15"/>
  <c r="B760" i="15"/>
  <c r="B715" i="15"/>
  <c r="B281" i="15"/>
  <c r="B485" i="15"/>
  <c r="B1108" i="15"/>
  <c r="B508" i="15"/>
  <c r="H413" i="8"/>
  <c r="J119" i="8"/>
  <c r="F241" i="13"/>
  <c r="F241" i="44" s="1"/>
  <c r="G242" i="8"/>
  <c r="J567" i="8"/>
  <c r="N567" i="8" s="1"/>
  <c r="F1067" i="13"/>
  <c r="F1067" i="44" s="1"/>
  <c r="G21" i="8"/>
  <c r="I955" i="8"/>
  <c r="I953" i="8"/>
  <c r="I749" i="8"/>
  <c r="I739" i="8"/>
  <c r="I741" i="8"/>
  <c r="F432" i="15"/>
  <c r="H432" i="44" s="1"/>
  <c r="J432" i="8"/>
  <c r="B375" i="15"/>
  <c r="B964" i="15"/>
  <c r="B713" i="15"/>
  <c r="B232" i="15"/>
  <c r="B1169" i="15"/>
  <c r="B878" i="16"/>
  <c r="B280" i="16"/>
  <c r="B172" i="16"/>
  <c r="B246" i="16"/>
  <c r="B928" i="16"/>
  <c r="G751" i="8"/>
  <c r="B832" i="18"/>
  <c r="J311" i="8"/>
  <c r="B983" i="18"/>
  <c r="B963" i="18"/>
  <c r="B878" i="18"/>
  <c r="B669" i="18"/>
  <c r="B581" i="18"/>
  <c r="B419" i="18"/>
  <c r="B374" i="18"/>
  <c r="B248" i="18"/>
  <c r="B205" i="18"/>
  <c r="B174" i="18"/>
  <c r="B93" i="18"/>
  <c r="J1051" i="8"/>
  <c r="J1005" i="8"/>
  <c r="J775" i="8"/>
  <c r="J951" i="8"/>
  <c r="J947" i="8"/>
  <c r="J385" i="8"/>
  <c r="B760" i="16"/>
  <c r="B126" i="18"/>
  <c r="B333" i="18"/>
  <c r="B394" i="18"/>
  <c r="B441" i="18"/>
  <c r="B1194" i="18"/>
  <c r="J950" i="8"/>
  <c r="J946" i="8"/>
  <c r="J942" i="8"/>
  <c r="J821" i="8"/>
  <c r="J817" i="8"/>
  <c r="J865" i="8"/>
  <c r="J861" i="8"/>
  <c r="J894" i="8"/>
  <c r="F907" i="8"/>
  <c r="I998" i="8"/>
  <c r="J307" i="8"/>
  <c r="I903" i="8"/>
  <c r="J913" i="8"/>
  <c r="J275" i="8"/>
  <c r="I812" i="8"/>
  <c r="J846" i="8"/>
  <c r="J819" i="8"/>
  <c r="J867" i="8"/>
  <c r="J863" i="8"/>
  <c r="J855" i="8"/>
  <c r="J892" i="8"/>
  <c r="J918" i="8"/>
  <c r="J644" i="8"/>
  <c r="J640" i="8"/>
  <c r="J655" i="8"/>
  <c r="J737" i="8"/>
  <c r="J778" i="8"/>
  <c r="J774" i="8"/>
  <c r="J1160" i="8"/>
  <c r="J1150" i="8"/>
  <c r="J596" i="8"/>
  <c r="J527" i="8"/>
  <c r="J523" i="8"/>
  <c r="J347" i="8"/>
  <c r="J187" i="8"/>
  <c r="F197" i="8"/>
  <c r="J272" i="8"/>
  <c r="J1017" i="8"/>
  <c r="J771" i="8"/>
  <c r="J769" i="8"/>
  <c r="J1018" i="8"/>
  <c r="J359" i="8"/>
  <c r="J346" i="8"/>
  <c r="J186" i="8"/>
  <c r="J195" i="8"/>
  <c r="J190" i="8"/>
  <c r="J196" i="8"/>
  <c r="J136" i="8"/>
  <c r="J155" i="8"/>
  <c r="J141" i="8"/>
  <c r="J274" i="8"/>
  <c r="J270" i="8"/>
  <c r="J120" i="8"/>
  <c r="J530" i="8"/>
  <c r="F433" i="8"/>
  <c r="H242" i="8"/>
  <c r="H453" i="8"/>
  <c r="H354" i="8"/>
  <c r="J353" i="8"/>
  <c r="J349" i="8"/>
  <c r="J189" i="8"/>
  <c r="J188" i="8"/>
  <c r="J292" i="8"/>
  <c r="J291" i="8"/>
  <c r="J308" i="8"/>
  <c r="J109" i="8"/>
  <c r="J118" i="8"/>
  <c r="J116" i="8"/>
  <c r="J260" i="8"/>
  <c r="J103" i="8"/>
  <c r="F556" i="8"/>
  <c r="F1122" i="13"/>
  <c r="F1122" i="44" s="1"/>
  <c r="F385" i="13"/>
  <c r="F385" i="44" s="1"/>
  <c r="F682" i="13"/>
  <c r="F682" i="44" s="1"/>
  <c r="G692" i="8"/>
  <c r="J1025" i="8"/>
  <c r="F431" i="15"/>
  <c r="H431" i="44" s="1"/>
  <c r="H433" i="8"/>
  <c r="F952" i="15"/>
  <c r="H952" i="44" s="1"/>
  <c r="F805" i="15"/>
  <c r="H805" i="44" s="1"/>
  <c r="H812" i="8"/>
  <c r="H814" i="8"/>
  <c r="F770" i="15"/>
  <c r="H770" i="44" s="1"/>
  <c r="H783" i="8"/>
  <c r="F738" i="15"/>
  <c r="H738" i="44" s="1"/>
  <c r="J738" i="8"/>
  <c r="H739" i="8"/>
  <c r="F702" i="15"/>
  <c r="H702" i="44" s="1"/>
  <c r="J702" i="8"/>
  <c r="F360" i="13"/>
  <c r="F360" i="44" s="1"/>
  <c r="J360" i="8"/>
  <c r="H825" i="8"/>
  <c r="J528" i="8"/>
  <c r="J906" i="8"/>
  <c r="J917" i="8"/>
  <c r="I919" i="8"/>
  <c r="F358" i="15"/>
  <c r="H358" i="44" s="1"/>
  <c r="F271" i="15"/>
  <c r="H271" i="44" s="1"/>
  <c r="J271" i="8"/>
  <c r="H868" i="8"/>
  <c r="H955" i="8"/>
  <c r="J689" i="8"/>
  <c r="J526" i="8"/>
  <c r="J779" i="8"/>
  <c r="H1032" i="8"/>
  <c r="I690" i="8"/>
  <c r="J681" i="8"/>
  <c r="J847" i="8"/>
  <c r="I853" i="8"/>
  <c r="F153" i="15"/>
  <c r="H153" i="44" s="1"/>
  <c r="F273" i="15"/>
  <c r="H273" i="44" s="1"/>
  <c r="J273" i="8"/>
  <c r="F108" i="15"/>
  <c r="H108" i="44" s="1"/>
  <c r="J108" i="8"/>
  <c r="F610" i="8"/>
  <c r="F121" i="8"/>
  <c r="J114" i="8"/>
  <c r="F1149" i="13"/>
  <c r="F1149" i="44" s="1"/>
  <c r="F1008" i="13"/>
  <c r="F1008" i="44" s="1"/>
  <c r="J745" i="8"/>
  <c r="F1089" i="15"/>
  <c r="H1089" i="44" s="1"/>
  <c r="H1091" i="8"/>
  <c r="F1121" i="15"/>
  <c r="H1121" i="44" s="1"/>
  <c r="J1121" i="8"/>
  <c r="F1056" i="15"/>
  <c r="H1056" i="44" s="1"/>
  <c r="F850" i="15"/>
  <c r="H850" i="44" s="1"/>
  <c r="H853" i="8"/>
  <c r="F653" i="15"/>
  <c r="H653" i="44" s="1"/>
  <c r="H659" i="8"/>
  <c r="J941" i="8"/>
  <c r="F1091" i="8"/>
  <c r="H953" i="8"/>
  <c r="J348" i="8"/>
  <c r="J952" i="8"/>
  <c r="J948" i="8"/>
  <c r="J944" i="8"/>
  <c r="J940" i="8"/>
  <c r="F814" i="8"/>
  <c r="J845" i="8"/>
  <c r="J1211" i="8"/>
  <c r="J684" i="8"/>
  <c r="J1006" i="8"/>
  <c r="J1122" i="8"/>
  <c r="J351" i="8"/>
  <c r="J191" i="8"/>
  <c r="G386" i="8"/>
  <c r="J524" i="8"/>
  <c r="G1063" i="8"/>
  <c r="F1050" i="13"/>
  <c r="F1050" i="44" s="1"/>
  <c r="F1026" i="13"/>
  <c r="F1026" i="44" s="1"/>
  <c r="J1026" i="8"/>
  <c r="F1017" i="13"/>
  <c r="F1017" i="44" s="1"/>
  <c r="G1032" i="8"/>
  <c r="F1006" i="13"/>
  <c r="F1006" i="44" s="1"/>
  <c r="F684" i="13"/>
  <c r="F684" i="44" s="1"/>
  <c r="F385" i="15"/>
  <c r="H385" i="44" s="1"/>
  <c r="H386" i="8"/>
  <c r="F592" i="15"/>
  <c r="H592" i="44" s="1"/>
  <c r="H597" i="8"/>
  <c r="F950" i="15"/>
  <c r="H950" i="44" s="1"/>
  <c r="F807" i="15"/>
  <c r="H807" i="44" s="1"/>
  <c r="F822" i="15"/>
  <c r="H822" i="44" s="1"/>
  <c r="J822" i="8"/>
  <c r="F818" i="15"/>
  <c r="H818" i="44" s="1"/>
  <c r="H823" i="8"/>
  <c r="F890" i="8"/>
  <c r="J269" i="8"/>
  <c r="F1094" i="13"/>
  <c r="F1094" i="44" s="1"/>
  <c r="G1095" i="8"/>
  <c r="F738" i="13"/>
  <c r="F738" i="44" s="1"/>
  <c r="I1130" i="8"/>
  <c r="J536" i="8"/>
  <c r="I729" i="8"/>
  <c r="F697" i="15"/>
  <c r="H697" i="44" s="1"/>
  <c r="H705" i="8"/>
  <c r="F656" i="15"/>
  <c r="H656" i="44" s="1"/>
  <c r="F119" i="13"/>
  <c r="F119" i="44" s="1"/>
  <c r="J1053" i="8"/>
  <c r="J1049" i="8"/>
  <c r="J1028" i="8"/>
  <c r="J1024" i="8"/>
  <c r="J1011" i="8"/>
  <c r="J1007" i="8"/>
  <c r="J997" i="8"/>
  <c r="J1089" i="8"/>
  <c r="J1156" i="8"/>
  <c r="F259" i="15"/>
  <c r="H259" i="44" s="1"/>
  <c r="H261" i="8"/>
  <c r="F735" i="15"/>
  <c r="H735" i="44" s="1"/>
  <c r="F724" i="15"/>
  <c r="H724" i="44" s="1"/>
  <c r="H729" i="8"/>
  <c r="J810" i="8"/>
  <c r="F196" i="15"/>
  <c r="H196" i="44" s="1"/>
  <c r="H197" i="8"/>
  <c r="J156" i="8"/>
  <c r="I1161" i="8"/>
  <c r="I1063" i="8"/>
  <c r="I1032" i="8"/>
  <c r="I197" i="8"/>
  <c r="I814" i="8"/>
  <c r="I705" i="8"/>
  <c r="I895" i="8"/>
  <c r="I890" i="8"/>
  <c r="J905" i="8"/>
  <c r="F659" i="8"/>
  <c r="F354" i="8"/>
  <c r="F592" i="13"/>
  <c r="F592" i="44" s="1"/>
  <c r="G597" i="8"/>
  <c r="J592" i="8"/>
  <c r="F888" i="13"/>
  <c r="F888" i="44" s="1"/>
  <c r="G890" i="8"/>
  <c r="J888" i="8"/>
  <c r="F914" i="13"/>
  <c r="F914" i="44" s="1"/>
  <c r="G915" i="8"/>
  <c r="F773" i="13"/>
  <c r="F773" i="44" s="1"/>
  <c r="G783" i="8"/>
  <c r="F703" i="13"/>
  <c r="F703" i="44" s="1"/>
  <c r="G731" i="8"/>
  <c r="F734" i="13"/>
  <c r="F734" i="44" s="1"/>
  <c r="G739" i="8"/>
  <c r="F138" i="15"/>
  <c r="H138" i="44" s="1"/>
  <c r="B420" i="13"/>
  <c r="B1346" i="13"/>
  <c r="B964" i="13"/>
  <c r="B879" i="13"/>
  <c r="B439" i="15"/>
  <c r="B372" i="15"/>
  <c r="B482" i="15"/>
  <c r="B831" i="15"/>
  <c r="B961" i="15"/>
  <c r="B42" i="15"/>
  <c r="B1105" i="15"/>
  <c r="B626" i="15"/>
  <c r="B505" i="15"/>
  <c r="J591" i="8"/>
  <c r="I707" i="8"/>
  <c r="J473" i="8"/>
  <c r="J849" i="8"/>
  <c r="J1123" i="8"/>
  <c r="F1130" i="8"/>
  <c r="G1140" i="8"/>
  <c r="F1098" i="13"/>
  <c r="F1133" i="13"/>
  <c r="F1133" i="44" s="1"/>
  <c r="J1133" i="8"/>
  <c r="F157" i="13"/>
  <c r="F157" i="44" s="1"/>
  <c r="J157" i="8"/>
  <c r="I106" i="8"/>
  <c r="I276" i="8"/>
  <c r="J851" i="8"/>
  <c r="F184" i="15"/>
  <c r="H184" i="44" s="1"/>
  <c r="H193" i="8"/>
  <c r="F115" i="15"/>
  <c r="H115" i="44" s="1"/>
  <c r="H121" i="8"/>
  <c r="B281" i="13"/>
  <c r="B931" i="13"/>
  <c r="B794" i="13"/>
  <c r="B278" i="15"/>
  <c r="B203" i="15"/>
  <c r="B981" i="15"/>
  <c r="B712" i="15"/>
  <c r="B928" i="15"/>
  <c r="B579" i="15"/>
  <c r="B1192" i="15"/>
  <c r="J1139" i="8"/>
  <c r="J806" i="8"/>
  <c r="J1094" i="8"/>
  <c r="J1067" i="8"/>
  <c r="J154" i="8"/>
  <c r="J153" i="8"/>
  <c r="J685" i="8"/>
  <c r="J734" i="8"/>
  <c r="J807" i="8"/>
  <c r="J866" i="8"/>
  <c r="J1148" i="8"/>
  <c r="B834" i="15"/>
  <c r="B931" i="15"/>
  <c r="B334" i="15"/>
  <c r="B981" i="16"/>
  <c r="B1105" i="16"/>
  <c r="B124" i="16"/>
  <c r="J310" i="8"/>
  <c r="G690" i="8"/>
  <c r="F996" i="15"/>
  <c r="H996" i="44" s="1"/>
  <c r="H998" i="8"/>
  <c r="F17" i="3"/>
  <c r="F1212" i="8" s="1"/>
  <c r="J16" i="3"/>
  <c r="F349" i="13"/>
  <c r="F349" i="44" s="1"/>
  <c r="F295" i="13"/>
  <c r="F295" i="44" s="1"/>
  <c r="G610" i="8"/>
  <c r="F697" i="13"/>
  <c r="F697" i="44" s="1"/>
  <c r="J697" i="8"/>
  <c r="F747" i="13"/>
  <c r="F747" i="44" s="1"/>
  <c r="J1029" i="8"/>
  <c r="B334" i="13"/>
  <c r="B1077" i="13"/>
  <c r="B485" i="13"/>
  <c r="I823" i="8"/>
  <c r="F21" i="8"/>
  <c r="G741" i="8"/>
  <c r="J138" i="8"/>
  <c r="B442" i="13"/>
  <c r="B249" i="13"/>
  <c r="B834" i="13"/>
  <c r="B45" i="13"/>
  <c r="B715" i="13"/>
  <c r="B670" i="13"/>
  <c r="B375" i="13"/>
  <c r="B791" i="15"/>
  <c r="B246" i="15"/>
  <c r="B876" i="15"/>
  <c r="B1166" i="15"/>
  <c r="B459" i="15"/>
  <c r="B1343" i="15"/>
  <c r="B417" i="15"/>
  <c r="B124" i="15"/>
  <c r="J914" i="8"/>
  <c r="J1159" i="8"/>
  <c r="J808" i="8"/>
  <c r="J115" i="8"/>
  <c r="J653" i="8"/>
  <c r="J571" i="8"/>
  <c r="G903" i="8"/>
  <c r="J522" i="8"/>
  <c r="F74" i="8"/>
  <c r="J499" i="8"/>
  <c r="J350" i="8"/>
  <c r="B1168" i="15"/>
  <c r="B1107" i="15"/>
  <c r="B793" i="15"/>
  <c r="B419" i="15"/>
  <c r="B394" i="15"/>
  <c r="B374" i="15"/>
  <c r="B44" i="15"/>
  <c r="B1076" i="15"/>
  <c r="B1038" i="15"/>
  <c r="B963" i="15"/>
  <c r="B759" i="15"/>
  <c r="B714" i="15"/>
  <c r="B669" i="15"/>
  <c r="B628" i="15"/>
  <c r="B248" i="15"/>
  <c r="B93" i="15"/>
  <c r="G705" i="8"/>
  <c r="F1054" i="13"/>
  <c r="F1054" i="44" s="1"/>
  <c r="J1054" i="8"/>
  <c r="F997" i="13"/>
  <c r="F997" i="44" s="1"/>
  <c r="G998" i="8"/>
  <c r="F940" i="13"/>
  <c r="F940" i="44" s="1"/>
  <c r="G953" i="8"/>
  <c r="F744" i="13"/>
  <c r="F744" i="44" s="1"/>
  <c r="G749" i="8"/>
  <c r="J1022" i="8"/>
  <c r="J1016" i="8"/>
  <c r="J995" i="8"/>
  <c r="I659" i="8"/>
  <c r="F1205" i="15"/>
  <c r="H1205" i="44" s="1"/>
  <c r="F1149" i="15"/>
  <c r="H1149" i="44" s="1"/>
  <c r="F620" i="15"/>
  <c r="H620" i="44" s="1"/>
  <c r="H81" i="8"/>
  <c r="F593" i="15"/>
  <c r="H593" i="44" s="1"/>
  <c r="F556" i="15"/>
  <c r="H556" i="44" s="1"/>
  <c r="H556" i="8"/>
  <c r="F1067" i="15"/>
  <c r="H1067" i="44" s="1"/>
  <c r="H21" i="8"/>
  <c r="F1059" i="15"/>
  <c r="H1059" i="44" s="1"/>
  <c r="H1063" i="8"/>
  <c r="F1012" i="15"/>
  <c r="H1012" i="44" s="1"/>
  <c r="J1012" i="8"/>
  <c r="F1005" i="15"/>
  <c r="H1005" i="44" s="1"/>
  <c r="H1013" i="8"/>
  <c r="G17" i="3"/>
  <c r="G1212" i="8" s="1"/>
  <c r="J352" i="8"/>
  <c r="J572" i="8"/>
  <c r="J529" i="8"/>
  <c r="J1062" i="8"/>
  <c r="J1031" i="8"/>
  <c r="J1027" i="8"/>
  <c r="J1023" i="8"/>
  <c r="J1010" i="8"/>
  <c r="J996" i="8"/>
  <c r="J1088" i="8"/>
  <c r="F1089" i="13"/>
  <c r="F1089" i="44" s="1"/>
  <c r="G1091" i="8"/>
  <c r="F473" i="13"/>
  <c r="F473" i="44" s="1"/>
  <c r="F656" i="13"/>
  <c r="F656" i="44" s="1"/>
  <c r="G659" i="8"/>
  <c r="F688" i="13"/>
  <c r="F688" i="44" s="1"/>
  <c r="F685" i="13"/>
  <c r="F685" i="44" s="1"/>
  <c r="F728" i="13"/>
  <c r="F728" i="44" s="1"/>
  <c r="G729" i="8"/>
  <c r="I648" i="8"/>
  <c r="H1161" i="8"/>
  <c r="H1140" i="8"/>
  <c r="F1124" i="15"/>
  <c r="H1124" i="44" s="1"/>
  <c r="H1130" i="8"/>
  <c r="F473" i="15"/>
  <c r="H473" i="44" s="1"/>
  <c r="H474" i="8"/>
  <c r="F1018" i="15"/>
  <c r="H1018" i="44" s="1"/>
  <c r="F641" i="15"/>
  <c r="H641" i="44" s="1"/>
  <c r="H648" i="8"/>
  <c r="F115" i="13"/>
  <c r="F115" i="44" s="1"/>
  <c r="J1206" i="8"/>
  <c r="J701" i="8"/>
  <c r="J726" i="8"/>
  <c r="J744" i="8"/>
  <c r="J647" i="8"/>
  <c r="J687" i="8"/>
  <c r="F707" i="8"/>
  <c r="F751" i="8"/>
  <c r="F1121" i="13"/>
  <c r="F1121" i="44" s="1"/>
  <c r="G1130" i="8"/>
  <c r="F745" i="15"/>
  <c r="H745" i="44" s="1"/>
  <c r="H749" i="8"/>
  <c r="F689" i="15"/>
  <c r="H689" i="44" s="1"/>
  <c r="F103" i="13"/>
  <c r="F103" i="44" s="1"/>
  <c r="G106" i="8"/>
  <c r="J525" i="8"/>
  <c r="J521" i="8"/>
  <c r="J345" i="8"/>
  <c r="J264" i="8"/>
  <c r="J104" i="8"/>
  <c r="G1013" i="8"/>
  <c r="G648" i="8"/>
  <c r="G74" i="8"/>
  <c r="H18" i="3"/>
  <c r="F263" i="15"/>
  <c r="H263" i="44" s="1"/>
  <c r="H276" i="8"/>
  <c r="F103" i="15"/>
  <c r="H103" i="44" s="1"/>
  <c r="H106" i="8"/>
  <c r="I121" i="8"/>
  <c r="I261" i="8"/>
  <c r="U1266" i="13"/>
  <c r="B459" i="18"/>
  <c r="B278" i="18"/>
  <c r="B439" i="18"/>
  <c r="B331" i="18"/>
  <c r="B392" i="18"/>
  <c r="B505" i="18"/>
  <c r="B579" i="18"/>
  <c r="B124" i="13"/>
  <c r="B757" i="13"/>
  <c r="B667" i="13"/>
  <c r="B505" i="13"/>
  <c r="B1166" i="13"/>
  <c r="B1236" i="13"/>
  <c r="B712" i="13"/>
  <c r="B928" i="13"/>
  <c r="B1169" i="13"/>
  <c r="B984" i="13"/>
  <c r="B395" i="13"/>
  <c r="B1108" i="13"/>
  <c r="B629" i="13"/>
  <c r="B508" i="13"/>
  <c r="B1039" i="13"/>
  <c r="B94" i="13"/>
  <c r="B1239" i="13"/>
  <c r="B127" i="13"/>
  <c r="B393" i="15"/>
  <c r="B506" i="15"/>
  <c r="B668" i="15"/>
  <c r="B1344" i="15"/>
  <c r="B230" i="15"/>
  <c r="B929" i="15"/>
  <c r="B125" i="15"/>
  <c r="B279" i="15"/>
  <c r="B580" i="15"/>
  <c r="B483" i="15"/>
  <c r="B460" i="15"/>
  <c r="B1195" i="16"/>
  <c r="B1169" i="16"/>
  <c r="B1039" i="16"/>
  <c r="B629" i="16"/>
  <c r="B206" i="16"/>
  <c r="B485" i="16"/>
  <c r="B582" i="18"/>
  <c r="B1195" i="18"/>
  <c r="B1169" i="18"/>
  <c r="B1108" i="18"/>
  <c r="B1039" i="18"/>
  <c r="B984" i="18"/>
  <c r="B760" i="18"/>
  <c r="B395" i="18"/>
  <c r="B375" i="18"/>
  <c r="B175" i="18"/>
  <c r="B964" i="18"/>
  <c r="B931" i="18"/>
  <c r="B879" i="18"/>
  <c r="B834" i="18"/>
  <c r="B715" i="18"/>
  <c r="B629" i="18"/>
  <c r="B508" i="18"/>
  <c r="B94" i="18"/>
  <c r="B982" i="16"/>
  <c r="B832" i="16"/>
  <c r="B713" i="16"/>
  <c r="B506" i="16"/>
  <c r="B125" i="16"/>
  <c r="B1037" i="16"/>
  <c r="B962" i="16"/>
  <c r="B42" i="13"/>
  <c r="B204" i="16"/>
  <c r="B508" i="16"/>
  <c r="B964" i="16"/>
  <c r="B442" i="18"/>
  <c r="B485" i="18"/>
  <c r="B961" i="18"/>
  <c r="B206" i="13"/>
  <c r="B462" i="13"/>
  <c r="B229" i="13"/>
  <c r="B459" i="13"/>
  <c r="B1036" i="13"/>
  <c r="B791" i="13"/>
  <c r="B246" i="13"/>
  <c r="B232" i="13"/>
  <c r="B417" i="13"/>
  <c r="B482" i="13"/>
  <c r="B792" i="15"/>
  <c r="B418" i="15"/>
  <c r="B204" i="15"/>
  <c r="B877" i="15"/>
  <c r="B92" i="15"/>
  <c r="B373" i="15"/>
  <c r="B962" i="15"/>
  <c r="B45" i="16"/>
  <c r="B582" i="16"/>
  <c r="B834" i="16"/>
  <c r="B879" i="16"/>
  <c r="B931" i="16"/>
  <c r="B1077" i="16"/>
  <c r="B417" i="18"/>
  <c r="B928" i="18"/>
  <c r="B1077" i="18"/>
  <c r="B1166" i="18"/>
  <c r="F261" i="8"/>
  <c r="J309" i="8"/>
  <c r="J945" i="8"/>
  <c r="J809" i="8"/>
  <c r="J805" i="8"/>
  <c r="J820" i="8"/>
  <c r="J870" i="8"/>
  <c r="J864" i="8"/>
  <c r="J860" i="8"/>
  <c r="J893" i="8"/>
  <c r="J683" i="8"/>
  <c r="J704" i="8"/>
  <c r="J781" i="8"/>
  <c r="F853" i="8"/>
  <c r="F705" i="8"/>
  <c r="F1032" i="8"/>
  <c r="F1013" i="8"/>
  <c r="H1253" i="16"/>
  <c r="U70" i="16"/>
  <c r="U70" i="13"/>
  <c r="D110" i="14"/>
  <c r="S110" i="14" s="1"/>
  <c r="F269" i="13"/>
  <c r="F269" i="44" s="1"/>
  <c r="F116" i="13"/>
  <c r="F116" i="44" s="1"/>
  <c r="D77" i="14"/>
  <c r="S77" i="14" s="1"/>
  <c r="F185" i="13"/>
  <c r="F185" i="44" s="1"/>
  <c r="F141" i="13"/>
  <c r="F141" i="44" s="1"/>
  <c r="F274" i="13"/>
  <c r="F274" i="44" s="1"/>
  <c r="J113" i="8"/>
  <c r="U1257" i="16"/>
  <c r="O1364" i="16" s="1"/>
  <c r="F190" i="13"/>
  <c r="F190" i="44" s="1"/>
  <c r="F292" i="13"/>
  <c r="F292" i="44" s="1"/>
  <c r="I354" i="8"/>
  <c r="I193" i="8"/>
  <c r="I474" i="8"/>
  <c r="I597" i="8"/>
  <c r="Q1266" i="15"/>
  <c r="U1266" i="15" s="1"/>
  <c r="Q1266" i="16"/>
  <c r="M1273" i="16"/>
  <c r="M1273" i="13"/>
  <c r="F353" i="13"/>
  <c r="F353" i="44" s="1"/>
  <c r="G121" i="8"/>
  <c r="Q1273" i="16"/>
  <c r="I610" i="8"/>
  <c r="F105" i="13"/>
  <c r="F105" i="44" s="1"/>
  <c r="F290" i="13"/>
  <c r="F290" i="44" s="1"/>
  <c r="F118" i="13"/>
  <c r="F118" i="44" s="1"/>
  <c r="Q1273" i="13"/>
  <c r="F258" i="13"/>
  <c r="F258" i="44" s="1"/>
  <c r="F272" i="13"/>
  <c r="F272" i="44" s="1"/>
  <c r="F263" i="13"/>
  <c r="F263" i="44" s="1"/>
  <c r="G276" i="8"/>
  <c r="M1273" i="15"/>
  <c r="M1277" i="15" s="1"/>
  <c r="S1273" i="15"/>
  <c r="S1277" i="15" s="1"/>
  <c r="S1273" i="16"/>
  <c r="K1273" i="15"/>
  <c r="K1279" i="15" s="1"/>
  <c r="K1273" i="16"/>
  <c r="K1273" i="13"/>
  <c r="R1273" i="16"/>
  <c r="R1275" i="16" s="1"/>
  <c r="L77" i="5"/>
  <c r="B827" i="18"/>
  <c r="B825" i="18"/>
  <c r="B826" i="18" s="1"/>
  <c r="B827" i="15"/>
  <c r="B825" i="15"/>
  <c r="B826" i="15" s="1"/>
  <c r="G1402" i="15"/>
  <c r="G1403" i="15" s="1"/>
  <c r="G1404" i="15" s="1"/>
  <c r="G1405" i="15" s="1"/>
  <c r="G1406" i="15" s="1"/>
  <c r="G1407" i="15" s="1"/>
  <c r="G1408" i="15" s="1"/>
  <c r="G1409" i="15" s="1"/>
  <c r="G1410" i="15" s="1"/>
  <c r="G1411" i="15" s="1"/>
  <c r="G1412" i="15" s="1"/>
  <c r="G1413" i="15" s="1"/>
  <c r="G1414" i="15" s="1"/>
  <c r="G1415" i="15" s="1"/>
  <c r="G1416" i="15" s="1"/>
  <c r="G1417" i="15" s="1"/>
  <c r="G1418" i="15" s="1"/>
  <c r="G1419" i="15" s="1"/>
  <c r="G1420" i="15" s="1"/>
  <c r="G1421" i="15" s="1"/>
  <c r="G1422" i="15" s="1"/>
  <c r="G1423" i="15" s="1"/>
  <c r="G1424" i="15" s="1"/>
  <c r="G1425" i="15" s="1"/>
  <c r="H533" i="15" s="1"/>
  <c r="I533" i="44" s="1"/>
  <c r="H311" i="15"/>
  <c r="I311" i="44" s="1"/>
  <c r="H303" i="15"/>
  <c r="I303" i="44" s="1"/>
  <c r="H295" i="15"/>
  <c r="I295" i="44" s="1"/>
  <c r="H271" i="15"/>
  <c r="I271" i="44" s="1"/>
  <c r="H156" i="15"/>
  <c r="I156" i="44" s="1"/>
  <c r="H148" i="15"/>
  <c r="I148" i="44" s="1"/>
  <c r="H138" i="15"/>
  <c r="I138" i="44" s="1"/>
  <c r="H115" i="15"/>
  <c r="I115" i="44" s="1"/>
  <c r="H1213" i="15"/>
  <c r="I1213" i="44" s="1"/>
  <c r="H304" i="15"/>
  <c r="I304" i="44" s="1"/>
  <c r="H296" i="15"/>
  <c r="I296" i="44" s="1"/>
  <c r="H268" i="15"/>
  <c r="I268" i="44" s="1"/>
  <c r="H153" i="15"/>
  <c r="I153" i="44" s="1"/>
  <c r="H145" i="15"/>
  <c r="I145" i="44" s="1"/>
  <c r="H120" i="15"/>
  <c r="I120" i="44" s="1"/>
  <c r="H109" i="15"/>
  <c r="I109" i="44" s="1"/>
  <c r="H305" i="15"/>
  <c r="I305" i="44" s="1"/>
  <c r="H297" i="15"/>
  <c r="I297" i="44" s="1"/>
  <c r="H748" i="15"/>
  <c r="I748" i="44" s="1"/>
  <c r="H974" i="15"/>
  <c r="I974" i="44" s="1"/>
  <c r="H893" i="15"/>
  <c r="I893" i="44" s="1"/>
  <c r="H656" i="15"/>
  <c r="I656" i="44" s="1"/>
  <c r="H1022" i="15"/>
  <c r="I1022" i="44" s="1"/>
  <c r="H818" i="15"/>
  <c r="I818" i="44" s="1"/>
  <c r="H1248" i="15"/>
  <c r="H270" i="15"/>
  <c r="I270" i="44" s="1"/>
  <c r="H686" i="15"/>
  <c r="I686" i="44" s="1"/>
  <c r="H273" i="15"/>
  <c r="I273" i="44" s="1"/>
  <c r="H154" i="15"/>
  <c r="I154" i="44" s="1"/>
  <c r="H146" i="15"/>
  <c r="I146" i="44" s="1"/>
  <c r="H117" i="15"/>
  <c r="I117" i="44" s="1"/>
  <c r="H1028" i="15"/>
  <c r="I1028" i="44" s="1"/>
  <c r="H860" i="15"/>
  <c r="I860" i="44" s="1"/>
  <c r="H819" i="15"/>
  <c r="I819" i="44" s="1"/>
  <c r="H687" i="15"/>
  <c r="I687" i="44" s="1"/>
  <c r="H647" i="15"/>
  <c r="I647" i="44" s="1"/>
  <c r="H1210" i="15"/>
  <c r="I1210" i="44" s="1"/>
  <c r="H1099" i="15"/>
  <c r="I1099" i="44" s="1"/>
  <c r="H1005" i="15"/>
  <c r="I1005" i="44" s="1"/>
  <c r="H918" i="15"/>
  <c r="I918" i="44" s="1"/>
  <c r="H865" i="15"/>
  <c r="I865" i="44" s="1"/>
  <c r="H845" i="15"/>
  <c r="I845" i="44" s="1"/>
  <c r="H726" i="15"/>
  <c r="I726" i="44" s="1"/>
  <c r="H657" i="15"/>
  <c r="I657" i="44" s="1"/>
  <c r="H302" i="15"/>
  <c r="I302" i="44" s="1"/>
  <c r="H274" i="15"/>
  <c r="I274" i="44" s="1"/>
  <c r="H151" i="15"/>
  <c r="I151" i="44" s="1"/>
  <c r="H118" i="15"/>
  <c r="I118" i="44" s="1"/>
  <c r="H1029" i="15"/>
  <c r="I1029" i="44" s="1"/>
  <c r="H912" i="15"/>
  <c r="I912" i="44" s="1"/>
  <c r="H861" i="15"/>
  <c r="I861" i="44" s="1"/>
  <c r="H806" i="15"/>
  <c r="I806" i="44" s="1"/>
  <c r="H746" i="15"/>
  <c r="I746" i="44" s="1"/>
  <c r="H703" i="15"/>
  <c r="I703" i="44" s="1"/>
  <c r="H653" i="15"/>
  <c r="I653" i="44" s="1"/>
  <c r="H593" i="15"/>
  <c r="I593" i="44" s="1"/>
  <c r="H407" i="15"/>
  <c r="I407" i="44" s="1"/>
  <c r="H1006" i="15"/>
  <c r="I1006" i="44" s="1"/>
  <c r="H913" i="15"/>
  <c r="I913" i="44" s="1"/>
  <c r="H866" i="15"/>
  <c r="I866" i="44" s="1"/>
  <c r="H821" i="15"/>
  <c r="I821" i="44" s="1"/>
  <c r="H737" i="15"/>
  <c r="I737" i="44" s="1"/>
  <c r="H644" i="15"/>
  <c r="I644" i="44" s="1"/>
  <c r="H155" i="15"/>
  <c r="I155" i="44" s="1"/>
  <c r="H902" i="15"/>
  <c r="I902" i="44" s="1"/>
  <c r="H776" i="15"/>
  <c r="I776" i="44" s="1"/>
  <c r="H822" i="15"/>
  <c r="I822" i="44" s="1"/>
  <c r="H655" i="15"/>
  <c r="I655" i="44" s="1"/>
  <c r="H620" i="15"/>
  <c r="I620" i="44" s="1"/>
  <c r="H817" i="15"/>
  <c r="I817" i="44" s="1"/>
  <c r="H1249" i="15"/>
  <c r="H1030" i="15"/>
  <c r="I1030" i="44" s="1"/>
  <c r="H645" i="15"/>
  <c r="I645" i="44" s="1"/>
  <c r="H385" i="15"/>
  <c r="I385" i="44" s="1"/>
  <c r="H947" i="15"/>
  <c r="I947" i="44" s="1"/>
  <c r="H804" i="15"/>
  <c r="I804" i="44" s="1"/>
  <c r="H917" i="15"/>
  <c r="I917" i="44" s="1"/>
  <c r="H306" i="15"/>
  <c r="I306" i="44" s="1"/>
  <c r="H844" i="15"/>
  <c r="I844" i="44" s="1"/>
  <c r="H848" i="15"/>
  <c r="I848" i="44" s="1"/>
  <c r="H646" i="15"/>
  <c r="I646" i="44" s="1"/>
  <c r="H697" i="15"/>
  <c r="I697" i="44" s="1"/>
  <c r="H307" i="15"/>
  <c r="I307" i="44" s="1"/>
  <c r="H275" i="15"/>
  <c r="I275" i="44" s="1"/>
  <c r="H152" i="15"/>
  <c r="I152" i="44" s="1"/>
  <c r="H119" i="15"/>
  <c r="I119" i="44" s="1"/>
  <c r="H300" i="15"/>
  <c r="I300" i="44" s="1"/>
  <c r="H157" i="15"/>
  <c r="I157" i="44" s="1"/>
  <c r="H141" i="15"/>
  <c r="I141" i="44" s="1"/>
  <c r="H309" i="15"/>
  <c r="I309" i="44" s="1"/>
  <c r="H777" i="15"/>
  <c r="I777" i="44" s="1"/>
  <c r="H809" i="15"/>
  <c r="I809" i="44" s="1"/>
  <c r="H975" i="15"/>
  <c r="I975" i="44" s="1"/>
  <c r="H405" i="15"/>
  <c r="I405" i="44" s="1"/>
  <c r="H299" i="15"/>
  <c r="I299" i="44" s="1"/>
  <c r="H144" i="15"/>
  <c r="I144" i="44" s="1"/>
  <c r="H308" i="15"/>
  <c r="I308" i="44" s="1"/>
  <c r="H149" i="15"/>
  <c r="I149" i="44" s="1"/>
  <c r="H734" i="15"/>
  <c r="I734" i="44" s="1"/>
  <c r="H914" i="15"/>
  <c r="I914" i="44" s="1"/>
  <c r="H681" i="15"/>
  <c r="I681" i="44" s="1"/>
  <c r="H1208" i="15"/>
  <c r="I1208" i="44" s="1"/>
  <c r="H269" i="15"/>
  <c r="I269" i="44" s="1"/>
  <c r="H142" i="15"/>
  <c r="I142" i="44" s="1"/>
  <c r="H1023" i="15"/>
  <c r="I1023" i="44" s="1"/>
  <c r="H888" i="15"/>
  <c r="I888" i="44" s="1"/>
  <c r="H805" i="15"/>
  <c r="I805" i="44" s="1"/>
  <c r="H682" i="15"/>
  <c r="I682" i="44" s="1"/>
  <c r="H1180" i="15"/>
  <c r="I1180" i="44" s="1"/>
  <c r="H1017" i="15"/>
  <c r="I1017" i="44" s="1"/>
  <c r="H900" i="15"/>
  <c r="I900" i="44" s="1"/>
  <c r="H810" i="15"/>
  <c r="I810" i="44" s="1"/>
  <c r="H698" i="15"/>
  <c r="I698" i="44" s="1"/>
  <c r="H310" i="15"/>
  <c r="I310" i="44" s="1"/>
  <c r="H263" i="15"/>
  <c r="I263" i="44" s="1"/>
  <c r="H820" i="15"/>
  <c r="I820" i="44" s="1"/>
  <c r="H736" i="15"/>
  <c r="I736" i="44" s="1"/>
  <c r="H609" i="15"/>
  <c r="I609" i="44" s="1"/>
  <c r="H473" i="15"/>
  <c r="I473" i="44" s="1"/>
  <c r="H973" i="15"/>
  <c r="I973" i="44" s="1"/>
  <c r="H727" i="15"/>
  <c r="I727" i="44" s="1"/>
  <c r="H298" i="15"/>
  <c r="I298" i="44" s="1"/>
  <c r="H807" i="15"/>
  <c r="I807" i="44" s="1"/>
  <c r="H640" i="15"/>
  <c r="I640" i="44" s="1"/>
  <c r="H1137" i="15"/>
  <c r="I1137" i="44" s="1"/>
  <c r="H852" i="15"/>
  <c r="I852" i="44" s="1"/>
  <c r="H685" i="15"/>
  <c r="I685" i="44" s="1"/>
  <c r="H689" i="15"/>
  <c r="I689" i="44" s="1"/>
  <c r="H241" i="15"/>
  <c r="I241" i="44" s="1"/>
  <c r="H744" i="15"/>
  <c r="I744" i="44" s="1"/>
  <c r="H114" i="15"/>
  <c r="I114" i="44" s="1"/>
  <c r="H642" i="15"/>
  <c r="I642" i="44" s="1"/>
  <c r="H264" i="15"/>
  <c r="I264" i="44" s="1"/>
  <c r="H108" i="15"/>
  <c r="I108" i="44" s="1"/>
  <c r="H272" i="15"/>
  <c r="I272" i="44" s="1"/>
  <c r="H116" i="15"/>
  <c r="I116" i="44" s="1"/>
  <c r="H301" i="15"/>
  <c r="I301" i="44" s="1"/>
  <c r="H147" i="15"/>
  <c r="I147" i="44" s="1"/>
  <c r="H113" i="15"/>
  <c r="I113" i="44" s="1"/>
  <c r="H976" i="15"/>
  <c r="I976" i="44" s="1"/>
  <c r="H702" i="15"/>
  <c r="I702" i="44" s="1"/>
  <c r="H406" i="15"/>
  <c r="I406" i="44" s="1"/>
  <c r="H1216" i="15"/>
  <c r="I1216" i="44" s="1"/>
  <c r="H972" i="15"/>
  <c r="I972" i="44" s="1"/>
  <c r="H745" i="15"/>
  <c r="I745" i="44" s="1"/>
  <c r="H292" i="15"/>
  <c r="I292" i="44" s="1"/>
  <c r="H1018" i="15"/>
  <c r="I1018" i="44" s="1"/>
  <c r="H658" i="15"/>
  <c r="I658" i="44" s="1"/>
  <c r="H901" i="15"/>
  <c r="I901" i="44" s="1"/>
  <c r="H654" i="15"/>
  <c r="I654" i="44" s="1"/>
  <c r="H747" i="15"/>
  <c r="I747" i="44" s="1"/>
  <c r="H641" i="15"/>
  <c r="I641" i="44" s="1"/>
  <c r="H725" i="15"/>
  <c r="I725" i="44" s="1"/>
  <c r="H1031" i="15"/>
  <c r="I1031" i="44" s="1"/>
  <c r="H150" i="15"/>
  <c r="I150" i="44" s="1"/>
  <c r="H849" i="15"/>
  <c r="I849" i="44" s="1"/>
  <c r="H608" i="15"/>
  <c r="I608" i="44" s="1"/>
  <c r="H850" i="15"/>
  <c r="I850" i="44" s="1"/>
  <c r="H643" i="15"/>
  <c r="I643" i="44" s="1"/>
  <c r="H143" i="15"/>
  <c r="I143" i="44" s="1"/>
  <c r="H889" i="15"/>
  <c r="I889" i="44" s="1"/>
  <c r="H1211" i="15"/>
  <c r="I1211" i="44" s="1"/>
  <c r="H811" i="15"/>
  <c r="I811" i="44" s="1"/>
  <c r="H1067" i="15"/>
  <c r="I1067" i="44" s="1"/>
  <c r="H808" i="15"/>
  <c r="I808" i="44" s="1"/>
  <c r="H526" i="15"/>
  <c r="I526" i="44" s="1"/>
  <c r="G1402" i="13"/>
  <c r="G1403" i="13" s="1"/>
  <c r="G1404" i="13" s="1"/>
  <c r="G1405" i="13" s="1"/>
  <c r="G1406" i="13" s="1"/>
  <c r="G1407" i="13" s="1"/>
  <c r="G1408" i="13" s="1"/>
  <c r="G1409" i="13" s="1"/>
  <c r="G1410" i="13" s="1"/>
  <c r="G1411" i="13" s="1"/>
  <c r="G1412" i="13" s="1"/>
  <c r="G1413" i="13" s="1"/>
  <c r="G1414" i="13" s="1"/>
  <c r="G1415" i="13" s="1"/>
  <c r="G1416" i="13" s="1"/>
  <c r="G1417" i="13" s="1"/>
  <c r="G1418" i="13" s="1"/>
  <c r="G1419" i="13" s="1"/>
  <c r="G1420" i="13" s="1"/>
  <c r="G1421" i="13" s="1"/>
  <c r="G1422" i="13" s="1"/>
  <c r="G1423" i="13" s="1"/>
  <c r="G1424" i="13" s="1"/>
  <c r="G1425" i="13" s="1"/>
  <c r="H1019" i="13" s="1"/>
  <c r="G1019" i="44" s="1"/>
  <c r="H305" i="13"/>
  <c r="G305" i="44" s="1"/>
  <c r="H297" i="13"/>
  <c r="G297" i="44" s="1"/>
  <c r="H306" i="13"/>
  <c r="G306" i="44" s="1"/>
  <c r="H298" i="13"/>
  <c r="G298" i="44" s="1"/>
  <c r="H274" i="13"/>
  <c r="G274" i="44" s="1"/>
  <c r="H263" i="13"/>
  <c r="G263" i="44" s="1"/>
  <c r="H151" i="13"/>
  <c r="G151" i="44" s="1"/>
  <c r="H143" i="13"/>
  <c r="G143" i="44" s="1"/>
  <c r="H118" i="13"/>
  <c r="G118" i="44" s="1"/>
  <c r="H311" i="13"/>
  <c r="G311" i="44" s="1"/>
  <c r="H303" i="13"/>
  <c r="G303" i="44" s="1"/>
  <c r="H295" i="13"/>
  <c r="G295" i="44" s="1"/>
  <c r="H271" i="13"/>
  <c r="G271" i="44" s="1"/>
  <c r="H156" i="13"/>
  <c r="G156" i="44" s="1"/>
  <c r="H148" i="13"/>
  <c r="G148" i="44" s="1"/>
  <c r="H138" i="13"/>
  <c r="G138" i="44" s="1"/>
  <c r="H115" i="13"/>
  <c r="G115" i="44" s="1"/>
  <c r="H1210" i="13"/>
  <c r="G1210" i="44" s="1"/>
  <c r="H1029" i="13"/>
  <c r="G1029" i="44" s="1"/>
  <c r="H1021" i="13"/>
  <c r="G1021" i="44" s="1"/>
  <c r="H976" i="13"/>
  <c r="G976" i="44" s="1"/>
  <c r="H888" i="13"/>
  <c r="G888" i="44" s="1"/>
  <c r="H861" i="13"/>
  <c r="G861" i="44" s="1"/>
  <c r="H818" i="13"/>
  <c r="G818" i="44" s="1"/>
  <c r="H805" i="13"/>
  <c r="G805" i="44" s="1"/>
  <c r="H747" i="13"/>
  <c r="G747" i="44" s="1"/>
  <c r="H734" i="13"/>
  <c r="G734" i="44" s="1"/>
  <c r="H702" i="13"/>
  <c r="G702" i="44" s="1"/>
  <c r="H646" i="13"/>
  <c r="G646" i="44" s="1"/>
  <c r="H608" i="13"/>
  <c r="G608" i="44" s="1"/>
  <c r="H593" i="13"/>
  <c r="G593" i="44" s="1"/>
  <c r="H296" i="13"/>
  <c r="G296" i="44" s="1"/>
  <c r="H268" i="13"/>
  <c r="G268" i="44" s="1"/>
  <c r="H145" i="13"/>
  <c r="G145" i="44" s="1"/>
  <c r="H109" i="13"/>
  <c r="G109" i="44" s="1"/>
  <c r="H1211" i="13"/>
  <c r="G1211" i="44" s="1"/>
  <c r="H1030" i="13"/>
  <c r="G1030" i="44" s="1"/>
  <c r="H1022" i="13"/>
  <c r="G1022" i="44" s="1"/>
  <c r="H889" i="13"/>
  <c r="G889" i="44" s="1"/>
  <c r="H848" i="13"/>
  <c r="G848" i="44" s="1"/>
  <c r="H819" i="13"/>
  <c r="G819" i="44" s="1"/>
  <c r="H806" i="13"/>
  <c r="G806" i="44" s="1"/>
  <c r="H776" i="13"/>
  <c r="G776" i="44" s="1"/>
  <c r="H748" i="13"/>
  <c r="G748" i="44" s="1"/>
  <c r="H703" i="13"/>
  <c r="G703" i="44" s="1"/>
  <c r="H689" i="13"/>
  <c r="G689" i="44" s="1"/>
  <c r="H681" i="13"/>
  <c r="G681" i="44" s="1"/>
  <c r="H647" i="13"/>
  <c r="G647" i="44" s="1"/>
  <c r="H609" i="13"/>
  <c r="G609" i="44" s="1"/>
  <c r="H300" i="13"/>
  <c r="G300" i="44" s="1"/>
  <c r="H1006" i="13"/>
  <c r="G1006" i="44" s="1"/>
  <c r="H947" i="13"/>
  <c r="G947" i="44" s="1"/>
  <c r="H901" i="13"/>
  <c r="G901" i="44" s="1"/>
  <c r="H811" i="13"/>
  <c r="G811" i="44" s="1"/>
  <c r="H727" i="13"/>
  <c r="G727" i="44" s="1"/>
  <c r="H644" i="13"/>
  <c r="G644" i="44" s="1"/>
  <c r="H406" i="13"/>
  <c r="G406" i="44" s="1"/>
  <c r="H1018" i="13"/>
  <c r="G1018" i="44" s="1"/>
  <c r="H975" i="13"/>
  <c r="G975" i="44" s="1"/>
  <c r="H846" i="13"/>
  <c r="G846" i="44" s="1"/>
  <c r="H746" i="13"/>
  <c r="G746" i="44" s="1"/>
  <c r="H658" i="13"/>
  <c r="G658" i="44" s="1"/>
  <c r="H272" i="13"/>
  <c r="G272" i="44" s="1"/>
  <c r="H850" i="13"/>
  <c r="G850" i="44" s="1"/>
  <c r="H683" i="13"/>
  <c r="G683" i="44" s="1"/>
  <c r="H912" i="13"/>
  <c r="G912" i="44" s="1"/>
  <c r="H820" i="13"/>
  <c r="G820" i="44" s="1"/>
  <c r="H736" i="13"/>
  <c r="G736" i="44" s="1"/>
  <c r="H653" i="13"/>
  <c r="G653" i="44" s="1"/>
  <c r="H1248" i="13"/>
  <c r="H697" i="13"/>
  <c r="G697" i="44" s="1"/>
  <c r="H149" i="13"/>
  <c r="G149" i="44" s="1"/>
  <c r="H737" i="13"/>
  <c r="G737" i="44" s="1"/>
  <c r="H273" i="13"/>
  <c r="G273" i="44" s="1"/>
  <c r="H150" i="13"/>
  <c r="G150" i="44" s="1"/>
  <c r="H142" i="13"/>
  <c r="G142" i="44" s="1"/>
  <c r="H113" i="13"/>
  <c r="G113" i="44" s="1"/>
  <c r="H1208" i="13"/>
  <c r="G1208" i="44" s="1"/>
  <c r="H1023" i="13"/>
  <c r="G1023" i="44" s="1"/>
  <c r="H849" i="13"/>
  <c r="G849" i="44" s="1"/>
  <c r="H682" i="13"/>
  <c r="G682" i="44" s="1"/>
  <c r="H473" i="13"/>
  <c r="G473" i="44" s="1"/>
  <c r="H301" i="13"/>
  <c r="G301" i="44" s="1"/>
  <c r="H310" i="13"/>
  <c r="G310" i="44" s="1"/>
  <c r="H292" i="13"/>
  <c r="G292" i="44" s="1"/>
  <c r="H155" i="13"/>
  <c r="G155" i="44" s="1"/>
  <c r="H307" i="13"/>
  <c r="G307" i="44" s="1"/>
  <c r="H275" i="13"/>
  <c r="G275" i="44" s="1"/>
  <c r="H152" i="13"/>
  <c r="G152" i="44" s="1"/>
  <c r="H119" i="13"/>
  <c r="G119" i="44" s="1"/>
  <c r="H1137" i="13"/>
  <c r="G1137" i="44" s="1"/>
  <c r="H972" i="13"/>
  <c r="G972" i="44" s="1"/>
  <c r="H914" i="13"/>
  <c r="G914" i="44" s="1"/>
  <c r="H865" i="13"/>
  <c r="G865" i="44" s="1"/>
  <c r="H822" i="13"/>
  <c r="G822" i="44" s="1"/>
  <c r="H698" i="13"/>
  <c r="G698" i="44" s="1"/>
  <c r="H655" i="13"/>
  <c r="G655" i="44" s="1"/>
  <c r="H120" i="13"/>
  <c r="G120" i="44" s="1"/>
  <c r="H900" i="13"/>
  <c r="G900" i="44" s="1"/>
  <c r="H852" i="13"/>
  <c r="G852" i="44" s="1"/>
  <c r="H810" i="13"/>
  <c r="G810" i="44" s="1"/>
  <c r="H726" i="13"/>
  <c r="G726" i="44" s="1"/>
  <c r="H685" i="13"/>
  <c r="G685" i="44" s="1"/>
  <c r="H643" i="13"/>
  <c r="G643" i="44" s="1"/>
  <c r="H405" i="13"/>
  <c r="G405" i="44" s="1"/>
  <c r="H1099" i="13"/>
  <c r="G1099" i="44" s="1"/>
  <c r="H1017" i="13"/>
  <c r="G1017" i="44" s="1"/>
  <c r="H918" i="13"/>
  <c r="G918" i="44" s="1"/>
  <c r="H845" i="13"/>
  <c r="G845" i="44" s="1"/>
  <c r="H745" i="13"/>
  <c r="G745" i="44" s="1"/>
  <c r="H657" i="13"/>
  <c r="G657" i="44" s="1"/>
  <c r="H1213" i="13"/>
  <c r="G1213" i="44" s="1"/>
  <c r="H902" i="13"/>
  <c r="G902" i="44" s="1"/>
  <c r="H645" i="13"/>
  <c r="G645" i="44" s="1"/>
  <c r="H116" i="13"/>
  <c r="G116" i="44" s="1"/>
  <c r="H893" i="13"/>
  <c r="G893" i="44" s="1"/>
  <c r="H777" i="13"/>
  <c r="G777" i="44" s="1"/>
  <c r="H913" i="13"/>
  <c r="G913" i="44" s="1"/>
  <c r="H654" i="13"/>
  <c r="G654" i="44" s="1"/>
  <c r="H302" i="13"/>
  <c r="G302" i="44" s="1"/>
  <c r="H299" i="13"/>
  <c r="G299" i="44" s="1"/>
  <c r="H144" i="13"/>
  <c r="G144" i="44" s="1"/>
  <c r="H725" i="13"/>
  <c r="G725" i="44" s="1"/>
  <c r="H385" i="13"/>
  <c r="G385" i="44" s="1"/>
  <c r="H241" i="13"/>
  <c r="G241" i="44" s="1"/>
  <c r="H153" i="13"/>
  <c r="G153" i="44" s="1"/>
  <c r="H917" i="13"/>
  <c r="G917" i="44" s="1"/>
  <c r="H844" i="13"/>
  <c r="G844" i="44" s="1"/>
  <c r="H744" i="13"/>
  <c r="G744" i="44" s="1"/>
  <c r="H974" i="13"/>
  <c r="G974" i="44" s="1"/>
  <c r="H1028" i="13"/>
  <c r="G1028" i="44" s="1"/>
  <c r="H808" i="13"/>
  <c r="G808" i="44" s="1"/>
  <c r="H154" i="13"/>
  <c r="G154" i="44" s="1"/>
  <c r="H117" i="13"/>
  <c r="G117" i="44" s="1"/>
  <c r="H807" i="13"/>
  <c r="G807" i="44" s="1"/>
  <c r="H640" i="13"/>
  <c r="G640" i="44" s="1"/>
  <c r="H309" i="13"/>
  <c r="G309" i="44" s="1"/>
  <c r="H270" i="13"/>
  <c r="G270" i="44" s="1"/>
  <c r="H147" i="13"/>
  <c r="G147" i="44" s="1"/>
  <c r="H114" i="13"/>
  <c r="G114" i="44" s="1"/>
  <c r="H264" i="13"/>
  <c r="G264" i="44" s="1"/>
  <c r="H108" i="13"/>
  <c r="G108" i="44" s="1"/>
  <c r="H1180" i="13"/>
  <c r="G1180" i="44" s="1"/>
  <c r="H809" i="13"/>
  <c r="G809" i="44" s="1"/>
  <c r="H642" i="13"/>
  <c r="G642" i="44" s="1"/>
  <c r="H304" i="13"/>
  <c r="G304" i="44" s="1"/>
  <c r="H1216" i="13"/>
  <c r="G1216" i="44" s="1"/>
  <c r="H973" i="13"/>
  <c r="G973" i="44" s="1"/>
  <c r="H866" i="13"/>
  <c r="G866" i="44" s="1"/>
  <c r="H656" i="13"/>
  <c r="G656" i="44" s="1"/>
  <c r="H157" i="13"/>
  <c r="G157" i="44" s="1"/>
  <c r="H860" i="13"/>
  <c r="G860" i="44" s="1"/>
  <c r="H687" i="13"/>
  <c r="G687" i="44" s="1"/>
  <c r="H407" i="13"/>
  <c r="G407" i="44" s="1"/>
  <c r="H308" i="13"/>
  <c r="G308" i="44" s="1"/>
  <c r="H641" i="13"/>
  <c r="G641" i="44" s="1"/>
  <c r="H1031" i="13"/>
  <c r="G1031" i="44" s="1"/>
  <c r="H821" i="13"/>
  <c r="G821" i="44" s="1"/>
  <c r="H269" i="13"/>
  <c r="G269" i="44" s="1"/>
  <c r="H620" i="13"/>
  <c r="G620" i="44" s="1"/>
  <c r="H1249" i="13"/>
  <c r="H146" i="13"/>
  <c r="G146" i="44" s="1"/>
  <c r="H892" i="13"/>
  <c r="G892" i="44" s="1"/>
  <c r="G1255" i="16"/>
  <c r="H1254" i="16"/>
  <c r="H865" i="16"/>
  <c r="K865" i="44" s="1"/>
  <c r="G1402" i="16"/>
  <c r="G1403" i="16" s="1"/>
  <c r="G1404" i="16" s="1"/>
  <c r="G1405" i="16" s="1"/>
  <c r="G1406" i="16" s="1"/>
  <c r="G1407" i="16" s="1"/>
  <c r="G1408" i="16" s="1"/>
  <c r="G1409" i="16" s="1"/>
  <c r="G1410" i="16" s="1"/>
  <c r="G1411" i="16" s="1"/>
  <c r="G1412" i="16" s="1"/>
  <c r="G1413" i="16" s="1"/>
  <c r="G1414" i="16" s="1"/>
  <c r="G1415" i="16" s="1"/>
  <c r="G1416" i="16" s="1"/>
  <c r="G1417" i="16" s="1"/>
  <c r="G1418" i="16" s="1"/>
  <c r="G1419" i="16" s="1"/>
  <c r="G1420" i="16" s="1"/>
  <c r="G1421" i="16" s="1"/>
  <c r="G1422" i="16" s="1"/>
  <c r="G1423" i="16" s="1"/>
  <c r="G1424" i="16" s="1"/>
  <c r="G1425" i="16" s="1"/>
  <c r="H1152" i="16" s="1"/>
  <c r="K1152" i="44" s="1"/>
  <c r="H309" i="16"/>
  <c r="K309" i="44" s="1"/>
  <c r="H301" i="16"/>
  <c r="K301" i="44" s="1"/>
  <c r="H273" i="16"/>
  <c r="K273" i="44" s="1"/>
  <c r="H150" i="16"/>
  <c r="K150" i="44" s="1"/>
  <c r="H142" i="16"/>
  <c r="K142" i="44" s="1"/>
  <c r="H117" i="16"/>
  <c r="K117" i="44" s="1"/>
  <c r="H1215" i="16"/>
  <c r="K1215" i="44" s="1"/>
  <c r="H1099" i="16"/>
  <c r="K1099" i="44" s="1"/>
  <c r="H1029" i="16"/>
  <c r="K1029" i="44" s="1"/>
  <c r="H1017" i="16"/>
  <c r="K1017" i="44" s="1"/>
  <c r="H893" i="16"/>
  <c r="K893" i="44" s="1"/>
  <c r="H850" i="16"/>
  <c r="K850" i="44" s="1"/>
  <c r="H818" i="16"/>
  <c r="K818" i="44" s="1"/>
  <c r="H734" i="16"/>
  <c r="K734" i="44" s="1"/>
  <c r="H683" i="16"/>
  <c r="K683" i="44" s="1"/>
  <c r="H646" i="16"/>
  <c r="K646" i="44" s="1"/>
  <c r="H308" i="16"/>
  <c r="K308" i="44" s="1"/>
  <c r="H272" i="16"/>
  <c r="K272" i="44" s="1"/>
  <c r="H149" i="16"/>
  <c r="K149" i="44" s="1"/>
  <c r="H116" i="16"/>
  <c r="K116" i="44" s="1"/>
  <c r="H1180" i="16"/>
  <c r="K1180" i="44" s="1"/>
  <c r="H975" i="16"/>
  <c r="K975" i="44" s="1"/>
  <c r="H912" i="16"/>
  <c r="K912" i="44" s="1"/>
  <c r="H846" i="16"/>
  <c r="K846" i="44" s="1"/>
  <c r="H809" i="16"/>
  <c r="K809" i="44" s="1"/>
  <c r="H746" i="16"/>
  <c r="K746" i="44" s="1"/>
  <c r="H725" i="16"/>
  <c r="K725" i="44" s="1"/>
  <c r="H696" i="16"/>
  <c r="K696" i="44" s="1"/>
  <c r="H658" i="16"/>
  <c r="K658" i="44" s="1"/>
  <c r="H642" i="16"/>
  <c r="K642" i="44" s="1"/>
  <c r="H385" i="16"/>
  <c r="K385" i="44" s="1"/>
  <c r="H296" i="16"/>
  <c r="K296" i="44" s="1"/>
  <c r="H153" i="16"/>
  <c r="K153" i="44" s="1"/>
  <c r="H976" i="16"/>
  <c r="K976" i="44" s="1"/>
  <c r="H913" i="16"/>
  <c r="K913" i="44" s="1"/>
  <c r="H821" i="16"/>
  <c r="K821" i="44" s="1"/>
  <c r="H702" i="16"/>
  <c r="K702" i="44" s="1"/>
  <c r="H654" i="16"/>
  <c r="K654" i="44" s="1"/>
  <c r="H901" i="16"/>
  <c r="K901" i="44" s="1"/>
  <c r="H747" i="16"/>
  <c r="K747" i="44" s="1"/>
  <c r="H697" i="16"/>
  <c r="K697" i="44" s="1"/>
  <c r="H822" i="16"/>
  <c r="K822" i="44" s="1"/>
  <c r="H655" i="16"/>
  <c r="K655" i="44" s="1"/>
  <c r="H268" i="16"/>
  <c r="K268" i="44" s="1"/>
  <c r="H1208" i="16"/>
  <c r="K1208" i="44" s="1"/>
  <c r="H972" i="16"/>
  <c r="K972" i="44" s="1"/>
  <c r="H1249" i="16"/>
  <c r="H305" i="16"/>
  <c r="K305" i="44" s="1"/>
  <c r="H154" i="16"/>
  <c r="K154" i="44" s="1"/>
  <c r="H1211" i="16"/>
  <c r="K1211" i="44" s="1"/>
  <c r="H973" i="16"/>
  <c r="K973" i="44" s="1"/>
  <c r="H844" i="16"/>
  <c r="K844" i="44" s="1"/>
  <c r="H776" i="16"/>
  <c r="K776" i="44" s="1"/>
  <c r="H726" i="16"/>
  <c r="K726" i="44" s="1"/>
  <c r="H681" i="16"/>
  <c r="K681" i="44" s="1"/>
  <c r="H643" i="16"/>
  <c r="K643" i="44" s="1"/>
  <c r="H310" i="16"/>
  <c r="K310" i="44" s="1"/>
  <c r="H298" i="16"/>
  <c r="K298" i="44" s="1"/>
  <c r="H155" i="16"/>
  <c r="K155" i="44" s="1"/>
  <c r="H143" i="16"/>
  <c r="K143" i="44" s="1"/>
  <c r="H307" i="16"/>
  <c r="K307" i="44" s="1"/>
  <c r="H295" i="16"/>
  <c r="K295" i="44" s="1"/>
  <c r="H152" i="16"/>
  <c r="K152" i="44" s="1"/>
  <c r="H138" i="16"/>
  <c r="K138" i="44" s="1"/>
  <c r="H845" i="16"/>
  <c r="K845" i="44" s="1"/>
  <c r="H657" i="16"/>
  <c r="K657" i="44" s="1"/>
  <c r="H777" i="16"/>
  <c r="K777" i="44" s="1"/>
  <c r="H653" i="16"/>
  <c r="K653" i="44" s="1"/>
  <c r="H888" i="16"/>
  <c r="K888" i="44" s="1"/>
  <c r="H608" i="16"/>
  <c r="K608" i="44" s="1"/>
  <c r="H811" i="16"/>
  <c r="K811" i="44" s="1"/>
  <c r="H473" i="16"/>
  <c r="K473" i="44" s="1"/>
  <c r="H860" i="16"/>
  <c r="K860" i="44" s="1"/>
  <c r="H1137" i="16"/>
  <c r="K1137" i="44" s="1"/>
  <c r="H807" i="16"/>
  <c r="K807" i="44" s="1"/>
  <c r="H269" i="16"/>
  <c r="K269" i="44" s="1"/>
  <c r="H113" i="16"/>
  <c r="K113" i="44" s="1"/>
  <c r="H866" i="16"/>
  <c r="K866" i="44" s="1"/>
  <c r="H819" i="16"/>
  <c r="K819" i="44" s="1"/>
  <c r="H703" i="16"/>
  <c r="K703" i="44" s="1"/>
  <c r="H609" i="16"/>
  <c r="K609" i="44" s="1"/>
  <c r="H292" i="16"/>
  <c r="K292" i="44" s="1"/>
  <c r="H311" i="16"/>
  <c r="K311" i="44" s="1"/>
  <c r="H275" i="16"/>
  <c r="K275" i="44" s="1"/>
  <c r="H119" i="16"/>
  <c r="K119" i="44" s="1"/>
  <c r="H918" i="16"/>
  <c r="K918" i="44" s="1"/>
  <c r="H593" i="16"/>
  <c r="K593" i="44" s="1"/>
  <c r="H1210" i="16"/>
  <c r="K1210" i="44" s="1"/>
  <c r="H406" i="16"/>
  <c r="K406" i="44" s="1"/>
  <c r="H644" i="16"/>
  <c r="K644" i="44" s="1"/>
  <c r="H109" i="16"/>
  <c r="K109" i="44" s="1"/>
  <c r="H145" i="16"/>
  <c r="K145" i="44" s="1"/>
  <c r="H687" i="16"/>
  <c r="K687" i="44" s="1"/>
  <c r="H1022" i="16"/>
  <c r="K1022" i="44" s="1"/>
  <c r="H889" i="16"/>
  <c r="K889" i="44" s="1"/>
  <c r="H852" i="16"/>
  <c r="K852" i="44" s="1"/>
  <c r="H806" i="16"/>
  <c r="K806" i="44" s="1"/>
  <c r="H748" i="16"/>
  <c r="K748" i="44" s="1"/>
  <c r="H689" i="16"/>
  <c r="K689" i="44" s="1"/>
  <c r="H656" i="16"/>
  <c r="K656" i="44" s="1"/>
  <c r="H306" i="16"/>
  <c r="K306" i="44" s="1"/>
  <c r="H270" i="16"/>
  <c r="K270" i="44" s="1"/>
  <c r="H151" i="16"/>
  <c r="K151" i="44" s="1"/>
  <c r="H114" i="16"/>
  <c r="K114" i="44" s="1"/>
  <c r="H303" i="16"/>
  <c r="K303" i="44" s="1"/>
  <c r="H264" i="16"/>
  <c r="K264" i="44" s="1"/>
  <c r="H148" i="16"/>
  <c r="K148" i="44" s="1"/>
  <c r="H108" i="16"/>
  <c r="K108" i="44" s="1"/>
  <c r="H861" i="16"/>
  <c r="K861" i="44" s="1"/>
  <c r="H157" i="16"/>
  <c r="K157" i="44" s="1"/>
  <c r="H1018" i="16"/>
  <c r="K1018" i="44" s="1"/>
  <c r="H820" i="16"/>
  <c r="K820" i="44" s="1"/>
  <c r="H684" i="16"/>
  <c r="K684" i="44" s="1"/>
  <c r="H120" i="16"/>
  <c r="K120" i="44" s="1"/>
  <c r="H947" i="16"/>
  <c r="K947" i="44" s="1"/>
  <c r="H686" i="16"/>
  <c r="K686" i="44" s="1"/>
  <c r="H698" i="16"/>
  <c r="K698" i="44" s="1"/>
  <c r="H1248" i="16"/>
  <c r="H640" i="16"/>
  <c r="K640" i="44" s="1"/>
  <c r="H682" i="16"/>
  <c r="K682" i="44" s="1"/>
  <c r="H1028" i="16"/>
  <c r="K1028" i="44" s="1"/>
  <c r="H297" i="16"/>
  <c r="K297" i="44" s="1"/>
  <c r="H146" i="16"/>
  <c r="K146" i="44" s="1"/>
  <c r="H1030" i="16"/>
  <c r="K1030" i="44" s="1"/>
  <c r="H917" i="16"/>
  <c r="K917" i="44" s="1"/>
  <c r="H685" i="16"/>
  <c r="K685" i="44" s="1"/>
  <c r="H263" i="16"/>
  <c r="K263" i="44" s="1"/>
  <c r="H156" i="16"/>
  <c r="K156" i="44" s="1"/>
  <c r="H620" i="16"/>
  <c r="K620" i="44" s="1"/>
  <c r="H745" i="16"/>
  <c r="K745" i="44" s="1"/>
  <c r="H300" i="16"/>
  <c r="K300" i="44" s="1"/>
  <c r="H1031" i="16"/>
  <c r="K1031" i="44" s="1"/>
  <c r="H737" i="16"/>
  <c r="K737" i="44" s="1"/>
  <c r="H849" i="16"/>
  <c r="K849" i="44" s="1"/>
  <c r="H1023" i="16"/>
  <c r="K1023" i="44" s="1"/>
  <c r="H848" i="16"/>
  <c r="K848" i="44" s="1"/>
  <c r="H647" i="16"/>
  <c r="K647" i="44" s="1"/>
  <c r="H274" i="16"/>
  <c r="K274" i="44" s="1"/>
  <c r="H118" i="16"/>
  <c r="K118" i="44" s="1"/>
  <c r="H299" i="16"/>
  <c r="K299" i="44" s="1"/>
  <c r="H115" i="16"/>
  <c r="K115" i="44" s="1"/>
  <c r="H641" i="16"/>
  <c r="K641" i="44" s="1"/>
  <c r="H304" i="16"/>
  <c r="K304" i="44" s="1"/>
  <c r="H1213" i="16"/>
  <c r="K1213" i="44" s="1"/>
  <c r="H407" i="16"/>
  <c r="K407" i="44" s="1"/>
  <c r="H914" i="16"/>
  <c r="K914" i="44" s="1"/>
  <c r="H645" i="16"/>
  <c r="K645" i="44" s="1"/>
  <c r="H900" i="16"/>
  <c r="K900" i="44" s="1"/>
  <c r="H810" i="16"/>
  <c r="K810" i="44" s="1"/>
  <c r="H744" i="16"/>
  <c r="K744" i="44" s="1"/>
  <c r="H405" i="16"/>
  <c r="K405" i="44" s="1"/>
  <c r="H302" i="16"/>
  <c r="K302" i="44" s="1"/>
  <c r="H147" i="16"/>
  <c r="K147" i="44" s="1"/>
  <c r="H271" i="16"/>
  <c r="K271" i="44" s="1"/>
  <c r="H144" i="16"/>
  <c r="K144" i="44" s="1"/>
  <c r="H974" i="16"/>
  <c r="K974" i="44" s="1"/>
  <c r="H808" i="16"/>
  <c r="K808" i="44" s="1"/>
  <c r="H736" i="16"/>
  <c r="K736" i="44" s="1"/>
  <c r="H241" i="16"/>
  <c r="K241" i="44" s="1"/>
  <c r="H805" i="16"/>
  <c r="K805" i="44" s="1"/>
  <c r="H727" i="16"/>
  <c r="K727" i="44" s="1"/>
  <c r="H1067" i="16"/>
  <c r="K1067" i="44" s="1"/>
  <c r="H902" i="16"/>
  <c r="K902" i="44" s="1"/>
  <c r="B827" i="13"/>
  <c r="B825" i="13"/>
  <c r="B826" i="13" s="1"/>
  <c r="J804" i="8"/>
  <c r="F812" i="8"/>
  <c r="J912" i="8"/>
  <c r="F915" i="8"/>
  <c r="J290" i="8"/>
  <c r="F276" i="8"/>
  <c r="J818" i="8"/>
  <c r="J844" i="8"/>
  <c r="J889" i="8"/>
  <c r="J901" i="8"/>
  <c r="F903" i="8"/>
  <c r="I413" i="8"/>
  <c r="I70" i="8"/>
  <c r="F406" i="18"/>
  <c r="X406" i="18" s="1"/>
  <c r="W406" i="16"/>
  <c r="J263" i="8"/>
  <c r="F868" i="8"/>
  <c r="J943" i="8"/>
  <c r="J1217" i="8"/>
  <c r="J654" i="8"/>
  <c r="F690" i="8"/>
  <c r="J725" i="8"/>
  <c r="J1052" i="8"/>
  <c r="F1063" i="8"/>
  <c r="F413" i="8"/>
  <c r="J411" i="8"/>
  <c r="W405" i="16"/>
  <c r="F405" i="18"/>
  <c r="X405" i="18" s="1"/>
  <c r="J117" i="8"/>
  <c r="G1255" i="13"/>
  <c r="H1254" i="13"/>
  <c r="G1254" i="15"/>
  <c r="H1253" i="15"/>
  <c r="F729" i="8"/>
  <c r="F895" i="8"/>
  <c r="F953" i="8"/>
  <c r="U409" i="16"/>
  <c r="F998" i="8"/>
  <c r="J696" i="8"/>
  <c r="F692" i="8"/>
  <c r="J594" i="8"/>
  <c r="J566" i="8"/>
  <c r="N566" i="8" s="1"/>
  <c r="B1107" i="16"/>
  <c r="B581" i="16"/>
  <c r="B507" i="16"/>
  <c r="B248" i="16"/>
  <c r="B333" i="16"/>
  <c r="B174" i="16"/>
  <c r="B394" i="16"/>
  <c r="B126" i="16"/>
  <c r="B628" i="16"/>
  <c r="B1076" i="16"/>
  <c r="B461" i="16"/>
  <c r="B833" i="16"/>
  <c r="B1193" i="18"/>
  <c r="B1075" i="18"/>
  <c r="B982" i="18"/>
  <c r="B758" i="18"/>
  <c r="B668" i="18"/>
  <c r="B627" i="18"/>
  <c r="B483" i="18"/>
  <c r="B373" i="18"/>
  <c r="B173" i="18"/>
  <c r="B125" i="18"/>
  <c r="B92" i="18"/>
  <c r="B43" i="18"/>
  <c r="B1167" i="18"/>
  <c r="B1106" i="18"/>
  <c r="B962" i="18"/>
  <c r="B929" i="18"/>
  <c r="B877" i="18"/>
  <c r="B506" i="18"/>
  <c r="B440" i="18"/>
  <c r="B393" i="18"/>
  <c r="B332" i="18"/>
  <c r="B247" i="18"/>
  <c r="B792" i="18"/>
  <c r="B460" i="18"/>
  <c r="B1037" i="18"/>
  <c r="B580" i="18"/>
  <c r="J158" i="8"/>
  <c r="F106" i="8"/>
  <c r="J105" i="8"/>
  <c r="H1253" i="13"/>
  <c r="J900" i="8"/>
  <c r="J268" i="8"/>
  <c r="J1210" i="8"/>
  <c r="J643" i="8"/>
  <c r="F648" i="8"/>
  <c r="J736" i="8"/>
  <c r="F741" i="8"/>
  <c r="F739" i="8"/>
  <c r="J777" i="8"/>
  <c r="J773" i="8"/>
  <c r="F1140" i="8"/>
  <c r="J1134" i="8"/>
  <c r="U70" i="18"/>
  <c r="F919" i="8"/>
  <c r="F823" i="8"/>
  <c r="F955" i="8"/>
  <c r="J184" i="8"/>
  <c r="F731" i="8"/>
  <c r="F749" i="8"/>
  <c r="J747" i="8"/>
  <c r="F825" i="8"/>
  <c r="J862" i="8"/>
  <c r="J259" i="8"/>
  <c r="F1161" i="8"/>
  <c r="F70" i="8"/>
  <c r="J409" i="8"/>
  <c r="J241" i="8"/>
  <c r="J216" i="8"/>
  <c r="J217" i="8" s="1"/>
  <c r="J185" i="8"/>
  <c r="F193" i="8"/>
  <c r="B1167" i="16"/>
  <c r="B1075" i="16"/>
  <c r="B929" i="16"/>
  <c r="B877" i="16"/>
  <c r="B758" i="16"/>
  <c r="B483" i="16"/>
  <c r="B393" i="16"/>
  <c r="B373" i="16"/>
  <c r="B43" i="16"/>
  <c r="B1344" i="16"/>
  <c r="B1237" i="16"/>
  <c r="B1106" i="16"/>
  <c r="B792" i="16"/>
  <c r="B668" i="16"/>
  <c r="B580" i="16"/>
  <c r="B460" i="16"/>
  <c r="B440" i="16"/>
  <c r="B418" i="16"/>
  <c r="B92" i="16"/>
  <c r="B1193" i="16"/>
  <c r="B627" i="16"/>
  <c r="B332" i="16"/>
  <c r="B279" i="16"/>
  <c r="B247" i="16"/>
  <c r="B230" i="16"/>
  <c r="B173" i="16"/>
  <c r="J137" i="8"/>
  <c r="B1239" i="16"/>
  <c r="B984" i="16"/>
  <c r="B670" i="16"/>
  <c r="B442" i="16"/>
  <c r="B334" i="16"/>
  <c r="B175" i="16"/>
  <c r="B94" i="16"/>
  <c r="B1346" i="16"/>
  <c r="B1036" i="18"/>
  <c r="B831" i="18"/>
  <c r="B791" i="18"/>
  <c r="B712" i="18"/>
  <c r="B229" i="18"/>
  <c r="B91" i="18"/>
  <c r="B1192" i="18"/>
  <c r="B1105" i="18"/>
  <c r="B1074" i="18"/>
  <c r="B981" i="18"/>
  <c r="B876" i="18"/>
  <c r="B757" i="18"/>
  <c r="B667" i="18"/>
  <c r="B626" i="18"/>
  <c r="B482" i="18"/>
  <c r="B372" i="18"/>
  <c r="B246" i="18"/>
  <c r="B172" i="18"/>
  <c r="B124" i="18"/>
  <c r="B42" i="18"/>
  <c r="G413" i="8"/>
  <c r="G70" i="8"/>
  <c r="I112" i="14"/>
  <c r="M112" i="14"/>
  <c r="B206" i="18"/>
  <c r="B281" i="18"/>
  <c r="B420" i="18"/>
  <c r="B462" i="18"/>
  <c r="G112" i="14"/>
  <c r="G556" i="8"/>
  <c r="M1257" i="13"/>
  <c r="F432" i="13"/>
  <c r="F432" i="44" s="1"/>
  <c r="G433" i="8"/>
  <c r="I556" i="8"/>
  <c r="F452" i="13"/>
  <c r="F452" i="44" s="1"/>
  <c r="G453" i="8"/>
  <c r="U1256" i="13"/>
  <c r="M1363" i="13" s="1"/>
  <c r="K1257" i="13"/>
  <c r="U1270" i="13"/>
  <c r="H610" i="8"/>
  <c r="K1354" i="13"/>
  <c r="F112" i="14"/>
  <c r="I433" i="8"/>
  <c r="F309" i="13"/>
  <c r="F309" i="44" s="1"/>
  <c r="K1354" i="16"/>
  <c r="F348" i="13"/>
  <c r="F348" i="44" s="1"/>
  <c r="G354" i="8"/>
  <c r="F311" i="13"/>
  <c r="F311" i="44" s="1"/>
  <c r="F191" i="13"/>
  <c r="F191" i="44" s="1"/>
  <c r="G193" i="8"/>
  <c r="F156" i="13"/>
  <c r="F156" i="44" s="1"/>
  <c r="G197" i="8"/>
  <c r="F195" i="13"/>
  <c r="F195" i="44" s="1"/>
  <c r="F259" i="13"/>
  <c r="F259" i="44" s="1"/>
  <c r="G261" i="8"/>
  <c r="F358" i="13"/>
  <c r="F358" i="44" s="1"/>
  <c r="U1270" i="15"/>
  <c r="U1257" i="15"/>
  <c r="M1364" i="15" s="1"/>
  <c r="U1256" i="15"/>
  <c r="F350" i="13"/>
  <c r="F350" i="44" s="1"/>
  <c r="F136" i="13"/>
  <c r="F136" i="44" s="1"/>
  <c r="U1270" i="16"/>
  <c r="U1256" i="16"/>
  <c r="O1363" i="16" s="1"/>
  <c r="F77" i="5"/>
  <c r="H77" i="5"/>
  <c r="R1275" i="15"/>
  <c r="K1354" i="15"/>
  <c r="H1098" i="44" l="1"/>
  <c r="F1101" i="15"/>
  <c r="F1139" i="18"/>
  <c r="N1139" i="44"/>
  <c r="F1153" i="15"/>
  <c r="F572" i="18"/>
  <c r="F1158" i="18"/>
  <c r="N1158" i="44"/>
  <c r="F1098" i="44"/>
  <c r="F1101" i="13"/>
  <c r="F1101" i="44" s="1"/>
  <c r="J1098" i="44"/>
  <c r="F1101" i="16"/>
  <c r="H1057" i="16"/>
  <c r="K1057" i="44" s="1"/>
  <c r="H1058" i="16"/>
  <c r="K1058" i="44" s="1"/>
  <c r="H1019" i="16"/>
  <c r="K1019" i="44" s="1"/>
  <c r="H1020" i="16"/>
  <c r="K1020" i="44" s="1"/>
  <c r="H1021" i="16"/>
  <c r="K1021" i="44" s="1"/>
  <c r="H1003" i="16"/>
  <c r="K1003" i="44" s="1"/>
  <c r="H1004" i="16"/>
  <c r="K1004" i="44" s="1"/>
  <c r="H1019" i="15"/>
  <c r="I1019" i="44" s="1"/>
  <c r="H1057" i="15"/>
  <c r="I1057" i="44" s="1"/>
  <c r="H1058" i="15"/>
  <c r="I1058" i="44" s="1"/>
  <c r="H1020" i="15"/>
  <c r="I1020" i="44" s="1"/>
  <c r="H1021" i="15"/>
  <c r="I1021" i="44" s="1"/>
  <c r="H1002" i="15"/>
  <c r="I1002" i="44" s="1"/>
  <c r="H1003" i="15"/>
  <c r="I1003" i="44" s="1"/>
  <c r="H1004" i="15"/>
  <c r="I1004" i="44" s="1"/>
  <c r="H1057" i="13"/>
  <c r="G1057" i="44" s="1"/>
  <c r="H1058" i="13"/>
  <c r="G1058" i="44" s="1"/>
  <c r="H1004" i="13"/>
  <c r="G1004" i="44" s="1"/>
  <c r="H1002" i="13"/>
  <c r="G1002" i="44" s="1"/>
  <c r="H1003" i="13"/>
  <c r="G1003" i="44" s="1"/>
  <c r="H1020" i="13"/>
  <c r="G1020" i="44" s="1"/>
  <c r="H525" i="16"/>
  <c r="K525" i="44" s="1"/>
  <c r="B1205" i="16"/>
  <c r="B1179" i="16"/>
  <c r="B889" i="16"/>
  <c r="B592" i="16"/>
  <c r="B385" i="16"/>
  <c r="B292" i="16"/>
  <c r="B941" i="16"/>
  <c r="B639" i="16"/>
  <c r="B405" i="16"/>
  <c r="B138" i="16"/>
  <c r="B974" i="16"/>
  <c r="B680" i="16"/>
  <c r="B430" i="16"/>
  <c r="B185" i="16"/>
  <c r="B994" i="16"/>
  <c r="B725" i="16"/>
  <c r="B452" i="16"/>
  <c r="B216" i="16"/>
  <c r="B1049" i="16"/>
  <c r="B770" i="16"/>
  <c r="B472" i="16"/>
  <c r="B242" i="16"/>
  <c r="B1087" i="16"/>
  <c r="B804" i="16"/>
  <c r="B495" i="16"/>
  <c r="B104" i="16"/>
  <c r="B259" i="16"/>
  <c r="B1118" i="16"/>
  <c r="B844" i="16"/>
  <c r="B518" i="16"/>
  <c r="B345" i="16"/>
  <c r="H549" i="16"/>
  <c r="K549" i="44" s="1"/>
  <c r="H550" i="16"/>
  <c r="K550" i="44" s="1"/>
  <c r="H548" i="16"/>
  <c r="K548" i="44" s="1"/>
  <c r="H551" i="16"/>
  <c r="K551" i="44" s="1"/>
  <c r="H552" i="16"/>
  <c r="K552" i="44" s="1"/>
  <c r="H571" i="16"/>
  <c r="K571" i="44" s="1"/>
  <c r="H572" i="16"/>
  <c r="K572" i="44" s="1"/>
  <c r="H566" i="16"/>
  <c r="K566" i="44" s="1"/>
  <c r="H567" i="16"/>
  <c r="K567" i="44" s="1"/>
  <c r="H525" i="15"/>
  <c r="I525" i="44" s="1"/>
  <c r="H551" i="15"/>
  <c r="I551" i="44" s="1"/>
  <c r="H548" i="15"/>
  <c r="I548" i="44" s="1"/>
  <c r="H549" i="15"/>
  <c r="I549" i="44" s="1"/>
  <c r="H550" i="15"/>
  <c r="I550" i="44" s="1"/>
  <c r="H552" i="15"/>
  <c r="I552" i="44" s="1"/>
  <c r="H567" i="15"/>
  <c r="I567" i="44" s="1"/>
  <c r="H568" i="15"/>
  <c r="I568" i="44" s="1"/>
  <c r="L572" i="44"/>
  <c r="N572" i="44" s="1"/>
  <c r="H572" i="15"/>
  <c r="I572" i="44" s="1"/>
  <c r="H553" i="13"/>
  <c r="G553" i="44" s="1"/>
  <c r="H552" i="13"/>
  <c r="G552" i="44" s="1"/>
  <c r="H525" i="13"/>
  <c r="G525" i="44" s="1"/>
  <c r="H568" i="13"/>
  <c r="G568" i="44" s="1"/>
  <c r="H526" i="13"/>
  <c r="G526" i="44" s="1"/>
  <c r="H551" i="13"/>
  <c r="G551" i="44" s="1"/>
  <c r="H572" i="13"/>
  <c r="G572" i="44" s="1"/>
  <c r="H550" i="13"/>
  <c r="G550" i="44" s="1"/>
  <c r="H569" i="13"/>
  <c r="G569" i="44" s="1"/>
  <c r="H549" i="13"/>
  <c r="G549" i="44" s="1"/>
  <c r="L573" i="44"/>
  <c r="L109" i="44"/>
  <c r="F217" i="15"/>
  <c r="H217" i="44" s="1"/>
  <c r="L108" i="44"/>
  <c r="P121" i="44"/>
  <c r="F1095" i="15"/>
  <c r="H1095" i="44" s="1"/>
  <c r="F242" i="15"/>
  <c r="H242" i="44" s="1"/>
  <c r="F499" i="13"/>
  <c r="F499" i="44" s="1"/>
  <c r="L573" i="8"/>
  <c r="F499" i="15"/>
  <c r="H499" i="44" s="1"/>
  <c r="F575" i="15"/>
  <c r="H575" i="44" s="1"/>
  <c r="B165" i="44"/>
  <c r="B750" i="44"/>
  <c r="B617" i="44"/>
  <c r="B914" i="44"/>
  <c r="B80" i="44"/>
  <c r="B705" i="44"/>
  <c r="B869" i="44"/>
  <c r="H357" i="15"/>
  <c r="I357" i="44" s="1"/>
  <c r="H356" i="15"/>
  <c r="I356" i="44" s="1"/>
  <c r="F361" i="16"/>
  <c r="J361" i="44" s="1"/>
  <c r="F361" i="15"/>
  <c r="H361" i="44" s="1"/>
  <c r="H214" i="15"/>
  <c r="I214" i="44" s="1"/>
  <c r="H215" i="15"/>
  <c r="I215" i="44" s="1"/>
  <c r="F361" i="13"/>
  <c r="F361" i="44" s="1"/>
  <c r="H356" i="13"/>
  <c r="G356" i="44" s="1"/>
  <c r="H357" i="13"/>
  <c r="G357" i="44" s="1"/>
  <c r="H596" i="15"/>
  <c r="I596" i="44" s="1"/>
  <c r="H214" i="13"/>
  <c r="G214" i="44" s="1"/>
  <c r="H215" i="13"/>
  <c r="G215" i="44" s="1"/>
  <c r="L361" i="8"/>
  <c r="J361" i="8"/>
  <c r="N571" i="8"/>
  <c r="H603" i="15"/>
  <c r="I603" i="44" s="1"/>
  <c r="H571" i="15"/>
  <c r="I571" i="44" s="1"/>
  <c r="H601" i="15"/>
  <c r="I601" i="44" s="1"/>
  <c r="H1138" i="15"/>
  <c r="I1138" i="44" s="1"/>
  <c r="H1139" i="15"/>
  <c r="I1139" i="44" s="1"/>
  <c r="H1152" i="15"/>
  <c r="I1152" i="44" s="1"/>
  <c r="H1158" i="15"/>
  <c r="I1158" i="44" s="1"/>
  <c r="H604" i="15"/>
  <c r="I604" i="44" s="1"/>
  <c r="H602" i="15"/>
  <c r="I602" i="44" s="1"/>
  <c r="H1217" i="15"/>
  <c r="I1217" i="44" s="1"/>
  <c r="H595" i="15"/>
  <c r="I595" i="44" s="1"/>
  <c r="H1157" i="15"/>
  <c r="I1157" i="44" s="1"/>
  <c r="H570" i="15"/>
  <c r="I570" i="44" s="1"/>
  <c r="H1151" i="15"/>
  <c r="I1151" i="44" s="1"/>
  <c r="H1126" i="15"/>
  <c r="I1126" i="44" s="1"/>
  <c r="H596" i="16"/>
  <c r="K596" i="44" s="1"/>
  <c r="H595" i="16"/>
  <c r="K595" i="44" s="1"/>
  <c r="H1158" i="16"/>
  <c r="K1158" i="44" s="1"/>
  <c r="H1139" i="16"/>
  <c r="K1139" i="44" s="1"/>
  <c r="H1152" i="13"/>
  <c r="G1152" i="44" s="1"/>
  <c r="H1157" i="13"/>
  <c r="G1157" i="44" s="1"/>
  <c r="H1139" i="13"/>
  <c r="G1139" i="44" s="1"/>
  <c r="H1158" i="13"/>
  <c r="G1158" i="44" s="1"/>
  <c r="N564" i="8"/>
  <c r="F784" i="13"/>
  <c r="F784" i="44" s="1"/>
  <c r="W1140" i="15"/>
  <c r="F453" i="15"/>
  <c r="H453" i="44" s="1"/>
  <c r="F741" i="15"/>
  <c r="H741" i="44" s="1"/>
  <c r="F890" i="15"/>
  <c r="H890" i="44" s="1"/>
  <c r="F1140" i="13"/>
  <c r="F1140" i="44" s="1"/>
  <c r="F895" i="15"/>
  <c r="H895" i="44" s="1"/>
  <c r="F564" i="18"/>
  <c r="O564" i="8"/>
  <c r="F571" i="18"/>
  <c r="O571" i="8"/>
  <c r="L1127" i="44"/>
  <c r="H547" i="16"/>
  <c r="K547" i="44" s="1"/>
  <c r="H564" i="16"/>
  <c r="K564" i="44" s="1"/>
  <c r="H543" i="16"/>
  <c r="K543" i="44" s="1"/>
  <c r="H545" i="16"/>
  <c r="K545" i="44" s="1"/>
  <c r="H1138" i="16"/>
  <c r="K1138" i="44" s="1"/>
  <c r="H568" i="16"/>
  <c r="K568" i="44" s="1"/>
  <c r="H1150" i="16"/>
  <c r="K1150" i="44" s="1"/>
  <c r="H603" i="16"/>
  <c r="K603" i="44" s="1"/>
  <c r="H540" i="16"/>
  <c r="K540" i="44" s="1"/>
  <c r="H542" i="16"/>
  <c r="K542" i="44" s="1"/>
  <c r="H605" i="16"/>
  <c r="K605" i="44" s="1"/>
  <c r="H565" i="16"/>
  <c r="K565" i="44" s="1"/>
  <c r="H546" i="16"/>
  <c r="K546" i="44" s="1"/>
  <c r="H1126" i="16"/>
  <c r="K1126" i="44" s="1"/>
  <c r="H569" i="16"/>
  <c r="K569" i="44" s="1"/>
  <c r="H606" i="16"/>
  <c r="K606" i="44" s="1"/>
  <c r="H1151" i="16"/>
  <c r="K1151" i="44" s="1"/>
  <c r="H538" i="16"/>
  <c r="K538" i="44" s="1"/>
  <c r="H570" i="16"/>
  <c r="K570" i="44" s="1"/>
  <c r="H539" i="16"/>
  <c r="K539" i="44" s="1"/>
  <c r="H541" i="16"/>
  <c r="K541" i="44" s="1"/>
  <c r="H604" i="16"/>
  <c r="K604" i="44" s="1"/>
  <c r="H1138" i="13"/>
  <c r="G1138" i="44" s="1"/>
  <c r="H1151" i="13"/>
  <c r="G1151" i="44" s="1"/>
  <c r="H103" i="13"/>
  <c r="G103" i="44" s="1"/>
  <c r="H522" i="13"/>
  <c r="G522" i="44" s="1"/>
  <c r="H571" i="13"/>
  <c r="G571" i="44" s="1"/>
  <c r="H596" i="13"/>
  <c r="G596" i="44" s="1"/>
  <c r="H595" i="13"/>
  <c r="G595" i="44" s="1"/>
  <c r="H570" i="13"/>
  <c r="G570" i="44" s="1"/>
  <c r="F903" i="15"/>
  <c r="H903" i="44" s="1"/>
  <c r="F731" i="15"/>
  <c r="H731" i="44" s="1"/>
  <c r="F919" i="15"/>
  <c r="H919" i="44" s="1"/>
  <c r="F868" i="15"/>
  <c r="H868" i="44" s="1"/>
  <c r="F354" i="15"/>
  <c r="H354" i="44" s="1"/>
  <c r="F907" i="15"/>
  <c r="H907" i="44" s="1"/>
  <c r="N409" i="8"/>
  <c r="N1210" i="8"/>
  <c r="N1217" i="8"/>
  <c r="N290" i="8"/>
  <c r="N704" i="8"/>
  <c r="N1059" i="8"/>
  <c r="H54" i="8"/>
  <c r="N1123" i="8"/>
  <c r="N941" i="8"/>
  <c r="N108" i="8"/>
  <c r="N120" i="8"/>
  <c r="N187" i="8"/>
  <c r="H76" i="8"/>
  <c r="N534" i="8"/>
  <c r="N850" i="8"/>
  <c r="F137" i="18"/>
  <c r="F1148" i="18"/>
  <c r="O596" i="8"/>
  <c r="O594" i="8"/>
  <c r="B1049" i="8"/>
  <c r="B292" i="8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994" i="8"/>
  <c r="B242" i="8"/>
  <c r="N184" i="8"/>
  <c r="N773" i="8"/>
  <c r="N411" i="8"/>
  <c r="N943" i="8"/>
  <c r="N945" i="8"/>
  <c r="N995" i="8"/>
  <c r="N522" i="8"/>
  <c r="N810" i="8"/>
  <c r="N109" i="8"/>
  <c r="N270" i="8"/>
  <c r="N867" i="8"/>
  <c r="N913" i="8"/>
  <c r="N817" i="8"/>
  <c r="N770" i="8"/>
  <c r="N1207" i="8"/>
  <c r="N658" i="8"/>
  <c r="N949" i="8"/>
  <c r="O593" i="8"/>
  <c r="I388" i="8"/>
  <c r="I455" i="8"/>
  <c r="B639" i="8"/>
  <c r="B941" i="8"/>
  <c r="B17" i="8"/>
  <c r="B1180" i="8"/>
  <c r="N736" i="8"/>
  <c r="N900" i="8"/>
  <c r="N893" i="8"/>
  <c r="N726" i="8"/>
  <c r="N697" i="8"/>
  <c r="N1133" i="8"/>
  <c r="N1007" i="8"/>
  <c r="N269" i="8"/>
  <c r="N351" i="8"/>
  <c r="N745" i="8"/>
  <c r="N273" i="8"/>
  <c r="N702" i="8"/>
  <c r="N274" i="8"/>
  <c r="N523" i="8"/>
  <c r="N821" i="8"/>
  <c r="N537" i="8"/>
  <c r="N1008" i="8"/>
  <c r="F17" i="8"/>
  <c r="O431" i="8"/>
  <c r="O600" i="8"/>
  <c r="B1118" i="8"/>
  <c r="B385" i="8"/>
  <c r="B804" i="8"/>
  <c r="N263" i="8"/>
  <c r="F857" i="8"/>
  <c r="N860" i="8"/>
  <c r="I54" i="8"/>
  <c r="N701" i="8"/>
  <c r="H476" i="8"/>
  <c r="H73" i="8" s="1"/>
  <c r="N1026" i="8"/>
  <c r="H857" i="8"/>
  <c r="N526" i="8"/>
  <c r="N188" i="8"/>
  <c r="H455" i="8"/>
  <c r="H219" i="8"/>
  <c r="N527" i="8"/>
  <c r="N640" i="8"/>
  <c r="O452" i="8"/>
  <c r="O595" i="8"/>
  <c r="O473" i="8"/>
  <c r="B592" i="8"/>
  <c r="B259" i="8"/>
  <c r="B889" i="8"/>
  <c r="B104" i="8"/>
  <c r="B680" i="8"/>
  <c r="N117" i="8"/>
  <c r="N864" i="8"/>
  <c r="N521" i="8"/>
  <c r="N1206" i="8"/>
  <c r="N529" i="8"/>
  <c r="N310" i="8"/>
  <c r="N806" i="8"/>
  <c r="N851" i="8"/>
  <c r="N1214" i="8"/>
  <c r="N192" i="8"/>
  <c r="F1149" i="18"/>
  <c r="B974" i="8"/>
  <c r="B472" i="8"/>
  <c r="B770" i="8"/>
  <c r="B725" i="8"/>
  <c r="F455" i="8"/>
  <c r="N113" i="8"/>
  <c r="N870" i="8"/>
  <c r="N525" i="8"/>
  <c r="N572" i="8"/>
  <c r="N536" i="8"/>
  <c r="H388" i="8"/>
  <c r="N348" i="8"/>
  <c r="I857" i="8"/>
  <c r="N906" i="8"/>
  <c r="H435" i="8"/>
  <c r="F435" i="8"/>
  <c r="N155" i="8"/>
  <c r="N769" i="8"/>
  <c r="G244" i="8"/>
  <c r="N1127" i="8"/>
  <c r="I17" i="8"/>
  <c r="B1206" i="8"/>
  <c r="B185" i="8"/>
  <c r="B55" i="8"/>
  <c r="B518" i="8"/>
  <c r="B405" i="8"/>
  <c r="N158" i="8"/>
  <c r="N1010" i="8"/>
  <c r="N352" i="8"/>
  <c r="N734" i="8"/>
  <c r="N1211" i="8"/>
  <c r="F54" i="8"/>
  <c r="N847" i="8"/>
  <c r="H872" i="8"/>
  <c r="N528" i="8"/>
  <c r="N530" i="8"/>
  <c r="N894" i="8"/>
  <c r="N311" i="8"/>
  <c r="N1215" i="8"/>
  <c r="F687" i="18"/>
  <c r="O592" i="8"/>
  <c r="O572" i="8"/>
  <c r="F655" i="18"/>
  <c r="O591" i="8"/>
  <c r="B844" i="8"/>
  <c r="B1087" i="8"/>
  <c r="B345" i="8"/>
  <c r="B452" i="8"/>
  <c r="F476" i="8"/>
  <c r="B430" i="8"/>
  <c r="N1134" i="8"/>
  <c r="I76" i="8"/>
  <c r="N805" i="8"/>
  <c r="N687" i="8"/>
  <c r="N495" i="8"/>
  <c r="N685" i="8"/>
  <c r="N524" i="8"/>
  <c r="H17" i="8"/>
  <c r="N774" i="8"/>
  <c r="N1099" i="8"/>
  <c r="N700" i="8"/>
  <c r="N852" i="8"/>
  <c r="I872" i="8"/>
  <c r="F657" i="18"/>
  <c r="F1150" i="18"/>
  <c r="O432" i="8"/>
  <c r="I219" i="8"/>
  <c r="F68" i="8"/>
  <c r="B138" i="8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F388" i="8"/>
  <c r="F69" i="8" s="1"/>
  <c r="N595" i="8"/>
  <c r="N105" i="8"/>
  <c r="O121" i="44"/>
  <c r="N947" i="8"/>
  <c r="O103" i="44"/>
  <c r="N778" i="8"/>
  <c r="F1160" i="13"/>
  <c r="F1160" i="44" s="1"/>
  <c r="N1016" i="8"/>
  <c r="N473" i="8"/>
  <c r="N779" i="8"/>
  <c r="N914" i="8"/>
  <c r="N1089" i="8"/>
  <c r="N889" i="8"/>
  <c r="N1018" i="8"/>
  <c r="N432" i="8"/>
  <c r="N1021" i="8"/>
  <c r="N689" i="8"/>
  <c r="N917" i="8"/>
  <c r="N905" i="8"/>
  <c r="N1028" i="8"/>
  <c r="N1150" i="8"/>
  <c r="N918" i="8"/>
  <c r="N1135" i="8"/>
  <c r="N272" i="8"/>
  <c r="N892" i="8"/>
  <c r="N657" i="8"/>
  <c r="N1023" i="8"/>
  <c r="N592" i="8"/>
  <c r="N1156" i="8"/>
  <c r="N845" i="8"/>
  <c r="N116" i="8"/>
  <c r="N119" i="8"/>
  <c r="N772" i="8"/>
  <c r="N698" i="8"/>
  <c r="N645" i="8"/>
  <c r="N888" i="8"/>
  <c r="N309" i="8"/>
  <c r="N1139" i="8"/>
  <c r="N846" i="8"/>
  <c r="N646" i="8"/>
  <c r="N1136" i="8"/>
  <c r="N1053" i="8"/>
  <c r="N848" i="8"/>
  <c r="N137" i="8"/>
  <c r="N647" i="8"/>
  <c r="N1029" i="8"/>
  <c r="N863" i="8"/>
  <c r="N775" i="8"/>
  <c r="N347" i="8"/>
  <c r="N862" i="8"/>
  <c r="N1088" i="8"/>
  <c r="N1006" i="8"/>
  <c r="N596" i="8"/>
  <c r="N820" i="8"/>
  <c r="N594" i="8"/>
  <c r="N822" i="8"/>
  <c r="N1017" i="8"/>
  <c r="N902" i="8"/>
  <c r="N728" i="8"/>
  <c r="N1068" i="8"/>
  <c r="N656" i="8"/>
  <c r="N997" i="8"/>
  <c r="N1025" i="8"/>
  <c r="N1067" i="8"/>
  <c r="N682" i="8"/>
  <c r="N1054" i="8"/>
  <c r="N1060" i="8"/>
  <c r="N777" i="8"/>
  <c r="N912" i="8"/>
  <c r="N940" i="8"/>
  <c r="N1005" i="8"/>
  <c r="N776" i="8"/>
  <c r="N680" i="8"/>
  <c r="N600" i="8"/>
  <c r="N1052" i="8"/>
  <c r="N653" i="8"/>
  <c r="N866" i="8"/>
  <c r="N1024" i="8"/>
  <c r="N952" i="8"/>
  <c r="N738" i="8"/>
  <c r="N1149" i="8"/>
  <c r="N781" i="8"/>
  <c r="N950" i="8"/>
  <c r="N696" i="8"/>
  <c r="N683" i="8"/>
  <c r="N1158" i="8"/>
  <c r="N641" i="8"/>
  <c r="N844" i="8"/>
  <c r="N1011" i="8"/>
  <c r="N942" i="8"/>
  <c r="N746" i="8"/>
  <c r="N811" i="8"/>
  <c r="N735" i="8"/>
  <c r="N748" i="8"/>
  <c r="N1050" i="8"/>
  <c r="N699" i="8"/>
  <c r="N804" i="8"/>
  <c r="N1062" i="8"/>
  <c r="N948" i="8"/>
  <c r="N1098" i="8"/>
  <c r="N725" i="8"/>
  <c r="H244" i="8"/>
  <c r="I244" i="8"/>
  <c r="N996" i="8"/>
  <c r="N946" i="8"/>
  <c r="N452" i="8"/>
  <c r="N688" i="8"/>
  <c r="N1049" i="8"/>
  <c r="N642" i="8"/>
  <c r="N681" i="8"/>
  <c r="N855" i="8"/>
  <c r="N951" i="8"/>
  <c r="N1030" i="8"/>
  <c r="N744" i="8"/>
  <c r="N291" i="8"/>
  <c r="N861" i="8"/>
  <c r="N727" i="8"/>
  <c r="L1213" i="44"/>
  <c r="N1213" i="44" s="1"/>
  <c r="L1214" i="44"/>
  <c r="N1214" i="44" s="1"/>
  <c r="F1153" i="13"/>
  <c r="F1153" i="44" s="1"/>
  <c r="N353" i="8"/>
  <c r="N644" i="8"/>
  <c r="N1122" i="8"/>
  <c r="N747" i="8"/>
  <c r="N1012" i="8"/>
  <c r="N157" i="8"/>
  <c r="N643" i="8"/>
  <c r="N865" i="8"/>
  <c r="N1055" i="8"/>
  <c r="N189" i="8"/>
  <c r="N141" i="8"/>
  <c r="N724" i="8"/>
  <c r="N345" i="8"/>
  <c r="N1027" i="8"/>
  <c r="N944" i="8"/>
  <c r="N654" i="8"/>
  <c r="N156" i="8"/>
  <c r="N1061" i="8"/>
  <c r="N1159" i="8"/>
  <c r="N849" i="8"/>
  <c r="N1001" i="8"/>
  <c r="N780" i="8"/>
  <c r="N686" i="8"/>
  <c r="L70" i="8"/>
  <c r="Q77" i="14" s="1"/>
  <c r="N901" i="8"/>
  <c r="N1022" i="8"/>
  <c r="N655" i="8"/>
  <c r="N591" i="8"/>
  <c r="N1160" i="8"/>
  <c r="N808" i="8"/>
  <c r="N807" i="8"/>
  <c r="N346" i="8"/>
  <c r="N978" i="8"/>
  <c r="N818" i="8"/>
  <c r="N271" i="8"/>
  <c r="N308" i="8"/>
  <c r="N771" i="8"/>
  <c r="N1051" i="8"/>
  <c r="N1009" i="8"/>
  <c r="N1031" i="8"/>
  <c r="N292" i="8"/>
  <c r="N703" i="8"/>
  <c r="N1090" i="8"/>
  <c r="N684" i="8"/>
  <c r="N809" i="8"/>
  <c r="N737" i="8"/>
  <c r="L690" i="8"/>
  <c r="N1148" i="8"/>
  <c r="N1094" i="8"/>
  <c r="N1121" i="8"/>
  <c r="N819" i="8"/>
  <c r="H543" i="13"/>
  <c r="G543" i="44" s="1"/>
  <c r="H547" i="13"/>
  <c r="G547" i="44" s="1"/>
  <c r="H561" i="13"/>
  <c r="G561" i="44" s="1"/>
  <c r="H540" i="13"/>
  <c r="G540" i="44" s="1"/>
  <c r="H562" i="13"/>
  <c r="G562" i="44" s="1"/>
  <c r="H601" i="13"/>
  <c r="G601" i="44" s="1"/>
  <c r="H545" i="13"/>
  <c r="G545" i="44" s="1"/>
  <c r="H602" i="13"/>
  <c r="G602" i="44" s="1"/>
  <c r="H541" i="13"/>
  <c r="G541" i="44" s="1"/>
  <c r="H563" i="13"/>
  <c r="G563" i="44" s="1"/>
  <c r="H603" i="13"/>
  <c r="G603" i="44" s="1"/>
  <c r="H542" i="13"/>
  <c r="G542" i="44" s="1"/>
  <c r="H546" i="13"/>
  <c r="G546" i="44" s="1"/>
  <c r="H604" i="13"/>
  <c r="G604" i="44" s="1"/>
  <c r="H560" i="13"/>
  <c r="G560" i="44" s="1"/>
  <c r="H539" i="13"/>
  <c r="G539" i="44" s="1"/>
  <c r="H545" i="15"/>
  <c r="I545" i="44" s="1"/>
  <c r="H541" i="15"/>
  <c r="I541" i="44" s="1"/>
  <c r="H563" i="15"/>
  <c r="I563" i="44" s="1"/>
  <c r="H542" i="15"/>
  <c r="I542" i="44" s="1"/>
  <c r="H546" i="15"/>
  <c r="I546" i="44" s="1"/>
  <c r="H560" i="15"/>
  <c r="I560" i="44" s="1"/>
  <c r="H539" i="15"/>
  <c r="I539" i="44" s="1"/>
  <c r="H543" i="15"/>
  <c r="I543" i="44" s="1"/>
  <c r="H547" i="15"/>
  <c r="I547" i="44" s="1"/>
  <c r="H561" i="15"/>
  <c r="I561" i="44" s="1"/>
  <c r="H562" i="15"/>
  <c r="I562" i="44" s="1"/>
  <c r="H540" i="15"/>
  <c r="I540" i="44" s="1"/>
  <c r="B547" i="18"/>
  <c r="B548" i="18" s="1"/>
  <c r="B549" i="18" s="1"/>
  <c r="B550" i="18" s="1"/>
  <c r="B551" i="18" s="1"/>
  <c r="B552" i="18" s="1"/>
  <c r="B553" i="18" s="1"/>
  <c r="B554" i="18" s="1"/>
  <c r="B555" i="18" s="1"/>
  <c r="B556" i="18" s="1"/>
  <c r="B557" i="18" s="1"/>
  <c r="B558" i="18" s="1"/>
  <c r="B559" i="18" s="1"/>
  <c r="B560" i="18" s="1"/>
  <c r="B561" i="18" s="1"/>
  <c r="B562" i="18" s="1"/>
  <c r="B563" i="18" s="1"/>
  <c r="B564" i="18" s="1"/>
  <c r="B565" i="18" s="1"/>
  <c r="B566" i="18" s="1"/>
  <c r="B567" i="18" s="1"/>
  <c r="B568" i="18" s="1"/>
  <c r="B569" i="18" s="1"/>
  <c r="B570" i="18" s="1"/>
  <c r="B571" i="18" s="1"/>
  <c r="B572" i="18" s="1"/>
  <c r="B573" i="18" s="1"/>
  <c r="B574" i="18" s="1"/>
  <c r="B575" i="18" s="1"/>
  <c r="H529" i="13"/>
  <c r="G529" i="44" s="1"/>
  <c r="H519" i="13"/>
  <c r="G519" i="44" s="1"/>
  <c r="H520" i="13"/>
  <c r="G520" i="44" s="1"/>
  <c r="H527" i="13"/>
  <c r="G527" i="44" s="1"/>
  <c r="H538" i="13"/>
  <c r="G538" i="44" s="1"/>
  <c r="H535" i="13"/>
  <c r="G535" i="44" s="1"/>
  <c r="H555" i="13"/>
  <c r="G555" i="44" s="1"/>
  <c r="H521" i="13"/>
  <c r="G521" i="44" s="1"/>
  <c r="H536" i="13"/>
  <c r="G536" i="44" s="1"/>
  <c r="H534" i="13"/>
  <c r="G534" i="44" s="1"/>
  <c r="H532" i="13"/>
  <c r="G532" i="44" s="1"/>
  <c r="H537" i="13"/>
  <c r="G537" i="44" s="1"/>
  <c r="H528" i="13"/>
  <c r="G528" i="44" s="1"/>
  <c r="H533" i="13"/>
  <c r="G533" i="44" s="1"/>
  <c r="H554" i="13"/>
  <c r="G554" i="44" s="1"/>
  <c r="H602" i="16"/>
  <c r="K602" i="44" s="1"/>
  <c r="L258" i="44"/>
  <c r="L1095" i="8"/>
  <c r="N103" i="8"/>
  <c r="N196" i="8"/>
  <c r="N307" i="8"/>
  <c r="N268" i="8"/>
  <c r="N118" i="8"/>
  <c r="N154" i="8"/>
  <c r="N185" i="8"/>
  <c r="N115" i="8"/>
  <c r="L953" i="8"/>
  <c r="L907" i="8"/>
  <c r="N593" i="8"/>
  <c r="N195" i="8"/>
  <c r="N136" i="8"/>
  <c r="N241" i="8"/>
  <c r="L276" i="8"/>
  <c r="N138" i="8"/>
  <c r="N186" i="8"/>
  <c r="N104" i="8"/>
  <c r="N191" i="8"/>
  <c r="L998" i="8"/>
  <c r="L556" i="8"/>
  <c r="N153" i="8"/>
  <c r="N258" i="8"/>
  <c r="L903" i="8"/>
  <c r="L692" i="8"/>
  <c r="N114" i="8"/>
  <c r="L705" i="8"/>
  <c r="L453" i="8"/>
  <c r="L261" i="8"/>
  <c r="N264" i="8"/>
  <c r="L751" i="8"/>
  <c r="N259" i="8"/>
  <c r="L197" i="8"/>
  <c r="L915" i="8"/>
  <c r="N349" i="8"/>
  <c r="L729" i="8"/>
  <c r="N350" i="8"/>
  <c r="L739" i="8"/>
  <c r="L1101" i="8"/>
  <c r="L734" i="44"/>
  <c r="N734" i="44" s="1"/>
  <c r="L413" i="8"/>
  <c r="L731" i="8"/>
  <c r="L890" i="8"/>
  <c r="L354" i="8"/>
  <c r="L1013" i="8"/>
  <c r="L1091" i="8"/>
  <c r="N190" i="8"/>
  <c r="L433" i="8"/>
  <c r="N216" i="8"/>
  <c r="L659" i="8"/>
  <c r="F661" i="8"/>
  <c r="L741" i="8"/>
  <c r="L784" i="8"/>
  <c r="L1063" i="8"/>
  <c r="L707" i="8"/>
  <c r="O358" i="8"/>
  <c r="N358" i="8"/>
  <c r="F1180" i="13"/>
  <c r="F1180" i="44" s="1"/>
  <c r="L1181" i="8"/>
  <c r="L1130" i="8"/>
  <c r="L610" i="8"/>
  <c r="L193" i="8"/>
  <c r="L121" i="8"/>
  <c r="O360" i="8"/>
  <c r="N360" i="8"/>
  <c r="O359" i="8"/>
  <c r="N359" i="8"/>
  <c r="G872" i="8"/>
  <c r="L868" i="8"/>
  <c r="L825" i="8"/>
  <c r="L823" i="8"/>
  <c r="G476" i="8"/>
  <c r="L474" i="8"/>
  <c r="G857" i="8"/>
  <c r="L853" i="8"/>
  <c r="L1161" i="8"/>
  <c r="L1032" i="8"/>
  <c r="G388" i="8"/>
  <c r="L386" i="8"/>
  <c r="L242" i="8"/>
  <c r="L648" i="8"/>
  <c r="L106" i="8"/>
  <c r="L1140" i="8"/>
  <c r="L1153" i="8"/>
  <c r="L812" i="8"/>
  <c r="N431" i="8"/>
  <c r="L814" i="8"/>
  <c r="O385" i="8"/>
  <c r="N385" i="8"/>
  <c r="G17" i="8"/>
  <c r="L783" i="8"/>
  <c r="L597" i="8"/>
  <c r="G219" i="8"/>
  <c r="N275" i="8"/>
  <c r="L919" i="8"/>
  <c r="L895" i="8"/>
  <c r="L955" i="8"/>
  <c r="L749" i="8"/>
  <c r="N260" i="8"/>
  <c r="L21" i="8"/>
  <c r="F363" i="8"/>
  <c r="H661" i="8"/>
  <c r="I661" i="8"/>
  <c r="F709" i="8"/>
  <c r="G709" i="8"/>
  <c r="L773" i="44"/>
  <c r="N773" i="44" s="1"/>
  <c r="I709" i="8"/>
  <c r="G661" i="8"/>
  <c r="H709" i="8"/>
  <c r="L744" i="44"/>
  <c r="N744" i="44" s="1"/>
  <c r="L1006" i="44"/>
  <c r="N1006" i="44" s="1"/>
  <c r="H1061" i="15"/>
  <c r="I1061" i="44" s="1"/>
  <c r="L189" i="44"/>
  <c r="H1126" i="13"/>
  <c r="G1126" i="44" s="1"/>
  <c r="H1067" i="13"/>
  <c r="G1067" i="44" s="1"/>
  <c r="H259" i="15"/>
  <c r="I259" i="44" s="1"/>
  <c r="H349" i="15"/>
  <c r="I349" i="44" s="1"/>
  <c r="H951" i="15"/>
  <c r="I951" i="44" s="1"/>
  <c r="L682" i="44"/>
  <c r="H1135" i="13"/>
  <c r="G1135" i="44" s="1"/>
  <c r="H944" i="15"/>
  <c r="I944" i="44" s="1"/>
  <c r="H1051" i="15"/>
  <c r="I1051" i="44" s="1"/>
  <c r="H258" i="16"/>
  <c r="K258" i="44" s="1"/>
  <c r="H411" i="16"/>
  <c r="K411" i="44" s="1"/>
  <c r="H534" i="16"/>
  <c r="K534" i="44" s="1"/>
  <c r="L1124" i="44"/>
  <c r="N1124" i="44" s="1"/>
  <c r="L817" i="44"/>
  <c r="L942" i="44"/>
  <c r="L1026" i="44"/>
  <c r="N1026" i="44" s="1"/>
  <c r="L777" i="44"/>
  <c r="N777" i="44" s="1"/>
  <c r="L697" i="44"/>
  <c r="N697" i="44" s="1"/>
  <c r="L1008" i="44"/>
  <c r="N1008" i="44" s="1"/>
  <c r="L275" i="44"/>
  <c r="L1136" i="44"/>
  <c r="N1136" i="44" s="1"/>
  <c r="L138" i="44"/>
  <c r="Q1277" i="15"/>
  <c r="L1205" i="44"/>
  <c r="N1205" i="44" s="1"/>
  <c r="L349" i="44"/>
  <c r="L1031" i="44"/>
  <c r="N1031" i="44" s="1"/>
  <c r="L728" i="44"/>
  <c r="N728" i="44" s="1"/>
  <c r="L656" i="44"/>
  <c r="N656" i="44" s="1"/>
  <c r="L738" i="44"/>
  <c r="N738" i="44" s="1"/>
  <c r="L564" i="44"/>
  <c r="N564" i="44" s="1"/>
  <c r="L944" i="44"/>
  <c r="L747" i="44"/>
  <c r="N747" i="44" s="1"/>
  <c r="F106" i="15"/>
  <c r="H106" i="44" s="1"/>
  <c r="F648" i="15"/>
  <c r="H648" i="44" s="1"/>
  <c r="F998" i="15"/>
  <c r="H998" i="44" s="1"/>
  <c r="L1157" i="44"/>
  <c r="N1157" i="44" s="1"/>
  <c r="F386" i="15"/>
  <c r="H386" i="44" s="1"/>
  <c r="F853" i="15"/>
  <c r="H853" i="44" s="1"/>
  <c r="F386" i="13"/>
  <c r="F386" i="44" s="1"/>
  <c r="F915" i="15"/>
  <c r="H915" i="44" s="1"/>
  <c r="L350" i="44"/>
  <c r="P620" i="15"/>
  <c r="P81" i="15" s="1"/>
  <c r="F193" i="15"/>
  <c r="H193" i="44" s="1"/>
  <c r="L703" i="44"/>
  <c r="N703" i="44" s="1"/>
  <c r="L1122" i="44"/>
  <c r="N1122" i="44" s="1"/>
  <c r="L770" i="44"/>
  <c r="N770" i="44" s="1"/>
  <c r="H1101" i="44"/>
  <c r="L591" i="44"/>
  <c r="L1024" i="44"/>
  <c r="N1024" i="44" s="1"/>
  <c r="L685" i="44"/>
  <c r="N685" i="44" s="1"/>
  <c r="F474" i="13"/>
  <c r="F474" i="44" s="1"/>
  <c r="F21" i="15"/>
  <c r="H21" i="44" s="1"/>
  <c r="L848" i="44"/>
  <c r="N848" i="44" s="1"/>
  <c r="F386" i="16"/>
  <c r="J386" i="44" s="1"/>
  <c r="F197" i="15"/>
  <c r="H197" i="44" s="1"/>
  <c r="F261" i="15"/>
  <c r="H261" i="44" s="1"/>
  <c r="F1091" i="15"/>
  <c r="H1091" i="44" s="1"/>
  <c r="L153" i="44"/>
  <c r="L948" i="44"/>
  <c r="L595" i="44"/>
  <c r="L186" i="44"/>
  <c r="L1023" i="44"/>
  <c r="N1023" i="44" s="1"/>
  <c r="L1056" i="44"/>
  <c r="N1056" i="44" s="1"/>
  <c r="L735" i="44"/>
  <c r="N735" i="44" s="1"/>
  <c r="L563" i="44"/>
  <c r="N563" i="44" s="1"/>
  <c r="N620" i="13"/>
  <c r="N81" i="13" s="1"/>
  <c r="F1160" i="15"/>
  <c r="H1160" i="44" s="1"/>
  <c r="L901" i="44"/>
  <c r="F1032" i="15"/>
  <c r="H1032" i="44" s="1"/>
  <c r="L105" i="44"/>
  <c r="F474" i="15"/>
  <c r="H474" i="44" s="1"/>
  <c r="L688" i="44"/>
  <c r="N688" i="44" s="1"/>
  <c r="L1054" i="44"/>
  <c r="N1054" i="44" s="1"/>
  <c r="L295" i="44"/>
  <c r="L157" i="44"/>
  <c r="F729" i="15"/>
  <c r="H729" i="44" s="1"/>
  <c r="F1095" i="13"/>
  <c r="F1095" i="44" s="1"/>
  <c r="L684" i="44"/>
  <c r="N684" i="44" s="1"/>
  <c r="F242" i="13"/>
  <c r="F242" i="44" s="1"/>
  <c r="L559" i="44"/>
  <c r="N559" i="44" s="1"/>
  <c r="L351" i="44"/>
  <c r="L352" i="44"/>
  <c r="L952" i="44"/>
  <c r="L689" i="44"/>
  <c r="N689" i="44" s="1"/>
  <c r="L779" i="44"/>
  <c r="N779" i="44" s="1"/>
  <c r="L1062" i="44"/>
  <c r="N1062" i="44" s="1"/>
  <c r="L807" i="44"/>
  <c r="L950" i="44"/>
  <c r="N1275" i="15"/>
  <c r="J1275" i="15"/>
  <c r="Q1261" i="15"/>
  <c r="Q1262" i="15" s="1"/>
  <c r="J1261" i="15"/>
  <c r="J1262" i="15" s="1"/>
  <c r="J1279" i="15"/>
  <c r="Q1279" i="15"/>
  <c r="L1279" i="15"/>
  <c r="Q1275" i="15"/>
  <c r="L1275" i="15"/>
  <c r="S1275" i="13"/>
  <c r="O620" i="13"/>
  <c r="O81" i="13" s="1"/>
  <c r="K620" i="13"/>
  <c r="K81" i="13" s="1"/>
  <c r="F81" i="13"/>
  <c r="F81" i="44" s="1"/>
  <c r="F784" i="15"/>
  <c r="H784" i="44" s="1"/>
  <c r="O1373" i="15"/>
  <c r="S1373" i="15"/>
  <c r="R1373" i="15"/>
  <c r="J620" i="13"/>
  <c r="J81" i="13" s="1"/>
  <c r="L620" i="13"/>
  <c r="L81" i="13" s="1"/>
  <c r="M620" i="13"/>
  <c r="M81" i="13" s="1"/>
  <c r="J784" i="8"/>
  <c r="F998" i="13"/>
  <c r="F998" i="44" s="1"/>
  <c r="I1212" i="8"/>
  <c r="F1211" i="16" s="1"/>
  <c r="J1211" i="44" s="1"/>
  <c r="F907" i="13"/>
  <c r="F907" i="44" s="1"/>
  <c r="F783" i="15"/>
  <c r="H783" i="44" s="1"/>
  <c r="F648" i="13"/>
  <c r="F648" i="44" s="1"/>
  <c r="F890" i="13"/>
  <c r="F890" i="44" s="1"/>
  <c r="F868" i="13"/>
  <c r="F868" i="44" s="1"/>
  <c r="F903" i="13"/>
  <c r="F903" i="44" s="1"/>
  <c r="P620" i="13"/>
  <c r="P81" i="13" s="1"/>
  <c r="F21" i="13"/>
  <c r="F21" i="44" s="1"/>
  <c r="F919" i="13"/>
  <c r="F919" i="44" s="1"/>
  <c r="F895" i="13"/>
  <c r="F895" i="44" s="1"/>
  <c r="F955" i="13"/>
  <c r="F955" i="44" s="1"/>
  <c r="Q620" i="13"/>
  <c r="Q81" i="13" s="1"/>
  <c r="R620" i="13"/>
  <c r="R81" i="13" s="1"/>
  <c r="S620" i="13"/>
  <c r="S81" i="13" s="1"/>
  <c r="G53" i="8"/>
  <c r="F659" i="13"/>
  <c r="F659" i="44" s="1"/>
  <c r="F597" i="13"/>
  <c r="F597" i="44" s="1"/>
  <c r="F915" i="13"/>
  <c r="F915" i="44" s="1"/>
  <c r="F1091" i="13"/>
  <c r="F1091" i="44" s="1"/>
  <c r="F751" i="13"/>
  <c r="F751" i="44" s="1"/>
  <c r="F610" i="13"/>
  <c r="F610" i="44" s="1"/>
  <c r="F853" i="13"/>
  <c r="F853" i="44" s="1"/>
  <c r="F70" i="15"/>
  <c r="H70" i="44" s="1"/>
  <c r="W409" i="15"/>
  <c r="F70" i="13"/>
  <c r="F70" i="44" s="1"/>
  <c r="X409" i="13"/>
  <c r="N1373" i="13"/>
  <c r="N1100" i="13" s="1"/>
  <c r="S1373" i="13"/>
  <c r="S1100" i="13" s="1"/>
  <c r="R1373" i="13"/>
  <c r="R1100" i="13" s="1"/>
  <c r="J1277" i="13"/>
  <c r="H1213" i="8"/>
  <c r="F1212" i="15" s="1"/>
  <c r="H1212" i="44" s="1"/>
  <c r="F955" i="15"/>
  <c r="H955" i="44" s="1"/>
  <c r="I909" i="8"/>
  <c r="H921" i="8"/>
  <c r="J1277" i="16"/>
  <c r="N1277" i="16"/>
  <c r="J1275" i="16"/>
  <c r="J1279" i="13"/>
  <c r="N1275" i="13"/>
  <c r="J453" i="8"/>
  <c r="F1214" i="18"/>
  <c r="F413" i="13"/>
  <c r="F413" i="44" s="1"/>
  <c r="F258" i="18"/>
  <c r="F1063" i="13"/>
  <c r="F1063" i="44" s="1"/>
  <c r="H532" i="16"/>
  <c r="K532" i="44" s="1"/>
  <c r="H1068" i="16"/>
  <c r="K1068" i="44" s="1"/>
  <c r="H952" i="16"/>
  <c r="K952" i="44" s="1"/>
  <c r="H1134" i="16"/>
  <c r="K1134" i="44" s="1"/>
  <c r="H533" i="16"/>
  <c r="K533" i="44" s="1"/>
  <c r="H1005" i="16"/>
  <c r="K1005" i="44" s="1"/>
  <c r="H535" i="16"/>
  <c r="K535" i="44" s="1"/>
  <c r="H536" i="15"/>
  <c r="I536" i="44" s="1"/>
  <c r="H1055" i="15"/>
  <c r="I1055" i="44" s="1"/>
  <c r="H1059" i="15"/>
  <c r="I1059" i="44" s="1"/>
  <c r="H189" i="15"/>
  <c r="I189" i="44" s="1"/>
  <c r="H103" i="15"/>
  <c r="I103" i="44" s="1"/>
  <c r="H996" i="15"/>
  <c r="I996" i="44" s="1"/>
  <c r="H952" i="15"/>
  <c r="I952" i="44" s="1"/>
  <c r="H104" i="15"/>
  <c r="I104" i="44" s="1"/>
  <c r="H1124" i="15"/>
  <c r="I1124" i="44" s="1"/>
  <c r="H532" i="15"/>
  <c r="I532" i="44" s="1"/>
  <c r="H534" i="15"/>
  <c r="I534" i="44" s="1"/>
  <c r="H432" i="15"/>
  <c r="I432" i="44" s="1"/>
  <c r="H1209" i="15"/>
  <c r="I1209" i="44" s="1"/>
  <c r="H565" i="15"/>
  <c r="I565" i="44" s="1"/>
  <c r="H1123" i="15"/>
  <c r="I1123" i="44" s="1"/>
  <c r="H1121" i="15"/>
  <c r="I1121" i="44" s="1"/>
  <c r="H1016" i="15"/>
  <c r="I1016" i="44" s="1"/>
  <c r="H564" i="15"/>
  <c r="I564" i="44" s="1"/>
  <c r="H605" i="15"/>
  <c r="I605" i="44" s="1"/>
  <c r="H699" i="15"/>
  <c r="I699" i="44" s="1"/>
  <c r="H684" i="15"/>
  <c r="I684" i="44" s="1"/>
  <c r="F749" i="13"/>
  <c r="F749" i="44" s="1"/>
  <c r="H347" i="13"/>
  <c r="G347" i="44" s="1"/>
  <c r="H594" i="13"/>
  <c r="G594" i="44" s="1"/>
  <c r="F682" i="18"/>
  <c r="F186" i="18"/>
  <c r="J115" i="45" s="1"/>
  <c r="J1095" i="8"/>
  <c r="H909" i="8"/>
  <c r="H780" i="16"/>
  <c r="K780" i="44" s="1"/>
  <c r="H863" i="16"/>
  <c r="K863" i="44" s="1"/>
  <c r="H1209" i="16"/>
  <c r="K1209" i="44" s="1"/>
  <c r="H519" i="16"/>
  <c r="K519" i="44" s="1"/>
  <c r="F118" i="18"/>
  <c r="F848" i="18"/>
  <c r="F1006" i="18"/>
  <c r="F1130" i="13"/>
  <c r="F1130" i="44" s="1"/>
  <c r="G909" i="8"/>
  <c r="F413" i="15"/>
  <c r="H413" i="44" s="1"/>
  <c r="F433" i="15"/>
  <c r="H433" i="44" s="1"/>
  <c r="H1052" i="13"/>
  <c r="G1052" i="44" s="1"/>
  <c r="H189" i="13"/>
  <c r="G189" i="44" s="1"/>
  <c r="H1025" i="13"/>
  <c r="G1025" i="44" s="1"/>
  <c r="H1059" i="13"/>
  <c r="G1059" i="44" s="1"/>
  <c r="H1007" i="13"/>
  <c r="G1007" i="44" s="1"/>
  <c r="H188" i="13"/>
  <c r="G188" i="44" s="1"/>
  <c r="H352" i="13"/>
  <c r="G352" i="44" s="1"/>
  <c r="H591" i="13"/>
  <c r="G591" i="44" s="1"/>
  <c r="H432" i="13"/>
  <c r="G432" i="44" s="1"/>
  <c r="H862" i="13"/>
  <c r="G862" i="44" s="1"/>
  <c r="H1134" i="13"/>
  <c r="G1134" i="44" s="1"/>
  <c r="H1054" i="13"/>
  <c r="G1054" i="44" s="1"/>
  <c r="H1068" i="13"/>
  <c r="G1068" i="44" s="1"/>
  <c r="H606" i="13"/>
  <c r="G606" i="44" s="1"/>
  <c r="H186" i="13"/>
  <c r="G186" i="44" s="1"/>
  <c r="H600" i="13"/>
  <c r="G600" i="44" s="1"/>
  <c r="H1125" i="13"/>
  <c r="G1125" i="44" s="1"/>
  <c r="H104" i="13"/>
  <c r="G104" i="44" s="1"/>
  <c r="H192" i="13"/>
  <c r="G192" i="44" s="1"/>
  <c r="H1156" i="13"/>
  <c r="G1156" i="44" s="1"/>
  <c r="H996" i="13"/>
  <c r="G996" i="44" s="1"/>
  <c r="H1049" i="13"/>
  <c r="G1049" i="44" s="1"/>
  <c r="H1124" i="13"/>
  <c r="G1124" i="44" s="1"/>
  <c r="H1217" i="13"/>
  <c r="G1217" i="44" s="1"/>
  <c r="H773" i="13"/>
  <c r="G773" i="44" s="1"/>
  <c r="H185" i="13"/>
  <c r="G185" i="44" s="1"/>
  <c r="F591" i="18"/>
  <c r="G16" i="8"/>
  <c r="J620" i="15"/>
  <c r="J81" i="15" s="1"/>
  <c r="G921" i="8"/>
  <c r="H897" i="8"/>
  <c r="F184" i="18"/>
  <c r="F115" i="45" s="1"/>
  <c r="G827" i="8"/>
  <c r="P1364" i="16"/>
  <c r="Q1364" i="16"/>
  <c r="N1364" i="16"/>
  <c r="H81" i="5"/>
  <c r="H85" i="5" s="1"/>
  <c r="E81" i="5"/>
  <c r="E85" i="5" s="1"/>
  <c r="K81" i="5"/>
  <c r="K85" i="5" s="1"/>
  <c r="J81" i="5"/>
  <c r="J85" i="5" s="1"/>
  <c r="L81" i="5"/>
  <c r="L85" i="5" s="1"/>
  <c r="I85" i="5"/>
  <c r="J1261" i="16"/>
  <c r="J1262" i="16" s="1"/>
  <c r="F81" i="5"/>
  <c r="F85" i="5" s="1"/>
  <c r="G81" i="5"/>
  <c r="G85" i="5" s="1"/>
  <c r="S1275" i="15"/>
  <c r="Q111" i="14"/>
  <c r="Q1261" i="16"/>
  <c r="Q1262" i="16" s="1"/>
  <c r="Q110" i="14"/>
  <c r="E84" i="5"/>
  <c r="J1261" i="13"/>
  <c r="J1262" i="13" s="1"/>
  <c r="M1275" i="15"/>
  <c r="L1275" i="16"/>
  <c r="L1275" i="13"/>
  <c r="L1279" i="13"/>
  <c r="L1277" i="13"/>
  <c r="L1279" i="16"/>
  <c r="U1273" i="15"/>
  <c r="N1380" i="15" s="1"/>
  <c r="K1277" i="15"/>
  <c r="K1275" i="15"/>
  <c r="L1364" i="16"/>
  <c r="F1130" i="15"/>
  <c r="H1130" i="44" s="1"/>
  <c r="F1124" i="18"/>
  <c r="F1136" i="18"/>
  <c r="F1054" i="18"/>
  <c r="P205" i="45" s="1"/>
  <c r="F950" i="18"/>
  <c r="F747" i="18"/>
  <c r="I921" i="8"/>
  <c r="F690" i="13"/>
  <c r="F690" i="44" s="1"/>
  <c r="F689" i="18"/>
  <c r="F350" i="18"/>
  <c r="P144" i="45" s="1"/>
  <c r="F738" i="18"/>
  <c r="F684" i="18"/>
  <c r="F1013" i="13"/>
  <c r="F1013" i="44" s="1"/>
  <c r="F1026" i="18"/>
  <c r="F779" i="18"/>
  <c r="F196" i="18"/>
  <c r="F1023" i="18"/>
  <c r="I16" i="8"/>
  <c r="F948" i="18"/>
  <c r="H1103" i="8"/>
  <c r="F777" i="18"/>
  <c r="F914" i="18"/>
  <c r="I897" i="8"/>
  <c r="F1008" i="18"/>
  <c r="J1140" i="8"/>
  <c r="J707" i="8"/>
  <c r="F1067" i="18"/>
  <c r="F1031" i="18"/>
  <c r="F1024" i="18"/>
  <c r="F595" i="18"/>
  <c r="I575" i="8"/>
  <c r="J242" i="8"/>
  <c r="J739" i="8"/>
  <c r="F1018" i="18"/>
  <c r="H575" i="8"/>
  <c r="J1153" i="8"/>
  <c r="F953" i="13"/>
  <c r="F953" i="44" s="1"/>
  <c r="I1065" i="8"/>
  <c r="F735" i="18"/>
  <c r="F1032" i="13"/>
  <c r="F1032" i="44" s="1"/>
  <c r="F1056" i="18"/>
  <c r="T205" i="45" s="1"/>
  <c r="F612" i="8"/>
  <c r="F593" i="18"/>
  <c r="F688" i="18"/>
  <c r="J751" i="8"/>
  <c r="G612" i="8"/>
  <c r="J955" i="8"/>
  <c r="H16" i="8"/>
  <c r="F685" i="18"/>
  <c r="F1013" i="15"/>
  <c r="H1013" i="44" s="1"/>
  <c r="F1063" i="15"/>
  <c r="H1063" i="44" s="1"/>
  <c r="H1065" i="8"/>
  <c r="F807" i="18"/>
  <c r="F770" i="18"/>
  <c r="F867" i="18"/>
  <c r="F1123" i="18"/>
  <c r="F812" i="13"/>
  <c r="F812" i="44" s="1"/>
  <c r="F814" i="13"/>
  <c r="F814" i="44" s="1"/>
  <c r="J121" i="8"/>
  <c r="F728" i="18"/>
  <c r="F597" i="15"/>
  <c r="H597" i="44" s="1"/>
  <c r="F744" i="18"/>
  <c r="F1208" i="18"/>
  <c r="J814" i="8"/>
  <c r="F659" i="15"/>
  <c r="H659" i="44" s="1"/>
  <c r="F942" i="18"/>
  <c r="H363" i="8"/>
  <c r="F952" i="18"/>
  <c r="F596" i="18"/>
  <c r="F825" i="13"/>
  <c r="F825" i="44" s="1"/>
  <c r="F823" i="13"/>
  <c r="F823" i="44" s="1"/>
  <c r="F106" i="13"/>
  <c r="F106" i="44" s="1"/>
  <c r="I1103" i="8"/>
  <c r="I827" i="8"/>
  <c r="F1062" i="18"/>
  <c r="F783" i="13"/>
  <c r="F783" i="44" s="1"/>
  <c r="F850" i="18"/>
  <c r="F773" i="18"/>
  <c r="F1213" i="18"/>
  <c r="F739" i="15"/>
  <c r="H739" i="44" s="1"/>
  <c r="F349" i="18"/>
  <c r="N144" i="45" s="1"/>
  <c r="F153" i="18"/>
  <c r="F944" i="18"/>
  <c r="F189" i="18"/>
  <c r="P115" i="45" s="1"/>
  <c r="I363" i="8"/>
  <c r="F157" i="18"/>
  <c r="F275" i="18"/>
  <c r="H324" i="8"/>
  <c r="G323" i="8"/>
  <c r="F385" i="18"/>
  <c r="F386" i="18" s="1"/>
  <c r="F388" i="18" s="1"/>
  <c r="F69" i="18" s="1"/>
  <c r="H199" i="8"/>
  <c r="I324" i="8"/>
  <c r="F352" i="18"/>
  <c r="T144" i="45" s="1"/>
  <c r="F269" i="18"/>
  <c r="F949" i="18"/>
  <c r="F1088" i="18"/>
  <c r="F912" i="18"/>
  <c r="F644" i="18"/>
  <c r="K620" i="15"/>
  <c r="K81" i="15" s="1"/>
  <c r="G1103" i="8"/>
  <c r="J705" i="8"/>
  <c r="F734" i="18"/>
  <c r="F271" i="18"/>
  <c r="F658" i="18"/>
  <c r="F737" i="18"/>
  <c r="F951" i="18"/>
  <c r="F1133" i="18"/>
  <c r="F913" i="18"/>
  <c r="F646" i="18"/>
  <c r="F1206" i="18"/>
  <c r="F656" i="18"/>
  <c r="H827" i="8"/>
  <c r="F812" i="15"/>
  <c r="H812" i="44" s="1"/>
  <c r="F814" i="15"/>
  <c r="H814" i="44" s="1"/>
  <c r="L620" i="15"/>
  <c r="L81" i="15" s="1"/>
  <c r="J919" i="8"/>
  <c r="F276" i="15"/>
  <c r="H276" i="44" s="1"/>
  <c r="F817" i="18"/>
  <c r="F138" i="18"/>
  <c r="F703" i="18"/>
  <c r="F273" i="18"/>
  <c r="F1055" i="18"/>
  <c r="R205" i="45" s="1"/>
  <c r="F452" i="18"/>
  <c r="F453" i="18" s="1"/>
  <c r="F455" i="18" s="1"/>
  <c r="F72" i="18" s="1"/>
  <c r="F1135" i="18"/>
  <c r="F696" i="18"/>
  <c r="F825" i="15"/>
  <c r="H825" i="44" s="1"/>
  <c r="F823" i="15"/>
  <c r="H823" i="44" s="1"/>
  <c r="F953" i="15"/>
  <c r="H953" i="44" s="1"/>
  <c r="F351" i="18"/>
  <c r="R144" i="45" s="1"/>
  <c r="F1122" i="18"/>
  <c r="F345" i="18"/>
  <c r="F144" i="45" s="1"/>
  <c r="L562" i="44"/>
  <c r="N562" i="44" s="1"/>
  <c r="F705" i="15"/>
  <c r="H705" i="44" s="1"/>
  <c r="F707" i="15"/>
  <c r="H707" i="44" s="1"/>
  <c r="F324" i="8"/>
  <c r="J812" i="8"/>
  <c r="J1032" i="8"/>
  <c r="J1091" i="8"/>
  <c r="F1205" i="18"/>
  <c r="F121" i="15"/>
  <c r="F185" i="18"/>
  <c r="H115" i="45" s="1"/>
  <c r="F114" i="18"/>
  <c r="F727" i="18"/>
  <c r="F1061" i="18"/>
  <c r="F119" i="18"/>
  <c r="F940" i="18"/>
  <c r="F121" i="13"/>
  <c r="F121" i="44" s="1"/>
  <c r="F855" i="18"/>
  <c r="F263" i="18"/>
  <c r="F771" i="18"/>
  <c r="F902" i="18"/>
  <c r="H53" i="8"/>
  <c r="H323" i="8"/>
  <c r="F1089" i="18"/>
  <c r="F108" i="18"/>
  <c r="F729" i="13"/>
  <c r="F729" i="44" s="1"/>
  <c r="F995" i="18"/>
  <c r="F681" i="18"/>
  <c r="F851" i="18"/>
  <c r="F870" i="18"/>
  <c r="F739" i="13"/>
  <c r="F739" i="44" s="1"/>
  <c r="F741" i="13"/>
  <c r="F741" i="44" s="1"/>
  <c r="J1013" i="8"/>
  <c r="J659" i="8"/>
  <c r="F889" i="18"/>
  <c r="F864" i="18"/>
  <c r="F274" i="18"/>
  <c r="F643" i="18"/>
  <c r="F941" i="18"/>
  <c r="F1017" i="18"/>
  <c r="F1156" i="18"/>
  <c r="F654" i="18"/>
  <c r="F642" i="18"/>
  <c r="H650" i="8"/>
  <c r="I650" i="8"/>
  <c r="R620" i="15"/>
  <c r="R81" i="15" s="1"/>
  <c r="Q620" i="15"/>
  <c r="Q81" i="15" s="1"/>
  <c r="O620" i="15"/>
  <c r="O81" i="15" s="1"/>
  <c r="S620" i="15"/>
  <c r="S81" i="15" s="1"/>
  <c r="F81" i="15"/>
  <c r="H81" i="44" s="1"/>
  <c r="F1025" i="18"/>
  <c r="F901" i="18"/>
  <c r="J21" i="8"/>
  <c r="F1050" i="18"/>
  <c r="H205" i="45" s="1"/>
  <c r="F705" i="13"/>
  <c r="F705" i="44" s="1"/>
  <c r="F707" i="13"/>
  <c r="F707" i="44" s="1"/>
  <c r="F105" i="18"/>
  <c r="J907" i="8"/>
  <c r="F863" i="18"/>
  <c r="F821" i="18"/>
  <c r="I323" i="8"/>
  <c r="I53" i="8"/>
  <c r="N620" i="15"/>
  <c r="N81" i="15" s="1"/>
  <c r="J1161" i="8"/>
  <c r="J731" i="8"/>
  <c r="J1130" i="8"/>
  <c r="F893" i="18"/>
  <c r="F698" i="18"/>
  <c r="F309" i="18"/>
  <c r="F725" i="18"/>
  <c r="F943" i="18"/>
  <c r="F1049" i="18"/>
  <c r="F205" i="45" s="1"/>
  <c r="F291" i="18"/>
  <c r="F1022" i="18"/>
  <c r="F775" i="18"/>
  <c r="F692" i="15"/>
  <c r="H692" i="44" s="1"/>
  <c r="F690" i="15"/>
  <c r="H690" i="44" s="1"/>
  <c r="F308" i="18"/>
  <c r="F704" i="18"/>
  <c r="G18" i="3"/>
  <c r="G1213" i="8" s="1"/>
  <c r="J1181" i="8"/>
  <c r="F1180" i="15"/>
  <c r="H1180" i="44" s="1"/>
  <c r="G1065" i="8"/>
  <c r="F692" i="13"/>
  <c r="F692" i="44" s="1"/>
  <c r="F295" i="18"/>
  <c r="F865" i="18"/>
  <c r="F699" i="18"/>
  <c r="F103" i="18"/>
  <c r="G897" i="8"/>
  <c r="F1125" i="18"/>
  <c r="F1060" i="18"/>
  <c r="V205" i="45" s="1"/>
  <c r="F749" i="15"/>
  <c r="H749" i="44" s="1"/>
  <c r="F751" i="15"/>
  <c r="H751" i="44" s="1"/>
  <c r="J741" i="8"/>
  <c r="J692" i="8"/>
  <c r="J1063" i="8"/>
  <c r="F276" i="13"/>
  <c r="F276" i="44" s="1"/>
  <c r="M620" i="15"/>
  <c r="M81" i="15" s="1"/>
  <c r="F845" i="18"/>
  <c r="F360" i="18"/>
  <c r="F104" i="18"/>
  <c r="F778" i="18"/>
  <c r="F1121" i="18"/>
  <c r="F1090" i="18"/>
  <c r="F1209" i="18"/>
  <c r="F900" i="18"/>
  <c r="F1052" i="18"/>
  <c r="L205" i="45" s="1"/>
  <c r="F216" i="18"/>
  <c r="F1094" i="18"/>
  <c r="H74" i="8"/>
  <c r="G650" i="8"/>
  <c r="F115" i="18"/>
  <c r="F1016" i="18"/>
  <c r="F1029" i="18"/>
  <c r="F18" i="3"/>
  <c r="F1213" i="8" s="1"/>
  <c r="F701" i="18"/>
  <c r="F804" i="18"/>
  <c r="F697" i="18"/>
  <c r="L1373" i="15"/>
  <c r="Q1373" i="15"/>
  <c r="J1373" i="13"/>
  <c r="J1100" i="13" s="1"/>
  <c r="L1373" i="13"/>
  <c r="L1100" i="13" s="1"/>
  <c r="M1373" i="15"/>
  <c r="J1373" i="15"/>
  <c r="P1373" i="15"/>
  <c r="K1373" i="13"/>
  <c r="K1100" i="13" s="1"/>
  <c r="N1373" i="15"/>
  <c r="K1373" i="15"/>
  <c r="Q1373" i="13"/>
  <c r="Q1100" i="13" s="1"/>
  <c r="P1373" i="13"/>
  <c r="P1100" i="13" s="1"/>
  <c r="O1373" i="13"/>
  <c r="O1100" i="13" s="1"/>
  <c r="M1373" i="13"/>
  <c r="M1100" i="13" s="1"/>
  <c r="F806" i="18"/>
  <c r="F906" i="18"/>
  <c r="S1275" i="16"/>
  <c r="S1277" i="16"/>
  <c r="F1001" i="18"/>
  <c r="F495" i="18"/>
  <c r="F781" i="18"/>
  <c r="J17" i="3"/>
  <c r="U1266" i="16"/>
  <c r="J853" i="8"/>
  <c r="H537" i="16"/>
  <c r="K537" i="44" s="1"/>
  <c r="H995" i="16"/>
  <c r="K995" i="44" s="1"/>
  <c r="H103" i="16"/>
  <c r="K103" i="44" s="1"/>
  <c r="H561" i="16"/>
  <c r="K561" i="44" s="1"/>
  <c r="H1049" i="16"/>
  <c r="K1049" i="44" s="1"/>
  <c r="H1010" i="16"/>
  <c r="K1010" i="44" s="1"/>
  <c r="H997" i="16"/>
  <c r="K997" i="44" s="1"/>
  <c r="H1133" i="16"/>
  <c r="K1133" i="44" s="1"/>
  <c r="F141" i="18"/>
  <c r="F808" i="18"/>
  <c r="F113" i="18"/>
  <c r="F158" i="18"/>
  <c r="F892" i="18"/>
  <c r="F702" i="18"/>
  <c r="F811" i="18"/>
  <c r="F918" i="18"/>
  <c r="F358" i="18"/>
  <c r="F290" i="18"/>
  <c r="F820" i="18"/>
  <c r="F645" i="18"/>
  <c r="F748" i="18"/>
  <c r="F1007" i="18"/>
  <c r="I199" i="8"/>
  <c r="F191" i="18"/>
  <c r="T115" i="45" s="1"/>
  <c r="F641" i="18"/>
  <c r="F774" i="18"/>
  <c r="F1098" i="18"/>
  <c r="F117" i="18"/>
  <c r="F724" i="18"/>
  <c r="F260" i="18"/>
  <c r="F1012" i="18"/>
  <c r="F1134" i="18"/>
  <c r="I476" i="8"/>
  <c r="J474" i="8"/>
  <c r="F188" i="18"/>
  <c r="N115" i="45" s="1"/>
  <c r="F353" i="18"/>
  <c r="V144" i="45" s="1"/>
  <c r="K1364" i="16"/>
  <c r="M1364" i="16"/>
  <c r="H158" i="16"/>
  <c r="K158" i="44" s="1"/>
  <c r="F190" i="18"/>
  <c r="R115" i="45" s="1"/>
  <c r="K1279" i="16"/>
  <c r="K1277" i="16"/>
  <c r="K1275" i="16"/>
  <c r="F809" i="18"/>
  <c r="F192" i="18"/>
  <c r="V115" i="45" s="1"/>
  <c r="F136" i="18"/>
  <c r="F861" i="18"/>
  <c r="F746" i="18"/>
  <c r="F745" i="18"/>
  <c r="F156" i="18"/>
  <c r="F640" i="18"/>
  <c r="F1053" i="18"/>
  <c r="N205" i="45" s="1"/>
  <c r="J386" i="8"/>
  <c r="F594" i="18"/>
  <c r="O1364" i="15"/>
  <c r="H536" i="16"/>
  <c r="K536" i="44" s="1"/>
  <c r="H526" i="16"/>
  <c r="K526" i="44" s="1"/>
  <c r="H701" i="16"/>
  <c r="K701" i="44" s="1"/>
  <c r="H1052" i="16"/>
  <c r="K1052" i="44" s="1"/>
  <c r="H432" i="16"/>
  <c r="K432" i="44" s="1"/>
  <c r="H700" i="16"/>
  <c r="K700" i="44" s="1"/>
  <c r="H1001" i="16"/>
  <c r="K1001" i="44" s="1"/>
  <c r="H862" i="16"/>
  <c r="K862" i="44" s="1"/>
  <c r="H259" i="16"/>
  <c r="K259" i="44" s="1"/>
  <c r="H1122" i="16"/>
  <c r="K1122" i="44" s="1"/>
  <c r="H1212" i="16"/>
  <c r="K1212" i="44" s="1"/>
  <c r="H1121" i="16"/>
  <c r="K1121" i="44" s="1"/>
  <c r="H529" i="16"/>
  <c r="K529" i="44" s="1"/>
  <c r="H1055" i="16"/>
  <c r="K1055" i="44" s="1"/>
  <c r="F917" i="18"/>
  <c r="F844" i="18"/>
  <c r="F154" i="18"/>
  <c r="F810" i="18"/>
  <c r="F116" i="18"/>
  <c r="F310" i="18"/>
  <c r="H108" i="14"/>
  <c r="P73" i="5"/>
  <c r="F819" i="18"/>
  <c r="F195" i="18"/>
  <c r="X115" i="45" s="1"/>
  <c r="F346" i="18"/>
  <c r="H144" i="45" s="1"/>
  <c r="F292" i="18"/>
  <c r="F822" i="18"/>
  <c r="F726" i="18"/>
  <c r="F780" i="18"/>
  <c r="F1009" i="18"/>
  <c r="F1099" i="18"/>
  <c r="F846" i="18"/>
  <c r="F647" i="18"/>
  <c r="F947" i="18"/>
  <c r="F1051" i="18"/>
  <c r="F592" i="18"/>
  <c r="Q1277" i="16"/>
  <c r="Q1279" i="16"/>
  <c r="Q1280" i="16"/>
  <c r="Q1275" i="16"/>
  <c r="F268" i="18"/>
  <c r="G324" i="8"/>
  <c r="G54" i="8"/>
  <c r="F769" i="18"/>
  <c r="F996" i="18"/>
  <c r="F1028" i="18"/>
  <c r="L561" i="44"/>
  <c r="N561" i="44" s="1"/>
  <c r="M1277" i="13"/>
  <c r="M1275" i="13"/>
  <c r="F473" i="18"/>
  <c r="F474" i="18" s="1"/>
  <c r="F476" i="18" s="1"/>
  <c r="F73" i="18" s="1"/>
  <c r="F686" i="18"/>
  <c r="F270" i="18"/>
  <c r="F849" i="18"/>
  <c r="Q121" i="44"/>
  <c r="F120" i="18"/>
  <c r="F653" i="18"/>
  <c r="F1059" i="18"/>
  <c r="F997" i="18"/>
  <c r="F1210" i="18"/>
  <c r="F1010" i="18"/>
  <c r="H951" i="16"/>
  <c r="K951" i="44" s="1"/>
  <c r="H864" i="16"/>
  <c r="K864" i="44" s="1"/>
  <c r="H528" i="16"/>
  <c r="K528" i="44" s="1"/>
  <c r="H1156" i="16"/>
  <c r="K1156" i="44" s="1"/>
  <c r="H1125" i="16"/>
  <c r="K1125" i="44" s="1"/>
  <c r="H291" i="16"/>
  <c r="K291" i="44" s="1"/>
  <c r="H105" i="16"/>
  <c r="K105" i="44" s="1"/>
  <c r="H527" i="16"/>
  <c r="K527" i="44" s="1"/>
  <c r="H847" i="16"/>
  <c r="K847" i="44" s="1"/>
  <c r="H591" i="16"/>
  <c r="K591" i="44" s="1"/>
  <c r="H1135" i="16"/>
  <c r="K1135" i="44" s="1"/>
  <c r="Q1261" i="13"/>
  <c r="Q1262" i="13" s="1"/>
  <c r="L84" i="5"/>
  <c r="F888" i="18"/>
  <c r="F818" i="18"/>
  <c r="F187" i="18"/>
  <c r="F264" i="18"/>
  <c r="U1273" i="13"/>
  <c r="K1277" i="13"/>
  <c r="K1279" i="13"/>
  <c r="K1275" i="13"/>
  <c r="F847" i="18"/>
  <c r="F805" i="18"/>
  <c r="F359" i="18"/>
  <c r="X144" i="45" s="1"/>
  <c r="U1273" i="16"/>
  <c r="K1380" i="16" s="1"/>
  <c r="F272" i="18"/>
  <c r="F109" i="18"/>
  <c r="F311" i="18"/>
  <c r="F736" i="18"/>
  <c r="F259" i="18"/>
  <c r="F1027" i="18"/>
  <c r="Q1275" i="13"/>
  <c r="Q1279" i="13"/>
  <c r="Q1280" i="13"/>
  <c r="U1280" i="13" s="1"/>
  <c r="Q1387" i="13" s="1"/>
  <c r="U1387" i="13" s="1"/>
  <c r="Q1277" i="13"/>
  <c r="F680" i="18"/>
  <c r="F776" i="18"/>
  <c r="F1068" i="18"/>
  <c r="X205" i="45" s="1"/>
  <c r="F241" i="18"/>
  <c r="F242" i="18" s="1"/>
  <c r="F244" i="18" s="1"/>
  <c r="F68" i="18" s="1"/>
  <c r="F683" i="18"/>
  <c r="F946" i="18"/>
  <c r="F1005" i="18"/>
  <c r="F1030" i="18"/>
  <c r="M1277" i="16"/>
  <c r="M1275" i="16"/>
  <c r="I612" i="8"/>
  <c r="F347" i="18"/>
  <c r="J144" i="45" s="1"/>
  <c r="I18" i="3"/>
  <c r="F431" i="18"/>
  <c r="J1364" i="16"/>
  <c r="F852" i="18"/>
  <c r="F866" i="18"/>
  <c r="F860" i="18"/>
  <c r="P1363" i="16"/>
  <c r="K1363" i="16"/>
  <c r="M1363" i="16"/>
  <c r="J1363" i="16"/>
  <c r="R1363" i="16"/>
  <c r="N1377" i="16"/>
  <c r="L1377" i="16"/>
  <c r="P1377" i="16"/>
  <c r="O1377" i="16"/>
  <c r="J1377" i="16"/>
  <c r="K1377" i="16"/>
  <c r="M1377" i="16"/>
  <c r="Q1377" i="16"/>
  <c r="L1363" i="15"/>
  <c r="P1363" i="15"/>
  <c r="N1363" i="15"/>
  <c r="M1363" i="15"/>
  <c r="S1363" i="15"/>
  <c r="Q1363" i="15"/>
  <c r="R1363" i="15"/>
  <c r="O1363" i="15"/>
  <c r="J1363" i="15"/>
  <c r="K1363" i="15"/>
  <c r="F945" i="18"/>
  <c r="F38" i="14"/>
  <c r="N1377" i="13"/>
  <c r="K26" i="1" s="1"/>
  <c r="Q1377" i="13"/>
  <c r="N26" i="1" s="1"/>
  <c r="J1377" i="13"/>
  <c r="L1377" i="13"/>
  <c r="I26" i="1" s="1"/>
  <c r="M1377" i="13"/>
  <c r="J26" i="1" s="1"/>
  <c r="U1257" i="13"/>
  <c r="K1364" i="13" s="1"/>
  <c r="G575" i="8"/>
  <c r="F219" i="8"/>
  <c r="F897" i="8"/>
  <c r="J895" i="8"/>
  <c r="J729" i="8"/>
  <c r="F16" i="8"/>
  <c r="G1256" i="16"/>
  <c r="H1255" i="16"/>
  <c r="G1426" i="13"/>
  <c r="G1427" i="13" s="1"/>
  <c r="G1428" i="13" s="1"/>
  <c r="G1429" i="13" s="1"/>
  <c r="G1430" i="13" s="1"/>
  <c r="G1431" i="13" s="1"/>
  <c r="G1432" i="13" s="1"/>
  <c r="G1433" i="13" s="1"/>
  <c r="G1434" i="13" s="1"/>
  <c r="G1435" i="13" s="1"/>
  <c r="G1436" i="13" s="1"/>
  <c r="G1437" i="13" s="1"/>
  <c r="H704" i="13" s="1"/>
  <c r="G704" i="44" s="1"/>
  <c r="H291" i="13"/>
  <c r="G291" i="44" s="1"/>
  <c r="G1426" i="15"/>
  <c r="G1427" i="15" s="1"/>
  <c r="G1428" i="15" s="1"/>
  <c r="G1429" i="15" s="1"/>
  <c r="G1430" i="15" s="1"/>
  <c r="G1431" i="15" s="1"/>
  <c r="G1432" i="15" s="1"/>
  <c r="G1433" i="15" s="1"/>
  <c r="G1434" i="15" s="1"/>
  <c r="G1435" i="15" s="1"/>
  <c r="G1436" i="15" s="1"/>
  <c r="G1437" i="15" s="1"/>
  <c r="H945" i="15" s="1"/>
  <c r="I945" i="44" s="1"/>
  <c r="H1026" i="15"/>
  <c r="I1026" i="44" s="1"/>
  <c r="H846" i="15"/>
  <c r="I846" i="44" s="1"/>
  <c r="H606" i="15"/>
  <c r="I606" i="44" s="1"/>
  <c r="H701" i="15"/>
  <c r="I701" i="44" s="1"/>
  <c r="F905" i="18"/>
  <c r="F700" i="18"/>
  <c r="F197" i="13"/>
  <c r="F197" i="44" s="1"/>
  <c r="J354" i="8"/>
  <c r="I435" i="8"/>
  <c r="O1377" i="13"/>
  <c r="L26" i="1" s="1"/>
  <c r="L1354" i="13"/>
  <c r="F610" i="15"/>
  <c r="H610" i="44" s="1"/>
  <c r="P1377" i="13"/>
  <c r="M26" i="1" s="1"/>
  <c r="L1363" i="13"/>
  <c r="P1363" i="13"/>
  <c r="O1363" i="13"/>
  <c r="R1363" i="13"/>
  <c r="J1363" i="13"/>
  <c r="K1363" i="13"/>
  <c r="Q1363" i="13"/>
  <c r="F453" i="13"/>
  <c r="F453" i="44" s="1"/>
  <c r="F600" i="18"/>
  <c r="G76" i="8"/>
  <c r="J193" i="8"/>
  <c r="F199" i="8"/>
  <c r="J749" i="8"/>
  <c r="J648" i="8"/>
  <c r="F650" i="8"/>
  <c r="F1065" i="8"/>
  <c r="J998" i="8"/>
  <c r="J413" i="8"/>
  <c r="F76" i="8"/>
  <c r="J690" i="8"/>
  <c r="F872" i="8"/>
  <c r="J868" i="8"/>
  <c r="J783" i="8"/>
  <c r="H847" i="15"/>
  <c r="I847" i="44" s="1"/>
  <c r="G1426" i="16"/>
  <c r="H1007" i="16"/>
  <c r="K1007" i="44" s="1"/>
  <c r="H699" i="13"/>
  <c r="G699" i="44" s="1"/>
  <c r="H1016" i="13"/>
  <c r="G1016" i="44" s="1"/>
  <c r="H196" i="13"/>
  <c r="G196" i="44" s="1"/>
  <c r="H781" i="13"/>
  <c r="G781" i="44" s="1"/>
  <c r="H258" i="13"/>
  <c r="G258" i="44" s="1"/>
  <c r="H1005" i="13"/>
  <c r="G1005" i="44" s="1"/>
  <c r="H1205" i="13"/>
  <c r="G1205" i="44" s="1"/>
  <c r="H349" i="13"/>
  <c r="G349" i="44" s="1"/>
  <c r="H1012" i="13"/>
  <c r="G1012" i="44" s="1"/>
  <c r="H1214" i="13"/>
  <c r="G1214" i="44" s="1"/>
  <c r="H359" i="13"/>
  <c r="G359" i="44" s="1"/>
  <c r="H158" i="13"/>
  <c r="G158" i="44" s="1"/>
  <c r="H1011" i="13"/>
  <c r="G1011" i="44" s="1"/>
  <c r="H360" i="13"/>
  <c r="G360" i="44" s="1"/>
  <c r="H1209" i="13"/>
  <c r="G1209" i="44" s="1"/>
  <c r="H701" i="13"/>
  <c r="G701" i="44" s="1"/>
  <c r="H1053" i="13"/>
  <c r="G1053" i="44" s="1"/>
  <c r="H259" i="13"/>
  <c r="G259" i="44" s="1"/>
  <c r="H195" i="13"/>
  <c r="G195" i="44" s="1"/>
  <c r="H995" i="13"/>
  <c r="G995" i="44" s="1"/>
  <c r="H1055" i="13"/>
  <c r="G1055" i="44" s="1"/>
  <c r="H345" i="13"/>
  <c r="G345" i="44" s="1"/>
  <c r="H1008" i="13"/>
  <c r="G1008" i="44" s="1"/>
  <c r="H290" i="15"/>
  <c r="I290" i="44" s="1"/>
  <c r="H1027" i="15"/>
  <c r="I1027" i="44" s="1"/>
  <c r="H1052" i="15"/>
  <c r="I1052" i="44" s="1"/>
  <c r="H1025" i="15"/>
  <c r="I1025" i="44" s="1"/>
  <c r="H195" i="15"/>
  <c r="I195" i="44" s="1"/>
  <c r="H1068" i="15"/>
  <c r="I1068" i="44" s="1"/>
  <c r="H555" i="15"/>
  <c r="I555" i="44" s="1"/>
  <c r="H258" i="15"/>
  <c r="I258" i="44" s="1"/>
  <c r="H137" i="15"/>
  <c r="I137" i="44" s="1"/>
  <c r="H185" i="15"/>
  <c r="I185" i="44" s="1"/>
  <c r="H535" i="15"/>
  <c r="I535" i="44" s="1"/>
  <c r="H538" i="15"/>
  <c r="I538" i="44" s="1"/>
  <c r="H351" i="15"/>
  <c r="I351" i="44" s="1"/>
  <c r="H1214" i="15"/>
  <c r="I1214" i="44" s="1"/>
  <c r="H781" i="15"/>
  <c r="I781" i="44" s="1"/>
  <c r="H1133" i="15"/>
  <c r="I1133" i="44" s="1"/>
  <c r="H188" i="15"/>
  <c r="I188" i="44" s="1"/>
  <c r="H105" i="15"/>
  <c r="I105" i="44" s="1"/>
  <c r="H1122" i="15"/>
  <c r="I1122" i="44" s="1"/>
  <c r="H411" i="15"/>
  <c r="I411" i="44" s="1"/>
  <c r="H346" i="15"/>
  <c r="I346" i="44" s="1"/>
  <c r="H216" i="15"/>
  <c r="I216" i="44" s="1"/>
  <c r="H260" i="15"/>
  <c r="I260" i="44" s="1"/>
  <c r="H1008" i="15"/>
  <c r="I1008" i="44" s="1"/>
  <c r="H1094" i="15"/>
  <c r="I1094" i="44" s="1"/>
  <c r="H529" i="15"/>
  <c r="I529" i="44" s="1"/>
  <c r="H353" i="15"/>
  <c r="I353" i="44" s="1"/>
  <c r="H554" i="15"/>
  <c r="I554" i="44" s="1"/>
  <c r="H1148" i="15"/>
  <c r="I1148" i="44" s="1"/>
  <c r="H700" i="15"/>
  <c r="I700" i="44" s="1"/>
  <c r="H345" i="15"/>
  <c r="I345" i="44" s="1"/>
  <c r="H348" i="15"/>
  <c r="I348" i="44" s="1"/>
  <c r="H600" i="15"/>
  <c r="I600" i="44" s="1"/>
  <c r="H196" i="15"/>
  <c r="I196" i="44" s="1"/>
  <c r="H350" i="15"/>
  <c r="I350" i="44" s="1"/>
  <c r="H566" i="15"/>
  <c r="I566" i="44" s="1"/>
  <c r="Q1363" i="16"/>
  <c r="M1261" i="16"/>
  <c r="M1261" i="15"/>
  <c r="M1261" i="13"/>
  <c r="H84" i="5"/>
  <c r="S1363" i="16"/>
  <c r="F348" i="18"/>
  <c r="K1364" i="15"/>
  <c r="G199" i="8"/>
  <c r="J197" i="8"/>
  <c r="F193" i="13"/>
  <c r="F193" i="44" s="1"/>
  <c r="F1011" i="18"/>
  <c r="J597" i="8"/>
  <c r="F432" i="18"/>
  <c r="L560" i="44"/>
  <c r="N560" i="44" s="1"/>
  <c r="G435" i="8"/>
  <c r="J433" i="8"/>
  <c r="S1363" i="13"/>
  <c r="G38" i="14"/>
  <c r="I38" i="14"/>
  <c r="J70" i="8"/>
  <c r="J825" i="8"/>
  <c r="J1101" i="8"/>
  <c r="F1103" i="8"/>
  <c r="G1255" i="15"/>
  <c r="H1254" i="15"/>
  <c r="F409" i="18"/>
  <c r="X409" i="18" s="1"/>
  <c r="F909" i="8"/>
  <c r="J903" i="8"/>
  <c r="J915" i="8"/>
  <c r="F921" i="8"/>
  <c r="H1135" i="15"/>
  <c r="I1135" i="44" s="1"/>
  <c r="H1060" i="16"/>
  <c r="K1060" i="44" s="1"/>
  <c r="H1054" i="16"/>
  <c r="K1054" i="44" s="1"/>
  <c r="H431" i="16"/>
  <c r="K431" i="44" s="1"/>
  <c r="H699" i="16"/>
  <c r="K699" i="44" s="1"/>
  <c r="H1024" i="16"/>
  <c r="K1024" i="44" s="1"/>
  <c r="H594" i="16"/>
  <c r="K594" i="44" s="1"/>
  <c r="H1011" i="16"/>
  <c r="K1011" i="44" s="1"/>
  <c r="H1016" i="16"/>
  <c r="K1016" i="44" s="1"/>
  <c r="H260" i="16"/>
  <c r="K260" i="44" s="1"/>
  <c r="H1062" i="16"/>
  <c r="K1062" i="44" s="1"/>
  <c r="H520" i="16"/>
  <c r="K520" i="44" s="1"/>
  <c r="H554" i="16"/>
  <c r="K554" i="44" s="1"/>
  <c r="H1009" i="16"/>
  <c r="K1009" i="44" s="1"/>
  <c r="H136" i="16"/>
  <c r="K136" i="44" s="1"/>
  <c r="H600" i="16"/>
  <c r="K600" i="44" s="1"/>
  <c r="H1050" i="16"/>
  <c r="K1050" i="44" s="1"/>
  <c r="H104" i="16"/>
  <c r="K104" i="44" s="1"/>
  <c r="H559" i="16"/>
  <c r="K559" i="44" s="1"/>
  <c r="H1025" i="16"/>
  <c r="K1025" i="44" s="1"/>
  <c r="H562" i="16"/>
  <c r="K562" i="44" s="1"/>
  <c r="H1148" i="16"/>
  <c r="K1148" i="44" s="1"/>
  <c r="H1123" i="16"/>
  <c r="K1123" i="44" s="1"/>
  <c r="H1056" i="13"/>
  <c r="G1056" i="44" s="1"/>
  <c r="H187" i="13"/>
  <c r="G187" i="44" s="1"/>
  <c r="H700" i="13"/>
  <c r="G700" i="44" s="1"/>
  <c r="H350" i="13"/>
  <c r="G350" i="44" s="1"/>
  <c r="H780" i="13"/>
  <c r="G780" i="44" s="1"/>
  <c r="H1001" i="13"/>
  <c r="G1001" i="44" s="1"/>
  <c r="H863" i="13"/>
  <c r="G863" i="44" s="1"/>
  <c r="H105" i="13"/>
  <c r="G105" i="44" s="1"/>
  <c r="H605" i="13"/>
  <c r="G605" i="44" s="1"/>
  <c r="H1051" i="13"/>
  <c r="G1051" i="44" s="1"/>
  <c r="H260" i="13"/>
  <c r="G260" i="44" s="1"/>
  <c r="H1026" i="13"/>
  <c r="G1026" i="44" s="1"/>
  <c r="H1050" i="13"/>
  <c r="G1050" i="44" s="1"/>
  <c r="H137" i="13"/>
  <c r="G137" i="44" s="1"/>
  <c r="H1010" i="13"/>
  <c r="G1010" i="44" s="1"/>
  <c r="H566" i="13"/>
  <c r="G566" i="44" s="1"/>
  <c r="H944" i="13"/>
  <c r="G944" i="44" s="1"/>
  <c r="H559" i="13"/>
  <c r="G559" i="44" s="1"/>
  <c r="H1121" i="13"/>
  <c r="G1121" i="44" s="1"/>
  <c r="H686" i="13"/>
  <c r="G686" i="44" s="1"/>
  <c r="H1027" i="13"/>
  <c r="G1027" i="44" s="1"/>
  <c r="H346" i="13"/>
  <c r="G346" i="44" s="1"/>
  <c r="H1009" i="13"/>
  <c r="G1009" i="44" s="1"/>
  <c r="H353" i="13"/>
  <c r="G353" i="44" s="1"/>
  <c r="H564" i="13"/>
  <c r="G564" i="44" s="1"/>
  <c r="H847" i="13"/>
  <c r="G847" i="44" s="1"/>
  <c r="H1122" i="13"/>
  <c r="G1122" i="44" s="1"/>
  <c r="H411" i="13"/>
  <c r="G411" i="44" s="1"/>
  <c r="H1050" i="15"/>
  <c r="I1050" i="44" s="1"/>
  <c r="H1054" i="15"/>
  <c r="I1054" i="44" s="1"/>
  <c r="H773" i="15"/>
  <c r="I773" i="44" s="1"/>
  <c r="H431" i="15"/>
  <c r="I431" i="44" s="1"/>
  <c r="H537" i="15"/>
  <c r="I537" i="44" s="1"/>
  <c r="H1049" i="15"/>
  <c r="I1049" i="44" s="1"/>
  <c r="H360" i="15"/>
  <c r="I360" i="44" s="1"/>
  <c r="H528" i="15"/>
  <c r="I528" i="44" s="1"/>
  <c r="H1024" i="15"/>
  <c r="I1024" i="44" s="1"/>
  <c r="H1060" i="15"/>
  <c r="I1060" i="44" s="1"/>
  <c r="H862" i="15"/>
  <c r="I862" i="44" s="1"/>
  <c r="H1053" i="15"/>
  <c r="I1053" i="44" s="1"/>
  <c r="H683" i="15"/>
  <c r="I683" i="44" s="1"/>
  <c r="H1001" i="15"/>
  <c r="I1001" i="44" s="1"/>
  <c r="H1011" i="15"/>
  <c r="I1011" i="44" s="1"/>
  <c r="H591" i="15"/>
  <c r="I591" i="44" s="1"/>
  <c r="H569" i="15"/>
  <c r="I569" i="44" s="1"/>
  <c r="H347" i="15"/>
  <c r="I347" i="44" s="1"/>
  <c r="H863" i="15"/>
  <c r="I863" i="44" s="1"/>
  <c r="H594" i="15"/>
  <c r="I594" i="44" s="1"/>
  <c r="H136" i="15"/>
  <c r="I136" i="44" s="1"/>
  <c r="H359" i="15"/>
  <c r="I359" i="44" s="1"/>
  <c r="H1156" i="15"/>
  <c r="I1156" i="44" s="1"/>
  <c r="H291" i="15"/>
  <c r="I291" i="44" s="1"/>
  <c r="H527" i="15"/>
  <c r="I527" i="44" s="1"/>
  <c r="H1056" i="15"/>
  <c r="I1056" i="44" s="1"/>
  <c r="H521" i="15"/>
  <c r="I521" i="44" s="1"/>
  <c r="H1062" i="15"/>
  <c r="I1062" i="44" s="1"/>
  <c r="H1149" i="15"/>
  <c r="I1149" i="44" s="1"/>
  <c r="H1009" i="15"/>
  <c r="I1009" i="44" s="1"/>
  <c r="H358" i="15"/>
  <c r="I358" i="44" s="1"/>
  <c r="H1010" i="15"/>
  <c r="I1010" i="44" s="1"/>
  <c r="H612" i="8"/>
  <c r="J610" i="8"/>
  <c r="G455" i="8"/>
  <c r="F53" i="8"/>
  <c r="F323" i="8"/>
  <c r="J106" i="8"/>
  <c r="G1256" i="13"/>
  <c r="H1255" i="13"/>
  <c r="J890" i="8"/>
  <c r="F894" i="18"/>
  <c r="L1363" i="16"/>
  <c r="F307" i="18"/>
  <c r="L1354" i="15"/>
  <c r="F862" i="18"/>
  <c r="K1261" i="16"/>
  <c r="K1261" i="15"/>
  <c r="K1261" i="13"/>
  <c r="F84" i="5"/>
  <c r="N1363" i="16"/>
  <c r="P1364" i="15"/>
  <c r="L1364" i="15"/>
  <c r="J1364" i="15"/>
  <c r="N1364" i="15"/>
  <c r="K1377" i="15"/>
  <c r="O1377" i="15"/>
  <c r="M1377" i="15"/>
  <c r="Q1377" i="15"/>
  <c r="J1377" i="15"/>
  <c r="P1377" i="15"/>
  <c r="L1377" i="15"/>
  <c r="N1377" i="15"/>
  <c r="G363" i="8"/>
  <c r="F261" i="13"/>
  <c r="F261" i="44" s="1"/>
  <c r="Q1364" i="15"/>
  <c r="F354" i="13"/>
  <c r="F354" i="44" s="1"/>
  <c r="F772" i="18"/>
  <c r="L1354" i="16"/>
  <c r="K1377" i="13"/>
  <c r="H26" i="1" s="1"/>
  <c r="N1363" i="13"/>
  <c r="F433" i="13"/>
  <c r="F433" i="44" s="1"/>
  <c r="M38" i="14"/>
  <c r="F827" i="8"/>
  <c r="J823" i="8"/>
  <c r="J953" i="8"/>
  <c r="F409" i="16"/>
  <c r="J409" i="44" s="1"/>
  <c r="J276" i="8"/>
  <c r="H601" i="16"/>
  <c r="K601" i="44" s="1"/>
  <c r="H1026" i="16"/>
  <c r="K1026" i="44" s="1"/>
  <c r="H607" i="16"/>
  <c r="K607" i="44" s="1"/>
  <c r="H996" i="16"/>
  <c r="K996" i="44" s="1"/>
  <c r="H290" i="16"/>
  <c r="K290" i="44" s="1"/>
  <c r="H137" i="16"/>
  <c r="K137" i="44" s="1"/>
  <c r="H1094" i="16"/>
  <c r="K1094" i="44" s="1"/>
  <c r="H560" i="16"/>
  <c r="K560" i="44" s="1"/>
  <c r="H555" i="16"/>
  <c r="K555" i="44" s="1"/>
  <c r="H1149" i="16"/>
  <c r="K1149" i="44" s="1"/>
  <c r="H1012" i="16"/>
  <c r="K1012" i="44" s="1"/>
  <c r="H563" i="16"/>
  <c r="K563" i="44" s="1"/>
  <c r="H1061" i="16"/>
  <c r="K1061" i="44" s="1"/>
  <c r="H1157" i="16"/>
  <c r="K1157" i="44" s="1"/>
  <c r="H592" i="16"/>
  <c r="K592" i="44" s="1"/>
  <c r="H1008" i="16"/>
  <c r="K1008" i="44" s="1"/>
  <c r="H1051" i="16"/>
  <c r="K1051" i="44" s="1"/>
  <c r="H1124" i="16"/>
  <c r="K1124" i="44" s="1"/>
  <c r="H1056" i="16"/>
  <c r="K1056" i="44" s="1"/>
  <c r="H1006" i="16"/>
  <c r="K1006" i="44" s="1"/>
  <c r="H521" i="16"/>
  <c r="K521" i="44" s="1"/>
  <c r="H773" i="16"/>
  <c r="K773" i="44" s="1"/>
  <c r="H1027" i="16"/>
  <c r="K1027" i="44" s="1"/>
  <c r="H1053" i="16"/>
  <c r="K1053" i="44" s="1"/>
  <c r="H1217" i="16"/>
  <c r="K1217" i="44" s="1"/>
  <c r="H781" i="16"/>
  <c r="K781" i="44" s="1"/>
  <c r="H944" i="16"/>
  <c r="K944" i="44" s="1"/>
  <c r="H1059" i="16"/>
  <c r="K1059" i="44" s="1"/>
  <c r="H1214" i="16"/>
  <c r="K1214" i="44" s="1"/>
  <c r="H1205" i="16"/>
  <c r="K1205" i="44" s="1"/>
  <c r="J261" i="8"/>
  <c r="H997" i="13"/>
  <c r="G997" i="44" s="1"/>
  <c r="H684" i="13"/>
  <c r="G684" i="44" s="1"/>
  <c r="H1060" i="13"/>
  <c r="G1060" i="44" s="1"/>
  <c r="H136" i="13"/>
  <c r="G136" i="44" s="1"/>
  <c r="H216" i="13"/>
  <c r="G216" i="44" s="1"/>
  <c r="H592" i="13"/>
  <c r="G592" i="44" s="1"/>
  <c r="H190" i="13"/>
  <c r="G190" i="44" s="1"/>
  <c r="H1149" i="13"/>
  <c r="G1149" i="44" s="1"/>
  <c r="H1148" i="13"/>
  <c r="G1148" i="44" s="1"/>
  <c r="H567" i="13"/>
  <c r="G567" i="44" s="1"/>
  <c r="H864" i="13"/>
  <c r="G864" i="44" s="1"/>
  <c r="H951" i="13"/>
  <c r="G951" i="44" s="1"/>
  <c r="H351" i="13"/>
  <c r="G351" i="44" s="1"/>
  <c r="H1212" i="13"/>
  <c r="G1212" i="44" s="1"/>
  <c r="H1061" i="13"/>
  <c r="G1061" i="44" s="1"/>
  <c r="H290" i="13"/>
  <c r="G290" i="44" s="1"/>
  <c r="H1094" i="13"/>
  <c r="G1094" i="44" s="1"/>
  <c r="H348" i="13"/>
  <c r="G348" i="44" s="1"/>
  <c r="H952" i="13"/>
  <c r="G952" i="44" s="1"/>
  <c r="H1024" i="13"/>
  <c r="G1024" i="44" s="1"/>
  <c r="H191" i="13"/>
  <c r="G191" i="44" s="1"/>
  <c r="H607" i="13"/>
  <c r="G607" i="44" s="1"/>
  <c r="H1150" i="13"/>
  <c r="G1150" i="44" s="1"/>
  <c r="H1062" i="13"/>
  <c r="G1062" i="44" s="1"/>
  <c r="H358" i="13"/>
  <c r="G358" i="44" s="1"/>
  <c r="H565" i="13"/>
  <c r="G565" i="44" s="1"/>
  <c r="H1123" i="13"/>
  <c r="G1123" i="44" s="1"/>
  <c r="H184" i="13"/>
  <c r="G184" i="44" s="1"/>
  <c r="H431" i="13"/>
  <c r="G431" i="44" s="1"/>
  <c r="H1133" i="13"/>
  <c r="G1133" i="44" s="1"/>
  <c r="H1134" i="15"/>
  <c r="I1134" i="44" s="1"/>
  <c r="H1007" i="15"/>
  <c r="I1007" i="44" s="1"/>
  <c r="H187" i="15"/>
  <c r="I187" i="44" s="1"/>
  <c r="H520" i="15"/>
  <c r="I520" i="44" s="1"/>
  <c r="H184" i="15"/>
  <c r="I184" i="44" s="1"/>
  <c r="H997" i="15"/>
  <c r="I997" i="44" s="1"/>
  <c r="H864" i="15"/>
  <c r="I864" i="44" s="1"/>
  <c r="H780" i="15"/>
  <c r="I780" i="44" s="1"/>
  <c r="H1125" i="15"/>
  <c r="I1125" i="44" s="1"/>
  <c r="H186" i="15"/>
  <c r="I186" i="44" s="1"/>
  <c r="H190" i="15"/>
  <c r="I190" i="44" s="1"/>
  <c r="H191" i="15"/>
  <c r="I191" i="44" s="1"/>
  <c r="H158" i="15"/>
  <c r="I158" i="44" s="1"/>
  <c r="H559" i="15"/>
  <c r="I559" i="44" s="1"/>
  <c r="H519" i="15"/>
  <c r="I519" i="44" s="1"/>
  <c r="H192" i="15"/>
  <c r="I192" i="44" s="1"/>
  <c r="H352" i="15"/>
  <c r="I352" i="44" s="1"/>
  <c r="H1150" i="15"/>
  <c r="I1150" i="44" s="1"/>
  <c r="H1012" i="15"/>
  <c r="I1012" i="44" s="1"/>
  <c r="H1205" i="15"/>
  <c r="I1205" i="44" s="1"/>
  <c r="H995" i="15"/>
  <c r="I995" i="44" s="1"/>
  <c r="H592" i="15"/>
  <c r="I592" i="44" s="1"/>
  <c r="H607" i="15"/>
  <c r="I607" i="44" s="1"/>
  <c r="H1212" i="15"/>
  <c r="I1212" i="44" s="1"/>
  <c r="J556" i="8"/>
  <c r="N573" i="44" l="1"/>
  <c r="F1101" i="18"/>
  <c r="U1100" i="13"/>
  <c r="F573" i="18"/>
  <c r="W573" i="18" s="1"/>
  <c r="F219" i="15"/>
  <c r="H219" i="44" s="1"/>
  <c r="F244" i="15"/>
  <c r="H244" i="44" s="1"/>
  <c r="B519" i="16"/>
  <c r="B805" i="16"/>
  <c r="B217" i="16"/>
  <c r="B681" i="16"/>
  <c r="B293" i="16"/>
  <c r="B845" i="16"/>
  <c r="B1088" i="16"/>
  <c r="B453" i="16"/>
  <c r="B975" i="16"/>
  <c r="B386" i="16"/>
  <c r="B1119" i="16"/>
  <c r="B243" i="16"/>
  <c r="B726" i="16"/>
  <c r="B139" i="16"/>
  <c r="B593" i="16"/>
  <c r="B260" i="16"/>
  <c r="B473" i="16"/>
  <c r="B995" i="16"/>
  <c r="B406" i="16"/>
  <c r="B890" i="16"/>
  <c r="B105" i="16"/>
  <c r="B771" i="16"/>
  <c r="B186" i="16"/>
  <c r="B640" i="16"/>
  <c r="B1180" i="16"/>
  <c r="B346" i="16"/>
  <c r="B496" i="16"/>
  <c r="B1050" i="16"/>
  <c r="B431" i="16"/>
  <c r="B942" i="16"/>
  <c r="B1206" i="16"/>
  <c r="B1207" i="16" s="1"/>
  <c r="B1208" i="16" s="1"/>
  <c r="B1209" i="16" s="1"/>
  <c r="B1210" i="16" s="1"/>
  <c r="B1211" i="16" s="1"/>
  <c r="B1212" i="16" s="1"/>
  <c r="B1213" i="16" s="1"/>
  <c r="B1214" i="16" s="1"/>
  <c r="B1215" i="16" s="1"/>
  <c r="B1216" i="16" s="1"/>
  <c r="B1217" i="16" s="1"/>
  <c r="B1218" i="16" s="1"/>
  <c r="B1219" i="16" s="1"/>
  <c r="B1220" i="16" s="1"/>
  <c r="B1221" i="16" s="1"/>
  <c r="B1222" i="16" s="1"/>
  <c r="B1223" i="16" s="1"/>
  <c r="B1224" i="16" s="1"/>
  <c r="B1225" i="16" s="1"/>
  <c r="B1226" i="16" s="1"/>
  <c r="B1227" i="16" s="1"/>
  <c r="B1228" i="16" s="1"/>
  <c r="B1229" i="16" s="1"/>
  <c r="B1230" i="16" s="1"/>
  <c r="W409" i="16"/>
  <c r="F872" i="15"/>
  <c r="H872" i="44" s="1"/>
  <c r="F455" i="15"/>
  <c r="H455" i="44" s="1"/>
  <c r="B166" i="44"/>
  <c r="B618" i="44"/>
  <c r="B751" i="44"/>
  <c r="B870" i="44"/>
  <c r="B81" i="44"/>
  <c r="B915" i="44"/>
  <c r="F1140" i="18"/>
  <c r="F361" i="18"/>
  <c r="W361" i="18" s="1"/>
  <c r="F217" i="18"/>
  <c r="F219" i="18" s="1"/>
  <c r="F59" i="18" s="1"/>
  <c r="H738" i="13"/>
  <c r="G738" i="44" s="1"/>
  <c r="H941" i="13"/>
  <c r="G941" i="44" s="1"/>
  <c r="H724" i="13"/>
  <c r="G724" i="44" s="1"/>
  <c r="H867" i="13"/>
  <c r="G867" i="44" s="1"/>
  <c r="F1095" i="18"/>
  <c r="H774" i="15"/>
  <c r="I774" i="44" s="1"/>
  <c r="F499" i="18"/>
  <c r="W499" i="18" s="1"/>
  <c r="F897" i="15"/>
  <c r="H897" i="44" s="1"/>
  <c r="D108" i="14"/>
  <c r="S108" i="14" s="1"/>
  <c r="H874" i="8"/>
  <c r="F1153" i="18"/>
  <c r="F909" i="15"/>
  <c r="H909" i="44" s="1"/>
  <c r="F478" i="8"/>
  <c r="F501" i="8" s="1"/>
  <c r="I874" i="8"/>
  <c r="W474" i="18"/>
  <c r="W453" i="18"/>
  <c r="H478" i="8"/>
  <c r="H501" i="8" s="1"/>
  <c r="W242" i="18"/>
  <c r="W388" i="18"/>
  <c r="W386" i="18"/>
  <c r="L76" i="8"/>
  <c r="N731" i="8"/>
  <c r="N955" i="8"/>
  <c r="J244" i="8"/>
  <c r="B1207" i="8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H71" i="8"/>
  <c r="H69" i="8"/>
  <c r="B771" i="8"/>
  <c r="B260" i="8"/>
  <c r="B1119" i="8"/>
  <c r="B942" i="8"/>
  <c r="B995" i="8"/>
  <c r="F650" i="16"/>
  <c r="J650" i="44" s="1"/>
  <c r="I59" i="8"/>
  <c r="B346" i="8"/>
  <c r="H1070" i="8"/>
  <c r="H1183" i="8" s="1"/>
  <c r="I20" i="8"/>
  <c r="B519" i="8"/>
  <c r="B473" i="8"/>
  <c r="B681" i="8"/>
  <c r="B593" i="8"/>
  <c r="H59" i="8"/>
  <c r="B640" i="8"/>
  <c r="I68" i="8"/>
  <c r="B431" i="8"/>
  <c r="B1088" i="8"/>
  <c r="L74" i="8"/>
  <c r="N705" i="8"/>
  <c r="H24" i="8"/>
  <c r="L872" i="8"/>
  <c r="H68" i="8"/>
  <c r="B56" i="8"/>
  <c r="F72" i="8"/>
  <c r="B975" i="8"/>
  <c r="B105" i="8"/>
  <c r="H72" i="8"/>
  <c r="B805" i="8"/>
  <c r="B1181" i="8"/>
  <c r="I72" i="8"/>
  <c r="B1050" i="8"/>
  <c r="H221" i="8"/>
  <c r="H364" i="8" s="1"/>
  <c r="N499" i="8"/>
  <c r="L17" i="8"/>
  <c r="L857" i="8"/>
  <c r="F1180" i="18"/>
  <c r="F73" i="8"/>
  <c r="B845" i="8"/>
  <c r="B406" i="8"/>
  <c r="L455" i="8"/>
  <c r="W455" i="18" s="1"/>
  <c r="I24" i="8"/>
  <c r="S24" i="8" s="1"/>
  <c r="B186" i="8"/>
  <c r="F71" i="8"/>
  <c r="B726" i="8"/>
  <c r="B890" i="8"/>
  <c r="B386" i="8"/>
  <c r="B18" i="8"/>
  <c r="I69" i="8"/>
  <c r="B243" i="8"/>
  <c r="N890" i="8"/>
  <c r="L54" i="8"/>
  <c r="B453" i="8"/>
  <c r="W1140" i="13"/>
  <c r="W1153" i="13"/>
  <c r="P81" i="44"/>
  <c r="O81" i="44"/>
  <c r="W1130" i="13"/>
  <c r="N783" i="8"/>
  <c r="N784" i="8"/>
  <c r="N907" i="8"/>
  <c r="N903" i="8"/>
  <c r="N953" i="8"/>
  <c r="N814" i="8"/>
  <c r="N919" i="8"/>
  <c r="N692" i="8"/>
  <c r="N915" i="8"/>
  <c r="N648" i="8"/>
  <c r="N895" i="8"/>
  <c r="N659" i="8"/>
  <c r="L184" i="44"/>
  <c r="L1018" i="44"/>
  <c r="N1018" i="44" s="1"/>
  <c r="L196" i="44"/>
  <c r="L1137" i="44"/>
  <c r="N1137" i="44" s="1"/>
  <c r="L1067" i="44"/>
  <c r="N1067" i="44" s="1"/>
  <c r="L914" i="44"/>
  <c r="L850" i="44"/>
  <c r="N850" i="44" s="1"/>
  <c r="L307" i="44"/>
  <c r="L810" i="44"/>
  <c r="L1021" i="44"/>
  <c r="N1021" i="44" s="1"/>
  <c r="L1121" i="44"/>
  <c r="N1121" i="44" s="1"/>
  <c r="L867" i="44"/>
  <c r="L866" i="44"/>
  <c r="L431" i="44"/>
  <c r="L683" i="44"/>
  <c r="L736" i="44"/>
  <c r="N736" i="44" s="1"/>
  <c r="L1010" i="44"/>
  <c r="N1010" i="44" s="1"/>
  <c r="L653" i="44"/>
  <c r="N653" i="44" s="1"/>
  <c r="L686" i="44"/>
  <c r="N686" i="44" s="1"/>
  <c r="L822" i="44"/>
  <c r="L1007" i="44"/>
  <c r="N1007" i="44" s="1"/>
  <c r="L290" i="44"/>
  <c r="L701" i="44"/>
  <c r="L1060" i="44"/>
  <c r="N1060" i="44" s="1"/>
  <c r="L699" i="44"/>
  <c r="N699" i="44" s="1"/>
  <c r="L1049" i="44"/>
  <c r="N1049" i="44" s="1"/>
  <c r="L698" i="44"/>
  <c r="N698" i="44" s="1"/>
  <c r="L642" i="44"/>
  <c r="N642" i="44" s="1"/>
  <c r="L941" i="44"/>
  <c r="L889" i="44"/>
  <c r="L851" i="44"/>
  <c r="N851" i="44" s="1"/>
  <c r="L771" i="44"/>
  <c r="N771" i="44" s="1"/>
  <c r="L940" i="44"/>
  <c r="L1206" i="44"/>
  <c r="N1206" i="44" s="1"/>
  <c r="L951" i="44"/>
  <c r="L1088" i="44"/>
  <c r="N1088" i="44" s="1"/>
  <c r="L411" i="44"/>
  <c r="L407" i="44"/>
  <c r="L1011" i="44"/>
  <c r="N1011" i="44" s="1"/>
  <c r="L700" i="44"/>
  <c r="N700" i="44" s="1"/>
  <c r="L359" i="44"/>
  <c r="L888" i="44"/>
  <c r="L947" i="44"/>
  <c r="L154" i="44"/>
  <c r="L1053" i="44"/>
  <c r="N1053" i="44" s="1"/>
  <c r="L746" i="44"/>
  <c r="N746" i="44" s="1"/>
  <c r="L809" i="44"/>
  <c r="L1134" i="44"/>
  <c r="N1134" i="44" s="1"/>
  <c r="L774" i="44"/>
  <c r="N774" i="44" s="1"/>
  <c r="L811" i="44"/>
  <c r="L900" i="44"/>
  <c r="L778" i="44"/>
  <c r="N778" i="44" s="1"/>
  <c r="L114" i="44"/>
  <c r="L593" i="44"/>
  <c r="L1051" i="44"/>
  <c r="N1051" i="44" s="1"/>
  <c r="L819" i="44"/>
  <c r="L745" i="44"/>
  <c r="N745" i="44" s="1"/>
  <c r="L845" i="44"/>
  <c r="N845" i="44" s="1"/>
  <c r="L727" i="44"/>
  <c r="N727" i="44" s="1"/>
  <c r="L657" i="44"/>
  <c r="N657" i="44" s="1"/>
  <c r="L772" i="44"/>
  <c r="N772" i="44" s="1"/>
  <c r="L894" i="44"/>
  <c r="L852" i="44"/>
  <c r="L1030" i="44"/>
  <c r="N1030" i="44" s="1"/>
  <c r="L1210" i="44"/>
  <c r="N1210" i="44" s="1"/>
  <c r="L769" i="44"/>
  <c r="N769" i="44" s="1"/>
  <c r="L1009" i="44"/>
  <c r="N1009" i="44" s="1"/>
  <c r="L292" i="44"/>
  <c r="L748" i="44"/>
  <c r="N748" i="44" s="1"/>
  <c r="L906" i="44"/>
  <c r="L865" i="44"/>
  <c r="L704" i="44"/>
  <c r="N704" i="44" s="1"/>
  <c r="L775" i="44"/>
  <c r="N775" i="44" s="1"/>
  <c r="L943" i="44"/>
  <c r="L893" i="44"/>
  <c r="L821" i="44"/>
  <c r="L1050" i="44"/>
  <c r="N1050" i="44" s="1"/>
  <c r="L654" i="44"/>
  <c r="N654" i="44" s="1"/>
  <c r="L643" i="44"/>
  <c r="N643" i="44" s="1"/>
  <c r="L681" i="44"/>
  <c r="N681" i="44" s="1"/>
  <c r="L263" i="44"/>
  <c r="L1055" i="44"/>
  <c r="N1055" i="44" s="1"/>
  <c r="L646" i="44"/>
  <c r="N646" i="44" s="1"/>
  <c r="L737" i="44"/>
  <c r="N737" i="44" s="1"/>
  <c r="L949" i="44"/>
  <c r="L818" i="44"/>
  <c r="L1135" i="44"/>
  <c r="N1135" i="44" s="1"/>
  <c r="L596" i="44"/>
  <c r="L905" i="44"/>
  <c r="L347" i="44"/>
  <c r="L805" i="44"/>
  <c r="L264" i="44"/>
  <c r="L1148" i="44"/>
  <c r="N1148" i="44" s="1"/>
  <c r="L647" i="44"/>
  <c r="N647" i="44" s="1"/>
  <c r="L310" i="44"/>
  <c r="L844" i="44"/>
  <c r="N844" i="44" s="1"/>
  <c r="L640" i="44"/>
  <c r="N640" i="44" s="1"/>
  <c r="L861" i="44"/>
  <c r="L353" i="44"/>
  <c r="L702" i="44"/>
  <c r="L808" i="44"/>
  <c r="L781" i="44"/>
  <c r="N781" i="44" s="1"/>
  <c r="L1029" i="44"/>
  <c r="N1029" i="44" s="1"/>
  <c r="L1209" i="44"/>
  <c r="N1209" i="44" s="1"/>
  <c r="L1125" i="44"/>
  <c r="N1125" i="44" s="1"/>
  <c r="L185" i="44"/>
  <c r="L155" i="44"/>
  <c r="L655" i="44"/>
  <c r="N655" i="44" s="1"/>
  <c r="L348" i="44"/>
  <c r="L260" i="44"/>
  <c r="L862" i="44"/>
  <c r="L1005" i="44"/>
  <c r="N1005" i="44" s="1"/>
  <c r="L776" i="44"/>
  <c r="N776" i="44" s="1"/>
  <c r="L1027" i="44"/>
  <c r="N1027" i="44" s="1"/>
  <c r="L997" i="44"/>
  <c r="N997" i="44" s="1"/>
  <c r="L849" i="44"/>
  <c r="N849" i="44" s="1"/>
  <c r="L780" i="44"/>
  <c r="N780" i="44" s="1"/>
  <c r="L346" i="44"/>
  <c r="L645" i="44"/>
  <c r="N645" i="44" s="1"/>
  <c r="L918" i="44"/>
  <c r="L806" i="44"/>
  <c r="L1217" i="44"/>
  <c r="N1217" i="44" s="1"/>
  <c r="L1022" i="44"/>
  <c r="N1022" i="44" s="1"/>
  <c r="L725" i="44"/>
  <c r="N725" i="44" s="1"/>
  <c r="L863" i="44"/>
  <c r="L1156" i="44"/>
  <c r="N1156" i="44" s="1"/>
  <c r="L274" i="44"/>
  <c r="L995" i="44"/>
  <c r="N995" i="44" s="1"/>
  <c r="L855" i="44"/>
  <c r="L273" i="44"/>
  <c r="L913" i="44"/>
  <c r="L658" i="44"/>
  <c r="N658" i="44" s="1"/>
  <c r="L644" i="44"/>
  <c r="N644" i="44" s="1"/>
  <c r="L269" i="44"/>
  <c r="L137" i="44"/>
  <c r="L192" i="44"/>
  <c r="L158" i="44"/>
  <c r="L945" i="44"/>
  <c r="L847" i="44"/>
  <c r="N847" i="44" s="1"/>
  <c r="L187" i="44"/>
  <c r="L592" i="44"/>
  <c r="L917" i="44"/>
  <c r="L156" i="44"/>
  <c r="L136" i="44"/>
  <c r="L188" i="44"/>
  <c r="L1012" i="44"/>
  <c r="N1012" i="44" s="1"/>
  <c r="L1098" i="44"/>
  <c r="N1098" i="44" s="1"/>
  <c r="L191" i="44"/>
  <c r="L892" i="44"/>
  <c r="L141" i="44"/>
  <c r="L1016" i="44"/>
  <c r="N1016" i="44" s="1"/>
  <c r="L1150" i="44"/>
  <c r="N1150" i="44" s="1"/>
  <c r="L1090" i="44"/>
  <c r="N1090" i="44" s="1"/>
  <c r="L360" i="44"/>
  <c r="L1061" i="44"/>
  <c r="N1061" i="44" s="1"/>
  <c r="L696" i="44"/>
  <c r="N696" i="44" s="1"/>
  <c r="L1123" i="44"/>
  <c r="N1123" i="44" s="1"/>
  <c r="L687" i="44"/>
  <c r="N687" i="44" s="1"/>
  <c r="L1052" i="44"/>
  <c r="N1052" i="44" s="1"/>
  <c r="L432" i="44"/>
  <c r="L600" i="44"/>
  <c r="L860" i="44"/>
  <c r="L946" i="44"/>
  <c r="L680" i="44"/>
  <c r="N680" i="44" s="1"/>
  <c r="L272" i="44"/>
  <c r="L1059" i="44"/>
  <c r="N1059" i="44" s="1"/>
  <c r="L270" i="44"/>
  <c r="L1028" i="44"/>
  <c r="N1028" i="44" s="1"/>
  <c r="L268" i="44"/>
  <c r="L846" i="44"/>
  <c r="N846" i="44" s="1"/>
  <c r="L726" i="44"/>
  <c r="N726" i="44" s="1"/>
  <c r="L594" i="44"/>
  <c r="L190" i="44"/>
  <c r="L820" i="44"/>
  <c r="L1001" i="44"/>
  <c r="L804" i="44"/>
  <c r="L308" i="44"/>
  <c r="L291" i="44"/>
  <c r="L309" i="44"/>
  <c r="L1025" i="44"/>
  <c r="N1025" i="44" s="1"/>
  <c r="L1017" i="44"/>
  <c r="N1017" i="44" s="1"/>
  <c r="L864" i="44"/>
  <c r="L870" i="44"/>
  <c r="L902" i="44"/>
  <c r="L345" i="44"/>
  <c r="L271" i="44"/>
  <c r="L912" i="44"/>
  <c r="L519" i="44"/>
  <c r="L556" i="44" s="1"/>
  <c r="N556" i="44" s="1"/>
  <c r="N751" i="8"/>
  <c r="N276" i="8"/>
  <c r="L1133" i="44"/>
  <c r="N1133" i="44" s="1"/>
  <c r="N823" i="8"/>
  <c r="N1095" i="8"/>
  <c r="N707" i="8"/>
  <c r="N1161" i="8"/>
  <c r="N812" i="8"/>
  <c r="N361" i="8"/>
  <c r="N1153" i="8"/>
  <c r="N825" i="8"/>
  <c r="N868" i="8"/>
  <c r="N1063" i="8"/>
  <c r="N690" i="8"/>
  <c r="N1091" i="8"/>
  <c r="N739" i="8"/>
  <c r="N610" i="8"/>
  <c r="N1013" i="8"/>
  <c r="N1032" i="8"/>
  <c r="N729" i="8"/>
  <c r="N741" i="8"/>
  <c r="N749" i="8"/>
  <c r="N853" i="8"/>
  <c r="N1130" i="8"/>
  <c r="N1140" i="8"/>
  <c r="L199" i="8"/>
  <c r="N998" i="8"/>
  <c r="L1180" i="44"/>
  <c r="F556" i="13"/>
  <c r="F556" i="44" s="1"/>
  <c r="H771" i="13"/>
  <c r="G771" i="44" s="1"/>
  <c r="N261" i="8"/>
  <c r="N242" i="8"/>
  <c r="L1065" i="8"/>
  <c r="L575" i="8"/>
  <c r="L435" i="8"/>
  <c r="L1212" i="8"/>
  <c r="N597" i="8"/>
  <c r="N474" i="8"/>
  <c r="N453" i="8"/>
  <c r="N413" i="8"/>
  <c r="N197" i="8"/>
  <c r="N386" i="8"/>
  <c r="L650" i="8"/>
  <c r="N354" i="8"/>
  <c r="N217" i="8"/>
  <c r="N121" i="8"/>
  <c r="L661" i="8"/>
  <c r="N433" i="8"/>
  <c r="L909" i="8"/>
  <c r="J17" i="8"/>
  <c r="N106" i="8"/>
  <c r="G874" i="8"/>
  <c r="J857" i="8"/>
  <c r="L16" i="8"/>
  <c r="L324" i="8"/>
  <c r="G24" i="8"/>
  <c r="L1103" i="8"/>
  <c r="L827" i="8"/>
  <c r="L53" i="8"/>
  <c r="L363" i="8"/>
  <c r="N193" i="8"/>
  <c r="L709" i="8"/>
  <c r="G73" i="8"/>
  <c r="L476" i="8"/>
  <c r="W476" i="18" s="1"/>
  <c r="L612" i="8"/>
  <c r="G69" i="8"/>
  <c r="L388" i="8"/>
  <c r="L897" i="8"/>
  <c r="L323" i="8"/>
  <c r="L921" i="8"/>
  <c r="L244" i="8"/>
  <c r="G59" i="8"/>
  <c r="L219" i="8"/>
  <c r="F74" i="15"/>
  <c r="H74" i="44" s="1"/>
  <c r="J661" i="8"/>
  <c r="J709" i="8"/>
  <c r="N173" i="45"/>
  <c r="V173" i="45"/>
  <c r="H804" i="13"/>
  <c r="G804" i="44" s="1"/>
  <c r="H940" i="13"/>
  <c r="G940" i="44" s="1"/>
  <c r="H943" i="15"/>
  <c r="I943" i="44" s="1"/>
  <c r="L1099" i="44"/>
  <c r="N1099" i="44" s="1"/>
  <c r="H855" i="15"/>
  <c r="I855" i="44" s="1"/>
  <c r="H738" i="15"/>
  <c r="I738" i="44" s="1"/>
  <c r="H724" i="15"/>
  <c r="I724" i="44" s="1"/>
  <c r="H940" i="15"/>
  <c r="I940" i="44" s="1"/>
  <c r="H772" i="15"/>
  <c r="I772" i="44" s="1"/>
  <c r="H688" i="15"/>
  <c r="I688" i="44" s="1"/>
  <c r="H771" i="15"/>
  <c r="I771" i="44" s="1"/>
  <c r="R173" i="45"/>
  <c r="H949" i="13"/>
  <c r="G949" i="44" s="1"/>
  <c r="H945" i="13"/>
  <c r="G945" i="44" s="1"/>
  <c r="H680" i="13"/>
  <c r="G680" i="44" s="1"/>
  <c r="H735" i="13"/>
  <c r="G735" i="44" s="1"/>
  <c r="H855" i="13"/>
  <c r="G855" i="44" s="1"/>
  <c r="H851" i="13"/>
  <c r="G851" i="44" s="1"/>
  <c r="L724" i="44"/>
  <c r="N724" i="44" s="1"/>
  <c r="X173" i="45"/>
  <c r="J173" i="45"/>
  <c r="F173" i="45"/>
  <c r="F1103" i="15"/>
  <c r="H1103" i="44" s="1"/>
  <c r="H688" i="13"/>
  <c r="G688" i="44" s="1"/>
  <c r="H942" i="13"/>
  <c r="G942" i="44" s="1"/>
  <c r="H452" i="13"/>
  <c r="G452" i="44" s="1"/>
  <c r="H943" i="13"/>
  <c r="G943" i="44" s="1"/>
  <c r="H817" i="13"/>
  <c r="G817" i="44" s="1"/>
  <c r="H948" i="13"/>
  <c r="G948" i="44" s="1"/>
  <c r="T173" i="45"/>
  <c r="H173" i="45"/>
  <c r="P173" i="45"/>
  <c r="H728" i="15"/>
  <c r="I728" i="44" s="1"/>
  <c r="H769" i="15"/>
  <c r="I769" i="44" s="1"/>
  <c r="H452" i="15"/>
  <c r="I452" i="44" s="1"/>
  <c r="H867" i="15"/>
  <c r="I867" i="44" s="1"/>
  <c r="H949" i="15"/>
  <c r="I949" i="44" s="1"/>
  <c r="H942" i="15"/>
  <c r="I942" i="44" s="1"/>
  <c r="H946" i="15"/>
  <c r="I946" i="44" s="1"/>
  <c r="H696" i="15"/>
  <c r="I696" i="44" s="1"/>
  <c r="H851" i="15"/>
  <c r="I851" i="44" s="1"/>
  <c r="H680" i="15"/>
  <c r="I680" i="44" s="1"/>
  <c r="W70" i="15"/>
  <c r="P70" i="44"/>
  <c r="H948" i="15"/>
  <c r="I948" i="44" s="1"/>
  <c r="X70" i="13"/>
  <c r="O70" i="44"/>
  <c r="H950" i="15"/>
  <c r="I950" i="44" s="1"/>
  <c r="H770" i="15"/>
  <c r="I770" i="44" s="1"/>
  <c r="U1277" i="15"/>
  <c r="L1384" i="15" s="1"/>
  <c r="F921" i="15"/>
  <c r="H921" i="44" s="1"/>
  <c r="L1149" i="44"/>
  <c r="N1149" i="44" s="1"/>
  <c r="L259" i="44"/>
  <c r="F199" i="15"/>
  <c r="H199" i="44" s="1"/>
  <c r="F74" i="13"/>
  <c r="F74" i="44" s="1"/>
  <c r="F323" i="15"/>
  <c r="H323" i="44" s="1"/>
  <c r="L1089" i="44"/>
  <c r="N1089" i="44" s="1"/>
  <c r="L641" i="44"/>
  <c r="N641" i="44" s="1"/>
  <c r="L358" i="44"/>
  <c r="L996" i="44"/>
  <c r="N996" i="44" s="1"/>
  <c r="F474" i="16"/>
  <c r="J474" i="44" s="1"/>
  <c r="F455" i="13"/>
  <c r="F455" i="44" s="1"/>
  <c r="F197" i="16"/>
  <c r="J197" i="44" s="1"/>
  <c r="F453" i="16"/>
  <c r="J453" i="44" s="1"/>
  <c r="F17" i="13"/>
  <c r="F17" i="44" s="1"/>
  <c r="F388" i="15"/>
  <c r="H388" i="44" s="1"/>
  <c r="F650" i="15"/>
  <c r="H650" i="44" s="1"/>
  <c r="F242" i="16"/>
  <c r="J242" i="44" s="1"/>
  <c r="F53" i="13"/>
  <c r="F53" i="44" s="1"/>
  <c r="O106" i="44"/>
  <c r="F435" i="15"/>
  <c r="H435" i="44" s="1"/>
  <c r="F76" i="13"/>
  <c r="F76" i="44" s="1"/>
  <c r="F650" i="13"/>
  <c r="F650" i="44" s="1"/>
  <c r="F476" i="15"/>
  <c r="H476" i="44" s="1"/>
  <c r="F388" i="16"/>
  <c r="J388" i="44" s="1"/>
  <c r="F476" i="13"/>
  <c r="F476" i="44" s="1"/>
  <c r="F21" i="16"/>
  <c r="J21" i="44" s="1"/>
  <c r="F53" i="15"/>
  <c r="H53" i="44" s="1"/>
  <c r="P106" i="44"/>
  <c r="F857" i="13"/>
  <c r="F857" i="44" s="1"/>
  <c r="F17" i="15"/>
  <c r="H17" i="44" s="1"/>
  <c r="F435" i="13"/>
  <c r="F435" i="44" s="1"/>
  <c r="F1095" i="16"/>
  <c r="J1095" i="44" s="1"/>
  <c r="F54" i="13"/>
  <c r="F54" i="44" s="1"/>
  <c r="F363" i="15"/>
  <c r="H363" i="44" s="1"/>
  <c r="F661" i="15"/>
  <c r="H661" i="44" s="1"/>
  <c r="F76" i="15"/>
  <c r="H76" i="44" s="1"/>
  <c r="F872" i="13"/>
  <c r="F872" i="44" s="1"/>
  <c r="F219" i="13"/>
  <c r="F219" i="44" s="1"/>
  <c r="F388" i="13"/>
  <c r="F388" i="44" s="1"/>
  <c r="F857" i="15"/>
  <c r="H857" i="44" s="1"/>
  <c r="U1279" i="15"/>
  <c r="K1386" i="15" s="1"/>
  <c r="G68" i="8"/>
  <c r="O1373" i="16"/>
  <c r="O1100" i="16" s="1"/>
  <c r="R1373" i="16"/>
  <c r="R1100" i="16" s="1"/>
  <c r="S1373" i="16"/>
  <c r="S1100" i="16" s="1"/>
  <c r="F661" i="13"/>
  <c r="F661" i="44" s="1"/>
  <c r="I1213" i="8"/>
  <c r="F783" i="16"/>
  <c r="J783" i="44" s="1"/>
  <c r="F909" i="13"/>
  <c r="F909" i="44" s="1"/>
  <c r="F897" i="13"/>
  <c r="F897" i="44" s="1"/>
  <c r="F612" i="13"/>
  <c r="F612" i="44" s="1"/>
  <c r="F1103" i="13"/>
  <c r="F1103" i="44" s="1"/>
  <c r="F921" i="13"/>
  <c r="F921" i="44" s="1"/>
  <c r="F1211" i="13"/>
  <c r="F1211" i="44" s="1"/>
  <c r="H1221" i="8"/>
  <c r="G753" i="8"/>
  <c r="H923" i="8"/>
  <c r="J909" i="8"/>
  <c r="H20" i="8"/>
  <c r="F919" i="16"/>
  <c r="J919" i="44" s="1"/>
  <c r="F1065" i="13"/>
  <c r="F1065" i="44" s="1"/>
  <c r="F731" i="18"/>
  <c r="I614" i="8"/>
  <c r="H58" i="8"/>
  <c r="J872" i="8"/>
  <c r="F1065" i="15"/>
  <c r="H1065" i="44" s="1"/>
  <c r="U1275" i="15"/>
  <c r="K1382" i="15" s="1"/>
  <c r="H728" i="13"/>
  <c r="G728" i="44" s="1"/>
  <c r="F709" i="13"/>
  <c r="F709" i="44" s="1"/>
  <c r="F612" i="15"/>
  <c r="H612" i="44" s="1"/>
  <c r="I923" i="8"/>
  <c r="F197" i="18"/>
  <c r="W197" i="18" s="1"/>
  <c r="G114" i="14"/>
  <c r="M114" i="14"/>
  <c r="H114" i="14"/>
  <c r="I114" i="14"/>
  <c r="L114" i="14"/>
  <c r="J114" i="14"/>
  <c r="K114" i="14"/>
  <c r="F114" i="14"/>
  <c r="U1279" i="16"/>
  <c r="L1386" i="16" s="1"/>
  <c r="R1380" i="15"/>
  <c r="Q1380" i="15"/>
  <c r="S1380" i="15"/>
  <c r="U1277" i="16"/>
  <c r="S1384" i="16" s="1"/>
  <c r="O1380" i="15"/>
  <c r="P1380" i="15"/>
  <c r="M1380" i="15"/>
  <c r="J1380" i="15"/>
  <c r="L1380" i="15"/>
  <c r="K1380" i="15"/>
  <c r="U1364" i="16"/>
  <c r="M1364" i="13"/>
  <c r="J1212" i="8"/>
  <c r="F1153" i="16"/>
  <c r="J1153" i="44" s="1"/>
  <c r="J827" i="8"/>
  <c r="F827" i="15"/>
  <c r="H827" i="44" s="1"/>
  <c r="H614" i="8"/>
  <c r="I1070" i="8"/>
  <c r="F907" i="18"/>
  <c r="F21" i="18"/>
  <c r="F903" i="16"/>
  <c r="J903" i="44" s="1"/>
  <c r="F324" i="13"/>
  <c r="F324" i="44" s="1"/>
  <c r="G923" i="8"/>
  <c r="F827" i="13"/>
  <c r="F827" i="44" s="1"/>
  <c r="F1130" i="18"/>
  <c r="F895" i="18"/>
  <c r="F597" i="18"/>
  <c r="W597" i="18" s="1"/>
  <c r="F261" i="18"/>
  <c r="W261" i="18" s="1"/>
  <c r="F659" i="18"/>
  <c r="F731" i="16"/>
  <c r="J731" i="44" s="1"/>
  <c r="L731" i="44" s="1"/>
  <c r="N731" i="44" s="1"/>
  <c r="F915" i="18"/>
  <c r="F556" i="18"/>
  <c r="W556" i="18" s="1"/>
  <c r="F890" i="16"/>
  <c r="J890" i="44" s="1"/>
  <c r="F659" i="16"/>
  <c r="J659" i="44" s="1"/>
  <c r="F903" i="18"/>
  <c r="F106" i="18"/>
  <c r="F53" i="18" s="1"/>
  <c r="F915" i="16"/>
  <c r="J915" i="44" s="1"/>
  <c r="F54" i="15"/>
  <c r="H54" i="44" s="1"/>
  <c r="F324" i="15"/>
  <c r="H324" i="44" s="1"/>
  <c r="F783" i="18"/>
  <c r="F784" i="18" s="1"/>
  <c r="F261" i="16"/>
  <c r="J261" i="44" s="1"/>
  <c r="F890" i="18"/>
  <c r="F919" i="18"/>
  <c r="F709" i="15"/>
  <c r="H709" i="44" s="1"/>
  <c r="F1091" i="18"/>
  <c r="F729" i="18"/>
  <c r="H15" i="8"/>
  <c r="H663" i="8"/>
  <c r="J74" i="8"/>
  <c r="F1013" i="18"/>
  <c r="F16" i="15"/>
  <c r="H16" i="44" s="1"/>
  <c r="F106" i="16"/>
  <c r="J106" i="44" s="1"/>
  <c r="G20" i="8"/>
  <c r="G1070" i="8"/>
  <c r="J650" i="8"/>
  <c r="F692" i="18"/>
  <c r="F193" i="16"/>
  <c r="J193" i="44" s="1"/>
  <c r="F597" i="16"/>
  <c r="J597" i="44" s="1"/>
  <c r="G663" i="8"/>
  <c r="G15" i="8"/>
  <c r="I663" i="8"/>
  <c r="I15" i="8"/>
  <c r="I753" i="8"/>
  <c r="F16" i="13"/>
  <c r="F16" i="44" s="1"/>
  <c r="F1091" i="16"/>
  <c r="J1091" i="44" s="1"/>
  <c r="F433" i="18"/>
  <c r="F435" i="18" s="1"/>
  <c r="F478" i="18" s="1"/>
  <c r="J16" i="8"/>
  <c r="F692" i="16"/>
  <c r="J692" i="44" s="1"/>
  <c r="F121" i="16"/>
  <c r="H753" i="8"/>
  <c r="F1160" i="18"/>
  <c r="U1373" i="13"/>
  <c r="U1373" i="15"/>
  <c r="M1373" i="16"/>
  <c r="M1100" i="16" s="1"/>
  <c r="J18" i="3"/>
  <c r="F276" i="18"/>
  <c r="W276" i="18" s="1"/>
  <c r="F1063" i="16"/>
  <c r="J1063" i="44" s="1"/>
  <c r="R73" i="5"/>
  <c r="F812" i="18"/>
  <c r="P1373" i="16"/>
  <c r="P1100" i="16" s="1"/>
  <c r="F610" i="18"/>
  <c r="W610" i="18" s="1"/>
  <c r="F741" i="18"/>
  <c r="F739" i="18"/>
  <c r="U1277" i="13"/>
  <c r="F276" i="16"/>
  <c r="J276" i="44" s="1"/>
  <c r="F998" i="18"/>
  <c r="U1280" i="16"/>
  <c r="Q1387" i="16" s="1"/>
  <c r="U1387" i="16" s="1"/>
  <c r="F648" i="18"/>
  <c r="F650" i="18" s="1"/>
  <c r="F749" i="18"/>
  <c r="F751" i="18"/>
  <c r="I73" i="8"/>
  <c r="J476" i="8"/>
  <c r="J1101" i="44"/>
  <c r="F1032" i="18"/>
  <c r="I221" i="8"/>
  <c r="I58" i="8"/>
  <c r="Q1373" i="16"/>
  <c r="Q1100" i="16" s="1"/>
  <c r="F690" i="16"/>
  <c r="J690" i="44" s="1"/>
  <c r="F814" i="16"/>
  <c r="J814" i="44" s="1"/>
  <c r="F812" i="16"/>
  <c r="J812" i="44" s="1"/>
  <c r="U1279" i="13"/>
  <c r="Q1386" i="13" s="1"/>
  <c r="F874" i="8"/>
  <c r="J76" i="8"/>
  <c r="F739" i="16"/>
  <c r="J739" i="44" s="1"/>
  <c r="F741" i="16"/>
  <c r="J741" i="44" s="1"/>
  <c r="L741" i="44" s="1"/>
  <c r="N741" i="44" s="1"/>
  <c r="F121" i="18"/>
  <c r="W121" i="18" s="1"/>
  <c r="F814" i="18"/>
  <c r="N1380" i="13"/>
  <c r="R1380" i="13"/>
  <c r="K1380" i="13"/>
  <c r="J1380" i="13"/>
  <c r="Q1380" i="13"/>
  <c r="O1380" i="13"/>
  <c r="M1380" i="13"/>
  <c r="L1380" i="13"/>
  <c r="P1380" i="13"/>
  <c r="S1380" i="13"/>
  <c r="F193" i="18"/>
  <c r="W193" i="18" s="1"/>
  <c r="F823" i="18"/>
  <c r="F825" i="18"/>
  <c r="F998" i="16"/>
  <c r="J998" i="44" s="1"/>
  <c r="F648" i="16"/>
  <c r="J648" i="44" s="1"/>
  <c r="F729" i="16"/>
  <c r="J729" i="44" s="1"/>
  <c r="J388" i="8"/>
  <c r="J1373" i="16"/>
  <c r="J1100" i="16" s="1"/>
  <c r="N1373" i="16"/>
  <c r="N1100" i="16" s="1"/>
  <c r="L1373" i="16"/>
  <c r="L1100" i="16" s="1"/>
  <c r="K1373" i="16"/>
  <c r="K1100" i="16" s="1"/>
  <c r="F354" i="18"/>
  <c r="W354" i="18" s="1"/>
  <c r="F853" i="18"/>
  <c r="F857" i="18" s="1"/>
  <c r="F690" i="18"/>
  <c r="R1380" i="16"/>
  <c r="M1380" i="16"/>
  <c r="J1380" i="16"/>
  <c r="P1380" i="16"/>
  <c r="O1380" i="16"/>
  <c r="Q1380" i="16"/>
  <c r="N1380" i="16"/>
  <c r="L1380" i="16"/>
  <c r="U1275" i="13"/>
  <c r="K1382" i="13" s="1"/>
  <c r="F825" i="16"/>
  <c r="J825" i="44" s="1"/>
  <c r="F823" i="16"/>
  <c r="J823" i="44" s="1"/>
  <c r="J54" i="8"/>
  <c r="N54" i="8" s="1"/>
  <c r="F1063" i="18"/>
  <c r="F749" i="16"/>
  <c r="J749" i="44" s="1"/>
  <c r="F751" i="16"/>
  <c r="J751" i="44" s="1"/>
  <c r="F1032" i="16"/>
  <c r="J1032" i="44" s="1"/>
  <c r="S1380" i="16"/>
  <c r="U1275" i="16"/>
  <c r="K1382" i="16" s="1"/>
  <c r="M1354" i="16"/>
  <c r="K1262" i="16"/>
  <c r="F895" i="16"/>
  <c r="J895" i="44" s="1"/>
  <c r="H1256" i="13"/>
  <c r="G1257" i="13"/>
  <c r="G1256" i="15"/>
  <c r="H1255" i="15"/>
  <c r="F1070" i="8"/>
  <c r="F20" i="8"/>
  <c r="J1065" i="8"/>
  <c r="F753" i="8"/>
  <c r="J199" i="8"/>
  <c r="F58" i="8"/>
  <c r="F221" i="8"/>
  <c r="F199" i="13"/>
  <c r="F199" i="44" s="1"/>
  <c r="G1438" i="13"/>
  <c r="G1439" i="13" s="1"/>
  <c r="G1440" i="13" s="1"/>
  <c r="G1441" i="13" s="1"/>
  <c r="G1442" i="13" s="1"/>
  <c r="G1443" i="13" s="1"/>
  <c r="H531" i="13" s="1"/>
  <c r="G531" i="44" s="1"/>
  <c r="H950" i="13"/>
  <c r="G950" i="44" s="1"/>
  <c r="H770" i="13"/>
  <c r="G770" i="44" s="1"/>
  <c r="H769" i="13"/>
  <c r="G769" i="44" s="1"/>
  <c r="H779" i="13"/>
  <c r="G779" i="44" s="1"/>
  <c r="H772" i="13"/>
  <c r="G772" i="44" s="1"/>
  <c r="H774" i="13"/>
  <c r="G774" i="44" s="1"/>
  <c r="H778" i="13"/>
  <c r="G778" i="44" s="1"/>
  <c r="H696" i="13"/>
  <c r="G696" i="44" s="1"/>
  <c r="G26" i="1"/>
  <c r="F26" i="1" s="1"/>
  <c r="U1377" i="13"/>
  <c r="F923" i="8"/>
  <c r="J921" i="8"/>
  <c r="M1262" i="13"/>
  <c r="G1427" i="16"/>
  <c r="G1428" i="16" s="1"/>
  <c r="G1429" i="16" s="1"/>
  <c r="G1430" i="16" s="1"/>
  <c r="G1431" i="16" s="1"/>
  <c r="G1432" i="16" s="1"/>
  <c r="G1433" i="16" s="1"/>
  <c r="G1434" i="16" s="1"/>
  <c r="G1435" i="16" s="1"/>
  <c r="G1436" i="16" s="1"/>
  <c r="G1437" i="16" s="1"/>
  <c r="H680" i="16"/>
  <c r="K680" i="44" s="1"/>
  <c r="H688" i="16"/>
  <c r="K688" i="44" s="1"/>
  <c r="J324" i="8"/>
  <c r="U1363" i="13"/>
  <c r="M1354" i="13"/>
  <c r="R72" i="5"/>
  <c r="F707" i="18"/>
  <c r="F705" i="18"/>
  <c r="F59" i="8"/>
  <c r="J219" i="8"/>
  <c r="G614" i="8"/>
  <c r="F556" i="16"/>
  <c r="J556" i="44" s="1"/>
  <c r="F953" i="18"/>
  <c r="F955" i="18"/>
  <c r="U1363" i="16"/>
  <c r="F868" i="16"/>
  <c r="J868" i="44" s="1"/>
  <c r="F853" i="16"/>
  <c r="J853" i="44" s="1"/>
  <c r="F323" i="13"/>
  <c r="F323" i="44" s="1"/>
  <c r="U1377" i="15"/>
  <c r="U1364" i="15"/>
  <c r="K1262" i="13"/>
  <c r="J53" i="8"/>
  <c r="N53" i="8" s="1"/>
  <c r="F363" i="13"/>
  <c r="F363" i="44" s="1"/>
  <c r="G221" i="8"/>
  <c r="G58" i="8"/>
  <c r="M1262" i="15"/>
  <c r="I71" i="8"/>
  <c r="I478" i="8"/>
  <c r="F705" i="16"/>
  <c r="J705" i="44" s="1"/>
  <c r="F707" i="16"/>
  <c r="J707" i="44" s="1"/>
  <c r="G1438" i="15"/>
  <c r="H779" i="15"/>
  <c r="I779" i="44" s="1"/>
  <c r="H704" i="15"/>
  <c r="I704" i="44" s="1"/>
  <c r="H735" i="15"/>
  <c r="I735" i="44" s="1"/>
  <c r="H778" i="15"/>
  <c r="I778" i="44" s="1"/>
  <c r="H941" i="15"/>
  <c r="I941" i="44" s="1"/>
  <c r="G1257" i="16"/>
  <c r="H1256" i="16"/>
  <c r="F955" i="16"/>
  <c r="J955" i="44" s="1"/>
  <c r="F953" i="16"/>
  <c r="J953" i="44" s="1"/>
  <c r="F413" i="16"/>
  <c r="J413" i="44" s="1"/>
  <c r="F70" i="16"/>
  <c r="J70" i="44" s="1"/>
  <c r="F1130" i="16"/>
  <c r="J1130" i="44" s="1"/>
  <c r="M1354" i="15"/>
  <c r="L1100" i="15" s="1"/>
  <c r="J323" i="8"/>
  <c r="G72" i="8"/>
  <c r="G478" i="8"/>
  <c r="J455" i="8"/>
  <c r="J612" i="8"/>
  <c r="F24" i="8"/>
  <c r="J1103" i="8"/>
  <c r="G71" i="8"/>
  <c r="J435" i="8"/>
  <c r="F610" i="16"/>
  <c r="J610" i="44" s="1"/>
  <c r="H851" i="16"/>
  <c r="K851" i="44" s="1"/>
  <c r="J363" i="8"/>
  <c r="K1262" i="15"/>
  <c r="F413" i="18"/>
  <c r="F76" i="18" s="1"/>
  <c r="F70" i="18"/>
  <c r="X70" i="18" s="1"/>
  <c r="F433" i="16"/>
  <c r="J433" i="44" s="1"/>
  <c r="F1013" i="16"/>
  <c r="J1013" i="44" s="1"/>
  <c r="F354" i="16"/>
  <c r="J354" i="44" s="1"/>
  <c r="M1262" i="16"/>
  <c r="F15" i="8"/>
  <c r="F663" i="8"/>
  <c r="F907" i="16"/>
  <c r="J907" i="44" s="1"/>
  <c r="J897" i="8"/>
  <c r="P1364" i="13"/>
  <c r="O1364" i="13"/>
  <c r="J1364" i="13"/>
  <c r="L1364" i="13"/>
  <c r="N1364" i="13"/>
  <c r="Q1364" i="13"/>
  <c r="U1363" i="15"/>
  <c r="U1377" i="16"/>
  <c r="F868" i="18"/>
  <c r="F872" i="18" s="1"/>
  <c r="J1100" i="15" l="1"/>
  <c r="J1100" i="18" s="1"/>
  <c r="K1100" i="15"/>
  <c r="K1100" i="18" s="1"/>
  <c r="L1100" i="18"/>
  <c r="U1100" i="16"/>
  <c r="I1221" i="8"/>
  <c r="F1212" i="16"/>
  <c r="J1212" i="44" s="1"/>
  <c r="F59" i="15"/>
  <c r="H59" i="44" s="1"/>
  <c r="F68" i="15"/>
  <c r="H68" i="44" s="1"/>
  <c r="F1220" i="15"/>
  <c r="H1220" i="44" s="1"/>
  <c r="B943" i="16"/>
  <c r="B641" i="16"/>
  <c r="B996" i="16"/>
  <c r="B244" i="16"/>
  <c r="B846" i="16"/>
  <c r="B432" i="16"/>
  <c r="B187" i="16"/>
  <c r="B474" i="16"/>
  <c r="B1120" i="16"/>
  <c r="B294" i="16"/>
  <c r="B1051" i="16"/>
  <c r="B772" i="16"/>
  <c r="B261" i="16"/>
  <c r="B387" i="16"/>
  <c r="B682" i="16"/>
  <c r="B497" i="16"/>
  <c r="B106" i="16"/>
  <c r="B594" i="16"/>
  <c r="B976" i="16"/>
  <c r="B218" i="16"/>
  <c r="B347" i="16"/>
  <c r="B891" i="16"/>
  <c r="B140" i="16"/>
  <c r="B454" i="16"/>
  <c r="B806" i="16"/>
  <c r="B1181" i="16"/>
  <c r="B407" i="16"/>
  <c r="B727" i="16"/>
  <c r="B1089" i="16"/>
  <c r="B520" i="16"/>
  <c r="H544" i="13"/>
  <c r="G544" i="44" s="1"/>
  <c r="H530" i="13"/>
  <c r="G530" i="44" s="1"/>
  <c r="W70" i="16"/>
  <c r="Q70" i="44"/>
  <c r="F72" i="15"/>
  <c r="H72" i="44" s="1"/>
  <c r="F663" i="13"/>
  <c r="F663" i="44" s="1"/>
  <c r="F663" i="15"/>
  <c r="H663" i="44" s="1"/>
  <c r="F24" i="15"/>
  <c r="H24" i="44" s="1"/>
  <c r="F575" i="13"/>
  <c r="F575" i="44" s="1"/>
  <c r="L749" i="44"/>
  <c r="N749" i="44" s="1"/>
  <c r="B167" i="44"/>
  <c r="B871" i="44"/>
  <c r="B916" i="44"/>
  <c r="B752" i="44"/>
  <c r="B82" i="44"/>
  <c r="B619" i="44"/>
  <c r="W217" i="18"/>
  <c r="W219" i="18"/>
  <c r="L702" i="13"/>
  <c r="F74" i="18"/>
  <c r="Q108" i="14"/>
  <c r="H704" i="16"/>
  <c r="K704" i="44" s="1"/>
  <c r="L900" i="16"/>
  <c r="J1159" i="16"/>
  <c r="K1159" i="16"/>
  <c r="L1159" i="16"/>
  <c r="H524" i="13"/>
  <c r="G524" i="44" s="1"/>
  <c r="H1136" i="13"/>
  <c r="G1136" i="44" s="1"/>
  <c r="W433" i="18"/>
  <c r="W435" i="18"/>
  <c r="W413" i="18"/>
  <c r="W106" i="18"/>
  <c r="I1183" i="8"/>
  <c r="N857" i="8"/>
  <c r="B727" i="8"/>
  <c r="H616" i="8"/>
  <c r="H22" i="8"/>
  <c r="F1221" i="8"/>
  <c r="L874" i="8"/>
  <c r="B106" i="8"/>
  <c r="B594" i="8"/>
  <c r="I22" i="8"/>
  <c r="B261" i="8"/>
  <c r="P24" i="8"/>
  <c r="I364" i="8"/>
  <c r="N872" i="8"/>
  <c r="L69" i="8"/>
  <c r="B454" i="8"/>
  <c r="B19" i="8"/>
  <c r="N612" i="8"/>
  <c r="H925" i="8"/>
  <c r="L59" i="8"/>
  <c r="B1182" i="8"/>
  <c r="B976" i="8"/>
  <c r="B1089" i="8"/>
  <c r="B682" i="8"/>
  <c r="B996" i="8"/>
  <c r="B772" i="8"/>
  <c r="N455" i="8"/>
  <c r="N1065" i="8"/>
  <c r="I925" i="8"/>
  <c r="I75" i="8"/>
  <c r="I77" i="8" s="1"/>
  <c r="Q24" i="8"/>
  <c r="F1211" i="18"/>
  <c r="B387" i="8"/>
  <c r="B187" i="8"/>
  <c r="I18" i="8"/>
  <c r="B407" i="8"/>
  <c r="B806" i="8"/>
  <c r="R24" i="8"/>
  <c r="B432" i="8"/>
  <c r="B641" i="8"/>
  <c r="B474" i="8"/>
  <c r="B347" i="8"/>
  <c r="B943" i="8"/>
  <c r="L72" i="8"/>
  <c r="F1183" i="8"/>
  <c r="H18" i="8"/>
  <c r="B244" i="8"/>
  <c r="B891" i="8"/>
  <c r="H1223" i="8"/>
  <c r="B846" i="8"/>
  <c r="B1051" i="8"/>
  <c r="B57" i="8"/>
  <c r="B520" i="8"/>
  <c r="B1120" i="8"/>
  <c r="P76" i="44"/>
  <c r="O76" i="44"/>
  <c r="P74" i="44"/>
  <c r="O74" i="44"/>
  <c r="L24" i="8"/>
  <c r="N1103" i="8"/>
  <c r="N897" i="8"/>
  <c r="N827" i="8"/>
  <c r="N650" i="8"/>
  <c r="L473" i="44"/>
  <c r="L907" i="44"/>
  <c r="L354" i="44"/>
  <c r="L739" i="44"/>
  <c r="N739" i="44" s="1"/>
  <c r="L919" i="44"/>
  <c r="L955" i="44"/>
  <c r="L1130" i="44"/>
  <c r="N1130" i="44" s="1"/>
  <c r="L705" i="44"/>
  <c r="N705" i="44" s="1"/>
  <c r="L1160" i="44"/>
  <c r="N1160" i="44" s="1"/>
  <c r="L216" i="44"/>
  <c r="L1032" i="44"/>
  <c r="N1032" i="44" s="1"/>
  <c r="L1091" i="44"/>
  <c r="N1091" i="44" s="1"/>
  <c r="L1095" i="44"/>
  <c r="N1095" i="44" s="1"/>
  <c r="L495" i="44"/>
  <c r="L197" i="44"/>
  <c r="L915" i="44"/>
  <c r="L195" i="44"/>
  <c r="L361" i="44"/>
  <c r="L499" i="44"/>
  <c r="L1013" i="44"/>
  <c r="N1013" i="44" s="1"/>
  <c r="L1094" i="44"/>
  <c r="N1094" i="44" s="1"/>
  <c r="L729" i="44"/>
  <c r="N729" i="44" s="1"/>
  <c r="L812" i="44"/>
  <c r="L1101" i="44"/>
  <c r="N1101" i="44" s="1"/>
  <c r="L276" i="44"/>
  <c r="L1140" i="44"/>
  <c r="N1140" i="44" s="1"/>
  <c r="L903" i="44"/>
  <c r="L241" i="44"/>
  <c r="L261" i="44"/>
  <c r="L1068" i="44"/>
  <c r="N1068" i="44" s="1"/>
  <c r="L895" i="44"/>
  <c r="L610" i="44"/>
  <c r="N610" i="44" s="1"/>
  <c r="L953" i="44"/>
  <c r="L998" i="44"/>
  <c r="N998" i="44" s="1"/>
  <c r="L690" i="44"/>
  <c r="N690" i="44" s="1"/>
  <c r="L1063" i="44"/>
  <c r="N1063" i="44" s="1"/>
  <c r="L890" i="44"/>
  <c r="L21" i="44"/>
  <c r="L452" i="44"/>
  <c r="N199" i="8"/>
  <c r="N909" i="8"/>
  <c r="N476" i="8"/>
  <c r="N435" i="8"/>
  <c r="N709" i="8"/>
  <c r="N921" i="8"/>
  <c r="N661" i="8"/>
  <c r="H548" i="13"/>
  <c r="G548" i="44" s="1"/>
  <c r="H523" i="13"/>
  <c r="G523" i="44" s="1"/>
  <c r="N363" i="8"/>
  <c r="L221" i="8"/>
  <c r="L71" i="8"/>
  <c r="L614" i="8"/>
  <c r="N388" i="8"/>
  <c r="N219" i="8"/>
  <c r="L1213" i="8"/>
  <c r="L663" i="8"/>
  <c r="L478" i="8"/>
  <c r="W478" i="18" s="1"/>
  <c r="L58" i="8"/>
  <c r="N323" i="8"/>
  <c r="N324" i="8"/>
  <c r="N244" i="8"/>
  <c r="N1213" i="8"/>
  <c r="G925" i="8"/>
  <c r="L923" i="8"/>
  <c r="J68" i="8"/>
  <c r="L68" i="8"/>
  <c r="G18" i="8"/>
  <c r="L15" i="8"/>
  <c r="G1183" i="8"/>
  <c r="L1070" i="8"/>
  <c r="G754" i="8"/>
  <c r="L753" i="8"/>
  <c r="L73" i="8"/>
  <c r="G22" i="8"/>
  <c r="L20" i="8"/>
  <c r="L823" i="44"/>
  <c r="L309" i="13"/>
  <c r="L309" i="16"/>
  <c r="L746" i="16"/>
  <c r="F874" i="13"/>
  <c r="F874" i="44" s="1"/>
  <c r="L917" i="16"/>
  <c r="K494" i="16"/>
  <c r="F478" i="15"/>
  <c r="H478" i="44" s="1"/>
  <c r="J1384" i="15"/>
  <c r="K1384" i="15"/>
  <c r="K689" i="15" s="1"/>
  <c r="S1384" i="15"/>
  <c r="M1384" i="15"/>
  <c r="N1384" i="15"/>
  <c r="Q1384" i="15"/>
  <c r="L901" i="13"/>
  <c r="L1029" i="16"/>
  <c r="K496" i="13"/>
  <c r="K496" i="16"/>
  <c r="H1088" i="13"/>
  <c r="G1088" i="44" s="1"/>
  <c r="L473" i="16"/>
  <c r="L474" i="16" s="1"/>
  <c r="L476" i="16" s="1"/>
  <c r="L73" i="16" s="1"/>
  <c r="F58" i="15"/>
  <c r="H58" i="44" s="1"/>
  <c r="L736" i="13"/>
  <c r="L496" i="13"/>
  <c r="J496" i="13"/>
  <c r="F923" i="15"/>
  <c r="H923" i="44" s="1"/>
  <c r="L659" i="44"/>
  <c r="N659" i="44" s="1"/>
  <c r="F221" i="15"/>
  <c r="H221" i="44" s="1"/>
  <c r="F15" i="15"/>
  <c r="H15" i="44" s="1"/>
  <c r="F478" i="13"/>
  <c r="F478" i="44" s="1"/>
  <c r="F72" i="13"/>
  <c r="F72" i="44" s="1"/>
  <c r="F1070" i="15"/>
  <c r="H1070" i="44" s="1"/>
  <c r="F1070" i="13"/>
  <c r="F1070" i="44" s="1"/>
  <c r="F68" i="13"/>
  <c r="F199" i="16"/>
  <c r="J199" i="44" s="1"/>
  <c r="F53" i="16"/>
  <c r="J53" i="44" s="1"/>
  <c r="Q106" i="44"/>
  <c r="F71" i="13"/>
  <c r="F71" i="44" s="1"/>
  <c r="F219" i="16"/>
  <c r="J219" i="44" s="1"/>
  <c r="F69" i="16"/>
  <c r="J69" i="44" s="1"/>
  <c r="F71" i="15"/>
  <c r="H71" i="44" s="1"/>
  <c r="F455" i="16"/>
  <c r="J455" i="44" s="1"/>
  <c r="F857" i="16"/>
  <c r="J857" i="44" s="1"/>
  <c r="F54" i="16"/>
  <c r="J54" i="44" s="1"/>
  <c r="F74" i="16"/>
  <c r="J74" i="44" s="1"/>
  <c r="L1211" i="44"/>
  <c r="N1211" i="44" s="1"/>
  <c r="F874" i="15"/>
  <c r="H874" i="44" s="1"/>
  <c r="F244" i="16"/>
  <c r="J244" i="44" s="1"/>
  <c r="F69" i="15"/>
  <c r="H69" i="44" s="1"/>
  <c r="F476" i="16"/>
  <c r="J476" i="44" s="1"/>
  <c r="F614" i="15"/>
  <c r="H614" i="44" s="1"/>
  <c r="F784" i="16"/>
  <c r="J784" i="44" s="1"/>
  <c r="F69" i="13"/>
  <c r="F69" i="44" s="1"/>
  <c r="F24" i="13"/>
  <c r="F24" i="44" s="1"/>
  <c r="F435" i="16"/>
  <c r="J435" i="44" s="1"/>
  <c r="F76" i="16"/>
  <c r="J76" i="44" s="1"/>
  <c r="F872" i="16"/>
  <c r="J872" i="44" s="1"/>
  <c r="F59" i="13"/>
  <c r="F59" i="44" s="1"/>
  <c r="F73" i="13"/>
  <c r="F73" i="44" s="1"/>
  <c r="F73" i="15"/>
  <c r="H73" i="44" s="1"/>
  <c r="Q1386" i="15"/>
  <c r="L1386" i="15"/>
  <c r="J1386" i="15"/>
  <c r="J494" i="15"/>
  <c r="J496" i="15"/>
  <c r="K494" i="15"/>
  <c r="K496" i="15"/>
  <c r="L494" i="15"/>
  <c r="L496" i="15"/>
  <c r="L494" i="16"/>
  <c r="L496" i="16"/>
  <c r="J494" i="16"/>
  <c r="J496" i="16"/>
  <c r="J1213" i="8"/>
  <c r="F15" i="13"/>
  <c r="F15" i="44" s="1"/>
  <c r="F923" i="13"/>
  <c r="F923" i="44" s="1"/>
  <c r="F17" i="18"/>
  <c r="G1221" i="8"/>
  <c r="F1212" i="13"/>
  <c r="F1212" i="44" s="1"/>
  <c r="F753" i="15"/>
  <c r="H753" i="44" s="1"/>
  <c r="F709" i="16"/>
  <c r="J709" i="44" s="1"/>
  <c r="Q107" i="14"/>
  <c r="S107" i="14"/>
  <c r="J1382" i="15"/>
  <c r="J274" i="15" s="1"/>
  <c r="G785" i="8"/>
  <c r="I616" i="8"/>
  <c r="F921" i="16"/>
  <c r="J921" i="44" s="1"/>
  <c r="F753" i="13"/>
  <c r="F753" i="44" s="1"/>
  <c r="L848" i="15"/>
  <c r="L918" i="15"/>
  <c r="L900" i="15"/>
  <c r="H870" i="13"/>
  <c r="G870" i="44" s="1"/>
  <c r="L311" i="13"/>
  <c r="L865" i="13"/>
  <c r="L1031" i="13"/>
  <c r="H946" i="13"/>
  <c r="G946" i="44" s="1"/>
  <c r="L746" i="13"/>
  <c r="L912" i="13"/>
  <c r="L1029" i="13"/>
  <c r="F20" i="13"/>
  <c r="F20" i="44" s="1"/>
  <c r="L902" i="16"/>
  <c r="L777" i="16"/>
  <c r="K852" i="16"/>
  <c r="J874" i="8"/>
  <c r="F20" i="15"/>
  <c r="H20" i="44" s="1"/>
  <c r="F199" i="18"/>
  <c r="F221" i="18" s="1"/>
  <c r="N1382" i="15"/>
  <c r="M1382" i="15"/>
  <c r="L901" i="15"/>
  <c r="L702" i="15"/>
  <c r="L902" i="15"/>
  <c r="R1382" i="15"/>
  <c r="S1382" i="15"/>
  <c r="L1382" i="15"/>
  <c r="L656" i="15" s="1"/>
  <c r="L155" i="15"/>
  <c r="O1382" i="15"/>
  <c r="Q1382" i="15"/>
  <c r="J494" i="13"/>
  <c r="K494" i="13"/>
  <c r="F71" i="18"/>
  <c r="F16" i="18"/>
  <c r="L495" i="13"/>
  <c r="L494" i="13"/>
  <c r="N81" i="5"/>
  <c r="Q1386" i="16"/>
  <c r="J1386" i="16"/>
  <c r="K1386" i="16"/>
  <c r="K1384" i="16"/>
  <c r="Q1384" i="16"/>
  <c r="N1384" i="16"/>
  <c r="L1384" i="16"/>
  <c r="L689" i="16" s="1"/>
  <c r="J1384" i="16"/>
  <c r="M1384" i="16"/>
  <c r="U1380" i="15"/>
  <c r="U1380" i="16"/>
  <c r="L748" i="13"/>
  <c r="F909" i="16"/>
  <c r="J909" i="44" s="1"/>
  <c r="F909" i="18"/>
  <c r="H75" i="8"/>
  <c r="F363" i="18"/>
  <c r="W363" i="18" s="1"/>
  <c r="F661" i="16"/>
  <c r="J661" i="44" s="1"/>
  <c r="J24" i="8"/>
  <c r="F897" i="18"/>
  <c r="F874" i="18"/>
  <c r="F612" i="18"/>
  <c r="W612" i="18" s="1"/>
  <c r="F575" i="18"/>
  <c r="W575" i="18" s="1"/>
  <c r="J59" i="8"/>
  <c r="N59" i="8" s="1"/>
  <c r="F827" i="18"/>
  <c r="F324" i="16"/>
  <c r="J324" i="44" s="1"/>
  <c r="F323" i="18"/>
  <c r="W323" i="18" s="1"/>
  <c r="J663" i="8"/>
  <c r="J1070" i="8"/>
  <c r="F897" i="16"/>
  <c r="J897" i="44" s="1"/>
  <c r="F1103" i="16"/>
  <c r="J1103" i="44" s="1"/>
  <c r="F1103" i="18"/>
  <c r="F24" i="18" s="1"/>
  <c r="F921" i="18"/>
  <c r="F363" i="16"/>
  <c r="J363" i="44" s="1"/>
  <c r="F1065" i="18"/>
  <c r="F1070" i="18" s="1"/>
  <c r="F827" i="16"/>
  <c r="J827" i="44" s="1"/>
  <c r="H754" i="8"/>
  <c r="H785" i="8"/>
  <c r="F1065" i="16"/>
  <c r="J1065" i="44" s="1"/>
  <c r="F612" i="16"/>
  <c r="J612" i="44" s="1"/>
  <c r="F323" i="16"/>
  <c r="J323" i="44" s="1"/>
  <c r="F709" i="18"/>
  <c r="I785" i="8"/>
  <c r="I754" i="8"/>
  <c r="U1373" i="16"/>
  <c r="J73" i="8"/>
  <c r="L495" i="16"/>
  <c r="L747" i="16"/>
  <c r="L918" i="16"/>
  <c r="L809" i="16"/>
  <c r="L745" i="16"/>
  <c r="L685" i="16"/>
  <c r="L748" i="16"/>
  <c r="L913" i="16"/>
  <c r="F16" i="16"/>
  <c r="J16" i="44" s="1"/>
  <c r="S1382" i="16"/>
  <c r="L157" i="16"/>
  <c r="L848" i="16"/>
  <c r="L1031" i="16"/>
  <c r="L1099" i="16"/>
  <c r="L744" i="16"/>
  <c r="L1180" i="16"/>
  <c r="L1067" i="16"/>
  <c r="L865" i="16"/>
  <c r="J69" i="8"/>
  <c r="F324" i="18"/>
  <c r="W324" i="18" s="1"/>
  <c r="F54" i="18"/>
  <c r="J1384" i="13"/>
  <c r="L1384" i="13"/>
  <c r="M1384" i="13"/>
  <c r="K1384" i="13"/>
  <c r="N1384" i="13"/>
  <c r="S1384" i="13"/>
  <c r="Q1384" i="13"/>
  <c r="M1382" i="13"/>
  <c r="R1382" i="13"/>
  <c r="Q1382" i="13"/>
  <c r="S1382" i="13"/>
  <c r="J1382" i="13"/>
  <c r="L1382" i="13"/>
  <c r="N1382" i="13"/>
  <c r="O1382" i="13"/>
  <c r="U1380" i="13"/>
  <c r="L1386" i="13"/>
  <c r="J1386" i="13"/>
  <c r="L737" i="16"/>
  <c r="L155" i="16"/>
  <c r="L311" i="16"/>
  <c r="L702" i="16"/>
  <c r="L736" i="16"/>
  <c r="L901" i="16"/>
  <c r="L734" i="16"/>
  <c r="L1208" i="16"/>
  <c r="L645" i="16"/>
  <c r="L914" i="16"/>
  <c r="L912" i="16"/>
  <c r="R1382" i="16"/>
  <c r="N1382" i="16"/>
  <c r="O1382" i="16"/>
  <c r="L1382" i="16"/>
  <c r="L852" i="16" s="1"/>
  <c r="J1382" i="16"/>
  <c r="J640" i="16" s="1"/>
  <c r="K1386" i="13"/>
  <c r="F661" i="18"/>
  <c r="F663" i="18" s="1"/>
  <c r="M1382" i="16"/>
  <c r="Q1382" i="16"/>
  <c r="N1354" i="15"/>
  <c r="J157" i="15"/>
  <c r="J309" i="15"/>
  <c r="J311" i="15"/>
  <c r="J914" i="15"/>
  <c r="J473" i="15"/>
  <c r="J1099" i="15"/>
  <c r="J777" i="15"/>
  <c r="J495" i="15"/>
  <c r="J702" i="15"/>
  <c r="J912" i="15"/>
  <c r="J900" i="15"/>
  <c r="J1031" i="15"/>
  <c r="J1029" i="15"/>
  <c r="J917" i="15"/>
  <c r="J809" i="15"/>
  <c r="J1180" i="15"/>
  <c r="J902" i="15"/>
  <c r="J746" i="15"/>
  <c r="J734" i="15"/>
  <c r="J737" i="15"/>
  <c r="K852" i="15"/>
  <c r="J1067" i="15"/>
  <c r="J848" i="15"/>
  <c r="K119" i="15"/>
  <c r="K647" i="15"/>
  <c r="K115" i="15"/>
  <c r="K495" i="15"/>
  <c r="J913" i="15"/>
  <c r="J865" i="15"/>
  <c r="J901" i="15"/>
  <c r="J645" i="15"/>
  <c r="J747" i="15"/>
  <c r="J736" i="15"/>
  <c r="J155" i="15"/>
  <c r="K808" i="15"/>
  <c r="K865" i="15"/>
  <c r="J918" i="15"/>
  <c r="K116" i="15"/>
  <c r="K645" i="15"/>
  <c r="K736" i="15"/>
  <c r="J685" i="15"/>
  <c r="K804" i="15"/>
  <c r="K241" i="15"/>
  <c r="K242" i="15" s="1"/>
  <c r="K244" i="15" s="1"/>
  <c r="K68" i="15" s="1"/>
  <c r="J745" i="15"/>
  <c r="K114" i="15"/>
  <c r="K1288" i="15" s="1"/>
  <c r="K822" i="15"/>
  <c r="K810" i="15"/>
  <c r="K653" i="15"/>
  <c r="K685" i="15"/>
  <c r="K644" i="15"/>
  <c r="K900" i="15"/>
  <c r="J748" i="15"/>
  <c r="J744" i="15"/>
  <c r="K658" i="15"/>
  <c r="K656" i="15"/>
  <c r="K292" i="15"/>
  <c r="K155" i="15"/>
  <c r="K654" i="15"/>
  <c r="K118" i="15"/>
  <c r="K641" i="15"/>
  <c r="K806" i="15"/>
  <c r="K275" i="15"/>
  <c r="K311" i="15"/>
  <c r="K912" i="15"/>
  <c r="K821" i="15"/>
  <c r="K1099" i="15"/>
  <c r="K1031" i="15"/>
  <c r="K737" i="15"/>
  <c r="K385" i="15"/>
  <c r="K386" i="15" s="1"/>
  <c r="K388" i="15" s="1"/>
  <c r="K69" i="15" s="1"/>
  <c r="K748" i="15"/>
  <c r="K120" i="15"/>
  <c r="K913" i="15"/>
  <c r="K901" i="15"/>
  <c r="K844" i="15"/>
  <c r="K272" i="15"/>
  <c r="K309" i="15"/>
  <c r="K113" i="15"/>
  <c r="K473" i="15"/>
  <c r="K474" i="15" s="1"/>
  <c r="K476" i="15" s="1"/>
  <c r="K1029" i="15"/>
  <c r="K917" i="15"/>
  <c r="K914" i="15"/>
  <c r="K657" i="15"/>
  <c r="K138" i="15"/>
  <c r="K746" i="15"/>
  <c r="K640" i="15"/>
  <c r="K273" i="15"/>
  <c r="K263" i="15"/>
  <c r="K268" i="15"/>
  <c r="K108" i="15"/>
  <c r="K817" i="15"/>
  <c r="K809" i="15"/>
  <c r="K777" i="15"/>
  <c r="K1067" i="15"/>
  <c r="K646" i="15"/>
  <c r="K819" i="15"/>
  <c r="K918" i="15"/>
  <c r="K1006" i="15"/>
  <c r="K702" i="15"/>
  <c r="K902" i="15"/>
  <c r="K642" i="15"/>
  <c r="K818" i="15"/>
  <c r="K270" i="15"/>
  <c r="K271" i="15"/>
  <c r="K269" i="15"/>
  <c r="K805" i="15"/>
  <c r="K655" i="15"/>
  <c r="K1180" i="15"/>
  <c r="K848" i="15"/>
  <c r="K734" i="15"/>
  <c r="K681" i="15"/>
  <c r="K820" i="15"/>
  <c r="K157" i="15"/>
  <c r="K274" i="15"/>
  <c r="K264" i="15"/>
  <c r="K117" i="15"/>
  <c r="K1005" i="15"/>
  <c r="K811" i="15"/>
  <c r="K643" i="15"/>
  <c r="K807" i="15"/>
  <c r="K747" i="15"/>
  <c r="K744" i="15"/>
  <c r="K745" i="15"/>
  <c r="J72" i="8"/>
  <c r="L912" i="15"/>
  <c r="L473" i="15"/>
  <c r="L474" i="15" s="1"/>
  <c r="L476" i="15" s="1"/>
  <c r="L309" i="15"/>
  <c r="I501" i="8"/>
  <c r="L473" i="13"/>
  <c r="L737" i="13"/>
  <c r="L1180" i="13"/>
  <c r="L745" i="13"/>
  <c r="L848" i="13"/>
  <c r="J753" i="8"/>
  <c r="F754" i="8"/>
  <c r="F785" i="8"/>
  <c r="F17" i="16"/>
  <c r="J17" i="44" s="1"/>
  <c r="G501" i="8"/>
  <c r="J478" i="8"/>
  <c r="N1354" i="13"/>
  <c r="J685" i="13"/>
  <c r="J902" i="13"/>
  <c r="J744" i="13"/>
  <c r="J746" i="13"/>
  <c r="J1029" i="13"/>
  <c r="J913" i="13"/>
  <c r="J1031" i="13"/>
  <c r="J495" i="13"/>
  <c r="J736" i="13"/>
  <c r="J1180" i="13"/>
  <c r="J901" i="13"/>
  <c r="J745" i="13"/>
  <c r="J1208" i="13"/>
  <c r="J702" i="13"/>
  <c r="J748" i="13"/>
  <c r="J1099" i="13"/>
  <c r="J157" i="13"/>
  <c r="K117" i="13"/>
  <c r="K113" i="13"/>
  <c r="K1180" i="13"/>
  <c r="K900" i="13"/>
  <c r="K746" i="13"/>
  <c r="J914" i="13"/>
  <c r="J734" i="13"/>
  <c r="J809" i="13"/>
  <c r="J865" i="13"/>
  <c r="J848" i="13"/>
  <c r="J912" i="13"/>
  <c r="J737" i="13"/>
  <c r="J918" i="13"/>
  <c r="J747" i="13"/>
  <c r="J900" i="13"/>
  <c r="J645" i="13"/>
  <c r="K273" i="13"/>
  <c r="K138" i="13"/>
  <c r="J473" i="13"/>
  <c r="K640" i="13"/>
  <c r="K745" i="13"/>
  <c r="J777" i="13"/>
  <c r="J917" i="13"/>
  <c r="K292" i="13"/>
  <c r="K269" i="13"/>
  <c r="J155" i="13"/>
  <c r="J311" i="13"/>
  <c r="K309" i="13"/>
  <c r="J309" i="13"/>
  <c r="K263" i="13"/>
  <c r="K268" i="13"/>
  <c r="K115" i="13"/>
  <c r="K109" i="13"/>
  <c r="K747" i="13"/>
  <c r="K241" i="13"/>
  <c r="K902" i="13"/>
  <c r="K913" i="13"/>
  <c r="K495" i="13"/>
  <c r="K647" i="13"/>
  <c r="K656" i="13"/>
  <c r="K821" i="13"/>
  <c r="K641" i="13"/>
  <c r="K848" i="13"/>
  <c r="K654" i="13"/>
  <c r="K809" i="13"/>
  <c r="K805" i="13"/>
  <c r="K917" i="13"/>
  <c r="K1031" i="13"/>
  <c r="K702" i="13"/>
  <c r="K1208" i="13"/>
  <c r="K275" i="13"/>
  <c r="K918" i="13"/>
  <c r="K114" i="13"/>
  <c r="K274" i="13"/>
  <c r="K119" i="13"/>
  <c r="K685" i="13"/>
  <c r="K385" i="13"/>
  <c r="K1006" i="13"/>
  <c r="K643" i="13"/>
  <c r="K653" i="13"/>
  <c r="K810" i="13"/>
  <c r="K808" i="13"/>
  <c r="K657" i="13"/>
  <c r="K777" i="13"/>
  <c r="K473" i="13"/>
  <c r="K736" i="13"/>
  <c r="K157" i="13"/>
  <c r="K811" i="13"/>
  <c r="K644" i="13"/>
  <c r="K116" i="13"/>
  <c r="K271" i="13"/>
  <c r="K734" i="13"/>
  <c r="K852" i="13"/>
  <c r="K865" i="13"/>
  <c r="K311" i="13"/>
  <c r="K120" i="13"/>
  <c r="K1099" i="13"/>
  <c r="K681" i="13"/>
  <c r="K807" i="13"/>
  <c r="K822" i="13"/>
  <c r="K748" i="13"/>
  <c r="K642" i="13"/>
  <c r="K645" i="13"/>
  <c r="K744" i="13"/>
  <c r="K819" i="13"/>
  <c r="K655" i="13"/>
  <c r="K272" i="13"/>
  <c r="K118" i="13"/>
  <c r="K264" i="13"/>
  <c r="K155" i="13"/>
  <c r="K270" i="13"/>
  <c r="K912" i="13"/>
  <c r="K1029" i="13"/>
  <c r="K737" i="13"/>
  <c r="K914" i="13"/>
  <c r="K658" i="13"/>
  <c r="K806" i="13"/>
  <c r="K901" i="13"/>
  <c r="K820" i="13"/>
  <c r="K108" i="13"/>
  <c r="K844" i="13"/>
  <c r="K646" i="13"/>
  <c r="K818" i="13"/>
  <c r="G1257" i="15"/>
  <c r="H1256" i="15"/>
  <c r="J15" i="8"/>
  <c r="F18" i="8"/>
  <c r="L747" i="15"/>
  <c r="L913" i="15"/>
  <c r="L734" i="15"/>
  <c r="L777" i="15"/>
  <c r="L157" i="15"/>
  <c r="G1258" i="16"/>
  <c r="G1259" i="16" s="1"/>
  <c r="G1260" i="16" s="1"/>
  <c r="G1261" i="16" s="1"/>
  <c r="H1257" i="16"/>
  <c r="G364" i="8"/>
  <c r="U1364" i="13"/>
  <c r="F501" i="18"/>
  <c r="J71" i="8"/>
  <c r="L737" i="15"/>
  <c r="L645" i="15"/>
  <c r="L1180" i="15"/>
  <c r="L736" i="15"/>
  <c r="L1067" i="15"/>
  <c r="L744" i="15"/>
  <c r="L865" i="15"/>
  <c r="L745" i="15"/>
  <c r="L914" i="15"/>
  <c r="L1031" i="15"/>
  <c r="L1099" i="15"/>
  <c r="L685" i="15"/>
  <c r="F575" i="16"/>
  <c r="J575" i="44" s="1"/>
  <c r="L645" i="13"/>
  <c r="L744" i="13"/>
  <c r="L777" i="13"/>
  <c r="L917" i="13"/>
  <c r="L913" i="13"/>
  <c r="L918" i="13"/>
  <c r="L900" i="13"/>
  <c r="L1208" i="13"/>
  <c r="L902" i="13"/>
  <c r="L747" i="13"/>
  <c r="L1099" i="13"/>
  <c r="G1444" i="13"/>
  <c r="G1445" i="13" s="1"/>
  <c r="G1446" i="13" s="1"/>
  <c r="G1447" i="13" s="1"/>
  <c r="G1448" i="13" s="1"/>
  <c r="H1090" i="13"/>
  <c r="G1090" i="44" s="1"/>
  <c r="H894" i="13"/>
  <c r="G894" i="44" s="1"/>
  <c r="H906" i="13"/>
  <c r="G906" i="44" s="1"/>
  <c r="H1089" i="13"/>
  <c r="G1089" i="44" s="1"/>
  <c r="H775" i="13"/>
  <c r="G775" i="44" s="1"/>
  <c r="H905" i="13"/>
  <c r="G905" i="44" s="1"/>
  <c r="F364" i="8"/>
  <c r="J221" i="8"/>
  <c r="N1354" i="16"/>
  <c r="J745" i="16"/>
  <c r="J473" i="16"/>
  <c r="J1067" i="16"/>
  <c r="J1208" i="16"/>
  <c r="J1180" i="16"/>
  <c r="J747" i="16"/>
  <c r="J1099" i="16"/>
  <c r="J744" i="16"/>
  <c r="J748" i="16"/>
  <c r="J645" i="16"/>
  <c r="J746" i="16"/>
  <c r="J865" i="16"/>
  <c r="K821" i="16"/>
  <c r="J809" i="16"/>
  <c r="K807" i="16"/>
  <c r="J702" i="16"/>
  <c r="K702" i="16"/>
  <c r="J685" i="16"/>
  <c r="K681" i="16"/>
  <c r="K820" i="16"/>
  <c r="K822" i="16"/>
  <c r="K818" i="16"/>
  <c r="K819" i="16"/>
  <c r="K155" i="16"/>
  <c r="J848" i="16"/>
  <c r="J914" i="16"/>
  <c r="K914" i="16"/>
  <c r="J917" i="16"/>
  <c r="K900" i="16"/>
  <c r="K118" i="16"/>
  <c r="K808" i="16"/>
  <c r="K848" i="16"/>
  <c r="J900" i="16"/>
  <c r="K805" i="16"/>
  <c r="K810" i="16"/>
  <c r="J1029" i="16"/>
  <c r="J737" i="16"/>
  <c r="J495" i="16"/>
  <c r="J913" i="16"/>
  <c r="J777" i="16"/>
  <c r="K696" i="16"/>
  <c r="K646" i="16"/>
  <c r="K642" i="16"/>
  <c r="K1029" i="16"/>
  <c r="K744" i="16"/>
  <c r="J736" i="16"/>
  <c r="K736" i="16"/>
  <c r="K273" i="16"/>
  <c r="K117" i="16"/>
  <c r="K109" i="16"/>
  <c r="K116" i="16"/>
  <c r="K685" i="16"/>
  <c r="K157" i="16"/>
  <c r="J918" i="16"/>
  <c r="J912" i="16"/>
  <c r="K747" i="16"/>
  <c r="J734" i="16"/>
  <c r="K643" i="16"/>
  <c r="K737" i="16"/>
  <c r="J1031" i="16"/>
  <c r="K658" i="16"/>
  <c r="K811" i="16"/>
  <c r="K274" i="16"/>
  <c r="K268" i="16"/>
  <c r="K115" i="16"/>
  <c r="K114" i="16"/>
  <c r="K1288" i="16" s="1"/>
  <c r="K806" i="16"/>
  <c r="K901" i="16"/>
  <c r="J901" i="16"/>
  <c r="J309" i="16"/>
  <c r="K270" i="16"/>
  <c r="K311" i="16"/>
  <c r="J311" i="16"/>
  <c r="J157" i="16"/>
  <c r="K918" i="16"/>
  <c r="K263" i="16"/>
  <c r="K113" i="16"/>
  <c r="J155" i="16"/>
  <c r="K912" i="16"/>
  <c r="J902" i="16"/>
  <c r="K645" i="16"/>
  <c r="K653" i="16"/>
  <c r="K385" i="16"/>
  <c r="K386" i="16" s="1"/>
  <c r="K388" i="16" s="1"/>
  <c r="K69" i="16" s="1"/>
  <c r="K917" i="16"/>
  <c r="K269" i="16"/>
  <c r="K844" i="16"/>
  <c r="K644" i="16"/>
  <c r="K473" i="16"/>
  <c r="K474" i="16" s="1"/>
  <c r="K476" i="16" s="1"/>
  <c r="K1067" i="16"/>
  <c r="K1208" i="16"/>
  <c r="K734" i="16"/>
  <c r="K656" i="16"/>
  <c r="K1180" i="16"/>
  <c r="K684" i="16"/>
  <c r="K309" i="16"/>
  <c r="K809" i="16"/>
  <c r="K913" i="16"/>
  <c r="K119" i="16"/>
  <c r="K654" i="16"/>
  <c r="K777" i="16"/>
  <c r="K640" i="16"/>
  <c r="K745" i="16"/>
  <c r="K495" i="16"/>
  <c r="K138" i="16"/>
  <c r="K272" i="16"/>
  <c r="K292" i="16"/>
  <c r="K657" i="16"/>
  <c r="K748" i="16"/>
  <c r="K647" i="16"/>
  <c r="K902" i="16"/>
  <c r="K865" i="16"/>
  <c r="K275" i="16"/>
  <c r="K264" i="16"/>
  <c r="K1099" i="16"/>
  <c r="K120" i="16"/>
  <c r="K108" i="16"/>
  <c r="K641" i="16"/>
  <c r="K655" i="16"/>
  <c r="K271" i="16"/>
  <c r="K746" i="16"/>
  <c r="K241" i="16"/>
  <c r="K242" i="16" s="1"/>
  <c r="K244" i="16" s="1"/>
  <c r="K68" i="16" s="1"/>
  <c r="K1031" i="16"/>
  <c r="L746" i="15"/>
  <c r="L689" i="15"/>
  <c r="L748" i="15"/>
  <c r="L495" i="15"/>
  <c r="L809" i="15"/>
  <c r="L917" i="15"/>
  <c r="L1029" i="15"/>
  <c r="L311" i="15"/>
  <c r="G1439" i="15"/>
  <c r="G1440" i="15" s="1"/>
  <c r="G1441" i="15" s="1"/>
  <c r="G1442" i="15" s="1"/>
  <c r="G1443" i="15" s="1"/>
  <c r="H870" i="15"/>
  <c r="I870" i="44" s="1"/>
  <c r="G616" i="8"/>
  <c r="G75" i="8"/>
  <c r="L809" i="13"/>
  <c r="L157" i="13"/>
  <c r="L914" i="13"/>
  <c r="L685" i="13"/>
  <c r="L155" i="13"/>
  <c r="L734" i="13"/>
  <c r="G1438" i="16"/>
  <c r="G1439" i="16" s="1"/>
  <c r="G1440" i="16" s="1"/>
  <c r="G1441" i="16" s="1"/>
  <c r="G1442" i="16" s="1"/>
  <c r="G1443" i="16" s="1"/>
  <c r="G1444" i="16" s="1"/>
  <c r="G1445" i="16" s="1"/>
  <c r="G1446" i="16" s="1"/>
  <c r="G1447" i="16" s="1"/>
  <c r="G1448" i="16" s="1"/>
  <c r="H771" i="16"/>
  <c r="K771" i="44" s="1"/>
  <c r="H772" i="16"/>
  <c r="K772" i="44" s="1"/>
  <c r="H769" i="16"/>
  <c r="K769" i="44" s="1"/>
  <c r="H817" i="16"/>
  <c r="K817" i="44" s="1"/>
  <c r="H949" i="16"/>
  <c r="K949" i="44" s="1"/>
  <c r="H946" i="16"/>
  <c r="K946" i="44" s="1"/>
  <c r="H950" i="16"/>
  <c r="K950" i="44" s="1"/>
  <c r="H728" i="16"/>
  <c r="K728" i="44" s="1"/>
  <c r="H724" i="16"/>
  <c r="K724" i="44" s="1"/>
  <c r="H940" i="16"/>
  <c r="K940" i="44" s="1"/>
  <c r="H774" i="16"/>
  <c r="K774" i="44" s="1"/>
  <c r="H942" i="16"/>
  <c r="K942" i="44" s="1"/>
  <c r="H735" i="16"/>
  <c r="K735" i="44" s="1"/>
  <c r="H804" i="16"/>
  <c r="K804" i="44" s="1"/>
  <c r="H855" i="16"/>
  <c r="K855" i="44" s="1"/>
  <c r="H779" i="16"/>
  <c r="K779" i="44" s="1"/>
  <c r="H943" i="16"/>
  <c r="K943" i="44" s="1"/>
  <c r="H738" i="16"/>
  <c r="K738" i="44" s="1"/>
  <c r="H945" i="16"/>
  <c r="K945" i="44" s="1"/>
  <c r="H941" i="16"/>
  <c r="K941" i="44" s="1"/>
  <c r="H452" i="16"/>
  <c r="K452" i="44" s="1"/>
  <c r="H770" i="16"/>
  <c r="K770" i="44" s="1"/>
  <c r="H778" i="16"/>
  <c r="K778" i="44" s="1"/>
  <c r="H948" i="16"/>
  <c r="K948" i="44" s="1"/>
  <c r="H867" i="16"/>
  <c r="K867" i="44" s="1"/>
  <c r="F925" i="8"/>
  <c r="J923" i="8"/>
  <c r="F58" i="13"/>
  <c r="F58" i="44" s="1"/>
  <c r="F221" i="13"/>
  <c r="F221" i="44" s="1"/>
  <c r="J58" i="8"/>
  <c r="N58" i="8" s="1"/>
  <c r="F22" i="8"/>
  <c r="J20" i="8"/>
  <c r="G1258" i="13"/>
  <c r="G1259" i="13" s="1"/>
  <c r="G1260" i="13" s="1"/>
  <c r="G1261" i="13" s="1"/>
  <c r="H1257" i="13"/>
  <c r="M1100" i="15" l="1"/>
  <c r="M1100" i="18" s="1"/>
  <c r="F68" i="44"/>
  <c r="O68" i="44" s="1"/>
  <c r="P59" i="44"/>
  <c r="P68" i="44"/>
  <c r="F1220" i="16"/>
  <c r="J1220" i="44" s="1"/>
  <c r="F1220" i="13"/>
  <c r="F1220" i="44" s="1"/>
  <c r="B1090" i="16"/>
  <c r="B455" i="16"/>
  <c r="B595" i="16"/>
  <c r="B773" i="16"/>
  <c r="B433" i="16"/>
  <c r="B728" i="16"/>
  <c r="B141" i="16"/>
  <c r="B107" i="16"/>
  <c r="B1052" i="16"/>
  <c r="B847" i="16"/>
  <c r="B408" i="16"/>
  <c r="B892" i="16"/>
  <c r="B498" i="16"/>
  <c r="B295" i="16"/>
  <c r="B1182" i="16"/>
  <c r="B348" i="16"/>
  <c r="B683" i="16"/>
  <c r="B1121" i="16"/>
  <c r="B997" i="16"/>
  <c r="B219" i="16"/>
  <c r="B388" i="16"/>
  <c r="B475" i="16"/>
  <c r="B642" i="16"/>
  <c r="B521" i="16"/>
  <c r="B807" i="16"/>
  <c r="B977" i="16"/>
  <c r="B262" i="16"/>
  <c r="B188" i="16"/>
  <c r="B944" i="16"/>
  <c r="H544" i="16"/>
  <c r="K544" i="44" s="1"/>
  <c r="H531" i="16"/>
  <c r="K531" i="44" s="1"/>
  <c r="H530" i="16"/>
  <c r="K530" i="44" s="1"/>
  <c r="H1136" i="15"/>
  <c r="I1136" i="44" s="1"/>
  <c r="H544" i="15"/>
  <c r="I544" i="44" s="1"/>
  <c r="H530" i="15"/>
  <c r="I530" i="44" s="1"/>
  <c r="H531" i="15"/>
  <c r="I531" i="44" s="1"/>
  <c r="F1222" i="15"/>
  <c r="H1222" i="44" s="1"/>
  <c r="P72" i="44"/>
  <c r="F614" i="13"/>
  <c r="F614" i="44" s="1"/>
  <c r="F616" i="15"/>
  <c r="H616" i="44" s="1"/>
  <c r="F501" i="15"/>
  <c r="H501" i="44" s="1"/>
  <c r="B168" i="44"/>
  <c r="B753" i="44"/>
  <c r="B917" i="44"/>
  <c r="B620" i="44"/>
  <c r="B872" i="44"/>
  <c r="B83" i="44"/>
  <c r="H357" i="16"/>
  <c r="K357" i="44" s="1"/>
  <c r="H356" i="16"/>
  <c r="K356" i="44" s="1"/>
  <c r="L273" i="13"/>
  <c r="L199" i="44"/>
  <c r="F221" i="16"/>
  <c r="J221" i="44" s="1"/>
  <c r="H215" i="16"/>
  <c r="K215" i="44" s="1"/>
  <c r="H214" i="16"/>
  <c r="K214" i="44" s="1"/>
  <c r="M494" i="15"/>
  <c r="M737" i="15"/>
  <c r="M494" i="13"/>
  <c r="G787" i="8"/>
  <c r="M865" i="16"/>
  <c r="M1159" i="16"/>
  <c r="H553" i="16"/>
  <c r="K553" i="44" s="1"/>
  <c r="H1136" i="16"/>
  <c r="K1136" i="44" s="1"/>
  <c r="H524" i="16"/>
  <c r="K524" i="44" s="1"/>
  <c r="W199" i="18"/>
  <c r="W221" i="18"/>
  <c r="H787" i="8"/>
  <c r="B1052" i="8"/>
  <c r="H31" i="8"/>
  <c r="B475" i="8"/>
  <c r="B20" i="8"/>
  <c r="P22" i="8"/>
  <c r="P18" i="8"/>
  <c r="N1070" i="8"/>
  <c r="H77" i="8"/>
  <c r="L1183" i="8"/>
  <c r="I1223" i="8"/>
  <c r="B807" i="8"/>
  <c r="B388" i="8"/>
  <c r="S22" i="8"/>
  <c r="F1223" i="8"/>
  <c r="B728" i="8"/>
  <c r="B1121" i="8"/>
  <c r="B847" i="8"/>
  <c r="B892" i="8"/>
  <c r="B642" i="8"/>
  <c r="I957" i="8"/>
  <c r="B773" i="8"/>
  <c r="B1090" i="8"/>
  <c r="B455" i="8"/>
  <c r="I787" i="8"/>
  <c r="Q18" i="8"/>
  <c r="B521" i="8"/>
  <c r="B408" i="8"/>
  <c r="B595" i="8"/>
  <c r="R22" i="8"/>
  <c r="Q22" i="8"/>
  <c r="B944" i="8"/>
  <c r="B433" i="8"/>
  <c r="B997" i="8"/>
  <c r="B977" i="8"/>
  <c r="H957" i="8"/>
  <c r="F787" i="8"/>
  <c r="S18" i="8"/>
  <c r="B107" i="8"/>
  <c r="L364" i="8"/>
  <c r="B58" i="8"/>
  <c r="R18" i="8"/>
  <c r="B348" i="8"/>
  <c r="B683" i="8"/>
  <c r="B1183" i="8"/>
  <c r="N753" i="8"/>
  <c r="N874" i="8"/>
  <c r="L925" i="8"/>
  <c r="B188" i="8"/>
  <c r="B262" i="8"/>
  <c r="W24" i="18"/>
  <c r="P73" i="44"/>
  <c r="O69" i="44"/>
  <c r="Q69" i="44"/>
  <c r="O72" i="44"/>
  <c r="Q76" i="44"/>
  <c r="P69" i="44"/>
  <c r="N24" i="8"/>
  <c r="T24" i="8"/>
  <c r="Q74" i="44"/>
  <c r="O73" i="44"/>
  <c r="P71" i="44"/>
  <c r="P58" i="44"/>
  <c r="O58" i="44"/>
  <c r="O59" i="44"/>
  <c r="O71" i="44"/>
  <c r="I46" i="1"/>
  <c r="G22" i="7"/>
  <c r="H46" i="1"/>
  <c r="F22" i="7"/>
  <c r="G46" i="1"/>
  <c r="E22" i="7"/>
  <c r="N923" i="8"/>
  <c r="L827" i="44"/>
  <c r="N663" i="8"/>
  <c r="L18" i="8"/>
  <c r="L22" i="8"/>
  <c r="L575" i="44"/>
  <c r="N575" i="44" s="1"/>
  <c r="L897" i="44"/>
  <c r="L783" i="44"/>
  <c r="N783" i="44" s="1"/>
  <c r="L54" i="44"/>
  <c r="L217" i="44"/>
  <c r="L242" i="44"/>
  <c r="L17" i="44"/>
  <c r="L433" i="44"/>
  <c r="L853" i="44"/>
  <c r="N853" i="44" s="1"/>
  <c r="L70" i="44"/>
  <c r="L909" i="44"/>
  <c r="L453" i="44"/>
  <c r="L784" i="44"/>
  <c r="N784" i="44" s="1"/>
  <c r="L16" i="44"/>
  <c r="L363" i="44"/>
  <c r="L921" i="44"/>
  <c r="L474" i="44"/>
  <c r="L106" i="44"/>
  <c r="L1151" i="44"/>
  <c r="N1151" i="44" s="1"/>
  <c r="L324" i="44"/>
  <c r="L323" i="44"/>
  <c r="L868" i="44"/>
  <c r="L648" i="44"/>
  <c r="L53" i="44"/>
  <c r="L872" i="44"/>
  <c r="N872" i="44" s="1"/>
  <c r="L650" i="44"/>
  <c r="N650" i="44" s="1"/>
  <c r="L193" i="44"/>
  <c r="L616" i="8"/>
  <c r="N221" i="8"/>
  <c r="H553" i="15"/>
  <c r="I553" i="44" s="1"/>
  <c r="H522" i="15"/>
  <c r="I522" i="44" s="1"/>
  <c r="M1029" i="16"/>
  <c r="M745" i="16"/>
  <c r="M311" i="16"/>
  <c r="M917" i="16"/>
  <c r="L75" i="8"/>
  <c r="G957" i="8"/>
  <c r="N478" i="8"/>
  <c r="L501" i="8"/>
  <c r="W501" i="18" s="1"/>
  <c r="J1183" i="8"/>
  <c r="L785" i="8"/>
  <c r="G1223" i="8"/>
  <c r="L1221" i="8"/>
  <c r="L754" i="8"/>
  <c r="F364" i="15"/>
  <c r="H364" i="44" s="1"/>
  <c r="H1088" i="16"/>
  <c r="K1088" i="44" s="1"/>
  <c r="F501" i="13"/>
  <c r="F501" i="44" s="1"/>
  <c r="L919" i="16"/>
  <c r="F663" i="16"/>
  <c r="J663" i="44" s="1"/>
  <c r="M1031" i="16"/>
  <c r="M734" i="16"/>
  <c r="M473" i="16"/>
  <c r="M474" i="16" s="1"/>
  <c r="M476" i="16" s="1"/>
  <c r="M73" i="16" s="1"/>
  <c r="M777" i="16"/>
  <c r="M865" i="15"/>
  <c r="M805" i="16"/>
  <c r="L309" i="18"/>
  <c r="M734" i="15"/>
  <c r="M746" i="15"/>
  <c r="M901" i="15"/>
  <c r="M153" i="15"/>
  <c r="M1297" i="15" s="1"/>
  <c r="M848" i="15"/>
  <c r="M473" i="15"/>
  <c r="M474" i="15" s="1"/>
  <c r="M476" i="15" s="1"/>
  <c r="M73" i="15" s="1"/>
  <c r="M748" i="15"/>
  <c r="M912" i="15"/>
  <c r="M747" i="15"/>
  <c r="M914" i="15"/>
  <c r="M689" i="15"/>
  <c r="F925" i="15"/>
  <c r="H925" i="44" s="1"/>
  <c r="M914" i="16"/>
  <c r="M685" i="16"/>
  <c r="M747" i="16"/>
  <c r="M901" i="16"/>
  <c r="J689" i="15"/>
  <c r="M809" i="16"/>
  <c r="M155" i="16"/>
  <c r="M495" i="16"/>
  <c r="M271" i="15"/>
  <c r="M496" i="15"/>
  <c r="U1384" i="15"/>
  <c r="M309" i="16"/>
  <c r="M153" i="16"/>
  <c r="M1297" i="16" s="1"/>
  <c r="M157" i="16"/>
  <c r="M913" i="16"/>
  <c r="M746" i="13"/>
  <c r="M809" i="15"/>
  <c r="M495" i="15"/>
  <c r="M1031" i="15"/>
  <c r="K496" i="18"/>
  <c r="M496" i="16"/>
  <c r="F478" i="16"/>
  <c r="J478" i="44" s="1"/>
  <c r="F71" i="16"/>
  <c r="J71" i="44" s="1"/>
  <c r="M157" i="15"/>
  <c r="M494" i="16"/>
  <c r="M496" i="13"/>
  <c r="L857" i="44"/>
  <c r="F18" i="15"/>
  <c r="H18" i="44" s="1"/>
  <c r="F1182" i="13"/>
  <c r="F1182" i="44" s="1"/>
  <c r="L612" i="44"/>
  <c r="N612" i="44" s="1"/>
  <c r="F22" i="15"/>
  <c r="H22" i="44" s="1"/>
  <c r="F68" i="16"/>
  <c r="J68" i="44" s="1"/>
  <c r="F22" i="13"/>
  <c r="F22" i="44" s="1"/>
  <c r="F754" i="13"/>
  <c r="F754" i="44" s="1"/>
  <c r="F925" i="13"/>
  <c r="F925" i="44" s="1"/>
  <c r="F75" i="15"/>
  <c r="H75" i="44" s="1"/>
  <c r="F73" i="16"/>
  <c r="J73" i="44" s="1"/>
  <c r="F72" i="16"/>
  <c r="J72" i="44" s="1"/>
  <c r="F59" i="16"/>
  <c r="J59" i="44" s="1"/>
  <c r="F874" i="16"/>
  <c r="J874" i="44" s="1"/>
  <c r="F58" i="16"/>
  <c r="J58" i="44" s="1"/>
  <c r="F1070" i="16"/>
  <c r="J1070" i="44" s="1"/>
  <c r="F24" i="16"/>
  <c r="J24" i="44" s="1"/>
  <c r="F754" i="15"/>
  <c r="H754" i="44" s="1"/>
  <c r="F18" i="13"/>
  <c r="F18" i="44" s="1"/>
  <c r="L435" i="44"/>
  <c r="F1182" i="15"/>
  <c r="H1182" i="44" s="1"/>
  <c r="U1386" i="15"/>
  <c r="L496" i="18"/>
  <c r="J496" i="18"/>
  <c r="F1212" i="18"/>
  <c r="F1220" i="18" s="1"/>
  <c r="J1221" i="8"/>
  <c r="J264" i="15"/>
  <c r="F753" i="16"/>
  <c r="J753" i="44" s="1"/>
  <c r="F785" i="15"/>
  <c r="H785" i="44" s="1"/>
  <c r="J22" i="8"/>
  <c r="K495" i="18"/>
  <c r="J495" i="18"/>
  <c r="L495" i="18"/>
  <c r="K494" i="18"/>
  <c r="L494" i="18"/>
  <c r="J494" i="18"/>
  <c r="J273" i="15"/>
  <c r="J807" i="15"/>
  <c r="J808" i="15"/>
  <c r="J115" i="15"/>
  <c r="J119" i="15"/>
  <c r="J385" i="15"/>
  <c r="J386" i="15" s="1"/>
  <c r="M658" i="15"/>
  <c r="M644" i="15"/>
  <c r="M120" i="15"/>
  <c r="J810" i="15"/>
  <c r="J654" i="15"/>
  <c r="J270" i="15"/>
  <c r="J811" i="15"/>
  <c r="J640" i="15"/>
  <c r="J120" i="15"/>
  <c r="L119" i="15"/>
  <c r="M805" i="15"/>
  <c r="M268" i="15"/>
  <c r="L241" i="15"/>
  <c r="L242" i="15" s="1"/>
  <c r="L244" i="15" s="1"/>
  <c r="L68" i="15" s="1"/>
  <c r="J269" i="15"/>
  <c r="J806" i="15"/>
  <c r="J272" i="15"/>
  <c r="J108" i="15"/>
  <c r="J241" i="15"/>
  <c r="J242" i="15" s="1"/>
  <c r="J653" i="15"/>
  <c r="J647" i="15"/>
  <c r="J658" i="15"/>
  <c r="J819" i="15"/>
  <c r="J263" i="15"/>
  <c r="J844" i="15"/>
  <c r="J804" i="15"/>
  <c r="J818" i="15"/>
  <c r="J114" i="15"/>
  <c r="J1288" i="15" s="1"/>
  <c r="J117" i="15"/>
  <c r="J852" i="15"/>
  <c r="J268" i="15"/>
  <c r="J655" i="15"/>
  <c r="J822" i="15"/>
  <c r="J1005" i="15"/>
  <c r="J821" i="15"/>
  <c r="J817" i="15"/>
  <c r="J644" i="15"/>
  <c r="J138" i="15"/>
  <c r="J657" i="15"/>
  <c r="J1006" i="15"/>
  <c r="J113" i="15"/>
  <c r="J641" i="15"/>
  <c r="J275" i="15"/>
  <c r="J292" i="15"/>
  <c r="J820" i="15"/>
  <c r="J643" i="15"/>
  <c r="J681" i="15"/>
  <c r="J118" i="15"/>
  <c r="J116" i="15"/>
  <c r="J642" i="15"/>
  <c r="J805" i="15"/>
  <c r="J271" i="15"/>
  <c r="J656" i="15"/>
  <c r="J646" i="15"/>
  <c r="M642" i="15"/>
  <c r="M822" i="15"/>
  <c r="M119" i="15"/>
  <c r="M643" i="15"/>
  <c r="M1005" i="15"/>
  <c r="M274" i="15"/>
  <c r="L275" i="15"/>
  <c r="L385" i="15"/>
  <c r="L386" i="15" s="1"/>
  <c r="L388" i="15" s="1"/>
  <c r="L69" i="15" s="1"/>
  <c r="L804" i="15"/>
  <c r="L657" i="15"/>
  <c r="L654" i="15"/>
  <c r="M804" i="15"/>
  <c r="M818" i="15"/>
  <c r="M806" i="15"/>
  <c r="M270" i="15"/>
  <c r="L820" i="15"/>
  <c r="L811" i="15"/>
  <c r="M820" i="15"/>
  <c r="M810" i="15"/>
  <c r="M385" i="15"/>
  <c r="M386" i="15" s="1"/>
  <c r="M388" i="15" s="1"/>
  <c r="M69" i="15" s="1"/>
  <c r="M118" i="15"/>
  <c r="M241" i="15"/>
  <c r="M242" i="15" s="1"/>
  <c r="M244" i="15" s="1"/>
  <c r="M68" i="15" s="1"/>
  <c r="M115" i="15"/>
  <c r="M808" i="15"/>
  <c r="M263" i="15"/>
  <c r="L263" i="15"/>
  <c r="L852" i="15"/>
  <c r="L640" i="15"/>
  <c r="L269" i="15"/>
  <c r="L273" i="15"/>
  <c r="L641" i="15"/>
  <c r="L642" i="15"/>
  <c r="L817" i="15"/>
  <c r="L118" i="15"/>
  <c r="L117" i="15"/>
  <c r="L292" i="15"/>
  <c r="L115" i="15"/>
  <c r="L108" i="15"/>
  <c r="L819" i="15"/>
  <c r="L805" i="15"/>
  <c r="L1006" i="15"/>
  <c r="L806" i="15"/>
  <c r="L138" i="15"/>
  <c r="L1291" i="15" s="1"/>
  <c r="L844" i="15"/>
  <c r="L646" i="15"/>
  <c r="F785" i="13"/>
  <c r="F785" i="44" s="1"/>
  <c r="L1029" i="18"/>
  <c r="F20" i="16"/>
  <c r="J20" i="44" s="1"/>
  <c r="F58" i="18"/>
  <c r="H523" i="16"/>
  <c r="K523" i="44" s="1"/>
  <c r="M1208" i="16"/>
  <c r="M702" i="16"/>
  <c r="M902" i="16"/>
  <c r="H905" i="16"/>
  <c r="K905" i="44" s="1"/>
  <c r="L919" i="15"/>
  <c r="L746" i="18"/>
  <c r="M1031" i="13"/>
  <c r="H775" i="16"/>
  <c r="K775" i="44" s="1"/>
  <c r="H196" i="16"/>
  <c r="K196" i="44" s="1"/>
  <c r="H186" i="16"/>
  <c r="K186" i="44" s="1"/>
  <c r="H358" i="16"/>
  <c r="K358" i="44" s="1"/>
  <c r="H187" i="16"/>
  <c r="K187" i="44" s="1"/>
  <c r="H350" i="16"/>
  <c r="K350" i="44" s="1"/>
  <c r="M689" i="16"/>
  <c r="H195" i="16"/>
  <c r="K195" i="44" s="1"/>
  <c r="H347" i="16"/>
  <c r="K347" i="44" s="1"/>
  <c r="H188" i="16"/>
  <c r="K188" i="44" s="1"/>
  <c r="H351" i="16"/>
  <c r="K351" i="44" s="1"/>
  <c r="H1089" i="16"/>
  <c r="K1089" i="44" s="1"/>
  <c r="M737" i="16"/>
  <c r="M748" i="16"/>
  <c r="M918" i="16"/>
  <c r="L702" i="18"/>
  <c r="F614" i="18"/>
  <c r="F75" i="18" s="1"/>
  <c r="F77" i="18" s="1"/>
  <c r="L902" i="18"/>
  <c r="L903" i="15"/>
  <c r="L1332" i="15" s="1"/>
  <c r="F1182" i="18"/>
  <c r="L274" i="15"/>
  <c r="L1005" i="15"/>
  <c r="L644" i="15"/>
  <c r="L810" i="15"/>
  <c r="L681" i="15"/>
  <c r="L653" i="15"/>
  <c r="L114" i="15"/>
  <c r="L1288" i="15" s="1"/>
  <c r="L647" i="15"/>
  <c r="L821" i="15"/>
  <c r="L643" i="15"/>
  <c r="U1382" i="15"/>
  <c r="L272" i="15"/>
  <c r="L822" i="15"/>
  <c r="L264" i="15"/>
  <c r="L271" i="15"/>
  <c r="M645" i="15"/>
  <c r="M114" i="15"/>
  <c r="M1288" i="15" s="1"/>
  <c r="M913" i="15"/>
  <c r="M744" i="15"/>
  <c r="M654" i="15"/>
  <c r="M640" i="15"/>
  <c r="M155" i="15"/>
  <c r="M656" i="15"/>
  <c r="M273" i="15"/>
  <c r="M647" i="15"/>
  <c r="M918" i="15"/>
  <c r="M1006" i="15"/>
  <c r="M821" i="15"/>
  <c r="M309" i="15"/>
  <c r="L268" i="15"/>
  <c r="L116" i="15"/>
  <c r="L818" i="15"/>
  <c r="L658" i="15"/>
  <c r="L120" i="15"/>
  <c r="L808" i="15"/>
  <c r="L113" i="15"/>
  <c r="L655" i="15"/>
  <c r="L807" i="15"/>
  <c r="M702" i="15"/>
  <c r="M902" i="15"/>
  <c r="M641" i="15"/>
  <c r="M681" i="15"/>
  <c r="M852" i="15"/>
  <c r="M138" i="15"/>
  <c r="M1291" i="15" s="1"/>
  <c r="M653" i="15"/>
  <c r="M116" i="15"/>
  <c r="M745" i="15"/>
  <c r="M900" i="15"/>
  <c r="M657" i="15"/>
  <c r="M685" i="15"/>
  <c r="M844" i="15"/>
  <c r="M1180" i="15"/>
  <c r="M1067" i="15"/>
  <c r="M736" i="15"/>
  <c r="M655" i="15"/>
  <c r="M917" i="15"/>
  <c r="M646" i="15"/>
  <c r="M1099" i="15"/>
  <c r="M1029" i="15"/>
  <c r="M819" i="15"/>
  <c r="M311" i="15"/>
  <c r="M113" i="15"/>
  <c r="L270" i="15"/>
  <c r="L901" i="18"/>
  <c r="M918" i="13"/>
  <c r="M734" i="13"/>
  <c r="M913" i="13"/>
  <c r="M747" i="13"/>
  <c r="M900" i="13"/>
  <c r="M818" i="13"/>
  <c r="F923" i="18"/>
  <c r="F925" i="18" s="1"/>
  <c r="F957" i="18" s="1"/>
  <c r="F923" i="16"/>
  <c r="J923" i="44" s="1"/>
  <c r="F15" i="16"/>
  <c r="J15" i="44" s="1"/>
  <c r="M81" i="5"/>
  <c r="P80" i="5"/>
  <c r="N85" i="5"/>
  <c r="O114" i="14"/>
  <c r="U1386" i="16"/>
  <c r="K689" i="16"/>
  <c r="J689" i="16"/>
  <c r="L108" i="13"/>
  <c r="J263" i="16"/>
  <c r="J292" i="16"/>
  <c r="J641" i="16"/>
  <c r="U1384" i="16"/>
  <c r="J116" i="16"/>
  <c r="J810" i="16"/>
  <c r="L114" i="13"/>
  <c r="J138" i="16"/>
  <c r="J1291" i="16" s="1"/>
  <c r="J120" i="16"/>
  <c r="J822" i="16"/>
  <c r="J109" i="16"/>
  <c r="J819" i="16"/>
  <c r="L642" i="13"/>
  <c r="L655" i="13"/>
  <c r="J273" i="13"/>
  <c r="M385" i="16"/>
  <c r="M386" i="16" s="1"/>
  <c r="M388" i="16" s="1"/>
  <c r="M69" i="16" s="1"/>
  <c r="M640" i="13"/>
  <c r="J653" i="13"/>
  <c r="J138" i="13"/>
  <c r="L274" i="13"/>
  <c r="L852" i="13"/>
  <c r="J821" i="16"/>
  <c r="J811" i="16"/>
  <c r="J275" i="16"/>
  <c r="J808" i="16"/>
  <c r="J696" i="16"/>
  <c r="J807" i="16"/>
  <c r="J689" i="13"/>
  <c r="L272" i="13"/>
  <c r="M807" i="16"/>
  <c r="M821" i="16"/>
  <c r="M656" i="16"/>
  <c r="M647" i="16"/>
  <c r="M268" i="16"/>
  <c r="J647" i="13"/>
  <c r="L654" i="13"/>
  <c r="J269" i="13"/>
  <c r="J852" i="13"/>
  <c r="M273" i="13"/>
  <c r="J643" i="13"/>
  <c r="J810" i="13"/>
  <c r="L1006" i="13"/>
  <c r="L385" i="13"/>
  <c r="L386" i="13" s="1"/>
  <c r="L388" i="13" s="1"/>
  <c r="L69" i="13" s="1"/>
  <c r="M654" i="16"/>
  <c r="J113" i="16"/>
  <c r="J658" i="16"/>
  <c r="J269" i="16"/>
  <c r="J268" i="16"/>
  <c r="J653" i="16"/>
  <c r="J818" i="16"/>
  <c r="J273" i="16"/>
  <c r="J241" i="16"/>
  <c r="J242" i="16" s="1"/>
  <c r="M653" i="16"/>
  <c r="L270" i="13"/>
  <c r="L681" i="13"/>
  <c r="J120" i="13"/>
  <c r="J818" i="13"/>
  <c r="J655" i="13"/>
  <c r="L268" i="13"/>
  <c r="L844" i="13"/>
  <c r="L640" i="13"/>
  <c r="M138" i="16"/>
  <c r="M1291" i="16" s="1"/>
  <c r="M116" i="16"/>
  <c r="M109" i="16"/>
  <c r="M264" i="16"/>
  <c r="M684" i="16"/>
  <c r="M114" i="16"/>
  <c r="M1288" i="16" s="1"/>
  <c r="M119" i="16"/>
  <c r="L292" i="16"/>
  <c r="L805" i="16"/>
  <c r="L640" i="16"/>
  <c r="M640" i="16"/>
  <c r="M641" i="16"/>
  <c r="M806" i="16"/>
  <c r="M646" i="16"/>
  <c r="M241" i="16"/>
  <c r="M242" i="16" s="1"/>
  <c r="M244" i="16" s="1"/>
  <c r="M68" i="16" s="1"/>
  <c r="M681" i="16"/>
  <c r="L118" i="16"/>
  <c r="L646" i="16"/>
  <c r="M655" i="16"/>
  <c r="M696" i="16"/>
  <c r="M810" i="16"/>
  <c r="M274" i="16"/>
  <c r="M271" i="16"/>
  <c r="L655" i="16"/>
  <c r="L811" i="16"/>
  <c r="L643" i="13"/>
  <c r="L241" i="13"/>
  <c r="L242" i="13" s="1"/>
  <c r="L68" i="13" s="1"/>
  <c r="L647" i="13"/>
  <c r="L644" i="13"/>
  <c r="L115" i="13"/>
  <c r="J806" i="16"/>
  <c r="J820" i="16"/>
  <c r="J115" i="16"/>
  <c r="J644" i="16"/>
  <c r="J385" i="16"/>
  <c r="J386" i="16" s="1"/>
  <c r="J681" i="16"/>
  <c r="J270" i="16"/>
  <c r="J274" i="16"/>
  <c r="J646" i="16"/>
  <c r="J647" i="16"/>
  <c r="J684" i="16"/>
  <c r="J805" i="16"/>
  <c r="J654" i="16"/>
  <c r="J657" i="16"/>
  <c r="J643" i="16"/>
  <c r="J655" i="16"/>
  <c r="L657" i="13"/>
  <c r="L138" i="13"/>
  <c r="L109" i="13"/>
  <c r="L646" i="13"/>
  <c r="L113" i="13"/>
  <c r="K689" i="13"/>
  <c r="L271" i="13"/>
  <c r="L119" i="13"/>
  <c r="L811" i="13"/>
  <c r="U1382" i="13"/>
  <c r="L822" i="16"/>
  <c r="L696" i="16"/>
  <c r="L269" i="13"/>
  <c r="L822" i="13"/>
  <c r="M269" i="16"/>
  <c r="J264" i="16"/>
  <c r="J272" i="16"/>
  <c r="J656" i="16"/>
  <c r="M272" i="16"/>
  <c r="J271" i="16"/>
  <c r="J844" i="16"/>
  <c r="J114" i="16"/>
  <c r="J1288" i="16" s="1"/>
  <c r="J117" i="16"/>
  <c r="M658" i="16"/>
  <c r="M108" i="16"/>
  <c r="J642" i="16"/>
  <c r="M844" i="16"/>
  <c r="J118" i="16"/>
  <c r="M811" i="16"/>
  <c r="J108" i="16"/>
  <c r="J119" i="16"/>
  <c r="M643" i="16"/>
  <c r="L118" i="13"/>
  <c r="J385" i="13"/>
  <c r="J658" i="13"/>
  <c r="M807" i="13"/>
  <c r="L120" i="13"/>
  <c r="L641" i="13"/>
  <c r="L810" i="13"/>
  <c r="L821" i="13"/>
  <c r="L264" i="13"/>
  <c r="L805" i="13"/>
  <c r="L115" i="16"/>
  <c r="L269" i="16"/>
  <c r="J754" i="8"/>
  <c r="F614" i="16"/>
  <c r="J614" i="44" s="1"/>
  <c r="F20" i="18"/>
  <c r="F22" i="18" s="1"/>
  <c r="L865" i="18"/>
  <c r="L903" i="16"/>
  <c r="L1332" i="16" s="1"/>
  <c r="L848" i="18"/>
  <c r="L912" i="18"/>
  <c r="L751" i="16"/>
  <c r="L1322" i="16" s="1"/>
  <c r="L748" i="18"/>
  <c r="L1031" i="18"/>
  <c r="L747" i="18"/>
  <c r="L741" i="16"/>
  <c r="L1321" i="16" s="1"/>
  <c r="L749" i="16"/>
  <c r="L915" i="16"/>
  <c r="K915" i="16"/>
  <c r="K1333" i="16" s="1"/>
  <c r="L736" i="18"/>
  <c r="K902" i="18"/>
  <c r="K658" i="18"/>
  <c r="K1029" i="18"/>
  <c r="K264" i="18"/>
  <c r="K865" i="18"/>
  <c r="K657" i="18"/>
  <c r="K825" i="16"/>
  <c r="K1328" i="16" s="1"/>
  <c r="L918" i="18"/>
  <c r="L914" i="18"/>
  <c r="L685" i="18"/>
  <c r="K919" i="16"/>
  <c r="L751" i="15"/>
  <c r="L1322" i="15" s="1"/>
  <c r="K655" i="18"/>
  <c r="K822" i="18"/>
  <c r="K852" i="18"/>
  <c r="K643" i="18"/>
  <c r="J108" i="13"/>
  <c r="J274" i="13"/>
  <c r="J654" i="13"/>
  <c r="J1006" i="13"/>
  <c r="M819" i="13"/>
  <c r="J646" i="13"/>
  <c r="J113" i="13"/>
  <c r="M292" i="13"/>
  <c r="J116" i="13"/>
  <c r="J805" i="13"/>
  <c r="J109" i="13"/>
  <c r="M113" i="13"/>
  <c r="J292" i="13"/>
  <c r="J811" i="13"/>
  <c r="J241" i="13"/>
  <c r="F15" i="18"/>
  <c r="F18" i="18" s="1"/>
  <c r="M275" i="15"/>
  <c r="U1382" i="16"/>
  <c r="L810" i="16"/>
  <c r="L656" i="16"/>
  <c r="L263" i="16"/>
  <c r="L820" i="16"/>
  <c r="L689" i="13"/>
  <c r="L689" i="18" s="1"/>
  <c r="L113" i="16"/>
  <c r="L807" i="16"/>
  <c r="L109" i="16"/>
  <c r="L108" i="16"/>
  <c r="L684" i="16"/>
  <c r="L647" i="16"/>
  <c r="L272" i="16"/>
  <c r="K918" i="18"/>
  <c r="F364" i="18"/>
  <c r="H353" i="16"/>
  <c r="K353" i="44" s="1"/>
  <c r="H191" i="16"/>
  <c r="K191" i="44" s="1"/>
  <c r="H352" i="16"/>
  <c r="K352" i="44" s="1"/>
  <c r="M744" i="16"/>
  <c r="M1067" i="16"/>
  <c r="M115" i="16"/>
  <c r="M113" i="16"/>
  <c r="H1206" i="13"/>
  <c r="G1206" i="44" s="1"/>
  <c r="L1099" i="18"/>
  <c r="K641" i="18"/>
  <c r="J115" i="13"/>
  <c r="K269" i="18"/>
  <c r="J263" i="13"/>
  <c r="J656" i="13"/>
  <c r="J819" i="13"/>
  <c r="M138" i="13"/>
  <c r="J275" i="13"/>
  <c r="J118" i="13"/>
  <c r="J640" i="13"/>
  <c r="J642" i="13"/>
  <c r="J117" i="13"/>
  <c r="J807" i="13"/>
  <c r="M654" i="13"/>
  <c r="J681" i="13"/>
  <c r="J114" i="13"/>
  <c r="J644" i="13"/>
  <c r="J806" i="13"/>
  <c r="F753" i="18"/>
  <c r="F754" i="18" s="1"/>
  <c r="K814" i="15"/>
  <c r="K1327" i="15" s="1"/>
  <c r="L806" i="16"/>
  <c r="L653" i="16"/>
  <c r="L270" i="16"/>
  <c r="L658" i="16"/>
  <c r="L642" i="16"/>
  <c r="L818" i="16"/>
  <c r="L385" i="16"/>
  <c r="L386" i="16" s="1"/>
  <c r="L388" i="16" s="1"/>
  <c r="L69" i="16" s="1"/>
  <c r="L116" i="16"/>
  <c r="L119" i="16"/>
  <c r="L641" i="16"/>
  <c r="L273" i="16"/>
  <c r="L264" i="16"/>
  <c r="L657" i="16"/>
  <c r="L644" i="16"/>
  <c r="L275" i="16"/>
  <c r="L821" i="16"/>
  <c r="U1384" i="13"/>
  <c r="L271" i="16"/>
  <c r="L138" i="16"/>
  <c r="L1291" i="16" s="1"/>
  <c r="L681" i="16"/>
  <c r="L274" i="16"/>
  <c r="L808" i="16"/>
  <c r="L844" i="16"/>
  <c r="H184" i="16"/>
  <c r="K184" i="44" s="1"/>
  <c r="L809" i="18"/>
  <c r="L311" i="18"/>
  <c r="L777" i="18"/>
  <c r="K806" i="18"/>
  <c r="K848" i="18"/>
  <c r="J119" i="13"/>
  <c r="J271" i="13"/>
  <c r="M681" i="13"/>
  <c r="J822" i="13"/>
  <c r="J272" i="13"/>
  <c r="J641" i="13"/>
  <c r="M269" i="13"/>
  <c r="J270" i="13"/>
  <c r="J821" i="13"/>
  <c r="J264" i="13"/>
  <c r="J268" i="13"/>
  <c r="J820" i="13"/>
  <c r="J844" i="13"/>
  <c r="J657" i="13"/>
  <c r="J808" i="13"/>
  <c r="L654" i="16"/>
  <c r="L117" i="16"/>
  <c r="U1386" i="13"/>
  <c r="L275" i="13"/>
  <c r="L116" i="13"/>
  <c r="L656" i="13"/>
  <c r="L806" i="13"/>
  <c r="L807" i="13"/>
  <c r="L818" i="13"/>
  <c r="L820" i="13"/>
  <c r="L658" i="13"/>
  <c r="L653" i="13"/>
  <c r="L819" i="13"/>
  <c r="L808" i="13"/>
  <c r="L292" i="13"/>
  <c r="L117" i="13"/>
  <c r="L114" i="16"/>
  <c r="L1288" i="16" s="1"/>
  <c r="L120" i="16"/>
  <c r="J852" i="16"/>
  <c r="L819" i="16"/>
  <c r="L241" i="16"/>
  <c r="L242" i="16" s="1"/>
  <c r="L244" i="16" s="1"/>
  <c r="L68" i="16" s="1"/>
  <c r="L268" i="16"/>
  <c r="L643" i="16"/>
  <c r="L263" i="13"/>
  <c r="L749" i="15"/>
  <c r="H1257" i="15"/>
  <c r="G1258" i="15"/>
  <c r="G1259" i="15" s="1"/>
  <c r="G1260" i="15" s="1"/>
  <c r="G1261" i="15" s="1"/>
  <c r="K473" i="18"/>
  <c r="K474" i="18" s="1"/>
  <c r="K476" i="18" s="1"/>
  <c r="K474" i="13"/>
  <c r="K476" i="13" s="1"/>
  <c r="K386" i="13"/>
  <c r="K388" i="13" s="1"/>
  <c r="K69" i="13" s="1"/>
  <c r="K385" i="18"/>
  <c r="K386" i="18" s="1"/>
  <c r="K388" i="18" s="1"/>
  <c r="K69" i="18" s="1"/>
  <c r="G76" i="14" s="1"/>
  <c r="K747" i="18"/>
  <c r="J918" i="18"/>
  <c r="J915" i="13"/>
  <c r="J912" i="18"/>
  <c r="J865" i="18"/>
  <c r="J914" i="18"/>
  <c r="J902" i="18"/>
  <c r="O1354" i="13"/>
  <c r="M270" i="13"/>
  <c r="J501" i="8"/>
  <c r="L737" i="18"/>
  <c r="G1262" i="13"/>
  <c r="H1261" i="13"/>
  <c r="F364" i="13"/>
  <c r="F364" i="44" s="1"/>
  <c r="H216" i="16"/>
  <c r="K216" i="44" s="1"/>
  <c r="H1098" i="16"/>
  <c r="K1098" i="44" s="1"/>
  <c r="K749" i="16"/>
  <c r="J919" i="16"/>
  <c r="G1262" i="16"/>
  <c r="H1261" i="16"/>
  <c r="K825" i="13"/>
  <c r="K1328" i="13" s="1"/>
  <c r="K818" i="18"/>
  <c r="K270" i="18"/>
  <c r="K120" i="18"/>
  <c r="K116" i="18"/>
  <c r="K659" i="13"/>
  <c r="K653" i="18"/>
  <c r="K919" i="13"/>
  <c r="K917" i="18"/>
  <c r="K821" i="18"/>
  <c r="K115" i="18"/>
  <c r="M114" i="13"/>
  <c r="M653" i="13"/>
  <c r="J474" i="13"/>
  <c r="J473" i="18"/>
  <c r="K273" i="18"/>
  <c r="J903" i="13"/>
  <c r="J900" i="18"/>
  <c r="M901" i="13"/>
  <c r="M153" i="13"/>
  <c r="M645" i="13"/>
  <c r="M865" i="13"/>
  <c r="M744" i="13"/>
  <c r="M822" i="13"/>
  <c r="M844" i="13"/>
  <c r="K746" i="18"/>
  <c r="K1180" i="18"/>
  <c r="K117" i="18"/>
  <c r="J157" i="18"/>
  <c r="M117" i="13"/>
  <c r="M821" i="13"/>
  <c r="M745" i="13"/>
  <c r="M646" i="13"/>
  <c r="M473" i="13"/>
  <c r="J736" i="18"/>
  <c r="M241" i="13"/>
  <c r="J1029" i="18"/>
  <c r="M914" i="13"/>
  <c r="M912" i="13"/>
  <c r="M263" i="13"/>
  <c r="M272" i="13"/>
  <c r="M108" i="13"/>
  <c r="M118" i="13"/>
  <c r="M120" i="13"/>
  <c r="M274" i="13"/>
  <c r="L1180" i="18"/>
  <c r="L473" i="18"/>
  <c r="L474" i="18" s="1"/>
  <c r="L476" i="18" s="1"/>
  <c r="L474" i="13"/>
  <c r="L476" i="13" s="1"/>
  <c r="K825" i="15"/>
  <c r="K1328" i="15" s="1"/>
  <c r="K1291" i="15"/>
  <c r="K919" i="15"/>
  <c r="K1289" i="15"/>
  <c r="K915" i="15"/>
  <c r="J751" i="15"/>
  <c r="J741" i="15"/>
  <c r="J915" i="15"/>
  <c r="M269" i="15"/>
  <c r="M264" i="15"/>
  <c r="K741" i="16"/>
  <c r="K1321" i="16" s="1"/>
  <c r="K73" i="16"/>
  <c r="J925" i="8"/>
  <c r="F957" i="8"/>
  <c r="K751" i="16"/>
  <c r="K1322" i="16" s="1"/>
  <c r="K1289" i="16"/>
  <c r="J741" i="16"/>
  <c r="K814" i="16"/>
  <c r="K1327" i="16" s="1"/>
  <c r="K903" i="16"/>
  <c r="K1332" i="16" s="1"/>
  <c r="J749" i="16"/>
  <c r="L749" i="13"/>
  <c r="L744" i="18"/>
  <c r="K901" i="18"/>
  <c r="K737" i="18"/>
  <c r="K118" i="18"/>
  <c r="K681" i="18"/>
  <c r="K1099" i="18"/>
  <c r="K311" i="18"/>
  <c r="K741" i="13"/>
  <c r="K1321" i="13" s="1"/>
  <c r="K734" i="18"/>
  <c r="K114" i="18"/>
  <c r="K1288" i="13"/>
  <c r="K814" i="13"/>
  <c r="K1327" i="13" s="1"/>
  <c r="K805" i="18"/>
  <c r="K242" i="13"/>
  <c r="K68" i="13" s="1"/>
  <c r="K241" i="18"/>
  <c r="K242" i="18" s="1"/>
  <c r="K244" i="18" s="1"/>
  <c r="K68" i="18" s="1"/>
  <c r="K309" i="18"/>
  <c r="J919" i="13"/>
  <c r="J917" i="18"/>
  <c r="J848" i="18"/>
  <c r="K113" i="18"/>
  <c r="K1289" i="13"/>
  <c r="J748" i="18"/>
  <c r="M155" i="13"/>
  <c r="M157" i="13"/>
  <c r="J749" i="15"/>
  <c r="J903" i="15"/>
  <c r="H359" i="16"/>
  <c r="K359" i="44" s="1"/>
  <c r="H1090" i="16"/>
  <c r="K1090" i="44" s="1"/>
  <c r="H346" i="16"/>
  <c r="K346" i="44" s="1"/>
  <c r="H894" i="16"/>
  <c r="K894" i="44" s="1"/>
  <c r="H1206" i="16"/>
  <c r="K1206" i="44" s="1"/>
  <c r="H192" i="16"/>
  <c r="K192" i="44" s="1"/>
  <c r="H189" i="16"/>
  <c r="K189" i="44" s="1"/>
  <c r="H185" i="16"/>
  <c r="K185" i="44" s="1"/>
  <c r="L741" i="13"/>
  <c r="L1321" i="13" s="1"/>
  <c r="L734" i="18"/>
  <c r="K1291" i="16"/>
  <c r="K648" i="16"/>
  <c r="K650" i="16" s="1"/>
  <c r="K659" i="16"/>
  <c r="J903" i="16"/>
  <c r="J751" i="16"/>
  <c r="O1354" i="16"/>
  <c r="M307" i="16"/>
  <c r="M852" i="16"/>
  <c r="J18" i="8"/>
  <c r="K820" i="18"/>
  <c r="M311" i="13"/>
  <c r="K736" i="18"/>
  <c r="K810" i="18"/>
  <c r="K685" i="18"/>
  <c r="K275" i="18"/>
  <c r="K1031" i="18"/>
  <c r="K809" i="18"/>
  <c r="K647" i="18"/>
  <c r="H348" i="16"/>
  <c r="K348" i="44" s="1"/>
  <c r="H906" i="16"/>
  <c r="K906" i="44" s="1"/>
  <c r="H870" i="16"/>
  <c r="K870" i="44" s="1"/>
  <c r="H190" i="16"/>
  <c r="K190" i="44" s="1"/>
  <c r="H892" i="16"/>
  <c r="K892" i="44" s="1"/>
  <c r="H360" i="16"/>
  <c r="K360" i="44" s="1"/>
  <c r="H349" i="16"/>
  <c r="K349" i="44" s="1"/>
  <c r="H522" i="16"/>
  <c r="K522" i="44" s="1"/>
  <c r="H345" i="16"/>
  <c r="K345" i="44" s="1"/>
  <c r="L155" i="18"/>
  <c r="L157" i="18"/>
  <c r="M819" i="16"/>
  <c r="M808" i="16"/>
  <c r="M118" i="16"/>
  <c r="M117" i="16"/>
  <c r="M736" i="16"/>
  <c r="M900" i="16"/>
  <c r="M848" i="16"/>
  <c r="M273" i="16"/>
  <c r="M746" i="16"/>
  <c r="M642" i="16"/>
  <c r="M820" i="16"/>
  <c r="M644" i="16"/>
  <c r="M912" i="16"/>
  <c r="M120" i="16"/>
  <c r="M263" i="16"/>
  <c r="M270" i="16"/>
  <c r="M292" i="16"/>
  <c r="M1099" i="16"/>
  <c r="M1180" i="16"/>
  <c r="M645" i="16"/>
  <c r="M657" i="16"/>
  <c r="M275" i="16"/>
  <c r="M822" i="16"/>
  <c r="M818" i="16"/>
  <c r="H1098" i="13"/>
  <c r="G1098" i="44" s="1"/>
  <c r="L903" i="13"/>
  <c r="L1332" i="13" s="1"/>
  <c r="L900" i="18"/>
  <c r="L913" i="18"/>
  <c r="K108" i="18"/>
  <c r="K914" i="18"/>
  <c r="K155" i="18"/>
  <c r="K272" i="18"/>
  <c r="K819" i="18"/>
  <c r="K645" i="18"/>
  <c r="G18" i="14" s="1"/>
  <c r="K642" i="18"/>
  <c r="K748" i="18"/>
  <c r="K807" i="18"/>
  <c r="M309" i="13"/>
  <c r="K157" i="18"/>
  <c r="K119" i="18"/>
  <c r="K656" i="18"/>
  <c r="K913" i="18"/>
  <c r="K263" i="18"/>
  <c r="J311" i="18"/>
  <c r="K292" i="18"/>
  <c r="M658" i="13"/>
  <c r="J777" i="18"/>
  <c r="K745" i="18"/>
  <c r="K751" i="13"/>
  <c r="K1322" i="13" s="1"/>
  <c r="J645" i="18"/>
  <c r="M644" i="13"/>
  <c r="M275" i="13"/>
  <c r="J737" i="18"/>
  <c r="M917" i="13"/>
  <c r="M810" i="13"/>
  <c r="M806" i="13"/>
  <c r="J741" i="13"/>
  <c r="J734" i="18"/>
  <c r="M848" i="13"/>
  <c r="M119" i="13"/>
  <c r="J702" i="18"/>
  <c r="M808" i="13"/>
  <c r="J745" i="18"/>
  <c r="J751" i="13"/>
  <c r="J901" i="18"/>
  <c r="J1180" i="18"/>
  <c r="M1208" i="13"/>
  <c r="J1031" i="18"/>
  <c r="J913" i="18"/>
  <c r="M805" i="13"/>
  <c r="M643" i="13"/>
  <c r="M115" i="13"/>
  <c r="M307" i="13"/>
  <c r="M109" i="13"/>
  <c r="M268" i="13"/>
  <c r="J785" i="8"/>
  <c r="K749" i="15"/>
  <c r="K648" i="15"/>
  <c r="K650" i="15" s="1"/>
  <c r="K903" i="15"/>
  <c r="K1332" i="15" s="1"/>
  <c r="K812" i="15"/>
  <c r="M817" i="15"/>
  <c r="M777" i="15"/>
  <c r="M811" i="15"/>
  <c r="J474" i="15"/>
  <c r="M807" i="15"/>
  <c r="M292" i="15"/>
  <c r="M307" i="15"/>
  <c r="M272" i="15"/>
  <c r="M117" i="15"/>
  <c r="M108" i="15"/>
  <c r="G1444" i="15"/>
  <c r="G1445" i="15" s="1"/>
  <c r="G1446" i="15" s="1"/>
  <c r="G1447" i="15" s="1"/>
  <c r="G1448" i="15" s="1"/>
  <c r="H1089" i="15"/>
  <c r="I1089" i="44" s="1"/>
  <c r="H894" i="15"/>
  <c r="I894" i="44" s="1"/>
  <c r="H905" i="15"/>
  <c r="I905" i="44" s="1"/>
  <c r="H892" i="15"/>
  <c r="I892" i="44" s="1"/>
  <c r="H906" i="15"/>
  <c r="I906" i="44" s="1"/>
  <c r="H523" i="15"/>
  <c r="I523" i="44" s="1"/>
  <c r="H775" i="15"/>
  <c r="I775" i="44" s="1"/>
  <c r="H1088" i="15"/>
  <c r="I1088" i="44" s="1"/>
  <c r="H524" i="15"/>
  <c r="I524" i="44" s="1"/>
  <c r="H1090" i="15"/>
  <c r="I1090" i="44" s="1"/>
  <c r="J915" i="16"/>
  <c r="J474" i="16"/>
  <c r="J364" i="8"/>
  <c r="L919" i="13"/>
  <c r="L917" i="18"/>
  <c r="L645" i="18"/>
  <c r="H18" i="14" s="1"/>
  <c r="G77" i="8"/>
  <c r="L741" i="15"/>
  <c r="L1321" i="15" s="1"/>
  <c r="K646" i="18"/>
  <c r="K844" i="18"/>
  <c r="K915" i="13"/>
  <c r="K912" i="18"/>
  <c r="K749" i="13"/>
  <c r="K744" i="18"/>
  <c r="K271" i="18"/>
  <c r="K644" i="18"/>
  <c r="K811" i="18"/>
  <c r="K777" i="18"/>
  <c r="K808" i="18"/>
  <c r="K274" i="18"/>
  <c r="K702" i="18"/>
  <c r="K654" i="18"/>
  <c r="K268" i="18"/>
  <c r="J309" i="18"/>
  <c r="J155" i="18"/>
  <c r="M264" i="13"/>
  <c r="M748" i="13"/>
  <c r="K640" i="18"/>
  <c r="K648" i="13"/>
  <c r="K650" i="13" s="1"/>
  <c r="M655" i="13"/>
  <c r="M809" i="13"/>
  <c r="M642" i="13"/>
  <c r="K1291" i="13"/>
  <c r="K138" i="18"/>
  <c r="H25" i="1"/>
  <c r="M1099" i="13"/>
  <c r="M702" i="13"/>
  <c r="M647" i="13"/>
  <c r="M656" i="13"/>
  <c r="J747" i="18"/>
  <c r="M685" i="13"/>
  <c r="M902" i="13"/>
  <c r="J809" i="18"/>
  <c r="M736" i="13"/>
  <c r="M1180" i="13"/>
  <c r="M852" i="13"/>
  <c r="K903" i="13"/>
  <c r="K1332" i="13" s="1"/>
  <c r="K900" i="18"/>
  <c r="M271" i="13"/>
  <c r="J1099" i="18"/>
  <c r="M641" i="13"/>
  <c r="M777" i="13"/>
  <c r="M689" i="13"/>
  <c r="M1029" i="13"/>
  <c r="M385" i="13"/>
  <c r="M657" i="13"/>
  <c r="M811" i="13"/>
  <c r="M1006" i="13"/>
  <c r="J746" i="18"/>
  <c r="M737" i="13"/>
  <c r="J749" i="13"/>
  <c r="J744" i="18"/>
  <c r="M820" i="13"/>
  <c r="J685" i="18"/>
  <c r="M495" i="13"/>
  <c r="M116" i="13"/>
  <c r="L745" i="18"/>
  <c r="L751" i="13"/>
  <c r="L1322" i="13" s="1"/>
  <c r="L73" i="15"/>
  <c r="L915" i="15"/>
  <c r="L915" i="13"/>
  <c r="K751" i="15"/>
  <c r="K1322" i="15" s="1"/>
  <c r="K741" i="15"/>
  <c r="K1321" i="15" s="1"/>
  <c r="K823" i="15"/>
  <c r="K73" i="15"/>
  <c r="K659" i="15"/>
  <c r="J919" i="15"/>
  <c r="O1354" i="15"/>
  <c r="L661" i="44" l="1"/>
  <c r="N648" i="44"/>
  <c r="J1291" i="15"/>
  <c r="F616" i="13"/>
  <c r="F616" i="44" s="1"/>
  <c r="B945" i="16"/>
  <c r="B643" i="16"/>
  <c r="B1122" i="16"/>
  <c r="B893" i="16"/>
  <c r="B729" i="16"/>
  <c r="B189" i="16"/>
  <c r="B476" i="16"/>
  <c r="B684" i="16"/>
  <c r="B409" i="16"/>
  <c r="B434" i="16"/>
  <c r="B263" i="16"/>
  <c r="B349" i="16"/>
  <c r="B848" i="16"/>
  <c r="B774" i="16"/>
  <c r="B978" i="16"/>
  <c r="B220" i="16"/>
  <c r="B1183" i="16"/>
  <c r="B1053" i="16"/>
  <c r="B596" i="16"/>
  <c r="B808" i="16"/>
  <c r="B296" i="16"/>
  <c r="B108" i="16"/>
  <c r="B522" i="16"/>
  <c r="B998" i="16"/>
  <c r="B499" i="16"/>
  <c r="B142" i="16"/>
  <c r="B1091" i="16"/>
  <c r="F31" i="15"/>
  <c r="H31" i="44" s="1"/>
  <c r="F75" i="13"/>
  <c r="F787" i="13"/>
  <c r="F787" i="44" s="1"/>
  <c r="F957" i="15"/>
  <c r="H957" i="44" s="1"/>
  <c r="F501" i="16"/>
  <c r="J501" i="44" s="1"/>
  <c r="B754" i="44"/>
  <c r="B873" i="44"/>
  <c r="B621" i="44"/>
  <c r="B918" i="44"/>
  <c r="L787" i="8"/>
  <c r="L74" i="44"/>
  <c r="W614" i="18"/>
  <c r="W364" i="18"/>
  <c r="L69" i="44"/>
  <c r="L77" i="8"/>
  <c r="B263" i="8"/>
  <c r="B434" i="8"/>
  <c r="B522" i="8"/>
  <c r="B808" i="8"/>
  <c r="B1091" i="8"/>
  <c r="B893" i="8"/>
  <c r="F31" i="8"/>
  <c r="B21" i="8"/>
  <c r="B476" i="8"/>
  <c r="J1223" i="8"/>
  <c r="B189" i="8"/>
  <c r="B1184" i="8"/>
  <c r="B945" i="8"/>
  <c r="I31" i="8"/>
  <c r="B59" i="8"/>
  <c r="B774" i="8"/>
  <c r="B848" i="8"/>
  <c r="N364" i="8"/>
  <c r="B684" i="8"/>
  <c r="B978" i="8"/>
  <c r="B596" i="8"/>
  <c r="B1122" i="8"/>
  <c r="B1053" i="8"/>
  <c r="N925" i="8"/>
  <c r="N1183" i="8"/>
  <c r="B349" i="8"/>
  <c r="B998" i="8"/>
  <c r="B409" i="8"/>
  <c r="B108" i="8"/>
  <c r="B643" i="8"/>
  <c r="B729" i="8"/>
  <c r="W18" i="18"/>
  <c r="Q68" i="44"/>
  <c r="L59" i="44"/>
  <c r="N18" i="8"/>
  <c r="T18" i="8"/>
  <c r="Q72" i="44"/>
  <c r="L76" i="44"/>
  <c r="L73" i="44"/>
  <c r="Q71" i="44"/>
  <c r="L58" i="44"/>
  <c r="N22" i="8"/>
  <c r="T22" i="8"/>
  <c r="W22" i="18"/>
  <c r="J46" i="1"/>
  <c r="H22" i="7"/>
  <c r="J957" i="8"/>
  <c r="L957" i="8"/>
  <c r="N785" i="8"/>
  <c r="P22" i="44"/>
  <c r="L24" i="44"/>
  <c r="P18" i="44"/>
  <c r="O22" i="44"/>
  <c r="O18" i="44"/>
  <c r="N754" i="8"/>
  <c r="L1065" i="44"/>
  <c r="N1065" i="44" s="1"/>
  <c r="L476" i="44"/>
  <c r="L244" i="44"/>
  <c r="L874" i="44"/>
  <c r="N874" i="44" s="1"/>
  <c r="L219" i="44"/>
  <c r="L221" i="44"/>
  <c r="L1103" i="44"/>
  <c r="N1103" i="44" s="1"/>
  <c r="L455" i="44"/>
  <c r="N501" i="8"/>
  <c r="M919" i="16"/>
  <c r="J787" i="8"/>
  <c r="N1221" i="8"/>
  <c r="G31" i="8"/>
  <c r="L1223" i="8"/>
  <c r="F1182" i="16"/>
  <c r="J1182" i="44" s="1"/>
  <c r="L921" i="16"/>
  <c r="M865" i="18"/>
  <c r="M734" i="18"/>
  <c r="M915" i="15"/>
  <c r="M1333" i="15" s="1"/>
  <c r="M741" i="15"/>
  <c r="M1321" i="15" s="1"/>
  <c r="M747" i="18"/>
  <c r="M901" i="18"/>
  <c r="M914" i="18"/>
  <c r="M1031" i="18"/>
  <c r="M496" i="18"/>
  <c r="M915" i="16"/>
  <c r="M1333" i="16" s="1"/>
  <c r="M809" i="18"/>
  <c r="M494" i="18"/>
  <c r="L1212" i="44"/>
  <c r="N1212" i="44" s="1"/>
  <c r="L1070" i="44"/>
  <c r="N1070" i="44" s="1"/>
  <c r="F754" i="16"/>
  <c r="J754" i="44" s="1"/>
  <c r="F1222" i="13"/>
  <c r="F1222" i="44" s="1"/>
  <c r="F77" i="15"/>
  <c r="H77" i="44" s="1"/>
  <c r="P75" i="44"/>
  <c r="F364" i="16"/>
  <c r="J364" i="44" s="1"/>
  <c r="F18" i="16"/>
  <c r="J18" i="44" s="1"/>
  <c r="F22" i="16"/>
  <c r="J22" i="44" s="1"/>
  <c r="F787" i="15"/>
  <c r="H787" i="44" s="1"/>
  <c r="F75" i="16"/>
  <c r="J75" i="44" s="1"/>
  <c r="F925" i="16"/>
  <c r="J925" i="44" s="1"/>
  <c r="F1222" i="16"/>
  <c r="J1222" i="44" s="1"/>
  <c r="F957" i="13"/>
  <c r="F957" i="44" s="1"/>
  <c r="F785" i="16"/>
  <c r="J785" i="44" s="1"/>
  <c r="J1291" i="13"/>
  <c r="L1291" i="13"/>
  <c r="L1288" i="13"/>
  <c r="M495" i="18"/>
  <c r="J273" i="18"/>
  <c r="J385" i="18"/>
  <c r="J386" i="18" s="1"/>
  <c r="J640" i="18"/>
  <c r="J814" i="15"/>
  <c r="J1327" i="15" s="1"/>
  <c r="J823" i="15"/>
  <c r="J659" i="15"/>
  <c r="J1289" i="15"/>
  <c r="J648" i="15"/>
  <c r="J650" i="15" s="1"/>
  <c r="J825" i="15"/>
  <c r="J1328" i="15" s="1"/>
  <c r="J812" i="15"/>
  <c r="J818" i="18"/>
  <c r="L273" i="18"/>
  <c r="L852" i="18"/>
  <c r="L1289" i="15"/>
  <c r="M903" i="16"/>
  <c r="M1332" i="16" s="1"/>
  <c r="M741" i="16"/>
  <c r="M1321" i="16" s="1"/>
  <c r="M737" i="18"/>
  <c r="M748" i="18"/>
  <c r="F616" i="18"/>
  <c r="W616" i="18" s="1"/>
  <c r="L822" i="18"/>
  <c r="M825" i="15"/>
  <c r="M1328" i="15" s="1"/>
  <c r="M749" i="15"/>
  <c r="L825" i="15"/>
  <c r="L1328" i="15" s="1"/>
  <c r="M823" i="15"/>
  <c r="L812" i="15"/>
  <c r="L903" i="18"/>
  <c r="M685" i="18"/>
  <c r="M902" i="18"/>
  <c r="M903" i="15"/>
  <c r="M1332" i="15" s="1"/>
  <c r="M919" i="15"/>
  <c r="L659" i="15"/>
  <c r="M648" i="15"/>
  <c r="M650" i="15" s="1"/>
  <c r="L823" i="15"/>
  <c r="M751" i="15"/>
  <c r="M1322" i="15" s="1"/>
  <c r="M913" i="18"/>
  <c r="M918" i="18"/>
  <c r="M659" i="15"/>
  <c r="L648" i="15"/>
  <c r="L650" i="15" s="1"/>
  <c r="L814" i="15"/>
  <c r="L1327" i="15" s="1"/>
  <c r="M1029" i="18"/>
  <c r="M311" i="18"/>
  <c r="M702" i="18"/>
  <c r="M1289" i="15"/>
  <c r="M309" i="18"/>
  <c r="F616" i="16"/>
  <c r="J616" i="44" s="1"/>
  <c r="N114" i="14"/>
  <c r="M85" i="5"/>
  <c r="L657" i="18"/>
  <c r="J689" i="18"/>
  <c r="J657" i="18"/>
  <c r="L272" i="18"/>
  <c r="J263" i="18"/>
  <c r="L647" i="18"/>
  <c r="K689" i="18"/>
  <c r="M647" i="18"/>
  <c r="J116" i="18"/>
  <c r="J120" i="18"/>
  <c r="J810" i="18"/>
  <c r="L642" i="18"/>
  <c r="J819" i="18"/>
  <c r="J108" i="18"/>
  <c r="L269" i="18"/>
  <c r="L118" i="18"/>
  <c r="L108" i="18"/>
  <c r="J641" i="18"/>
  <c r="J292" i="18"/>
  <c r="M643" i="18"/>
  <c r="M138" i="18"/>
  <c r="J653" i="18"/>
  <c r="J270" i="18"/>
  <c r="J822" i="18"/>
  <c r="L271" i="18"/>
  <c r="L644" i="18"/>
  <c r="M654" i="18"/>
  <c r="L655" i="18"/>
  <c r="J386" i="13"/>
  <c r="J388" i="13" s="1"/>
  <c r="J264" i="18"/>
  <c r="L643" i="18"/>
  <c r="J821" i="18"/>
  <c r="L844" i="18"/>
  <c r="J269" i="18"/>
  <c r="M640" i="18"/>
  <c r="L654" i="18"/>
  <c r="M641" i="18"/>
  <c r="M810" i="18"/>
  <c r="L811" i="18"/>
  <c r="M268" i="18"/>
  <c r="M273" i="18"/>
  <c r="L270" i="18"/>
  <c r="J275" i="18"/>
  <c r="J655" i="18"/>
  <c r="L115" i="18"/>
  <c r="J138" i="18"/>
  <c r="M656" i="18"/>
  <c r="M655" i="18"/>
  <c r="M658" i="18"/>
  <c r="L805" i="18"/>
  <c r="J643" i="18"/>
  <c r="L274" i="18"/>
  <c r="J807" i="18"/>
  <c r="J811" i="18"/>
  <c r="M821" i="18"/>
  <c r="M681" i="18"/>
  <c r="L681" i="18"/>
  <c r="L646" i="18"/>
  <c r="L648" i="13"/>
  <c r="L650" i="13" s="1"/>
  <c r="J658" i="18"/>
  <c r="L268" i="18"/>
  <c r="J268" i="18"/>
  <c r="J271" i="18"/>
  <c r="J814" i="16"/>
  <c r="J1327" i="16" s="1"/>
  <c r="L640" i="18"/>
  <c r="M271" i="18"/>
  <c r="M274" i="18"/>
  <c r="J646" i="18"/>
  <c r="J654" i="18"/>
  <c r="J647" i="18"/>
  <c r="J825" i="16"/>
  <c r="J1328" i="16" s="1"/>
  <c r="M646" i="18"/>
  <c r="M659" i="16"/>
  <c r="J852" i="18"/>
  <c r="J806" i="18"/>
  <c r="J241" i="18"/>
  <c r="J242" i="18" s="1"/>
  <c r="J113" i="18"/>
  <c r="L264" i="18"/>
  <c r="J274" i="18"/>
  <c r="J659" i="16"/>
  <c r="J648" i="16"/>
  <c r="J650" i="16" s="1"/>
  <c r="M806" i="18"/>
  <c r="L120" i="18"/>
  <c r="L119" i="18"/>
  <c r="J644" i="18"/>
  <c r="J805" i="18"/>
  <c r="J1289" i="16"/>
  <c r="J115" i="18"/>
  <c r="I25" i="1"/>
  <c r="L821" i="18"/>
  <c r="J114" i="18"/>
  <c r="J118" i="18"/>
  <c r="J656" i="18"/>
  <c r="L810" i="18"/>
  <c r="M807" i="18"/>
  <c r="M814" i="16"/>
  <c r="M1327" i="16" s="1"/>
  <c r="J844" i="18"/>
  <c r="J272" i="18"/>
  <c r="J681" i="18"/>
  <c r="M820" i="18"/>
  <c r="L1333" i="16"/>
  <c r="L915" i="18"/>
  <c r="K919" i="18"/>
  <c r="L114" i="18"/>
  <c r="L818" i="18"/>
  <c r="M736" i="18"/>
  <c r="L275" i="18"/>
  <c r="L819" i="18"/>
  <c r="L656" i="18"/>
  <c r="J814" i="13"/>
  <c r="J1327" i="13" s="1"/>
  <c r="J825" i="13"/>
  <c r="J1328" i="13" s="1"/>
  <c r="J242" i="13"/>
  <c r="L138" i="18"/>
  <c r="K921" i="16"/>
  <c r="J659" i="13"/>
  <c r="L658" i="18"/>
  <c r="J1288" i="13"/>
  <c r="L385" i="18"/>
  <c r="L386" i="18" s="1"/>
  <c r="L388" i="18" s="1"/>
  <c r="L69" i="18" s="1"/>
  <c r="H76" i="14" s="1"/>
  <c r="J648" i="13"/>
  <c r="J650" i="13" s="1"/>
  <c r="M1291" i="13"/>
  <c r="L751" i="18"/>
  <c r="M777" i="18"/>
  <c r="L919" i="18"/>
  <c r="J642" i="18"/>
  <c r="L808" i="18"/>
  <c r="L825" i="16"/>
  <c r="L1328" i="16" s="1"/>
  <c r="M113" i="18"/>
  <c r="J820" i="18"/>
  <c r="J25" i="1"/>
  <c r="M269" i="18"/>
  <c r="L263" i="18"/>
  <c r="L806" i="18"/>
  <c r="M644" i="18"/>
  <c r="M657" i="18"/>
  <c r="K661" i="16"/>
  <c r="K663" i="16" s="1"/>
  <c r="L820" i="18"/>
  <c r="L648" i="16"/>
  <c r="L650" i="16" s="1"/>
  <c r="L659" i="16"/>
  <c r="K661" i="15"/>
  <c r="K663" i="15" s="1"/>
  <c r="L241" i="18"/>
  <c r="L242" i="18" s="1"/>
  <c r="L244" i="18" s="1"/>
  <c r="L68" i="18" s="1"/>
  <c r="H75" i="14" s="1"/>
  <c r="L1289" i="13"/>
  <c r="L814" i="16"/>
  <c r="L1327" i="16" s="1"/>
  <c r="L1289" i="16"/>
  <c r="L292" i="18"/>
  <c r="M1099" i="18"/>
  <c r="M264" i="18"/>
  <c r="M292" i="18"/>
  <c r="J808" i="18"/>
  <c r="M275" i="18"/>
  <c r="L814" i="13"/>
  <c r="L1327" i="13" s="1"/>
  <c r="L653" i="18"/>
  <c r="L807" i="18"/>
  <c r="M819" i="18"/>
  <c r="M648" i="16"/>
  <c r="M650" i="16" s="1"/>
  <c r="K903" i="18"/>
  <c r="G25" i="1"/>
  <c r="H1206" i="15"/>
  <c r="I1206" i="44" s="1"/>
  <c r="M749" i="16"/>
  <c r="L113" i="18"/>
  <c r="F785" i="18"/>
  <c r="F787" i="18" s="1"/>
  <c r="L116" i="18"/>
  <c r="J1289" i="13"/>
  <c r="M814" i="15"/>
  <c r="M1327" i="15" s="1"/>
  <c r="L659" i="13"/>
  <c r="M1289" i="13"/>
  <c r="K751" i="18"/>
  <c r="J119" i="18"/>
  <c r="J117" i="18"/>
  <c r="L641" i="18"/>
  <c r="M751" i="16"/>
  <c r="M1322" i="16" s="1"/>
  <c r="L117" i="18"/>
  <c r="M825" i="16"/>
  <c r="M1328" i="16" s="1"/>
  <c r="M900" i="18"/>
  <c r="L825" i="13"/>
  <c r="L1328" i="13" s="1"/>
  <c r="M270" i="18"/>
  <c r="M689" i="18"/>
  <c r="J388" i="15"/>
  <c r="M814" i="13"/>
  <c r="M1327" i="13" s="1"/>
  <c r="M805" i="18"/>
  <c r="J1322" i="16"/>
  <c r="G75" i="14"/>
  <c r="J1322" i="15"/>
  <c r="K915" i="18"/>
  <c r="M808" i="18"/>
  <c r="J741" i="18"/>
  <c r="M1289" i="16"/>
  <c r="J1332" i="16"/>
  <c r="J1332" i="15"/>
  <c r="M155" i="18"/>
  <c r="M825" i="13"/>
  <c r="M1328" i="13" s="1"/>
  <c r="M903" i="13"/>
  <c r="M1332" i="13" s="1"/>
  <c r="K741" i="18"/>
  <c r="M745" i="18"/>
  <c r="M751" i="13"/>
  <c r="M1322" i="13" s="1"/>
  <c r="M117" i="18"/>
  <c r="J1332" i="13"/>
  <c r="M659" i="13"/>
  <c r="M653" i="18"/>
  <c r="G1263" i="16"/>
  <c r="G1264" i="16" s="1"/>
  <c r="G1265" i="16" s="1"/>
  <c r="G1266" i="16" s="1"/>
  <c r="H1262" i="16"/>
  <c r="G1263" i="13"/>
  <c r="G1264" i="13" s="1"/>
  <c r="G1265" i="13" s="1"/>
  <c r="G1266" i="13" s="1"/>
  <c r="H1262" i="13"/>
  <c r="M648" i="13"/>
  <c r="M650" i="13" s="1"/>
  <c r="J915" i="18"/>
  <c r="K73" i="13"/>
  <c r="M1180" i="18"/>
  <c r="J476" i="16"/>
  <c r="M307" i="18"/>
  <c r="J244" i="16"/>
  <c r="M818" i="18"/>
  <c r="J919" i="18"/>
  <c r="K814" i="18"/>
  <c r="J921" i="15"/>
  <c r="J1333" i="15"/>
  <c r="M108" i="18"/>
  <c r="M263" i="18"/>
  <c r="M915" i="13"/>
  <c r="M912" i="18"/>
  <c r="M844" i="18"/>
  <c r="M822" i="18"/>
  <c r="M749" i="13"/>
  <c r="M744" i="18"/>
  <c r="M1297" i="13"/>
  <c r="M153" i="18"/>
  <c r="J476" i="13"/>
  <c r="J244" i="15"/>
  <c r="J921" i="16"/>
  <c r="J1333" i="16"/>
  <c r="J1322" i="13"/>
  <c r="G119" i="14"/>
  <c r="P1354" i="15"/>
  <c r="M812" i="15"/>
  <c r="K827" i="15"/>
  <c r="L921" i="15"/>
  <c r="L1333" i="15"/>
  <c r="M116" i="18"/>
  <c r="J749" i="18"/>
  <c r="M811" i="18"/>
  <c r="M386" i="13"/>
  <c r="M388" i="13" s="1"/>
  <c r="M69" i="13" s="1"/>
  <c r="M385" i="18"/>
  <c r="M386" i="18" s="1"/>
  <c r="M388" i="18" s="1"/>
  <c r="M69" i="18" s="1"/>
  <c r="I76" i="14" s="1"/>
  <c r="M852" i="18"/>
  <c r="M642" i="18"/>
  <c r="K648" i="18"/>
  <c r="K650" i="18" s="1"/>
  <c r="K749" i="18"/>
  <c r="K921" i="13"/>
  <c r="K1333" i="13"/>
  <c r="H1098" i="15"/>
  <c r="I1098" i="44" s="1"/>
  <c r="M115" i="18"/>
  <c r="J751" i="18"/>
  <c r="M119" i="18"/>
  <c r="M848" i="18"/>
  <c r="M919" i="13"/>
  <c r="M917" i="18"/>
  <c r="L741" i="18"/>
  <c r="M157" i="18"/>
  <c r="L749" i="18"/>
  <c r="J1321" i="16"/>
  <c r="J1321" i="15"/>
  <c r="L73" i="13"/>
  <c r="M120" i="18"/>
  <c r="M272" i="18"/>
  <c r="M242" i="13"/>
  <c r="M68" i="13" s="1"/>
  <c r="M241" i="18"/>
  <c r="M242" i="18" s="1"/>
  <c r="M244" i="18" s="1"/>
  <c r="M68" i="18" s="1"/>
  <c r="M645" i="18"/>
  <c r="I18" i="14" s="1"/>
  <c r="M114" i="18"/>
  <c r="M1288" i="13"/>
  <c r="K659" i="18"/>
  <c r="K73" i="18"/>
  <c r="G80" i="14" s="1"/>
  <c r="J388" i="16"/>
  <c r="L921" i="13"/>
  <c r="L1333" i="13"/>
  <c r="H119" i="14"/>
  <c r="J476" i="15"/>
  <c r="J1321" i="13"/>
  <c r="F18" i="14"/>
  <c r="P1354" i="16"/>
  <c r="M741" i="13"/>
  <c r="M1321" i="13" s="1"/>
  <c r="K921" i="15"/>
  <c r="K1333" i="15"/>
  <c r="L73" i="18"/>
  <c r="H80" i="14" s="1"/>
  <c r="M118" i="18"/>
  <c r="M474" i="13"/>
  <c r="M476" i="13" s="1"/>
  <c r="M473" i="18"/>
  <c r="M474" i="18" s="1"/>
  <c r="M476" i="18" s="1"/>
  <c r="J903" i="18"/>
  <c r="J474" i="18"/>
  <c r="K661" i="13"/>
  <c r="K825" i="18"/>
  <c r="P1354" i="13"/>
  <c r="M746" i="18"/>
  <c r="J921" i="13"/>
  <c r="J1333" i="13"/>
  <c r="G1262" i="15"/>
  <c r="H1261" i="15"/>
  <c r="L663" i="44" l="1"/>
  <c r="N663" i="44" s="1"/>
  <c r="N661" i="44"/>
  <c r="F77" i="13"/>
  <c r="F77" i="44" s="1"/>
  <c r="F75" i="44"/>
  <c r="O75" i="44" s="1"/>
  <c r="L501" i="44"/>
  <c r="B523" i="16"/>
  <c r="B1054" i="16"/>
  <c r="B350" i="16"/>
  <c r="B190" i="16"/>
  <c r="B109" i="16"/>
  <c r="B1184" i="16"/>
  <c r="B264" i="16"/>
  <c r="B730" i="16"/>
  <c r="B1092" i="16"/>
  <c r="B297" i="16"/>
  <c r="B221" i="16"/>
  <c r="B435" i="16"/>
  <c r="B894" i="16"/>
  <c r="B143" i="16"/>
  <c r="B410" i="16"/>
  <c r="B1123" i="16"/>
  <c r="B500" i="16"/>
  <c r="B809" i="16"/>
  <c r="B775" i="16"/>
  <c r="B685" i="16"/>
  <c r="B644" i="16"/>
  <c r="B999" i="16"/>
  <c r="B597" i="16"/>
  <c r="B849" i="16"/>
  <c r="B477" i="16"/>
  <c r="B946" i="16"/>
  <c r="P31" i="44"/>
  <c r="B622" i="44"/>
  <c r="B874" i="44"/>
  <c r="B919" i="44"/>
  <c r="J31" i="8"/>
  <c r="N31" i="8" s="1"/>
  <c r="L72" i="44"/>
  <c r="Q73" i="44"/>
  <c r="Q59" i="44"/>
  <c r="P85" i="5"/>
  <c r="B730" i="8"/>
  <c r="B999" i="8"/>
  <c r="B685" i="8"/>
  <c r="B849" i="8"/>
  <c r="B946" i="8"/>
  <c r="B894" i="8"/>
  <c r="B523" i="8"/>
  <c r="N1223" i="8"/>
  <c r="B644" i="8"/>
  <c r="B350" i="8"/>
  <c r="B1054" i="8"/>
  <c r="B775" i="8"/>
  <c r="B477" i="8"/>
  <c r="B1092" i="8"/>
  <c r="N957" i="8"/>
  <c r="B435" i="8"/>
  <c r="B109" i="8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597" i="8"/>
  <c r="B60" i="8"/>
  <c r="B1185" i="8"/>
  <c r="B22" i="8"/>
  <c r="L68" i="44"/>
  <c r="B264" i="8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410" i="8"/>
  <c r="B1123" i="8"/>
  <c r="B190" i="8"/>
  <c r="N787" i="8"/>
  <c r="B809" i="8"/>
  <c r="L71" i="44"/>
  <c r="Q58" i="44"/>
  <c r="F119" i="14"/>
  <c r="P77" i="44"/>
  <c r="L31" i="8"/>
  <c r="L18" i="44"/>
  <c r="Q22" i="44"/>
  <c r="L616" i="44"/>
  <c r="N616" i="44" s="1"/>
  <c r="L20" i="44"/>
  <c r="L923" i="44"/>
  <c r="L753" i="44"/>
  <c r="L614" i="44"/>
  <c r="N614" i="44" s="1"/>
  <c r="L15" i="44"/>
  <c r="L754" i="44"/>
  <c r="L478" i="44"/>
  <c r="L364" i="44"/>
  <c r="L1182" i="44"/>
  <c r="M921" i="15"/>
  <c r="M921" i="16"/>
  <c r="L1220" i="44"/>
  <c r="N1220" i="44" s="1"/>
  <c r="F957" i="16"/>
  <c r="J957" i="44" s="1"/>
  <c r="F787" i="16"/>
  <c r="J787" i="44" s="1"/>
  <c r="F77" i="16"/>
  <c r="J77" i="44" s="1"/>
  <c r="Q75" i="44"/>
  <c r="F31" i="13"/>
  <c r="F31" i="44" s="1"/>
  <c r="X793" i="18"/>
  <c r="F31" i="16"/>
  <c r="J31" i="44" s="1"/>
  <c r="M741" i="18"/>
  <c r="J661" i="15"/>
  <c r="J663" i="15" s="1"/>
  <c r="J827" i="15"/>
  <c r="M915" i="18"/>
  <c r="L827" i="15"/>
  <c r="M827" i="15"/>
  <c r="M903" i="18"/>
  <c r="L661" i="15"/>
  <c r="L663" i="15" s="1"/>
  <c r="M919" i="18"/>
  <c r="M661" i="15"/>
  <c r="M663" i="15" s="1"/>
  <c r="D114" i="14"/>
  <c r="J825" i="18"/>
  <c r="L661" i="13"/>
  <c r="L663" i="13" s="1"/>
  <c r="J661" i="16"/>
  <c r="J663" i="16" s="1"/>
  <c r="J659" i="18"/>
  <c r="J814" i="18"/>
  <c r="L648" i="18"/>
  <c r="L650" i="18" s="1"/>
  <c r="J648" i="18"/>
  <c r="J650" i="18" s="1"/>
  <c r="L921" i="18"/>
  <c r="K921" i="18"/>
  <c r="J661" i="13"/>
  <c r="J663" i="13" s="1"/>
  <c r="L825" i="18"/>
  <c r="L659" i="18"/>
  <c r="L661" i="16"/>
  <c r="L663" i="16" s="1"/>
  <c r="L814" i="18"/>
  <c r="K661" i="18"/>
  <c r="K663" i="18" s="1"/>
  <c r="M659" i="18"/>
  <c r="M661" i="16"/>
  <c r="M663" i="16" s="1"/>
  <c r="Q1354" i="13"/>
  <c r="M73" i="13"/>
  <c r="M648" i="18"/>
  <c r="M650" i="18" s="1"/>
  <c r="J68" i="13"/>
  <c r="J69" i="13"/>
  <c r="J68" i="15"/>
  <c r="J73" i="16"/>
  <c r="G1263" i="15"/>
  <c r="G1264" i="15" s="1"/>
  <c r="G1265" i="15" s="1"/>
  <c r="G1266" i="15" s="1"/>
  <c r="H1262" i="15"/>
  <c r="K663" i="13"/>
  <c r="Q1354" i="16"/>
  <c r="J69" i="16"/>
  <c r="I119" i="14"/>
  <c r="M825" i="18"/>
  <c r="J68" i="16"/>
  <c r="M751" i="18"/>
  <c r="Q1354" i="15"/>
  <c r="J73" i="13"/>
  <c r="M921" i="13"/>
  <c r="M1333" i="13"/>
  <c r="J921" i="18"/>
  <c r="G1267" i="13"/>
  <c r="G1268" i="13" s="1"/>
  <c r="G1269" i="13" s="1"/>
  <c r="G1270" i="13" s="1"/>
  <c r="H1266" i="13"/>
  <c r="G1267" i="16"/>
  <c r="G1268" i="16" s="1"/>
  <c r="G1269" i="16" s="1"/>
  <c r="G1270" i="16" s="1"/>
  <c r="H1266" i="16"/>
  <c r="M661" i="13"/>
  <c r="J69" i="15"/>
  <c r="J476" i="18"/>
  <c r="M73" i="18"/>
  <c r="I80" i="14" s="1"/>
  <c r="J244" i="18"/>
  <c r="J73" i="15"/>
  <c r="I75" i="14"/>
  <c r="M749" i="18"/>
  <c r="M814" i="18"/>
  <c r="J388" i="18"/>
  <c r="O77" i="44" l="1"/>
  <c r="N1100" i="15"/>
  <c r="O1100" i="15"/>
  <c r="O1100" i="18" s="1"/>
  <c r="P1100" i="15"/>
  <c r="P1100" i="18" s="1"/>
  <c r="B598" i="16"/>
  <c r="B501" i="16"/>
  <c r="B1185" i="16"/>
  <c r="B1000" i="16"/>
  <c r="B1124" i="16"/>
  <c r="B222" i="16"/>
  <c r="B110" i="16"/>
  <c r="B645" i="16"/>
  <c r="B411" i="16"/>
  <c r="B298" i="16"/>
  <c r="B191" i="16"/>
  <c r="B947" i="16"/>
  <c r="B686" i="16"/>
  <c r="B1093" i="16"/>
  <c r="B351" i="16"/>
  <c r="B478" i="16"/>
  <c r="B776" i="16"/>
  <c r="B144" i="16"/>
  <c r="B731" i="16"/>
  <c r="B1055" i="16"/>
  <c r="B850" i="16"/>
  <c r="B810" i="16"/>
  <c r="B895" i="16"/>
  <c r="B265" i="16"/>
  <c r="B524" i="16"/>
  <c r="B920" i="44"/>
  <c r="P120" i="15"/>
  <c r="P268" i="13"/>
  <c r="N1159" i="16"/>
  <c r="O1159" i="16"/>
  <c r="P1159" i="16"/>
  <c r="Q18" i="44"/>
  <c r="L22" i="44"/>
  <c r="B191" i="8"/>
  <c r="B411" i="8"/>
  <c r="B598" i="8"/>
  <c r="B776" i="8"/>
  <c r="B850" i="8"/>
  <c r="B810" i="8"/>
  <c r="B23" i="8"/>
  <c r="B1055" i="8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524" i="8"/>
  <c r="B686" i="8"/>
  <c r="B1186" i="8"/>
  <c r="B1093" i="8"/>
  <c r="B351" i="8"/>
  <c r="B895" i="8"/>
  <c r="B1000" i="8"/>
  <c r="B1124" i="8"/>
  <c r="B61" i="8"/>
  <c r="B478" i="8"/>
  <c r="B645" i="8"/>
  <c r="B947" i="8"/>
  <c r="B731" i="8"/>
  <c r="Q77" i="44"/>
  <c r="Q31" i="44"/>
  <c r="L787" i="44"/>
  <c r="N787" i="44" s="1"/>
  <c r="L785" i="44"/>
  <c r="N785" i="44" s="1"/>
  <c r="L925" i="44"/>
  <c r="L957" i="44"/>
  <c r="L75" i="44"/>
  <c r="P747" i="13"/>
  <c r="P641" i="13"/>
  <c r="P852" i="13"/>
  <c r="P658" i="13"/>
  <c r="P292" i="13"/>
  <c r="P805" i="13"/>
  <c r="P748" i="13"/>
  <c r="P1031" i="13"/>
  <c r="P777" i="13"/>
  <c r="P119" i="13"/>
  <c r="P865" i="16"/>
  <c r="N494" i="16"/>
  <c r="N496" i="16"/>
  <c r="O494" i="16"/>
  <c r="O496" i="16"/>
  <c r="P155" i="15"/>
  <c r="N494" i="15"/>
  <c r="N496" i="15"/>
  <c r="O496" i="15"/>
  <c r="O494" i="15"/>
  <c r="P914" i="13"/>
  <c r="P656" i="13"/>
  <c r="P1029" i="13"/>
  <c r="P820" i="13"/>
  <c r="P241" i="13"/>
  <c r="P242" i="13" s="1"/>
  <c r="P68" i="13" s="1"/>
  <c r="P819" i="13"/>
  <c r="P810" i="13"/>
  <c r="P848" i="13"/>
  <c r="P108" i="13"/>
  <c r="P494" i="15"/>
  <c r="P272" i="13"/>
  <c r="N496" i="13"/>
  <c r="O496" i="13"/>
  <c r="P496" i="16"/>
  <c r="P818" i="15"/>
  <c r="P117" i="13"/>
  <c r="P918" i="13"/>
  <c r="P818" i="13"/>
  <c r="P271" i="13"/>
  <c r="P640" i="13"/>
  <c r="P912" i="13"/>
  <c r="P811" i="13"/>
  <c r="P844" i="13"/>
  <c r="P1099" i="13"/>
  <c r="P734" i="13"/>
  <c r="P115" i="13"/>
  <c r="P494" i="16"/>
  <c r="P273" i="13"/>
  <c r="P275" i="13"/>
  <c r="P655" i="13"/>
  <c r="P647" i="13"/>
  <c r="P264" i="13"/>
  <c r="P643" i="13"/>
  <c r="P642" i="13"/>
  <c r="P1006" i="13"/>
  <c r="P385" i="13"/>
  <c r="P386" i="13" s="1"/>
  <c r="P388" i="13" s="1"/>
  <c r="P69" i="13" s="1"/>
  <c r="P808" i="13"/>
  <c r="P307" i="13"/>
  <c r="P120" i="13"/>
  <c r="P496" i="15"/>
  <c r="P496" i="13"/>
  <c r="L1222" i="44"/>
  <c r="N1222" i="44" s="1"/>
  <c r="S114" i="14"/>
  <c r="P744" i="15"/>
  <c r="P655" i="15"/>
  <c r="P734" i="15"/>
  <c r="P311" i="13"/>
  <c r="P113" i="13"/>
  <c r="P645" i="13"/>
  <c r="P736" i="13"/>
  <c r="P917" i="13"/>
  <c r="P646" i="13"/>
  <c r="P138" i="13"/>
  <c r="P807" i="13"/>
  <c r="P745" i="13"/>
  <c r="P109" i="13"/>
  <c r="P269" i="13"/>
  <c r="P653" i="13"/>
  <c r="P657" i="13"/>
  <c r="P809" i="13"/>
  <c r="P1180" i="13"/>
  <c r="P495" i="13"/>
  <c r="P654" i="13"/>
  <c r="P746" i="13"/>
  <c r="P263" i="13"/>
  <c r="P309" i="13"/>
  <c r="P118" i="13"/>
  <c r="P737" i="13"/>
  <c r="P473" i="13"/>
  <c r="P474" i="13" s="1"/>
  <c r="P476" i="13" s="1"/>
  <c r="P153" i="13"/>
  <c r="P681" i="13"/>
  <c r="P822" i="13"/>
  <c r="P901" i="13"/>
  <c r="P685" i="13"/>
  <c r="P744" i="13"/>
  <c r="P689" i="13"/>
  <c r="P157" i="13"/>
  <c r="P902" i="13"/>
  <c r="P865" i="13"/>
  <c r="P806" i="13"/>
  <c r="P644" i="13"/>
  <c r="P1208" i="13"/>
  <c r="P900" i="13"/>
  <c r="P913" i="13"/>
  <c r="P702" i="13"/>
  <c r="P821" i="13"/>
  <c r="P274" i="13"/>
  <c r="P270" i="13"/>
  <c r="P114" i="13"/>
  <c r="M921" i="18"/>
  <c r="P157" i="16"/>
  <c r="P809" i="16"/>
  <c r="P653" i="16"/>
  <c r="P702" i="16"/>
  <c r="N494" i="13"/>
  <c r="O494" i="13"/>
  <c r="P494" i="13"/>
  <c r="Q114" i="14"/>
  <c r="R85" i="5"/>
  <c r="J661" i="18"/>
  <c r="J663" i="18" s="1"/>
  <c r="L661" i="18"/>
  <c r="L663" i="18" s="1"/>
  <c r="M661" i="18"/>
  <c r="M663" i="18" s="1"/>
  <c r="P647" i="15"/>
  <c r="P640" i="15"/>
  <c r="P645" i="15"/>
  <c r="P848" i="15"/>
  <c r="P1029" i="15"/>
  <c r="P811" i="16"/>
  <c r="P746" i="16"/>
  <c r="P114" i="16"/>
  <c r="P1288" i="16" s="1"/>
  <c r="P273" i="16"/>
  <c r="P852" i="15"/>
  <c r="P918" i="15"/>
  <c r="P804" i="15"/>
  <c r="P653" i="15"/>
  <c r="P108" i="15"/>
  <c r="P307" i="16"/>
  <c r="P844" i="16"/>
  <c r="P640" i="16"/>
  <c r="P153" i="16"/>
  <c r="P1297" i="16" s="1"/>
  <c r="P115" i="15"/>
  <c r="P737" i="15"/>
  <c r="P902" i="15"/>
  <c r="P900" i="15"/>
  <c r="P274" i="15"/>
  <c r="P311" i="16"/>
  <c r="P747" i="16"/>
  <c r="P689" i="16"/>
  <c r="P656" i="16"/>
  <c r="P917" i="16"/>
  <c r="P116" i="15"/>
  <c r="P1180" i="15"/>
  <c r="P1067" i="15"/>
  <c r="P820" i="15"/>
  <c r="P746" i="15"/>
  <c r="P118" i="15"/>
  <c r="P641" i="15"/>
  <c r="P821" i="15"/>
  <c r="P805" i="15"/>
  <c r="P811" i="15"/>
  <c r="P685" i="15"/>
  <c r="P1031" i="15"/>
  <c r="P1099" i="15"/>
  <c r="P819" i="15"/>
  <c r="P292" i="15"/>
  <c r="P264" i="15"/>
  <c r="P307" i="15"/>
  <c r="P263" i="15"/>
  <c r="P268" i="15"/>
  <c r="P157" i="15"/>
  <c r="P852" i="16"/>
  <c r="P822" i="16"/>
  <c r="P645" i="16"/>
  <c r="P681" i="16"/>
  <c r="P806" i="16"/>
  <c r="P108" i="16"/>
  <c r="P1029" i="16"/>
  <c r="P1099" i="16"/>
  <c r="P685" i="16"/>
  <c r="P109" i="16"/>
  <c r="P748" i="16"/>
  <c r="P658" i="16"/>
  <c r="P655" i="16"/>
  <c r="P818" i="16"/>
  <c r="P268" i="16"/>
  <c r="P848" i="16"/>
  <c r="P120" i="16"/>
  <c r="P264" i="16"/>
  <c r="P274" i="16"/>
  <c r="P117" i="16"/>
  <c r="P736" i="16"/>
  <c r="P647" i="16"/>
  <c r="P642" i="16"/>
  <c r="P1180" i="16"/>
  <c r="P495" i="16"/>
  <c r="P745" i="16"/>
  <c r="P1067" i="16"/>
  <c r="P119" i="16"/>
  <c r="P113" i="16"/>
  <c r="P271" i="16"/>
  <c r="P912" i="16"/>
  <c r="P684" i="16"/>
  <c r="P900" i="16"/>
  <c r="J69" i="18"/>
  <c r="P658" i="15"/>
  <c r="P736" i="15"/>
  <c r="P913" i="15"/>
  <c r="J68" i="18"/>
  <c r="M663" i="13"/>
  <c r="G1271" i="13"/>
  <c r="G1272" i="13" s="1"/>
  <c r="G1273" i="13" s="1"/>
  <c r="H1270" i="13"/>
  <c r="P643" i="15"/>
  <c r="P138" i="15"/>
  <c r="P702" i="15"/>
  <c r="P273" i="15"/>
  <c r="P119" i="15"/>
  <c r="P865" i="15"/>
  <c r="P806" i="15"/>
  <c r="P808" i="15"/>
  <c r="P1006" i="15"/>
  <c r="P654" i="15"/>
  <c r="P642" i="15"/>
  <c r="P901" i="15"/>
  <c r="P745" i="15"/>
  <c r="P917" i="15"/>
  <c r="P914" i="15"/>
  <c r="P1005" i="15"/>
  <c r="P681" i="15"/>
  <c r="P269" i="15"/>
  <c r="P271" i="15"/>
  <c r="P309" i="15"/>
  <c r="P275" i="16"/>
  <c r="P309" i="16"/>
  <c r="P805" i="16"/>
  <c r="P646" i="16"/>
  <c r="P902" i="16"/>
  <c r="P116" i="16"/>
  <c r="P654" i="16"/>
  <c r="P744" i="16"/>
  <c r="P473" i="16"/>
  <c r="P474" i="16" s="1"/>
  <c r="P476" i="16" s="1"/>
  <c r="P263" i="16"/>
  <c r="P270" i="16"/>
  <c r="P272" i="16"/>
  <c r="P810" i="16"/>
  <c r="P696" i="16"/>
  <c r="P1208" i="16"/>
  <c r="P777" i="16"/>
  <c r="P807" i="16"/>
  <c r="P913" i="16"/>
  <c r="R1354" i="13"/>
  <c r="N114" i="13"/>
  <c r="N118" i="13"/>
  <c r="N109" i="13"/>
  <c r="N271" i="13"/>
  <c r="N654" i="13"/>
  <c r="N912" i="13"/>
  <c r="N1099" i="13"/>
  <c r="N647" i="13"/>
  <c r="N744" i="13"/>
  <c r="N746" i="13"/>
  <c r="N385" i="13"/>
  <c r="N689" i="13"/>
  <c r="N900" i="13"/>
  <c r="N681" i="13"/>
  <c r="N120" i="13"/>
  <c r="N844" i="13"/>
  <c r="N273" i="13"/>
  <c r="N117" i="13"/>
  <c r="N918" i="13"/>
  <c r="N821" i="13"/>
  <c r="N292" i="13"/>
  <c r="N644" i="13"/>
  <c r="N901" i="13"/>
  <c r="N822" i="13"/>
  <c r="N810" i="13"/>
  <c r="N157" i="13"/>
  <c r="N311" i="13"/>
  <c r="N263" i="13"/>
  <c r="N268" i="13"/>
  <c r="N702" i="13"/>
  <c r="N1029" i="13"/>
  <c r="N495" i="13"/>
  <c r="N1180" i="13"/>
  <c r="N269" i="13"/>
  <c r="N808" i="13"/>
  <c r="N913" i="13"/>
  <c r="N643" i="13"/>
  <c r="N113" i="13"/>
  <c r="N473" i="13"/>
  <c r="N640" i="13"/>
  <c r="N865" i="13"/>
  <c r="N645" i="13"/>
  <c r="N809" i="13"/>
  <c r="N642" i="13"/>
  <c r="N902" i="13"/>
  <c r="N138" i="13"/>
  <c r="N309" i="13"/>
  <c r="N274" i="13"/>
  <c r="N914" i="13"/>
  <c r="N805" i="13"/>
  <c r="N656" i="13"/>
  <c r="N917" i="13"/>
  <c r="N737" i="13"/>
  <c r="N1208" i="13"/>
  <c r="N736" i="13"/>
  <c r="N777" i="13"/>
  <c r="N153" i="13"/>
  <c r="N745" i="13"/>
  <c r="N848" i="13"/>
  <c r="N734" i="13"/>
  <c r="N1031" i="13"/>
  <c r="N655" i="13"/>
  <c r="N275" i="13"/>
  <c r="N270" i="13"/>
  <c r="N272" i="13"/>
  <c r="N307" i="13"/>
  <c r="N264" i="13"/>
  <c r="N116" i="13"/>
  <c r="N818" i="13"/>
  <c r="N820" i="13"/>
  <c r="N811" i="13"/>
  <c r="N646" i="13"/>
  <c r="N747" i="13"/>
  <c r="N641" i="13"/>
  <c r="N115" i="13"/>
  <c r="N155" i="13"/>
  <c r="N1006" i="13"/>
  <c r="N819" i="13"/>
  <c r="N852" i="13"/>
  <c r="N807" i="13"/>
  <c r="N653" i="13"/>
  <c r="N685" i="13"/>
  <c r="N108" i="13"/>
  <c r="N119" i="13"/>
  <c r="N748" i="13"/>
  <c r="N241" i="13"/>
  <c r="N658" i="13"/>
  <c r="N657" i="13"/>
  <c r="N806" i="13"/>
  <c r="O109" i="13"/>
  <c r="O114" i="13"/>
  <c r="O118" i="13"/>
  <c r="O734" i="13"/>
  <c r="O1031" i="13"/>
  <c r="O848" i="13"/>
  <c r="O819" i="13"/>
  <c r="O777" i="13"/>
  <c r="O821" i="13"/>
  <c r="O900" i="13"/>
  <c r="O822" i="13"/>
  <c r="O914" i="13"/>
  <c r="O473" i="13"/>
  <c r="O811" i="13"/>
  <c r="O656" i="13"/>
  <c r="O844" i="13"/>
  <c r="O655" i="13"/>
  <c r="O805" i="13"/>
  <c r="O912" i="13"/>
  <c r="O117" i="13"/>
  <c r="O643" i="13"/>
  <c r="O311" i="13"/>
  <c r="O263" i="13"/>
  <c r="O270" i="13"/>
  <c r="O272" i="13"/>
  <c r="O268" i="13"/>
  <c r="O657" i="13"/>
  <c r="O385" i="13"/>
  <c r="O702" i="13"/>
  <c r="O241" i="13"/>
  <c r="O640" i="13"/>
  <c r="O744" i="13"/>
  <c r="O917" i="13"/>
  <c r="O685" i="13"/>
  <c r="O138" i="13"/>
  <c r="O658" i="13"/>
  <c r="O736" i="13"/>
  <c r="O654" i="13"/>
  <c r="O681" i="13"/>
  <c r="O307" i="13"/>
  <c r="O748" i="13"/>
  <c r="O737" i="13"/>
  <c r="O113" i="13"/>
  <c r="O913" i="13"/>
  <c r="O292" i="13"/>
  <c r="O119" i="13"/>
  <c r="O155" i="13"/>
  <c r="O120" i="13"/>
  <c r="O495" i="13"/>
  <c r="O647" i="13"/>
  <c r="O645" i="13"/>
  <c r="O1029" i="13"/>
  <c r="O1006" i="13"/>
  <c r="O1208" i="13"/>
  <c r="O642" i="13"/>
  <c r="O641" i="13"/>
  <c r="O818" i="13"/>
  <c r="O264" i="13"/>
  <c r="O115" i="13"/>
  <c r="O918" i="13"/>
  <c r="O820" i="13"/>
  <c r="O116" i="13"/>
  <c r="O157" i="13"/>
  <c r="O269" i="13"/>
  <c r="O309" i="13"/>
  <c r="O153" i="13"/>
  <c r="O274" i="13"/>
  <c r="O275" i="13"/>
  <c r="O902" i="13"/>
  <c r="O806" i="13"/>
  <c r="O653" i="13"/>
  <c r="O1099" i="13"/>
  <c r="O273" i="13"/>
  <c r="O1180" i="13"/>
  <c r="O901" i="13"/>
  <c r="O646" i="13"/>
  <c r="O745" i="13"/>
  <c r="O808" i="13"/>
  <c r="O852" i="13"/>
  <c r="O271" i="13"/>
  <c r="O108" i="13"/>
  <c r="O644" i="13"/>
  <c r="O809" i="13"/>
  <c r="O746" i="13"/>
  <c r="O807" i="13"/>
  <c r="O810" i="13"/>
  <c r="O689" i="13"/>
  <c r="O747" i="13"/>
  <c r="O865" i="13"/>
  <c r="J73" i="18"/>
  <c r="R1354" i="15"/>
  <c r="N155" i="15"/>
  <c r="N275" i="15"/>
  <c r="N777" i="15"/>
  <c r="N657" i="15"/>
  <c r="N273" i="15"/>
  <c r="N656" i="15"/>
  <c r="N642" i="15"/>
  <c r="N309" i="15"/>
  <c r="N108" i="15"/>
  <c r="N117" i="15"/>
  <c r="N113" i="15"/>
  <c r="N807" i="15"/>
  <c r="N646" i="15"/>
  <c r="N689" i="15"/>
  <c r="N119" i="15"/>
  <c r="N810" i="15"/>
  <c r="N745" i="15"/>
  <c r="N748" i="15"/>
  <c r="N658" i="15"/>
  <c r="N138" i="15"/>
  <c r="N852" i="15"/>
  <c r="N655" i="15"/>
  <c r="N263" i="15"/>
  <c r="N307" i="15"/>
  <c r="N902" i="15"/>
  <c r="N1029" i="15"/>
  <c r="N917" i="15"/>
  <c r="N821" i="15"/>
  <c r="N913" i="15"/>
  <c r="N746" i="15"/>
  <c r="N1006" i="15"/>
  <c r="N806" i="15"/>
  <c r="N153" i="15"/>
  <c r="N901" i="15"/>
  <c r="N385" i="15"/>
  <c r="N118" i="15"/>
  <c r="N272" i="15"/>
  <c r="N270" i="15"/>
  <c r="N292" i="15"/>
  <c r="N1099" i="15"/>
  <c r="N1031" i="15"/>
  <c r="N914" i="15"/>
  <c r="N685" i="15"/>
  <c r="N473" i="15"/>
  <c r="N900" i="15"/>
  <c r="N912" i="15"/>
  <c r="N844" i="15"/>
  <c r="N1067" i="15"/>
  <c r="N115" i="15"/>
  <c r="N1180" i="15"/>
  <c r="N808" i="15"/>
  <c r="N116" i="15"/>
  <c r="N120" i="15"/>
  <c r="N157" i="15"/>
  <c r="N737" i="15"/>
  <c r="N274" i="15"/>
  <c r="N734" i="15"/>
  <c r="N811" i="15"/>
  <c r="N241" i="15"/>
  <c r="N644" i="15"/>
  <c r="N818" i="15"/>
  <c r="N865" i="15"/>
  <c r="N647" i="15"/>
  <c r="N645" i="15"/>
  <c r="N654" i="15"/>
  <c r="N268" i="15"/>
  <c r="N271" i="15"/>
  <c r="N269" i="15"/>
  <c r="N1005" i="15"/>
  <c r="N641" i="15"/>
  <c r="N114" i="15"/>
  <c r="N918" i="15"/>
  <c r="N744" i="15"/>
  <c r="N747" i="15"/>
  <c r="N311" i="15"/>
  <c r="N264" i="15"/>
  <c r="N805" i="15"/>
  <c r="N809" i="15"/>
  <c r="N736" i="15"/>
  <c r="N702" i="15"/>
  <c r="N848" i="15"/>
  <c r="N640" i="15"/>
  <c r="N819" i="15"/>
  <c r="N817" i="15"/>
  <c r="N653" i="15"/>
  <c r="N681" i="15"/>
  <c r="N820" i="15"/>
  <c r="N495" i="15"/>
  <c r="N822" i="15"/>
  <c r="N643" i="15"/>
  <c r="N804" i="15"/>
  <c r="O268" i="15"/>
  <c r="O263" i="15"/>
  <c r="O307" i="15"/>
  <c r="O819" i="15"/>
  <c r="O495" i="15"/>
  <c r="O1029" i="15"/>
  <c r="O817" i="15"/>
  <c r="O655" i="15"/>
  <c r="O809" i="15"/>
  <c r="O1067" i="15"/>
  <c r="O852" i="15"/>
  <c r="O748" i="15"/>
  <c r="O647" i="15"/>
  <c r="O657" i="15"/>
  <c r="O656" i="15"/>
  <c r="O1006" i="15"/>
  <c r="O804" i="15"/>
  <c r="O746" i="15"/>
  <c r="O272" i="15"/>
  <c r="O270" i="15"/>
  <c r="O311" i="15"/>
  <c r="O117" i="15"/>
  <c r="O807" i="15"/>
  <c r="O1005" i="15"/>
  <c r="O747" i="15"/>
  <c r="O917" i="15"/>
  <c r="O385" i="15"/>
  <c r="O386" i="15" s="1"/>
  <c r="O388" i="15" s="1"/>
  <c r="O69" i="15" s="1"/>
  <c r="O912" i="15"/>
  <c r="O645" i="15"/>
  <c r="O653" i="15"/>
  <c r="O744" i="15"/>
  <c r="O820" i="15"/>
  <c r="O848" i="15"/>
  <c r="O473" i="15"/>
  <c r="O474" i="15" s="1"/>
  <c r="O476" i="15" s="1"/>
  <c r="O844" i="15"/>
  <c r="O918" i="15"/>
  <c r="O806" i="15"/>
  <c r="O641" i="15"/>
  <c r="O138" i="15"/>
  <c r="O273" i="15"/>
  <c r="O654" i="15"/>
  <c r="O274" i="15"/>
  <c r="O264" i="15"/>
  <c r="O108" i="15"/>
  <c r="O269" i="15"/>
  <c r="O914" i="15"/>
  <c r="O1099" i="15"/>
  <c r="O1031" i="15"/>
  <c r="O643" i="15"/>
  <c r="O805" i="15"/>
  <c r="O1180" i="15"/>
  <c r="O810" i="15"/>
  <c r="O118" i="15"/>
  <c r="O153" i="15"/>
  <c r="O1297" i="15" s="1"/>
  <c r="O734" i="15"/>
  <c r="O865" i="15"/>
  <c r="O913" i="15"/>
  <c r="O702" i="15"/>
  <c r="O119" i="15"/>
  <c r="O901" i="15"/>
  <c r="O681" i="15"/>
  <c r="O736" i="15"/>
  <c r="O120" i="15"/>
  <c r="O157" i="15"/>
  <c r="O309" i="15"/>
  <c r="O275" i="15"/>
  <c r="O271" i="15"/>
  <c r="O113" i="15"/>
  <c r="O292" i="15"/>
  <c r="O811" i="15"/>
  <c r="O777" i="15"/>
  <c r="O646" i="15"/>
  <c r="O737" i="15"/>
  <c r="O821" i="15"/>
  <c r="O745" i="15"/>
  <c r="O822" i="15"/>
  <c r="O115" i="15"/>
  <c r="O685" i="15"/>
  <c r="O900" i="15"/>
  <c r="O818" i="15"/>
  <c r="O642" i="15"/>
  <c r="O241" i="15"/>
  <c r="O242" i="15" s="1"/>
  <c r="O244" i="15" s="1"/>
  <c r="O68" i="15" s="1"/>
  <c r="O114" i="15"/>
  <c r="O1288" i="15" s="1"/>
  <c r="O644" i="15"/>
  <c r="O658" i="15"/>
  <c r="O808" i="15"/>
  <c r="O116" i="15"/>
  <c r="O689" i="15"/>
  <c r="O902" i="15"/>
  <c r="O640" i="15"/>
  <c r="O155" i="15"/>
  <c r="R1354" i="16"/>
  <c r="N865" i="16"/>
  <c r="N914" i="16"/>
  <c r="N807" i="16"/>
  <c r="N115" i="16"/>
  <c r="N275" i="16"/>
  <c r="N644" i="16"/>
  <c r="N654" i="16"/>
  <c r="N157" i="16"/>
  <c r="N153" i="16"/>
  <c r="N1099" i="16"/>
  <c r="N292" i="16"/>
  <c r="N268" i="16"/>
  <c r="N271" i="16"/>
  <c r="N844" i="16"/>
  <c r="N747" i="16"/>
  <c r="N657" i="16"/>
  <c r="N1029" i="16"/>
  <c r="N746" i="16"/>
  <c r="N810" i="16"/>
  <c r="N270" i="16"/>
  <c r="N263" i="16"/>
  <c r="N818" i="16"/>
  <c r="N900" i="16"/>
  <c r="N917" i="16"/>
  <c r="N912" i="16"/>
  <c r="N1031" i="16"/>
  <c r="N642" i="16"/>
  <c r="N241" i="16"/>
  <c r="N109" i="16"/>
  <c r="N116" i="16"/>
  <c r="N681" i="16"/>
  <c r="N822" i="16"/>
  <c r="N820" i="16"/>
  <c r="N656" i="16"/>
  <c r="N734" i="16"/>
  <c r="N805" i="16"/>
  <c r="N811" i="16"/>
  <c r="N806" i="16"/>
  <c r="N645" i="16"/>
  <c r="N264" i="16"/>
  <c r="N311" i="16"/>
  <c r="N745" i="16"/>
  <c r="N274" i="16"/>
  <c r="N702" i="16"/>
  <c r="N685" i="16"/>
  <c r="N120" i="16"/>
  <c r="N902" i="16"/>
  <c r="N155" i="16"/>
  <c r="N1067" i="16"/>
  <c r="N744" i="16"/>
  <c r="N647" i="16"/>
  <c r="N821" i="16"/>
  <c r="N809" i="16"/>
  <c r="N646" i="16"/>
  <c r="N643" i="16"/>
  <c r="N653" i="16"/>
  <c r="N309" i="16"/>
  <c r="N108" i="16"/>
  <c r="N689" i="16"/>
  <c r="N684" i="16"/>
  <c r="N913" i="16"/>
  <c r="N848" i="16"/>
  <c r="N113" i="16"/>
  <c r="N138" i="16"/>
  <c r="N777" i="16"/>
  <c r="N736" i="16"/>
  <c r="N658" i="16"/>
  <c r="N1208" i="16"/>
  <c r="N696" i="16"/>
  <c r="N737" i="16"/>
  <c r="N808" i="16"/>
  <c r="N918" i="16"/>
  <c r="N119" i="16"/>
  <c r="N901" i="16"/>
  <c r="N385" i="16"/>
  <c r="N641" i="16"/>
  <c r="N117" i="16"/>
  <c r="N118" i="16"/>
  <c r="N748" i="16"/>
  <c r="N273" i="16"/>
  <c r="N272" i="16"/>
  <c r="N852" i="16"/>
  <c r="N819" i="16"/>
  <c r="N269" i="16"/>
  <c r="N495" i="16"/>
  <c r="N1180" i="16"/>
  <c r="N655" i="16"/>
  <c r="N473" i="16"/>
  <c r="N640" i="16"/>
  <c r="N114" i="16"/>
  <c r="N307" i="16"/>
  <c r="O917" i="16"/>
  <c r="O902" i="16"/>
  <c r="O685" i="16"/>
  <c r="O115" i="16"/>
  <c r="O275" i="16"/>
  <c r="O777" i="16"/>
  <c r="O654" i="16"/>
  <c r="O737" i="16"/>
  <c r="O116" i="16"/>
  <c r="O918" i="16"/>
  <c r="O385" i="16"/>
  <c r="O386" i="16" s="1"/>
  <c r="O388" i="16" s="1"/>
  <c r="O69" i="16" s="1"/>
  <c r="O734" i="16"/>
  <c r="O643" i="16"/>
  <c r="O268" i="16"/>
  <c r="O270" i="16"/>
  <c r="O819" i="16"/>
  <c r="O744" i="16"/>
  <c r="O473" i="16"/>
  <c r="O474" i="16" s="1"/>
  <c r="O476" i="16" s="1"/>
  <c r="O646" i="16"/>
  <c r="O272" i="16"/>
  <c r="O309" i="16"/>
  <c r="O681" i="16"/>
  <c r="O848" i="16"/>
  <c r="O307" i="16"/>
  <c r="O1031" i="16"/>
  <c r="O640" i="16"/>
  <c r="O1180" i="16"/>
  <c r="O736" i="16"/>
  <c r="O118" i="16"/>
  <c r="O113" i="16"/>
  <c r="O157" i="16"/>
  <c r="O138" i="16"/>
  <c r="O1099" i="16"/>
  <c r="O647" i="16"/>
  <c r="O645" i="16"/>
  <c r="O273" i="16"/>
  <c r="O747" i="16"/>
  <c r="O821" i="16"/>
  <c r="O114" i="16"/>
  <c r="O1288" i="16" s="1"/>
  <c r="O807" i="16"/>
  <c r="O311" i="16"/>
  <c r="O844" i="16"/>
  <c r="O914" i="16"/>
  <c r="O900" i="16"/>
  <c r="O820" i="16"/>
  <c r="O684" i="16"/>
  <c r="O642" i="16"/>
  <c r="O264" i="16"/>
  <c r="O702" i="16"/>
  <c r="O865" i="16"/>
  <c r="O269" i="16"/>
  <c r="O119" i="16"/>
  <c r="O644" i="16"/>
  <c r="O658" i="16"/>
  <c r="O805" i="16"/>
  <c r="O241" i="16"/>
  <c r="O242" i="16" s="1"/>
  <c r="O244" i="16" s="1"/>
  <c r="O68" i="16" s="1"/>
  <c r="O1029" i="16"/>
  <c r="O495" i="16"/>
  <c r="O746" i="16"/>
  <c r="O657" i="16"/>
  <c r="O117" i="16"/>
  <c r="O1208" i="16"/>
  <c r="O811" i="16"/>
  <c r="O806" i="16"/>
  <c r="O689" i="16"/>
  <c r="O263" i="16"/>
  <c r="O748" i="16"/>
  <c r="O292" i="16"/>
  <c r="O655" i="16"/>
  <c r="O653" i="16"/>
  <c r="O809" i="16"/>
  <c r="O818" i="16"/>
  <c r="O913" i="16"/>
  <c r="O271" i="16"/>
  <c r="O745" i="16"/>
  <c r="O1067" i="16"/>
  <c r="O696" i="16"/>
  <c r="O109" i="16"/>
  <c r="O810" i="16"/>
  <c r="O808" i="16"/>
  <c r="O912" i="16"/>
  <c r="O108" i="16"/>
  <c r="O274" i="16"/>
  <c r="O901" i="16"/>
  <c r="O822" i="16"/>
  <c r="O656" i="16"/>
  <c r="O641" i="16"/>
  <c r="O120" i="16"/>
  <c r="O155" i="16"/>
  <c r="O153" i="16"/>
  <c r="O1297" i="16" s="1"/>
  <c r="O852" i="16"/>
  <c r="G1267" i="15"/>
  <c r="G1268" i="15" s="1"/>
  <c r="G1269" i="15" s="1"/>
  <c r="G1270" i="15" s="1"/>
  <c r="H1266" i="15"/>
  <c r="G1271" i="16"/>
  <c r="G1272" i="16" s="1"/>
  <c r="G1273" i="16" s="1"/>
  <c r="H1270" i="16"/>
  <c r="P385" i="15"/>
  <c r="P386" i="15" s="1"/>
  <c r="P388" i="15" s="1"/>
  <c r="P69" i="15" s="1"/>
  <c r="P748" i="15"/>
  <c r="P114" i="15"/>
  <c r="P1288" i="15" s="1"/>
  <c r="P656" i="15"/>
  <c r="P644" i="15"/>
  <c r="P495" i="15"/>
  <c r="P810" i="15"/>
  <c r="P822" i="15"/>
  <c r="P844" i="15"/>
  <c r="P747" i="15"/>
  <c r="P689" i="15"/>
  <c r="P241" i="15"/>
  <c r="P242" i="15" s="1"/>
  <c r="P244" i="15" s="1"/>
  <c r="P68" i="15" s="1"/>
  <c r="P912" i="15"/>
  <c r="P809" i="15"/>
  <c r="P657" i="15"/>
  <c r="P817" i="15"/>
  <c r="P777" i="15"/>
  <c r="P473" i="15"/>
  <c r="P474" i="15" s="1"/>
  <c r="P476" i="15" s="1"/>
  <c r="P807" i="15"/>
  <c r="P646" i="15"/>
  <c r="P113" i="15"/>
  <c r="P117" i="15"/>
  <c r="P275" i="15"/>
  <c r="P311" i="15"/>
  <c r="P270" i="15"/>
  <c r="P272" i="15"/>
  <c r="P153" i="15"/>
  <c r="P1297" i="15" s="1"/>
  <c r="P118" i="16"/>
  <c r="P292" i="16"/>
  <c r="P657" i="16"/>
  <c r="P734" i="16"/>
  <c r="P821" i="16"/>
  <c r="P155" i="16"/>
  <c r="P808" i="16"/>
  <c r="P737" i="16"/>
  <c r="P644" i="16"/>
  <c r="P918" i="16"/>
  <c r="P901" i="16"/>
  <c r="P138" i="16"/>
  <c r="P820" i="16"/>
  <c r="P115" i="16"/>
  <c r="P641" i="16"/>
  <c r="P385" i="16"/>
  <c r="P386" i="16" s="1"/>
  <c r="P388" i="16" s="1"/>
  <c r="P69" i="16" s="1"/>
  <c r="P241" i="16"/>
  <c r="P242" i="16" s="1"/>
  <c r="P244" i="16" s="1"/>
  <c r="P68" i="16" s="1"/>
  <c r="P643" i="16"/>
  <c r="P1031" i="16"/>
  <c r="P269" i="16"/>
  <c r="P914" i="16"/>
  <c r="P819" i="16"/>
  <c r="P155" i="13"/>
  <c r="P116" i="13"/>
  <c r="N1100" i="18" l="1"/>
  <c r="Q1100" i="15"/>
  <c r="Q1100" i="18" s="1"/>
  <c r="B896" i="16"/>
  <c r="B777" i="16"/>
  <c r="B948" i="16"/>
  <c r="B223" i="16"/>
  <c r="B811" i="16"/>
  <c r="B192" i="16"/>
  <c r="B1125" i="16"/>
  <c r="B851" i="16"/>
  <c r="B352" i="16"/>
  <c r="B299" i="16"/>
  <c r="B1001" i="16"/>
  <c r="B1002" i="16" s="1"/>
  <c r="B1056" i="16"/>
  <c r="B1057" i="16" s="1"/>
  <c r="B1058" i="16" s="1"/>
  <c r="B1059" i="16" s="1"/>
  <c r="B1060" i="16" s="1"/>
  <c r="B1061" i="16" s="1"/>
  <c r="B1062" i="16" s="1"/>
  <c r="B1063" i="16" s="1"/>
  <c r="B1064" i="16" s="1"/>
  <c r="B1065" i="16" s="1"/>
  <c r="B1066" i="16" s="1"/>
  <c r="B1067" i="16" s="1"/>
  <c r="B1068" i="16" s="1"/>
  <c r="B1069" i="16" s="1"/>
  <c r="B1070" i="16" s="1"/>
  <c r="B1094" i="16"/>
  <c r="B412" i="16"/>
  <c r="B1186" i="16"/>
  <c r="B525" i="16"/>
  <c r="B732" i="16"/>
  <c r="B646" i="16"/>
  <c r="B266" i="16"/>
  <c r="B145" i="16"/>
  <c r="B687" i="16"/>
  <c r="B111" i="16"/>
  <c r="B599" i="16"/>
  <c r="B921" i="44"/>
  <c r="Q1159" i="16"/>
  <c r="Q114" i="15"/>
  <c r="Q1288" i="15" s="1"/>
  <c r="Q155" i="13"/>
  <c r="Q681" i="13"/>
  <c r="Q810" i="13"/>
  <c r="Q273" i="13"/>
  <c r="Q654" i="13"/>
  <c r="Q496" i="16"/>
  <c r="L77" i="44"/>
  <c r="B1125" i="8"/>
  <c r="B948" i="8"/>
  <c r="B1094" i="8"/>
  <c r="B811" i="8"/>
  <c r="B646" i="8"/>
  <c r="B1001" i="8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687" i="8"/>
  <c r="B851" i="8"/>
  <c r="B412" i="8"/>
  <c r="B896" i="8"/>
  <c r="B1187" i="8"/>
  <c r="B525" i="8"/>
  <c r="B24" i="8"/>
  <c r="B777" i="8"/>
  <c r="B192" i="8"/>
  <c r="B732" i="8"/>
  <c r="B62" i="8"/>
  <c r="B352" i="8"/>
  <c r="B599" i="8"/>
  <c r="L31" i="44"/>
  <c r="O31" i="44"/>
  <c r="L46" i="1"/>
  <c r="J22" i="7"/>
  <c r="K46" i="1"/>
  <c r="I22" i="7"/>
  <c r="M46" i="1"/>
  <c r="K22" i="7"/>
  <c r="P919" i="13"/>
  <c r="Q1099" i="16"/>
  <c r="Q748" i="16"/>
  <c r="Q241" i="16"/>
  <c r="Q242" i="16" s="1"/>
  <c r="Q244" i="16" s="1"/>
  <c r="Q68" i="16" s="1"/>
  <c r="Q819" i="16"/>
  <c r="Q702" i="16"/>
  <c r="Q115" i="16"/>
  <c r="Q900" i="16"/>
  <c r="Q901" i="16"/>
  <c r="Q658" i="16"/>
  <c r="Q495" i="16"/>
  <c r="Q819" i="13"/>
  <c r="Q119" i="13"/>
  <c r="Q473" i="13"/>
  <c r="Q474" i="13" s="1"/>
  <c r="Q476" i="13" s="1"/>
  <c r="Q901" i="13"/>
  <c r="Q275" i="13"/>
  <c r="Q108" i="16"/>
  <c r="Q805" i="16"/>
  <c r="Q811" i="16"/>
  <c r="Q1180" i="16"/>
  <c r="Q138" i="16"/>
  <c r="Q1291" i="16" s="1"/>
  <c r="Q292" i="13"/>
  <c r="Q807" i="13"/>
  <c r="Q118" i="16"/>
  <c r="Q736" i="16"/>
  <c r="Q806" i="13"/>
  <c r="Q747" i="13"/>
  <c r="Q1006" i="13"/>
  <c r="Q912" i="13"/>
  <c r="Q844" i="16"/>
  <c r="Q685" i="16"/>
  <c r="Q810" i="16"/>
  <c r="Q734" i="16"/>
  <c r="Q646" i="16"/>
  <c r="Q777" i="16"/>
  <c r="Q275" i="16"/>
  <c r="Q848" i="16"/>
  <c r="Q155" i="16"/>
  <c r="Q274" i="16"/>
  <c r="Q647" i="16"/>
  <c r="Q473" i="16"/>
  <c r="Q474" i="16" s="1"/>
  <c r="Q476" i="16" s="1"/>
  <c r="Q73" i="16" s="1"/>
  <c r="Q820" i="16"/>
  <c r="Q640" i="16"/>
  <c r="Q1208" i="16"/>
  <c r="Q113" i="16"/>
  <c r="P915" i="13"/>
  <c r="P1333" i="13" s="1"/>
  <c r="Q865" i="13"/>
  <c r="Q685" i="13"/>
  <c r="Q745" i="13"/>
  <c r="Q647" i="13"/>
  <c r="Q113" i="13"/>
  <c r="Q913" i="13"/>
  <c r="Q640" i="13"/>
  <c r="Q270" i="13"/>
  <c r="Q311" i="13"/>
  <c r="Q736" i="13"/>
  <c r="Q643" i="13"/>
  <c r="Q818" i="13"/>
  <c r="Q918" i="13"/>
  <c r="Q734" i="13"/>
  <c r="Q746" i="13"/>
  <c r="Q777" i="13"/>
  <c r="Q653" i="13"/>
  <c r="Q117" i="13"/>
  <c r="Q844" i="13"/>
  <c r="Q655" i="13"/>
  <c r="Q241" i="13"/>
  <c r="Q242" i="13" s="1"/>
  <c r="Q68" i="13" s="1"/>
  <c r="Q748" i="13"/>
  <c r="Q914" i="13"/>
  <c r="Q109" i="13"/>
  <c r="Q157" i="13"/>
  <c r="Q108" i="13"/>
  <c r="Q309" i="13"/>
  <c r="Q689" i="13"/>
  <c r="Q900" i="13"/>
  <c r="Q641" i="13"/>
  <c r="Q642" i="13"/>
  <c r="Q495" i="13"/>
  <c r="Q1208" i="13"/>
  <c r="Q744" i="13"/>
  <c r="Q116" i="13"/>
  <c r="Q274" i="13"/>
  <c r="Q657" i="13"/>
  <c r="Q115" i="13"/>
  <c r="Q902" i="13"/>
  <c r="Q656" i="13"/>
  <c r="Q1180" i="13"/>
  <c r="Q269" i="13"/>
  <c r="Q702" i="13"/>
  <c r="Q821" i="13"/>
  <c r="Q809" i="13"/>
  <c r="Q645" i="13"/>
  <c r="N46" i="1" s="1"/>
  <c r="Q138" i="13"/>
  <c r="Q1291" i="13" s="1"/>
  <c r="Q852" i="13"/>
  <c r="Q820" i="13"/>
  <c r="Q822" i="13"/>
  <c r="Q811" i="13"/>
  <c r="Q1031" i="13"/>
  <c r="Q120" i="13"/>
  <c r="Q264" i="13"/>
  <c r="P120" i="18"/>
  <c r="P818" i="18"/>
  <c r="P496" i="18"/>
  <c r="O496" i="18"/>
  <c r="Q272" i="13"/>
  <c r="Q496" i="13"/>
  <c r="Q494" i="15"/>
  <c r="Q494" i="16"/>
  <c r="Q821" i="16"/>
  <c r="Q263" i="16"/>
  <c r="Q806" i="16"/>
  <c r="Q645" i="16"/>
  <c r="Q157" i="16"/>
  <c r="Q744" i="16"/>
  <c r="Q681" i="16"/>
  <c r="Q272" i="16"/>
  <c r="Q644" i="16"/>
  <c r="Q1067" i="16"/>
  <c r="Q865" i="16"/>
  <c r="Q658" i="13"/>
  <c r="Q808" i="13"/>
  <c r="Q646" i="13"/>
  <c r="Q644" i="13"/>
  <c r="Q114" i="13"/>
  <c r="Q1288" i="13" s="1"/>
  <c r="Q848" i="13"/>
  <c r="Q805" i="13"/>
  <c r="Q1029" i="13"/>
  <c r="Q1099" i="13"/>
  <c r="Q917" i="13"/>
  <c r="Q385" i="13"/>
  <c r="Q386" i="13" s="1"/>
  <c r="Q388" i="13" s="1"/>
  <c r="Q69" i="13" s="1"/>
  <c r="Q737" i="13"/>
  <c r="Q271" i="13"/>
  <c r="Q118" i="13"/>
  <c r="Q263" i="13"/>
  <c r="Q496" i="15"/>
  <c r="N496" i="18"/>
  <c r="P1291" i="13"/>
  <c r="P1288" i="13"/>
  <c r="P1297" i="13"/>
  <c r="P495" i="18"/>
  <c r="N495" i="18"/>
  <c r="O495" i="18"/>
  <c r="P494" i="18"/>
  <c r="O494" i="18"/>
  <c r="N494" i="18"/>
  <c r="P648" i="13"/>
  <c r="P650" i="13" s="1"/>
  <c r="P751" i="13"/>
  <c r="P1322" i="13" s="1"/>
  <c r="P903" i="13"/>
  <c r="P1332" i="13" s="1"/>
  <c r="P749" i="13"/>
  <c r="P741" i="13"/>
  <c r="P1321" i="13" s="1"/>
  <c r="P865" i="18"/>
  <c r="P825" i="13"/>
  <c r="P1328" i="13" s="1"/>
  <c r="M25" i="1"/>
  <c r="P659" i="13"/>
  <c r="P744" i="18"/>
  <c r="P814" i="13"/>
  <c r="P1327" i="13" s="1"/>
  <c r="P653" i="18"/>
  <c r="P702" i="18"/>
  <c r="Q292" i="16"/>
  <c r="Q654" i="16"/>
  <c r="Q913" i="16"/>
  <c r="Q902" i="16"/>
  <c r="Q1031" i="15"/>
  <c r="Q647" i="15"/>
  <c r="Q241" i="15"/>
  <c r="Q242" i="15" s="1"/>
  <c r="Q244" i="15" s="1"/>
  <c r="Q68" i="15" s="1"/>
  <c r="P809" i="18"/>
  <c r="P157" i="18"/>
  <c r="Q852" i="16"/>
  <c r="Q912" i="16"/>
  <c r="Q689" i="16"/>
  <c r="Q385" i="16"/>
  <c r="Q386" i="16" s="1"/>
  <c r="Q388" i="16" s="1"/>
  <c r="Q69" i="16" s="1"/>
  <c r="Q114" i="16"/>
  <c r="Q1288" i="16" s="1"/>
  <c r="Q641" i="16"/>
  <c r="Q655" i="16"/>
  <c r="Q116" i="16"/>
  <c r="Q745" i="16"/>
  <c r="Q269" i="16"/>
  <c r="Q309" i="16"/>
  <c r="Q642" i="16"/>
  <c r="Q747" i="16"/>
  <c r="Q1029" i="16"/>
  <c r="Q1031" i="16"/>
  <c r="Q273" i="16"/>
  <c r="Q271" i="16"/>
  <c r="Q822" i="16"/>
  <c r="Q852" i="15"/>
  <c r="Q746" i="15"/>
  <c r="Q1099" i="15"/>
  <c r="Q653" i="15"/>
  <c r="Q848" i="15"/>
  <c r="Q736" i="15"/>
  <c r="Q309" i="15"/>
  <c r="Q1067" i="15"/>
  <c r="Q275" i="15"/>
  <c r="Q640" i="15"/>
  <c r="Q292" i="15"/>
  <c r="Q268" i="13"/>
  <c r="Q494" i="13"/>
  <c r="P852" i="18"/>
  <c r="P647" i="18"/>
  <c r="P745" i="18"/>
  <c r="P271" i="18"/>
  <c r="P746" i="18"/>
  <c r="P919" i="16"/>
  <c r="P777" i="18"/>
  <c r="P646" i="18"/>
  <c r="P822" i="18"/>
  <c r="P654" i="18"/>
  <c r="P914" i="18"/>
  <c r="P681" i="18"/>
  <c r="P748" i="18"/>
  <c r="P643" i="18"/>
  <c r="P270" i="18"/>
  <c r="P689" i="18"/>
  <c r="P658" i="18"/>
  <c r="P645" i="18"/>
  <c r="L18" i="14" s="1"/>
  <c r="P900" i="18"/>
  <c r="P268" i="18"/>
  <c r="P118" i="18"/>
  <c r="P311" i="18"/>
  <c r="P915" i="15"/>
  <c r="P1333" i="15" s="1"/>
  <c r="P648" i="15"/>
  <c r="P650" i="15" s="1"/>
  <c r="P263" i="18"/>
  <c r="P902" i="18"/>
  <c r="P747" i="18"/>
  <c r="P138" i="18"/>
  <c r="P903" i="15"/>
  <c r="P1332" i="15" s="1"/>
  <c r="P806" i="18"/>
  <c r="P640" i="18"/>
  <c r="P821" i="18"/>
  <c r="P292" i="18"/>
  <c r="P1180" i="18"/>
  <c r="P264" i="18"/>
  <c r="P274" i="18"/>
  <c r="P115" i="18"/>
  <c r="P844" i="18"/>
  <c r="P919" i="15"/>
  <c r="P119" i="18"/>
  <c r="P913" i="18"/>
  <c r="P1029" i="18"/>
  <c r="P741" i="15"/>
  <c r="P1321" i="15" s="1"/>
  <c r="P685" i="18"/>
  <c r="P808" i="18"/>
  <c r="P273" i="18"/>
  <c r="P275" i="18"/>
  <c r="P656" i="18"/>
  <c r="O751" i="16"/>
  <c r="O1322" i="16" s="1"/>
  <c r="P642" i="18"/>
  <c r="P751" i="16"/>
  <c r="P1322" i="16" s="1"/>
  <c r="P848" i="18"/>
  <c r="P153" i="18"/>
  <c r="P1031" i="18"/>
  <c r="P737" i="18"/>
  <c r="P117" i="18"/>
  <c r="P810" i="18"/>
  <c r="O915" i="16"/>
  <c r="O1333" i="16" s="1"/>
  <c r="P749" i="16"/>
  <c r="P659" i="16"/>
  <c r="P1099" i="18"/>
  <c r="P307" i="18"/>
  <c r="P811" i="18"/>
  <c r="P108" i="18"/>
  <c r="O311" i="18"/>
  <c r="P820" i="18"/>
  <c r="P825" i="15"/>
  <c r="P1328" i="15" s="1"/>
  <c r="P644" i="18"/>
  <c r="P823" i="15"/>
  <c r="P655" i="18"/>
  <c r="P819" i="18"/>
  <c r="P272" i="18"/>
  <c r="P807" i="18"/>
  <c r="P657" i="18"/>
  <c r="Q914" i="16"/>
  <c r="Q807" i="16"/>
  <c r="Q696" i="16"/>
  <c r="Q311" i="16"/>
  <c r="Q270" i="16"/>
  <c r="Q268" i="16"/>
  <c r="Q657" i="16"/>
  <c r="Q653" i="16"/>
  <c r="Q684" i="16"/>
  <c r="Q808" i="16"/>
  <c r="Q109" i="16"/>
  <c r="Q737" i="16"/>
  <c r="Q120" i="16"/>
  <c r="Q809" i="16"/>
  <c r="Q117" i="16"/>
  <c r="Q643" i="16"/>
  <c r="Q656" i="16"/>
  <c r="Q746" i="16"/>
  <c r="Q918" i="16"/>
  <c r="Q119" i="16"/>
  <c r="Q264" i="16"/>
  <c r="Q818" i="16"/>
  <c r="Q917" i="16"/>
  <c r="O903" i="15"/>
  <c r="O1332" i="15" s="1"/>
  <c r="O751" i="15"/>
  <c r="O1322" i="15" s="1"/>
  <c r="O659" i="15"/>
  <c r="Q744" i="15"/>
  <c r="Q658" i="15"/>
  <c r="Q685" i="15"/>
  <c r="Q747" i="15"/>
  <c r="Q914" i="15"/>
  <c r="Q108" i="15"/>
  <c r="Q157" i="15"/>
  <c r="O737" i="18"/>
  <c r="P309" i="18"/>
  <c r="P736" i="18"/>
  <c r="P641" i="18"/>
  <c r="P901" i="18"/>
  <c r="P473" i="18"/>
  <c r="P474" i="18" s="1"/>
  <c r="P476" i="18" s="1"/>
  <c r="P73" i="18" s="1"/>
  <c r="L80" i="14" s="1"/>
  <c r="O736" i="18"/>
  <c r="P269" i="18"/>
  <c r="P73" i="13"/>
  <c r="O749" i="16"/>
  <c r="P116" i="18"/>
  <c r="P241" i="18"/>
  <c r="P242" i="18" s="1"/>
  <c r="P244" i="18" s="1"/>
  <c r="P68" i="18" s="1"/>
  <c r="P912" i="18"/>
  <c r="O825" i="16"/>
  <c r="O1328" i="16" s="1"/>
  <c r="O659" i="16"/>
  <c r="O903" i="16"/>
  <c r="O1332" i="16" s="1"/>
  <c r="O73" i="16"/>
  <c r="O741" i="16"/>
  <c r="O1321" i="16" s="1"/>
  <c r="N659" i="16"/>
  <c r="N648" i="15"/>
  <c r="N814" i="15"/>
  <c r="N242" i="15"/>
  <c r="N386" i="15"/>
  <c r="N751" i="15"/>
  <c r="Q734" i="15"/>
  <c r="Q119" i="15"/>
  <c r="Q913" i="15"/>
  <c r="Q656" i="15"/>
  <c r="Q273" i="15"/>
  <c r="Q822" i="15"/>
  <c r="Q120" i="15"/>
  <c r="Q1006" i="15"/>
  <c r="Q681" i="15"/>
  <c r="Q657" i="15"/>
  <c r="Q818" i="15"/>
  <c r="Q806" i="15"/>
  <c r="Q918" i="15"/>
  <c r="Q808" i="15"/>
  <c r="Q912" i="15"/>
  <c r="Q655" i="15"/>
  <c r="Q643" i="15"/>
  <c r="Q646" i="15"/>
  <c r="Q777" i="15"/>
  <c r="Q811" i="15"/>
  <c r="Q1029" i="15"/>
  <c r="Q117" i="15"/>
  <c r="Q271" i="15"/>
  <c r="Q263" i="15"/>
  <c r="Q268" i="15"/>
  <c r="P659" i="15"/>
  <c r="O810" i="18"/>
  <c r="O746" i="18"/>
  <c r="O809" i="18"/>
  <c r="O271" i="18"/>
  <c r="O808" i="18"/>
  <c r="O646" i="18"/>
  <c r="O273" i="18"/>
  <c r="O806" i="18"/>
  <c r="O309" i="18"/>
  <c r="O269" i="18"/>
  <c r="O820" i="18"/>
  <c r="O641" i="18"/>
  <c r="O645" i="18"/>
  <c r="K18" i="14" s="1"/>
  <c r="O113" i="18"/>
  <c r="O1289" i="13"/>
  <c r="O1291" i="13"/>
  <c r="O138" i="18"/>
  <c r="L25" i="1"/>
  <c r="O702" i="18"/>
  <c r="O811" i="18"/>
  <c r="O903" i="13"/>
  <c r="O1332" i="13" s="1"/>
  <c r="O900" i="18"/>
  <c r="O777" i="18"/>
  <c r="O848" i="18"/>
  <c r="O741" i="13"/>
  <c r="O1321" i="13" s="1"/>
  <c r="O734" i="18"/>
  <c r="O114" i="18"/>
  <c r="O1288" i="13"/>
  <c r="N657" i="18"/>
  <c r="N119" i="18"/>
  <c r="N807" i="18"/>
  <c r="N115" i="18"/>
  <c r="N825" i="13"/>
  <c r="N818" i="18"/>
  <c r="N275" i="18"/>
  <c r="N1297" i="13"/>
  <c r="N153" i="18"/>
  <c r="N777" i="18"/>
  <c r="N919" i="13"/>
  <c r="N917" i="18"/>
  <c r="N814" i="13"/>
  <c r="N805" i="18"/>
  <c r="N642" i="18"/>
  <c r="N865" i="18"/>
  <c r="N474" i="13"/>
  <c r="N473" i="18"/>
  <c r="N808" i="18"/>
  <c r="N1180" i="18"/>
  <c r="N702" i="18"/>
  <c r="N263" i="18"/>
  <c r="N157" i="18"/>
  <c r="N644" i="18"/>
  <c r="N117" i="18"/>
  <c r="N903" i="13"/>
  <c r="N900" i="18"/>
  <c r="N689" i="18"/>
  <c r="N386" i="13"/>
  <c r="N385" i="18"/>
  <c r="N749" i="13"/>
  <c r="N744" i="18"/>
  <c r="N915" i="13"/>
  <c r="N912" i="18"/>
  <c r="P814" i="16"/>
  <c r="P1327" i="16" s="1"/>
  <c r="P751" i="15"/>
  <c r="P1322" i="15" s="1"/>
  <c r="P1291" i="15"/>
  <c r="G1274" i="13"/>
  <c r="G1275" i="13" s="1"/>
  <c r="H1273" i="13"/>
  <c r="F75" i="14"/>
  <c r="P805" i="18"/>
  <c r="P917" i="18"/>
  <c r="P918" i="18"/>
  <c r="P903" i="16"/>
  <c r="P1332" i="16" s="1"/>
  <c r="P825" i="16"/>
  <c r="P1328" i="16" s="1"/>
  <c r="N915" i="16"/>
  <c r="S1354" i="15"/>
  <c r="P812" i="15"/>
  <c r="O644" i="18"/>
  <c r="O901" i="18"/>
  <c r="O1099" i="18"/>
  <c r="O116" i="18"/>
  <c r="O918" i="18"/>
  <c r="O647" i="18"/>
  <c r="O119" i="18"/>
  <c r="O681" i="18"/>
  <c r="O685" i="18"/>
  <c r="O749" i="13"/>
  <c r="O744" i="18"/>
  <c r="O241" i="18"/>
  <c r="O242" i="18" s="1"/>
  <c r="O244" i="18" s="1"/>
  <c r="O68" i="18" s="1"/>
  <c r="O242" i="13"/>
  <c r="O68" i="13" s="1"/>
  <c r="O643" i="18"/>
  <c r="O655" i="18"/>
  <c r="O656" i="18"/>
  <c r="O822" i="18"/>
  <c r="N806" i="18"/>
  <c r="N108" i="18"/>
  <c r="N747" i="18"/>
  <c r="N116" i="18"/>
  <c r="N272" i="18"/>
  <c r="N656" i="18"/>
  <c r="N309" i="18"/>
  <c r="N902" i="18"/>
  <c r="N809" i="18"/>
  <c r="N643" i="18"/>
  <c r="N269" i="18"/>
  <c r="N918" i="18"/>
  <c r="N273" i="18"/>
  <c r="N746" i="18"/>
  <c r="N1099" i="18"/>
  <c r="N654" i="18"/>
  <c r="N114" i="18"/>
  <c r="N1288" i="13"/>
  <c r="P73" i="16"/>
  <c r="P155" i="18"/>
  <c r="P741" i="16"/>
  <c r="P1321" i="16" s="1"/>
  <c r="N386" i="16"/>
  <c r="N1289" i="16"/>
  <c r="P648" i="16"/>
  <c r="P650" i="16" s="1"/>
  <c r="O915" i="15"/>
  <c r="N812" i="15"/>
  <c r="N749" i="15"/>
  <c r="N825" i="15"/>
  <c r="N903" i="15"/>
  <c r="P1289" i="15"/>
  <c r="P73" i="15"/>
  <c r="G1274" i="16"/>
  <c r="G1275" i="16" s="1"/>
  <c r="H1273" i="16"/>
  <c r="P114" i="18"/>
  <c r="P385" i="18"/>
  <c r="P386" i="18" s="1"/>
  <c r="P388" i="18" s="1"/>
  <c r="P69" i="18" s="1"/>
  <c r="L76" i="14" s="1"/>
  <c r="O814" i="16"/>
  <c r="O1327" i="16" s="1"/>
  <c r="O1291" i="16"/>
  <c r="O1289" i="16"/>
  <c r="N1288" i="16"/>
  <c r="N1291" i="16"/>
  <c r="N751" i="16"/>
  <c r="N814" i="16"/>
  <c r="N919" i="16"/>
  <c r="N903" i="16"/>
  <c r="N825" i="16"/>
  <c r="S1354" i="16"/>
  <c r="O825" i="15"/>
  <c r="O1328" i="15" s="1"/>
  <c r="O741" i="15"/>
  <c r="O1321" i="15" s="1"/>
  <c r="O814" i="15"/>
  <c r="O1327" i="15" s="1"/>
  <c r="O812" i="15"/>
  <c r="N659" i="15"/>
  <c r="N915" i="15"/>
  <c r="Q748" i="15"/>
  <c r="Q820" i="15"/>
  <c r="Q644" i="15"/>
  <c r="Q745" i="15"/>
  <c r="Q645" i="15"/>
  <c r="Q654" i="15"/>
  <c r="Q902" i="15"/>
  <c r="Q642" i="15"/>
  <c r="Q641" i="15"/>
  <c r="Q385" i="15"/>
  <c r="Q386" i="15" s="1"/>
  <c r="Q388" i="15" s="1"/>
  <c r="Q69" i="15" s="1"/>
  <c r="Q1180" i="15"/>
  <c r="Q809" i="15"/>
  <c r="Q805" i="15"/>
  <c r="Q1005" i="15"/>
  <c r="Q807" i="15"/>
  <c r="Q113" i="15"/>
  <c r="Q264" i="15"/>
  <c r="Q274" i="15"/>
  <c r="O865" i="18"/>
  <c r="O689" i="18"/>
  <c r="O852" i="18"/>
  <c r="O1180" i="18"/>
  <c r="O1297" i="13"/>
  <c r="O153" i="18"/>
  <c r="O157" i="18"/>
  <c r="O115" i="18"/>
  <c r="O825" i="13"/>
  <c r="O1328" i="13" s="1"/>
  <c r="O818" i="18"/>
  <c r="O642" i="18"/>
  <c r="O1029" i="18"/>
  <c r="O155" i="18"/>
  <c r="O292" i="18"/>
  <c r="O913" i="18"/>
  <c r="O748" i="18"/>
  <c r="O654" i="18"/>
  <c r="O658" i="18"/>
  <c r="O919" i="13"/>
  <c r="O917" i="18"/>
  <c r="O386" i="13"/>
  <c r="O388" i="13" s="1"/>
  <c r="O69" i="13" s="1"/>
  <c r="O385" i="18"/>
  <c r="O386" i="18" s="1"/>
  <c r="O388" i="18" s="1"/>
  <c r="O69" i="18" s="1"/>
  <c r="K76" i="14" s="1"/>
  <c r="O272" i="18"/>
  <c r="O270" i="18"/>
  <c r="O117" i="18"/>
  <c r="O814" i="13"/>
  <c r="O1327" i="13" s="1"/>
  <c r="O805" i="18"/>
  <c r="O474" i="13"/>
  <c r="O476" i="13" s="1"/>
  <c r="O473" i="18"/>
  <c r="O474" i="18" s="1"/>
  <c r="O476" i="18" s="1"/>
  <c r="O1031" i="18"/>
  <c r="O118" i="18"/>
  <c r="N685" i="18"/>
  <c r="N820" i="18"/>
  <c r="N264" i="18"/>
  <c r="N270" i="18"/>
  <c r="N741" i="13"/>
  <c r="N734" i="18"/>
  <c r="N745" i="18"/>
  <c r="N751" i="13"/>
  <c r="N736" i="18"/>
  <c r="N914" i="18"/>
  <c r="N645" i="18"/>
  <c r="N113" i="18"/>
  <c r="N1289" i="13"/>
  <c r="N268" i="18"/>
  <c r="N822" i="18"/>
  <c r="N292" i="18"/>
  <c r="N821" i="18"/>
  <c r="N271" i="18"/>
  <c r="F76" i="14"/>
  <c r="P1289" i="13"/>
  <c r="P915" i="16"/>
  <c r="P1289" i="16"/>
  <c r="N648" i="16"/>
  <c r="N749" i="16"/>
  <c r="O648" i="15"/>
  <c r="O650" i="15" s="1"/>
  <c r="O1289" i="15"/>
  <c r="O823" i="15"/>
  <c r="N741" i="15"/>
  <c r="N1291" i="15"/>
  <c r="P1291" i="16"/>
  <c r="P734" i="18"/>
  <c r="G1271" i="15"/>
  <c r="G1272" i="15" s="1"/>
  <c r="G1273" i="15" s="1"/>
  <c r="H1270" i="15"/>
  <c r="O648" i="16"/>
  <c r="O650" i="16" s="1"/>
  <c r="O919" i="16"/>
  <c r="N474" i="16"/>
  <c r="N741" i="16"/>
  <c r="N242" i="16"/>
  <c r="N1297" i="16"/>
  <c r="O1291" i="15"/>
  <c r="O73" i="15"/>
  <c r="O749" i="15"/>
  <c r="O919" i="15"/>
  <c r="N823" i="15"/>
  <c r="N1288" i="15"/>
  <c r="N474" i="15"/>
  <c r="N1297" i="15"/>
  <c r="N919" i="15"/>
  <c r="N1289" i="15"/>
  <c r="Q702" i="15"/>
  <c r="Q900" i="15"/>
  <c r="Q473" i="15"/>
  <c r="Q474" i="15" s="1"/>
  <c r="Q476" i="15" s="1"/>
  <c r="Q138" i="15"/>
  <c r="Q118" i="15"/>
  <c r="Q115" i="15"/>
  <c r="Q844" i="15"/>
  <c r="Q804" i="15"/>
  <c r="Q810" i="15"/>
  <c r="Q689" i="15"/>
  <c r="Q116" i="15"/>
  <c r="Q901" i="15"/>
  <c r="Q495" i="15"/>
  <c r="Q821" i="15"/>
  <c r="Q865" i="15"/>
  <c r="Q917" i="15"/>
  <c r="Q817" i="15"/>
  <c r="Q819" i="15"/>
  <c r="Q737" i="15"/>
  <c r="Q269" i="15"/>
  <c r="Q311" i="15"/>
  <c r="Q270" i="15"/>
  <c r="Q272" i="15"/>
  <c r="Q155" i="15"/>
  <c r="F80" i="14"/>
  <c r="O747" i="18"/>
  <c r="O807" i="18"/>
  <c r="O108" i="18"/>
  <c r="O745" i="18"/>
  <c r="O751" i="13"/>
  <c r="O1322" i="13" s="1"/>
  <c r="O659" i="13"/>
  <c r="O653" i="18"/>
  <c r="O902" i="18"/>
  <c r="O275" i="18"/>
  <c r="O274" i="18"/>
  <c r="O264" i="18"/>
  <c r="O120" i="18"/>
  <c r="O307" i="18"/>
  <c r="O648" i="13"/>
  <c r="O650" i="13" s="1"/>
  <c r="O640" i="18"/>
  <c r="O657" i="18"/>
  <c r="O268" i="18"/>
  <c r="O263" i="18"/>
  <c r="O915" i="13"/>
  <c r="O912" i="18"/>
  <c r="O844" i="18"/>
  <c r="O914" i="18"/>
  <c r="O821" i="18"/>
  <c r="O819" i="18"/>
  <c r="N658" i="18"/>
  <c r="N241" i="18"/>
  <c r="N242" i="13"/>
  <c r="N748" i="18"/>
  <c r="N659" i="13"/>
  <c r="N653" i="18"/>
  <c r="N852" i="18"/>
  <c r="N819" i="18"/>
  <c r="N155" i="18"/>
  <c r="N641" i="18"/>
  <c r="N646" i="18"/>
  <c r="N811" i="18"/>
  <c r="N307" i="18"/>
  <c r="N655" i="18"/>
  <c r="N1031" i="18"/>
  <c r="N848" i="18"/>
  <c r="N737" i="18"/>
  <c r="N274" i="18"/>
  <c r="N1291" i="13"/>
  <c r="N138" i="18"/>
  <c r="K25" i="1"/>
  <c r="N648" i="13"/>
  <c r="N640" i="18"/>
  <c r="N913" i="18"/>
  <c r="N1029" i="18"/>
  <c r="N311" i="18"/>
  <c r="N810" i="18"/>
  <c r="N901" i="18"/>
  <c r="N844" i="18"/>
  <c r="N120" i="18"/>
  <c r="N681" i="18"/>
  <c r="N647" i="18"/>
  <c r="N118" i="18"/>
  <c r="S1354" i="13"/>
  <c r="P749" i="15"/>
  <c r="P113" i="18"/>
  <c r="P814" i="15"/>
  <c r="P1327" i="15" s="1"/>
  <c r="R1100" i="15" l="1"/>
  <c r="R1100" i="18" s="1"/>
  <c r="B1003" i="16"/>
  <c r="B600" i="16"/>
  <c r="B193" i="16"/>
  <c r="B112" i="16"/>
  <c r="B733" i="16"/>
  <c r="B812" i="16"/>
  <c r="B688" i="16"/>
  <c r="B526" i="16"/>
  <c r="B300" i="16"/>
  <c r="B224" i="16"/>
  <c r="B146" i="16"/>
  <c r="B1187" i="16"/>
  <c r="B353" i="16"/>
  <c r="B949" i="16"/>
  <c r="B267" i="16"/>
  <c r="B413" i="16"/>
  <c r="B852" i="16"/>
  <c r="B778" i="16"/>
  <c r="B647" i="16"/>
  <c r="B1095" i="16"/>
  <c r="B1126" i="16"/>
  <c r="B897" i="16"/>
  <c r="B922" i="44"/>
  <c r="B556" i="44"/>
  <c r="R1159" i="16"/>
  <c r="R494" i="15"/>
  <c r="R274" i="13"/>
  <c r="R494" i="16"/>
  <c r="B733" i="8"/>
  <c r="B526" i="8"/>
  <c r="B852" i="8"/>
  <c r="B193" i="8"/>
  <c r="B1188" i="8"/>
  <c r="B647" i="8"/>
  <c r="B1095" i="8"/>
  <c r="B600" i="8"/>
  <c r="B353" i="8"/>
  <c r="B778" i="8"/>
  <c r="B897" i="8"/>
  <c r="B688" i="8"/>
  <c r="B949" i="8"/>
  <c r="B1126" i="8"/>
  <c r="B63" i="8"/>
  <c r="B25" i="8"/>
  <c r="B413" i="8"/>
  <c r="B812" i="8"/>
  <c r="L22" i="7"/>
  <c r="L119" i="14"/>
  <c r="R309" i="13"/>
  <c r="R807" i="13"/>
  <c r="R643" i="13"/>
  <c r="Q496" i="18"/>
  <c r="Q901" i="18"/>
  <c r="R819" i="13"/>
  <c r="Q819" i="18"/>
  <c r="R138" i="13"/>
  <c r="R1291" i="13" s="1"/>
  <c r="Q741" i="16"/>
  <c r="Q1321" i="16" s="1"/>
  <c r="R292" i="13"/>
  <c r="R808" i="13"/>
  <c r="Q903" i="16"/>
  <c r="Q1332" i="16" s="1"/>
  <c r="Q915" i="13"/>
  <c r="Q1333" i="13" s="1"/>
  <c r="P921" i="13"/>
  <c r="R820" i="13"/>
  <c r="R737" i="13"/>
  <c r="R118" i="13"/>
  <c r="R901" i="13"/>
  <c r="R1206" i="13"/>
  <c r="R681" i="13"/>
  <c r="R653" i="13"/>
  <c r="R810" i="13"/>
  <c r="R153" i="13"/>
  <c r="R1297" i="13" s="1"/>
  <c r="R918" i="13"/>
  <c r="R473" i="13"/>
  <c r="R474" i="13" s="1"/>
  <c r="R476" i="13" s="1"/>
  <c r="R902" i="13"/>
  <c r="R702" i="13"/>
  <c r="R269" i="13"/>
  <c r="R747" i="13"/>
  <c r="R117" i="13"/>
  <c r="R777" i="13"/>
  <c r="R746" i="13"/>
  <c r="R157" i="13"/>
  <c r="R292" i="16"/>
  <c r="R687" i="15"/>
  <c r="Q647" i="18"/>
  <c r="Q275" i="18"/>
  <c r="Q155" i="18"/>
  <c r="R748" i="15"/>
  <c r="R120" i="15"/>
  <c r="R108" i="15"/>
  <c r="R777" i="15"/>
  <c r="Q702" i="18"/>
  <c r="N25" i="1"/>
  <c r="Q844" i="18"/>
  <c r="Q811" i="18"/>
  <c r="Q658" i="18"/>
  <c r="Q640" i="18"/>
  <c r="Q825" i="13"/>
  <c r="Q1328" i="13" s="1"/>
  <c r="Q903" i="13"/>
  <c r="Q1332" i="13" s="1"/>
  <c r="Q749" i="13"/>
  <c r="Q741" i="13"/>
  <c r="Q1321" i="13" s="1"/>
  <c r="Q115" i="18"/>
  <c r="Q777" i="18"/>
  <c r="Q919" i="13"/>
  <c r="Q659" i="13"/>
  <c r="Q736" i="18"/>
  <c r="Q751" i="13"/>
  <c r="Q1322" i="13" s="1"/>
  <c r="Q113" i="18"/>
  <c r="Q734" i="18"/>
  <c r="R496" i="13"/>
  <c r="R913" i="13"/>
  <c r="R644" i="13"/>
  <c r="R805" i="13"/>
  <c r="R811" i="13"/>
  <c r="R120" i="13"/>
  <c r="R273" i="13"/>
  <c r="R1006" i="13"/>
  <c r="R655" i="13"/>
  <c r="R119" i="13"/>
  <c r="R689" i="13"/>
  <c r="R307" i="13"/>
  <c r="Q820" i="18"/>
  <c r="R685" i="16"/>
  <c r="Q108" i="18"/>
  <c r="Q685" i="18"/>
  <c r="R311" i="13"/>
  <c r="R1031" i="13"/>
  <c r="R806" i="13"/>
  <c r="R647" i="13"/>
  <c r="R495" i="13"/>
  <c r="R744" i="13"/>
  <c r="R745" i="13"/>
  <c r="R115" i="13"/>
  <c r="R687" i="13"/>
  <c r="R736" i="13"/>
  <c r="R658" i="13"/>
  <c r="R646" i="13"/>
  <c r="Q274" i="18"/>
  <c r="Q1180" i="18"/>
  <c r="Q748" i="18"/>
  <c r="R658" i="16"/>
  <c r="Q805" i="18"/>
  <c r="Q645" i="18"/>
  <c r="M18" i="14" s="1"/>
  <c r="Q865" i="18"/>
  <c r="Q646" i="18"/>
  <c r="Q263" i="18"/>
  <c r="Q648" i="13"/>
  <c r="Q650" i="13" s="1"/>
  <c r="Q806" i="18"/>
  <c r="Q681" i="18"/>
  <c r="Q848" i="18"/>
  <c r="Q821" i="18"/>
  <c r="Q1289" i="13"/>
  <c r="Q157" i="18"/>
  <c r="Q118" i="18"/>
  <c r="Q814" i="13"/>
  <c r="Q1327" i="13" s="1"/>
  <c r="R271" i="13"/>
  <c r="R656" i="13"/>
  <c r="R241" i="13"/>
  <c r="R242" i="13" s="1"/>
  <c r="R68" i="13" s="1"/>
  <c r="R734" i="13"/>
  <c r="R821" i="13"/>
  <c r="R654" i="13"/>
  <c r="R809" i="13"/>
  <c r="R113" i="13"/>
  <c r="R264" i="13"/>
  <c r="R727" i="13"/>
  <c r="R900" i="13"/>
  <c r="R850" i="13"/>
  <c r="R818" i="13"/>
  <c r="R912" i="13"/>
  <c r="R114" i="13"/>
  <c r="R1288" i="13" s="1"/>
  <c r="R153" i="15"/>
  <c r="R1297" i="15" s="1"/>
  <c r="R865" i="15"/>
  <c r="R746" i="15"/>
  <c r="R918" i="15"/>
  <c r="R917" i="15"/>
  <c r="R473" i="15"/>
  <c r="R474" i="15" s="1"/>
  <c r="R476" i="15" s="1"/>
  <c r="R73" i="15" s="1"/>
  <c r="Q272" i="18"/>
  <c r="R273" i="16"/>
  <c r="R805" i="15"/>
  <c r="R292" i="15"/>
  <c r="R643" i="15"/>
  <c r="R655" i="15"/>
  <c r="R807" i="15"/>
  <c r="Q744" i="18"/>
  <c r="R822" i="16"/>
  <c r="R810" i="15"/>
  <c r="R913" i="15"/>
  <c r="R645" i="15"/>
  <c r="R138" i="15"/>
  <c r="R1291" i="15" s="1"/>
  <c r="R852" i="15"/>
  <c r="Q1099" i="18"/>
  <c r="R496" i="15"/>
  <c r="R496" i="16"/>
  <c r="Q495" i="18"/>
  <c r="Q494" i="18"/>
  <c r="Q1031" i="18"/>
  <c r="P661" i="13"/>
  <c r="P663" i="13" s="1"/>
  <c r="Q902" i="18"/>
  <c r="Q271" i="18"/>
  <c r="Q913" i="18"/>
  <c r="Q241" i="18"/>
  <c r="Q242" i="18" s="1"/>
  <c r="Q244" i="18" s="1"/>
  <c r="Q68" i="18" s="1"/>
  <c r="M75" i="14" s="1"/>
  <c r="Q653" i="18"/>
  <c r="Q273" i="18"/>
  <c r="Q747" i="18"/>
  <c r="Q269" i="18"/>
  <c r="Q292" i="18"/>
  <c r="R748" i="16"/>
  <c r="R850" i="16"/>
  <c r="R109" i="16"/>
  <c r="R263" i="16"/>
  <c r="R852" i="16"/>
  <c r="R734" i="16"/>
  <c r="R914" i="16"/>
  <c r="R269" i="16"/>
  <c r="R656" i="16"/>
  <c r="R117" i="16"/>
  <c r="R116" i="16"/>
  <c r="R1206" i="16"/>
  <c r="R901" i="16"/>
  <c r="R118" i="15"/>
  <c r="R1006" i="15"/>
  <c r="R809" i="15"/>
  <c r="R818" i="15"/>
  <c r="R806" i="15"/>
  <c r="R745" i="15"/>
  <c r="R157" i="15"/>
  <c r="R734" i="15"/>
  <c r="R901" i="15"/>
  <c r="R1208" i="15"/>
  <c r="R727" i="15"/>
  <c r="R1005" i="15"/>
  <c r="R656" i="15"/>
  <c r="R115" i="15"/>
  <c r="R822" i="15"/>
  <c r="R808" i="15"/>
  <c r="R685" i="15"/>
  <c r="R114" i="15"/>
  <c r="R1288" i="15" s="1"/>
  <c r="R820" i="15"/>
  <c r="R744" i="15"/>
  <c r="R1099" i="15"/>
  <c r="R273" i="15"/>
  <c r="R641" i="15"/>
  <c r="R116" i="15"/>
  <c r="R817" i="15"/>
  <c r="R269" i="15"/>
  <c r="R681" i="15"/>
  <c r="R385" i="15"/>
  <c r="R386" i="15" s="1"/>
  <c r="R388" i="15" s="1"/>
  <c r="R69" i="15" s="1"/>
  <c r="R1206" i="15"/>
  <c r="R914" i="15"/>
  <c r="R702" i="15"/>
  <c r="R311" i="15"/>
  <c r="R113" i="15"/>
  <c r="R747" i="15"/>
  <c r="R119" i="15"/>
  <c r="R117" i="15"/>
  <c r="R737" i="15"/>
  <c r="R819" i="15"/>
  <c r="R647" i="15"/>
  <c r="R844" i="15"/>
  <c r="R821" i="15"/>
  <c r="R657" i="15"/>
  <c r="R850" i="15"/>
  <c r="R848" i="15"/>
  <c r="R689" i="15"/>
  <c r="R653" i="15"/>
  <c r="R736" i="15"/>
  <c r="R1067" i="15"/>
  <c r="R804" i="15"/>
  <c r="R1029" i="15"/>
  <c r="R309" i="15"/>
  <c r="Q749" i="16"/>
  <c r="Q745" i="18"/>
  <c r="Q852" i="18"/>
  <c r="Q114" i="18"/>
  <c r="Q689" i="18"/>
  <c r="Q822" i="18"/>
  <c r="R917" i="16"/>
  <c r="R275" i="16"/>
  <c r="R737" i="16"/>
  <c r="R1029" i="16"/>
  <c r="R645" i="16"/>
  <c r="R805" i="16"/>
  <c r="R309" i="16"/>
  <c r="R270" i="16"/>
  <c r="R155" i="16"/>
  <c r="R744" i="16"/>
  <c r="R241" i="16"/>
  <c r="R242" i="16" s="1"/>
  <c r="R244" i="16" s="1"/>
  <c r="R68" i="16" s="1"/>
  <c r="R642" i="16"/>
  <c r="R821" i="16"/>
  <c r="R115" i="16"/>
  <c r="R807" i="16"/>
  <c r="R918" i="16"/>
  <c r="R912" i="16"/>
  <c r="R643" i="16"/>
  <c r="R268" i="16"/>
  <c r="R844" i="16"/>
  <c r="R473" i="16"/>
  <c r="R474" i="16" s="1"/>
  <c r="R476" i="16" s="1"/>
  <c r="R73" i="16" s="1"/>
  <c r="R811" i="16"/>
  <c r="R820" i="16"/>
  <c r="R865" i="16"/>
  <c r="R264" i="16"/>
  <c r="R777" i="16"/>
  <c r="R1031" i="16"/>
  <c r="R640" i="16"/>
  <c r="R655" i="16"/>
  <c r="R657" i="16"/>
  <c r="R810" i="16"/>
  <c r="R120" i="16"/>
  <c r="R311" i="16"/>
  <c r="R153" i="16"/>
  <c r="R1297" i="16" s="1"/>
  <c r="R727" i="16"/>
  <c r="R736" i="16"/>
  <c r="R809" i="16"/>
  <c r="R702" i="16"/>
  <c r="R848" i="16"/>
  <c r="R747" i="16"/>
  <c r="R114" i="16"/>
  <c r="R1288" i="16" s="1"/>
  <c r="R138" i="16"/>
  <c r="R1291" i="16" s="1"/>
  <c r="R495" i="16"/>
  <c r="R806" i="16"/>
  <c r="R681" i="16"/>
  <c r="R271" i="16"/>
  <c r="R818" i="16"/>
  <c r="R654" i="16"/>
  <c r="R1067" i="16"/>
  <c r="R647" i="16"/>
  <c r="R272" i="16"/>
  <c r="Q642" i="18"/>
  <c r="R307" i="16"/>
  <c r="R900" i="16"/>
  <c r="R687" i="16"/>
  <c r="R157" i="16"/>
  <c r="R118" i="16"/>
  <c r="R646" i="16"/>
  <c r="R902" i="16"/>
  <c r="R274" i="16"/>
  <c r="R653" i="16"/>
  <c r="R644" i="16"/>
  <c r="R684" i="16"/>
  <c r="R746" i="16"/>
  <c r="R808" i="16"/>
  <c r="R689" i="16"/>
  <c r="R696" i="16"/>
  <c r="R913" i="16"/>
  <c r="Q648" i="16"/>
  <c r="Q650" i="16" s="1"/>
  <c r="Q641" i="18"/>
  <c r="Q655" i="18"/>
  <c r="Q1029" i="18"/>
  <c r="Q915" i="16"/>
  <c r="Q1333" i="16" s="1"/>
  <c r="Q309" i="18"/>
  <c r="R642" i="15"/>
  <c r="R263" i="15"/>
  <c r="R657" i="13"/>
  <c r="R640" i="13"/>
  <c r="R642" i="13"/>
  <c r="R1180" i="13"/>
  <c r="R748" i="13"/>
  <c r="R865" i="13"/>
  <c r="R822" i="13"/>
  <c r="R917" i="13"/>
  <c r="R108" i="13"/>
  <c r="R385" i="13"/>
  <c r="R386" i="13" s="1"/>
  <c r="R388" i="13" s="1"/>
  <c r="R69" i="13" s="1"/>
  <c r="R641" i="13"/>
  <c r="R852" i="13"/>
  <c r="R1029" i="13"/>
  <c r="R275" i="13"/>
  <c r="R848" i="13"/>
  <c r="R1208" i="13"/>
  <c r="R844" i="13"/>
  <c r="R268" i="13"/>
  <c r="R116" i="13"/>
  <c r="R494" i="13"/>
  <c r="Q919" i="16"/>
  <c r="Q656" i="18"/>
  <c r="P751" i="18"/>
  <c r="Q268" i="18"/>
  <c r="P825" i="18"/>
  <c r="O919" i="18"/>
  <c r="Q807" i="18"/>
  <c r="P749" i="18"/>
  <c r="Q643" i="18"/>
  <c r="P921" i="15"/>
  <c r="Q311" i="18"/>
  <c r="Q919" i="15"/>
  <c r="Q751" i="16"/>
  <c r="Q1322" i="16" s="1"/>
  <c r="P915" i="18"/>
  <c r="P661" i="15"/>
  <c r="P663" i="15" s="1"/>
  <c r="P903" i="18"/>
  <c r="Q918" i="18"/>
  <c r="Q737" i="18"/>
  <c r="Q914" i="18"/>
  <c r="Q120" i="18"/>
  <c r="Q818" i="18"/>
  <c r="O921" i="16"/>
  <c r="O827" i="15"/>
  <c r="P827" i="15"/>
  <c r="P814" i="18"/>
  <c r="O648" i="18"/>
  <c r="O650" i="18" s="1"/>
  <c r="Q915" i="15"/>
  <c r="Q1333" i="15" s="1"/>
  <c r="Q912" i="18"/>
  <c r="Q825" i="16"/>
  <c r="Q1328" i="16" s="1"/>
  <c r="Q385" i="18"/>
  <c r="Q386" i="18" s="1"/>
  <c r="Q388" i="18" s="1"/>
  <c r="Q69" i="18" s="1"/>
  <c r="M76" i="14" s="1"/>
  <c r="Q746" i="18"/>
  <c r="O814" i="18"/>
  <c r="Q809" i="18"/>
  <c r="Q657" i="18"/>
  <c r="Q119" i="18"/>
  <c r="Q117" i="18"/>
  <c r="Q808" i="18"/>
  <c r="Q814" i="16"/>
  <c r="Q1327" i="16" s="1"/>
  <c r="P659" i="18"/>
  <c r="P648" i="18"/>
  <c r="P650" i="18" s="1"/>
  <c r="Q1289" i="16"/>
  <c r="O661" i="15"/>
  <c r="O663" i="15" s="1"/>
  <c r="P919" i="18"/>
  <c r="O915" i="18"/>
  <c r="R819" i="16"/>
  <c r="R108" i="16"/>
  <c r="R641" i="16"/>
  <c r="R385" i="16"/>
  <c r="R386" i="16" s="1"/>
  <c r="R388" i="16" s="1"/>
  <c r="R69" i="16" s="1"/>
  <c r="R1180" i="16"/>
  <c r="R1208" i="16"/>
  <c r="R1099" i="16"/>
  <c r="R745" i="16"/>
  <c r="R113" i="16"/>
  <c r="R119" i="16"/>
  <c r="R811" i="15"/>
  <c r="R241" i="15"/>
  <c r="R242" i="15" s="1"/>
  <c r="R244" i="15" s="1"/>
  <c r="R68" i="15" s="1"/>
  <c r="R1180" i="15"/>
  <c r="R1031" i="15"/>
  <c r="R912" i="15"/>
  <c r="R654" i="15"/>
  <c r="R640" i="15"/>
  <c r="R275" i="15"/>
  <c r="Q659" i="16"/>
  <c r="Q648" i="15"/>
  <c r="Q650" i="15" s="1"/>
  <c r="Q749" i="15"/>
  <c r="R902" i="15"/>
  <c r="R307" i="15"/>
  <c r="R272" i="15"/>
  <c r="H1273" i="15"/>
  <c r="G1274" i="15"/>
  <c r="G1275" i="15" s="1"/>
  <c r="T1354" i="13"/>
  <c r="S268" i="13" s="1"/>
  <c r="Q810" i="18"/>
  <c r="N659" i="18"/>
  <c r="O921" i="13"/>
  <c r="O1333" i="13"/>
  <c r="Q812" i="15"/>
  <c r="Q73" i="15"/>
  <c r="N476" i="16"/>
  <c r="Q1289" i="15"/>
  <c r="N1322" i="16"/>
  <c r="G1276" i="16"/>
  <c r="G1277" i="16" s="1"/>
  <c r="H1275" i="16"/>
  <c r="Q654" i="18"/>
  <c r="Q659" i="15"/>
  <c r="Q264" i="18"/>
  <c r="N386" i="18"/>
  <c r="N474" i="18"/>
  <c r="N650" i="15"/>
  <c r="N661" i="16"/>
  <c r="N827" i="15"/>
  <c r="N661" i="13"/>
  <c r="O659" i="18"/>
  <c r="Q823" i="15"/>
  <c r="Q1291" i="15"/>
  <c r="Q903" i="15"/>
  <c r="Q1332" i="15" s="1"/>
  <c r="N476" i="15"/>
  <c r="N1321" i="16"/>
  <c r="Q917" i="18"/>
  <c r="Q473" i="18"/>
  <c r="Q474" i="18" s="1"/>
  <c r="Q476" i="18" s="1"/>
  <c r="N741" i="18"/>
  <c r="O73" i="18"/>
  <c r="K80" i="14" s="1"/>
  <c r="O825" i="18"/>
  <c r="N921" i="15"/>
  <c r="N1333" i="15"/>
  <c r="N1328" i="16"/>
  <c r="O921" i="15"/>
  <c r="O1333" i="15"/>
  <c r="P661" i="16"/>
  <c r="Q138" i="18"/>
  <c r="K75" i="14"/>
  <c r="T1354" i="15"/>
  <c r="S1100" i="15" s="1"/>
  <c r="S1100" i="18" s="1"/>
  <c r="U1100" i="18" s="1"/>
  <c r="R900" i="15"/>
  <c r="R646" i="15"/>
  <c r="R270" i="15"/>
  <c r="R271" i="15"/>
  <c r="Q116" i="18"/>
  <c r="N749" i="18"/>
  <c r="N388" i="13"/>
  <c r="N476" i="13"/>
  <c r="N919" i="18"/>
  <c r="O741" i="18"/>
  <c r="K119" i="14"/>
  <c r="N244" i="15"/>
  <c r="N1327" i="15"/>
  <c r="N650" i="13"/>
  <c r="N242" i="18"/>
  <c r="N244" i="16"/>
  <c r="P921" i="16"/>
  <c r="P1333" i="16"/>
  <c r="N751" i="18"/>
  <c r="R645" i="13"/>
  <c r="O46" i="1" s="1"/>
  <c r="R1099" i="13"/>
  <c r="R914" i="13"/>
  <c r="R685" i="13"/>
  <c r="R263" i="13"/>
  <c r="R272" i="13"/>
  <c r="R155" i="13"/>
  <c r="R109" i="13"/>
  <c r="R270" i="13"/>
  <c r="Q644" i="18"/>
  <c r="N648" i="18"/>
  <c r="O661" i="13"/>
  <c r="O751" i="18"/>
  <c r="P741" i="18"/>
  <c r="N1321" i="15"/>
  <c r="N650" i="16"/>
  <c r="Q73" i="13"/>
  <c r="J18" i="14"/>
  <c r="N1322" i="13"/>
  <c r="N1321" i="13"/>
  <c r="O73" i="13"/>
  <c r="Q814" i="15"/>
  <c r="Q1327" i="15" s="1"/>
  <c r="Q751" i="15"/>
  <c r="Q1322" i="15" s="1"/>
  <c r="N661" i="15"/>
  <c r="T1354" i="16"/>
  <c r="S496" i="16" s="1"/>
  <c r="N1327" i="16"/>
  <c r="N388" i="16"/>
  <c r="R658" i="15"/>
  <c r="R495" i="15"/>
  <c r="R644" i="15"/>
  <c r="R274" i="15"/>
  <c r="R155" i="15"/>
  <c r="R268" i="15"/>
  <c r="R264" i="15"/>
  <c r="N921" i="16"/>
  <c r="N1333" i="16"/>
  <c r="N915" i="18"/>
  <c r="N903" i="18"/>
  <c r="N814" i="18"/>
  <c r="N825" i="18"/>
  <c r="O903" i="18"/>
  <c r="Q741" i="15"/>
  <c r="Q1321" i="15" s="1"/>
  <c r="N388" i="15"/>
  <c r="O661" i="16"/>
  <c r="L75" i="14"/>
  <c r="N1332" i="16"/>
  <c r="N1332" i="15"/>
  <c r="N1328" i="15"/>
  <c r="Q270" i="18"/>
  <c r="Q900" i="18"/>
  <c r="O749" i="18"/>
  <c r="G1276" i="13"/>
  <c r="G1277" i="13" s="1"/>
  <c r="H1275" i="13"/>
  <c r="N921" i="13"/>
  <c r="N1333" i="13"/>
  <c r="N1332" i="13"/>
  <c r="N1327" i="13"/>
  <c r="N1328" i="13"/>
  <c r="Q825" i="15"/>
  <c r="Q1328" i="15" s="1"/>
  <c r="N1322" i="15"/>
  <c r="U1100" i="15" l="1"/>
  <c r="B1004" i="16"/>
  <c r="B898" i="16"/>
  <c r="B225" i="16"/>
  <c r="B734" i="16"/>
  <c r="B1127" i="16"/>
  <c r="B268" i="16"/>
  <c r="B301" i="16"/>
  <c r="B113" i="16"/>
  <c r="B1096" i="16"/>
  <c r="B950" i="16"/>
  <c r="B527" i="16"/>
  <c r="B194" i="16"/>
  <c r="B648" i="16"/>
  <c r="B354" i="16"/>
  <c r="B689" i="16"/>
  <c r="B779" i="16"/>
  <c r="B1188" i="16"/>
  <c r="B813" i="16"/>
  <c r="B853" i="16"/>
  <c r="B147" i="16"/>
  <c r="B601" i="16"/>
  <c r="B557" i="44"/>
  <c r="B923" i="44"/>
  <c r="S1159" i="16"/>
  <c r="U1159" i="16" s="1"/>
  <c r="W1159" i="16" s="1"/>
  <c r="B1127" i="8"/>
  <c r="B898" i="8"/>
  <c r="B1096" i="8"/>
  <c r="B194" i="8"/>
  <c r="B853" i="8"/>
  <c r="B950" i="8"/>
  <c r="B779" i="8"/>
  <c r="B648" i="8"/>
  <c r="B527" i="8"/>
  <c r="B26" i="8"/>
  <c r="B354" i="8"/>
  <c r="B734" i="8"/>
  <c r="B813" i="8"/>
  <c r="B64" i="8"/>
  <c r="B689" i="8"/>
  <c r="B601" i="8"/>
  <c r="B1189" i="8"/>
  <c r="M22" i="7"/>
  <c r="M119" i="14"/>
  <c r="S473" i="16"/>
  <c r="S474" i="16" s="1"/>
  <c r="S820" i="16"/>
  <c r="U820" i="16" s="1"/>
  <c r="W820" i="16" s="1"/>
  <c r="O25" i="1"/>
  <c r="S818" i="16"/>
  <c r="U818" i="16" s="1"/>
  <c r="W818" i="16" s="1"/>
  <c r="S113" i="13"/>
  <c r="U113" i="13" s="1"/>
  <c r="X113" i="13" s="1"/>
  <c r="Q921" i="13"/>
  <c r="R292" i="18"/>
  <c r="R903" i="13"/>
  <c r="R1332" i="13" s="1"/>
  <c r="S647" i="13"/>
  <c r="U647" i="13" s="1"/>
  <c r="X647" i="13" s="1"/>
  <c r="R777" i="18"/>
  <c r="R741" i="13"/>
  <c r="R1321" i="13" s="1"/>
  <c r="Q741" i="18"/>
  <c r="R120" i="18"/>
  <c r="R687" i="18"/>
  <c r="R814" i="13"/>
  <c r="R1327" i="13" s="1"/>
  <c r="S844" i="15"/>
  <c r="U844" i="15" s="1"/>
  <c r="W844" i="15" s="1"/>
  <c r="S809" i="13"/>
  <c r="U809" i="13" s="1"/>
  <c r="X809" i="13" s="1"/>
  <c r="S727" i="15"/>
  <c r="S269" i="13"/>
  <c r="U269" i="13" s="1"/>
  <c r="X269" i="13" s="1"/>
  <c r="S1099" i="13"/>
  <c r="U1099" i="13" s="1"/>
  <c r="X1099" i="13" s="1"/>
  <c r="S727" i="13"/>
  <c r="S1031" i="13"/>
  <c r="U1031" i="13" s="1"/>
  <c r="X1031" i="13" s="1"/>
  <c r="S734" i="16"/>
  <c r="U734" i="16" s="1"/>
  <c r="W734" i="16" s="1"/>
  <c r="S654" i="15"/>
  <c r="U654" i="15" s="1"/>
  <c r="W654" i="15" s="1"/>
  <c r="S745" i="13"/>
  <c r="U745" i="13" s="1"/>
  <c r="X745" i="13" s="1"/>
  <c r="S737" i="13"/>
  <c r="U737" i="13" s="1"/>
  <c r="X737" i="13" s="1"/>
  <c r="S119" i="13"/>
  <c r="U119" i="13" s="1"/>
  <c r="X119" i="13" s="1"/>
  <c r="R810" i="18"/>
  <c r="Q661" i="13"/>
  <c r="Q663" i="13" s="1"/>
  <c r="R915" i="13"/>
  <c r="R1333" i="13" s="1"/>
  <c r="R913" i="18"/>
  <c r="R643" i="18"/>
  <c r="R273" i="18"/>
  <c r="R746" i="18"/>
  <c r="R655" i="18"/>
  <c r="R496" i="18"/>
  <c r="R919" i="15"/>
  <c r="S734" i="15"/>
  <c r="U734" i="15" s="1"/>
  <c r="W734" i="15" s="1"/>
  <c r="S747" i="15"/>
  <c r="U747" i="15" s="1"/>
  <c r="W747" i="15" s="1"/>
  <c r="S307" i="15"/>
  <c r="S494" i="16"/>
  <c r="S496" i="15"/>
  <c r="U496" i="15" s="1"/>
  <c r="S496" i="13"/>
  <c r="S120" i="15"/>
  <c r="U120" i="15" s="1"/>
  <c r="W120" i="15" s="1"/>
  <c r="S1206" i="15"/>
  <c r="S473" i="15"/>
  <c r="S474" i="15" s="1"/>
  <c r="S476" i="15" s="1"/>
  <c r="S777" i="15"/>
  <c r="U777" i="15" s="1"/>
  <c r="W777" i="15" s="1"/>
  <c r="R659" i="13"/>
  <c r="R805" i="18"/>
  <c r="U496" i="16"/>
  <c r="W496" i="16" s="1"/>
  <c r="S494" i="15"/>
  <c r="R495" i="18"/>
  <c r="R494" i="18"/>
  <c r="R702" i="18"/>
  <c r="Q903" i="18"/>
  <c r="R653" i="18"/>
  <c r="R747" i="18"/>
  <c r="R820" i="18"/>
  <c r="R822" i="18"/>
  <c r="R116" i="18"/>
  <c r="R656" i="18"/>
  <c r="R119" i="18"/>
  <c r="R647" i="18"/>
  <c r="R741" i="15"/>
  <c r="R1321" i="15" s="1"/>
  <c r="R118" i="18"/>
  <c r="R727" i="18"/>
  <c r="R825" i="15"/>
  <c r="R1328" i="15" s="1"/>
  <c r="R734" i="18"/>
  <c r="R809" i="18"/>
  <c r="R271" i="18"/>
  <c r="R808" i="18"/>
  <c r="R821" i="18"/>
  <c r="R852" i="18"/>
  <c r="R901" i="18"/>
  <c r="R157" i="18"/>
  <c r="R117" i="18"/>
  <c r="R269" i="18"/>
  <c r="R138" i="18"/>
  <c r="R749" i="15"/>
  <c r="R823" i="15"/>
  <c r="R1206" i="18"/>
  <c r="R1029" i="18"/>
  <c r="R689" i="18"/>
  <c r="R681" i="18"/>
  <c r="R1289" i="15"/>
  <c r="R751" i="15"/>
  <c r="R1322" i="15" s="1"/>
  <c r="R819" i="18"/>
  <c r="R806" i="18"/>
  <c r="S702" i="16"/>
  <c r="U702" i="16" s="1"/>
  <c r="W702" i="16" s="1"/>
  <c r="S114" i="16"/>
  <c r="S1288" i="16" s="1"/>
  <c r="U1288" i="16" s="1"/>
  <c r="S1180" i="16"/>
  <c r="U1180" i="16" s="1"/>
  <c r="W1180" i="16" s="1"/>
  <c r="R850" i="18"/>
  <c r="R311" i="18"/>
  <c r="S807" i="16"/>
  <c r="U807" i="16" s="1"/>
  <c r="W807" i="16" s="1"/>
  <c r="S108" i="16"/>
  <c r="U108" i="16" s="1"/>
  <c r="W108" i="16" s="1"/>
  <c r="S746" i="16"/>
  <c r="U746" i="16" s="1"/>
  <c r="W746" i="16" s="1"/>
  <c r="S844" i="16"/>
  <c r="U844" i="16" s="1"/>
  <c r="W844" i="16" s="1"/>
  <c r="S848" i="16"/>
  <c r="U848" i="16" s="1"/>
  <c r="W848" i="16" s="1"/>
  <c r="Q921" i="16"/>
  <c r="R748" i="18"/>
  <c r="S307" i="16"/>
  <c r="S821" i="16"/>
  <c r="U821" i="16" s="1"/>
  <c r="W821" i="16" s="1"/>
  <c r="S748" i="16"/>
  <c r="U748" i="16" s="1"/>
  <c r="W748" i="16" s="1"/>
  <c r="S119" i="16"/>
  <c r="U119" i="16" s="1"/>
  <c r="W119" i="16" s="1"/>
  <c r="S641" i="16"/>
  <c r="U641" i="16" s="1"/>
  <c r="W641" i="16" s="1"/>
  <c r="S687" i="16"/>
  <c r="S658" i="16"/>
  <c r="U658" i="16" s="1"/>
  <c r="W658" i="16" s="1"/>
  <c r="S914" i="16"/>
  <c r="U914" i="16" s="1"/>
  <c r="W914" i="16" s="1"/>
  <c r="R744" i="18"/>
  <c r="R737" i="18"/>
  <c r="R818" i="18"/>
  <c r="R309" i="18"/>
  <c r="R115" i="18"/>
  <c r="S658" i="13"/>
  <c r="U658" i="13" s="1"/>
  <c r="X658" i="13" s="1"/>
  <c r="S138" i="13"/>
  <c r="Q751" i="18"/>
  <c r="R659" i="16"/>
  <c r="R912" i="18"/>
  <c r="R741" i="16"/>
  <c r="R1321" i="16" s="1"/>
  <c r="R814" i="16"/>
  <c r="R1327" i="16" s="1"/>
  <c r="R807" i="18"/>
  <c r="R917" i="18"/>
  <c r="R865" i="18"/>
  <c r="R919" i="16"/>
  <c r="R811" i="18"/>
  <c r="R918" i="18"/>
  <c r="R114" i="18"/>
  <c r="R751" i="16"/>
  <c r="R1322" i="16" s="1"/>
  <c r="R844" i="18"/>
  <c r="R915" i="16"/>
  <c r="R1333" i="16" s="1"/>
  <c r="R736" i="18"/>
  <c r="Q825" i="18"/>
  <c r="R473" i="18"/>
  <c r="R474" i="18" s="1"/>
  <c r="R476" i="18" s="1"/>
  <c r="R73" i="18" s="1"/>
  <c r="N80" i="14" s="1"/>
  <c r="R1031" i="18"/>
  <c r="R307" i="18"/>
  <c r="S852" i="16"/>
  <c r="U852" i="16" s="1"/>
  <c r="W852" i="16" s="1"/>
  <c r="S655" i="16"/>
  <c r="U655" i="16" s="1"/>
  <c r="W655" i="16" s="1"/>
  <c r="S1208" i="16"/>
  <c r="U1208" i="16" s="1"/>
  <c r="W1208" i="16" s="1"/>
  <c r="S811" i="16"/>
  <c r="U811" i="16" s="1"/>
  <c r="W811" i="16" s="1"/>
  <c r="S118" i="16"/>
  <c r="U118" i="16" s="1"/>
  <c r="W118" i="16" s="1"/>
  <c r="S819" i="16"/>
  <c r="U819" i="16" s="1"/>
  <c r="W819" i="16" s="1"/>
  <c r="R646" i="18"/>
  <c r="R153" i="18"/>
  <c r="R902" i="18"/>
  <c r="Q661" i="16"/>
  <c r="Q663" i="16" s="1"/>
  <c r="R654" i="18"/>
  <c r="R848" i="18"/>
  <c r="R903" i="16"/>
  <c r="R1332" i="16" s="1"/>
  <c r="R657" i="18"/>
  <c r="R642" i="18"/>
  <c r="S687" i="15"/>
  <c r="S1067" i="15"/>
  <c r="U1067" i="15" s="1"/>
  <c r="W1067" i="15" s="1"/>
  <c r="S702" i="15"/>
  <c r="U702" i="15" s="1"/>
  <c r="W702" i="15" s="1"/>
  <c r="S1208" i="15"/>
  <c r="S819" i="15"/>
  <c r="U819" i="15" s="1"/>
  <c r="W819" i="15" s="1"/>
  <c r="S848" i="15"/>
  <c r="U848" i="15" s="1"/>
  <c r="W848" i="15" s="1"/>
  <c r="S385" i="15"/>
  <c r="S386" i="15" s="1"/>
  <c r="S388" i="15" s="1"/>
  <c r="S69" i="15" s="1"/>
  <c r="S902" i="15"/>
  <c r="U902" i="15" s="1"/>
  <c r="W902" i="15" s="1"/>
  <c r="S645" i="15"/>
  <c r="U645" i="15" s="1"/>
  <c r="W645" i="15" s="1"/>
  <c r="S642" i="15"/>
  <c r="U642" i="15" s="1"/>
  <c r="W642" i="15" s="1"/>
  <c r="R268" i="18"/>
  <c r="R751" i="13"/>
  <c r="R1322" i="13" s="1"/>
  <c r="R749" i="13"/>
  <c r="R640" i="18"/>
  <c r="R108" i="18"/>
  <c r="R825" i="13"/>
  <c r="R1328" i="13" s="1"/>
  <c r="R275" i="18"/>
  <c r="R919" i="13"/>
  <c r="R1289" i="13"/>
  <c r="R1208" i="18"/>
  <c r="R641" i="18"/>
  <c r="S805" i="13"/>
  <c r="U805" i="13" s="1"/>
  <c r="X805" i="13" s="1"/>
  <c r="S385" i="13"/>
  <c r="U385" i="13" s="1"/>
  <c r="X385" i="13" s="1"/>
  <c r="S642" i="13"/>
  <c r="U642" i="13" s="1"/>
  <c r="X642" i="13" s="1"/>
  <c r="S806" i="13"/>
  <c r="U806" i="13" s="1"/>
  <c r="X806" i="13" s="1"/>
  <c r="S270" i="13"/>
  <c r="U270" i="13" s="1"/>
  <c r="X270" i="13" s="1"/>
  <c r="S494" i="13"/>
  <c r="S748" i="13"/>
  <c r="U748" i="13" s="1"/>
  <c r="X748" i="13" s="1"/>
  <c r="S844" i="13"/>
  <c r="S819" i="13"/>
  <c r="U819" i="13" s="1"/>
  <c r="X819" i="13" s="1"/>
  <c r="S820" i="13"/>
  <c r="U820" i="13" s="1"/>
  <c r="X820" i="13" s="1"/>
  <c r="S115" i="13"/>
  <c r="O921" i="18"/>
  <c r="Q648" i="18"/>
  <c r="Q650" i="18" s="1"/>
  <c r="P921" i="18"/>
  <c r="R648" i="15"/>
  <c r="R650" i="15" s="1"/>
  <c r="Q915" i="18"/>
  <c r="Q661" i="15"/>
  <c r="Q663" i="15" s="1"/>
  <c r="R745" i="18"/>
  <c r="Q659" i="18"/>
  <c r="Q749" i="18"/>
  <c r="Q919" i="18"/>
  <c r="R814" i="15"/>
  <c r="R1327" i="15" s="1"/>
  <c r="R812" i="15"/>
  <c r="Q921" i="15"/>
  <c r="R1289" i="16"/>
  <c r="R1180" i="18"/>
  <c r="R648" i="16"/>
  <c r="R650" i="16" s="1"/>
  <c r="Q827" i="15"/>
  <c r="Q814" i="18"/>
  <c r="O661" i="18"/>
  <c r="O663" i="18" s="1"/>
  <c r="R241" i="18"/>
  <c r="R242" i="18" s="1"/>
  <c r="R244" i="18" s="1"/>
  <c r="R68" i="18" s="1"/>
  <c r="N75" i="14" s="1"/>
  <c r="R113" i="18"/>
  <c r="R385" i="18"/>
  <c r="R386" i="18" s="1"/>
  <c r="R388" i="18" s="1"/>
  <c r="R69" i="18" s="1"/>
  <c r="N76" i="14" s="1"/>
  <c r="R915" i="15"/>
  <c r="R825" i="16"/>
  <c r="R1328" i="16" s="1"/>
  <c r="R749" i="16"/>
  <c r="R903" i="15"/>
  <c r="R1332" i="15" s="1"/>
  <c r="P661" i="18"/>
  <c r="P663" i="18" s="1"/>
  <c r="S155" i="16"/>
  <c r="U155" i="16" s="1"/>
  <c r="W155" i="16" s="1"/>
  <c r="S901" i="16"/>
  <c r="U901" i="16" s="1"/>
  <c r="W901" i="16" s="1"/>
  <c r="S744" i="16"/>
  <c r="U744" i="16" s="1"/>
  <c r="W744" i="16" s="1"/>
  <c r="S696" i="16"/>
  <c r="U696" i="16" s="1"/>
  <c r="W696" i="16" s="1"/>
  <c r="S681" i="16"/>
  <c r="U681" i="16" s="1"/>
  <c r="W681" i="16" s="1"/>
  <c r="S808" i="16"/>
  <c r="U808" i="16" s="1"/>
  <c r="W808" i="16" s="1"/>
  <c r="S1206" i="16"/>
  <c r="S120" i="16"/>
  <c r="U120" i="16" s="1"/>
  <c r="W120" i="16" s="1"/>
  <c r="S270" i="16"/>
  <c r="U270" i="16" s="1"/>
  <c r="W270" i="16" s="1"/>
  <c r="S272" i="16"/>
  <c r="U272" i="16" s="1"/>
  <c r="W272" i="16" s="1"/>
  <c r="S805" i="16"/>
  <c r="U805" i="16" s="1"/>
  <c r="W805" i="16" s="1"/>
  <c r="S645" i="16"/>
  <c r="U645" i="16" s="1"/>
  <c r="W645" i="16" s="1"/>
  <c r="S727" i="16"/>
  <c r="S138" i="16"/>
  <c r="U138" i="16" s="1"/>
  <c r="W138" i="16" s="1"/>
  <c r="S109" i="16"/>
  <c r="U109" i="16" s="1"/>
  <c r="W109" i="16" s="1"/>
  <c r="S271" i="16"/>
  <c r="U271" i="16" s="1"/>
  <c r="W271" i="16" s="1"/>
  <c r="S309" i="16"/>
  <c r="U309" i="16" s="1"/>
  <c r="W309" i="16" s="1"/>
  <c r="S292" i="16"/>
  <c r="U292" i="16" s="1"/>
  <c r="W292" i="16" s="1"/>
  <c r="S241" i="16"/>
  <c r="S242" i="16" s="1"/>
  <c r="S1031" i="16"/>
  <c r="U1031" i="16" s="1"/>
  <c r="W1031" i="16" s="1"/>
  <c r="S736" i="16"/>
  <c r="U736" i="16" s="1"/>
  <c r="W736" i="16" s="1"/>
  <c r="S654" i="16"/>
  <c r="U654" i="16" s="1"/>
  <c r="W654" i="16" s="1"/>
  <c r="S113" i="16"/>
  <c r="U113" i="16" s="1"/>
  <c r="W113" i="16" s="1"/>
  <c r="S275" i="16"/>
  <c r="U275" i="16" s="1"/>
  <c r="W275" i="16" s="1"/>
  <c r="S900" i="16"/>
  <c r="U900" i="16" s="1"/>
  <c r="W900" i="16" s="1"/>
  <c r="S865" i="16"/>
  <c r="U865" i="16" s="1"/>
  <c r="W865" i="16" s="1"/>
  <c r="S744" i="15"/>
  <c r="S655" i="15"/>
  <c r="U655" i="15" s="1"/>
  <c r="W655" i="15" s="1"/>
  <c r="S745" i="15"/>
  <c r="U745" i="15" s="1"/>
  <c r="W745" i="15" s="1"/>
  <c r="S804" i="15"/>
  <c r="U804" i="15" s="1"/>
  <c r="W804" i="15" s="1"/>
  <c r="S737" i="15"/>
  <c r="U737" i="15" s="1"/>
  <c r="W737" i="15" s="1"/>
  <c r="S114" i="15"/>
  <c r="S852" i="15"/>
  <c r="U852" i="15" s="1"/>
  <c r="W852" i="15" s="1"/>
  <c r="S653" i="15"/>
  <c r="U653" i="15" s="1"/>
  <c r="W653" i="15" s="1"/>
  <c r="S273" i="15"/>
  <c r="U273" i="15" s="1"/>
  <c r="W273" i="15" s="1"/>
  <c r="S115" i="15"/>
  <c r="U115" i="15" s="1"/>
  <c r="W115" i="15" s="1"/>
  <c r="S818" i="15"/>
  <c r="U818" i="15" s="1"/>
  <c r="W818" i="15" s="1"/>
  <c r="S850" i="15"/>
  <c r="S1006" i="15"/>
  <c r="U1006" i="15" s="1"/>
  <c r="W1006" i="15" s="1"/>
  <c r="S1099" i="15"/>
  <c r="U1099" i="15" s="1"/>
  <c r="W1099" i="15" s="1"/>
  <c r="S689" i="15"/>
  <c r="U689" i="15" s="1"/>
  <c r="W689" i="15" s="1"/>
  <c r="S658" i="15"/>
  <c r="S821" i="15"/>
  <c r="U821" i="15" s="1"/>
  <c r="W821" i="15" s="1"/>
  <c r="S912" i="15"/>
  <c r="U912" i="15" s="1"/>
  <c r="W912" i="15" s="1"/>
  <c r="S155" i="15"/>
  <c r="U155" i="15" s="1"/>
  <c r="W155" i="15" s="1"/>
  <c r="S309" i="15"/>
  <c r="U309" i="15" s="1"/>
  <c r="W309" i="15" s="1"/>
  <c r="S309" i="13"/>
  <c r="U309" i="13" s="1"/>
  <c r="X309" i="13" s="1"/>
  <c r="S275" i="13"/>
  <c r="U275" i="13" s="1"/>
  <c r="X275" i="13" s="1"/>
  <c r="S641" i="13"/>
  <c r="U641" i="13" s="1"/>
  <c r="X641" i="13" s="1"/>
  <c r="S808" i="13"/>
  <c r="U808" i="13" s="1"/>
  <c r="X808" i="13" s="1"/>
  <c r="S646" i="13"/>
  <c r="U646" i="13" s="1"/>
  <c r="X646" i="13" s="1"/>
  <c r="S117" i="13"/>
  <c r="S848" i="13"/>
  <c r="U848" i="13" s="1"/>
  <c r="X848" i="13" s="1"/>
  <c r="S640" i="13"/>
  <c r="U640" i="13" s="1"/>
  <c r="S153" i="13"/>
  <c r="S818" i="13"/>
  <c r="S901" i="13"/>
  <c r="U901" i="13" s="1"/>
  <c r="X901" i="13" s="1"/>
  <c r="S108" i="13"/>
  <c r="U108" i="13" s="1"/>
  <c r="X108" i="13" s="1"/>
  <c r="S902" i="13"/>
  <c r="U902" i="13" s="1"/>
  <c r="X902" i="13" s="1"/>
  <c r="S656" i="13"/>
  <c r="U656" i="13" s="1"/>
  <c r="X656" i="13" s="1"/>
  <c r="S241" i="13"/>
  <c r="U241" i="13" s="1"/>
  <c r="X241" i="13" s="1"/>
  <c r="S736" i="13"/>
  <c r="U736" i="13" s="1"/>
  <c r="X736" i="13" s="1"/>
  <c r="S1180" i="13"/>
  <c r="S777" i="13"/>
  <c r="U777" i="13" s="1"/>
  <c r="X777" i="13" s="1"/>
  <c r="S1029" i="13"/>
  <c r="U1029" i="13" s="1"/>
  <c r="X1029" i="13" s="1"/>
  <c r="S744" i="13"/>
  <c r="U744" i="13" s="1"/>
  <c r="X744" i="13" s="1"/>
  <c r="S746" i="13"/>
  <c r="U746" i="13" s="1"/>
  <c r="X746" i="13" s="1"/>
  <c r="S914" i="13"/>
  <c r="U914" i="13" s="1"/>
  <c r="X914" i="13" s="1"/>
  <c r="S274" i="13"/>
  <c r="U274" i="13" s="1"/>
  <c r="X274" i="13" s="1"/>
  <c r="S109" i="13"/>
  <c r="U109" i="13" s="1"/>
  <c r="X109" i="13" s="1"/>
  <c r="S272" i="13"/>
  <c r="U272" i="13" s="1"/>
  <c r="X272" i="13" s="1"/>
  <c r="S263" i="13"/>
  <c r="U263" i="13" s="1"/>
  <c r="X263" i="13" s="1"/>
  <c r="S822" i="16"/>
  <c r="U822" i="16" s="1"/>
  <c r="W822" i="16" s="1"/>
  <c r="S268" i="16"/>
  <c r="U268" i="16" s="1"/>
  <c r="W268" i="16" s="1"/>
  <c r="S647" i="16"/>
  <c r="U647" i="16" s="1"/>
  <c r="W647" i="16" s="1"/>
  <c r="S902" i="16"/>
  <c r="U902" i="16" s="1"/>
  <c r="W902" i="16" s="1"/>
  <c r="S115" i="16"/>
  <c r="U115" i="16" s="1"/>
  <c r="W115" i="16" s="1"/>
  <c r="S737" i="16"/>
  <c r="U737" i="16" s="1"/>
  <c r="W737" i="16" s="1"/>
  <c r="S263" i="16"/>
  <c r="U263" i="16" s="1"/>
  <c r="W263" i="16" s="1"/>
  <c r="S274" i="16"/>
  <c r="U274" i="16" s="1"/>
  <c r="W274" i="16" s="1"/>
  <c r="S117" i="16"/>
  <c r="U117" i="16" s="1"/>
  <c r="W117" i="16" s="1"/>
  <c r="S656" i="16"/>
  <c r="U656" i="16" s="1"/>
  <c r="W656" i="16" s="1"/>
  <c r="S653" i="16"/>
  <c r="U653" i="16" s="1"/>
  <c r="W653" i="16" s="1"/>
  <c r="S116" i="16"/>
  <c r="U116" i="16" s="1"/>
  <c r="W116" i="16" s="1"/>
  <c r="S850" i="16"/>
  <c r="S311" i="16"/>
  <c r="U311" i="16" s="1"/>
  <c r="W311" i="16" s="1"/>
  <c r="S806" i="16"/>
  <c r="U806" i="16" s="1"/>
  <c r="W806" i="16" s="1"/>
  <c r="S745" i="16"/>
  <c r="U745" i="16" s="1"/>
  <c r="W745" i="16" s="1"/>
  <c r="S385" i="16"/>
  <c r="S386" i="16" s="1"/>
  <c r="S1099" i="16"/>
  <c r="U1099" i="16" s="1"/>
  <c r="W1099" i="16" s="1"/>
  <c r="S642" i="16"/>
  <c r="U642" i="16" s="1"/>
  <c r="W642" i="16" s="1"/>
  <c r="S495" i="16"/>
  <c r="U495" i="16" s="1"/>
  <c r="W495" i="16" s="1"/>
  <c r="S777" i="16"/>
  <c r="U777" i="16" s="1"/>
  <c r="W777" i="16" s="1"/>
  <c r="S685" i="16"/>
  <c r="U685" i="16" s="1"/>
  <c r="W685" i="16" s="1"/>
  <c r="S917" i="16"/>
  <c r="U917" i="16" s="1"/>
  <c r="W917" i="16" s="1"/>
  <c r="S269" i="16"/>
  <c r="U269" i="16" s="1"/>
  <c r="W269" i="16" s="1"/>
  <c r="S913" i="16"/>
  <c r="U913" i="16" s="1"/>
  <c r="W913" i="16" s="1"/>
  <c r="S647" i="15"/>
  <c r="U647" i="15" s="1"/>
  <c r="W647" i="15" s="1"/>
  <c r="S748" i="15"/>
  <c r="U748" i="15" s="1"/>
  <c r="W748" i="15" s="1"/>
  <c r="S657" i="15"/>
  <c r="U657" i="15" s="1"/>
  <c r="W657" i="15" s="1"/>
  <c r="S900" i="15"/>
  <c r="S1180" i="15"/>
  <c r="U1180" i="15" s="1"/>
  <c r="W1180" i="15" s="1"/>
  <c r="S918" i="15"/>
  <c r="U918" i="15" s="1"/>
  <c r="W918" i="15" s="1"/>
  <c r="S810" i="15"/>
  <c r="U810" i="15" s="1"/>
  <c r="W810" i="15" s="1"/>
  <c r="S118" i="15"/>
  <c r="U118" i="15" s="1"/>
  <c r="W118" i="15" s="1"/>
  <c r="S641" i="15"/>
  <c r="U641" i="15" s="1"/>
  <c r="W641" i="15" s="1"/>
  <c r="S806" i="15"/>
  <c r="U806" i="15" s="1"/>
  <c r="W806" i="15" s="1"/>
  <c r="S820" i="15"/>
  <c r="U820" i="15" s="1"/>
  <c r="W820" i="15" s="1"/>
  <c r="S1031" i="15"/>
  <c r="U1031" i="15" s="1"/>
  <c r="W1031" i="15" s="1"/>
  <c r="S901" i="15"/>
  <c r="U901" i="15" s="1"/>
  <c r="W901" i="15" s="1"/>
  <c r="S917" i="15"/>
  <c r="S656" i="15"/>
  <c r="U656" i="15" s="1"/>
  <c r="W656" i="15" s="1"/>
  <c r="S117" i="15"/>
  <c r="U117" i="15" s="1"/>
  <c r="W117" i="15" s="1"/>
  <c r="S264" i="15"/>
  <c r="U264" i="15" s="1"/>
  <c r="W264" i="15" s="1"/>
  <c r="S311" i="13"/>
  <c r="U311" i="13" s="1"/>
  <c r="X311" i="13" s="1"/>
  <c r="S292" i="13"/>
  <c r="S865" i="13"/>
  <c r="U865" i="13" s="1"/>
  <c r="X865" i="13" s="1"/>
  <c r="S654" i="13"/>
  <c r="U654" i="13" s="1"/>
  <c r="X654" i="13" s="1"/>
  <c r="S116" i="13"/>
  <c r="S271" i="13"/>
  <c r="U271" i="13" s="1"/>
  <c r="X271" i="13" s="1"/>
  <c r="S681" i="13"/>
  <c r="U681" i="13" s="1"/>
  <c r="X681" i="13" s="1"/>
  <c r="S850" i="13"/>
  <c r="S822" i="13"/>
  <c r="U822" i="13" s="1"/>
  <c r="X822" i="13" s="1"/>
  <c r="S155" i="13"/>
  <c r="S747" i="13"/>
  <c r="U747" i="13" s="1"/>
  <c r="X747" i="13" s="1"/>
  <c r="S918" i="13"/>
  <c r="U918" i="13" s="1"/>
  <c r="X918" i="13" s="1"/>
  <c r="S810" i="13"/>
  <c r="U810" i="13" s="1"/>
  <c r="X810" i="13" s="1"/>
  <c r="S913" i="13"/>
  <c r="U913" i="13" s="1"/>
  <c r="X913" i="13" s="1"/>
  <c r="S473" i="13"/>
  <c r="U473" i="13" s="1"/>
  <c r="X473" i="13" s="1"/>
  <c r="S1206" i="13"/>
  <c r="S657" i="13"/>
  <c r="U657" i="13" s="1"/>
  <c r="X657" i="13" s="1"/>
  <c r="S912" i="13"/>
  <c r="U912" i="13" s="1"/>
  <c r="X912" i="13" s="1"/>
  <c r="S811" i="13"/>
  <c r="U811" i="13" s="1"/>
  <c r="X811" i="13" s="1"/>
  <c r="S643" i="13"/>
  <c r="U643" i="13" s="1"/>
  <c r="X643" i="13" s="1"/>
  <c r="S917" i="13"/>
  <c r="U917" i="13" s="1"/>
  <c r="X917" i="13" s="1"/>
  <c r="S702" i="13"/>
  <c r="U702" i="13" s="1"/>
  <c r="X702" i="13" s="1"/>
  <c r="S685" i="13"/>
  <c r="U685" i="13" s="1"/>
  <c r="X685" i="13" s="1"/>
  <c r="S120" i="13"/>
  <c r="S918" i="16"/>
  <c r="U918" i="16" s="1"/>
  <c r="W918" i="16" s="1"/>
  <c r="S640" i="16"/>
  <c r="U640" i="16" s="1"/>
  <c r="W640" i="16" s="1"/>
  <c r="S689" i="16"/>
  <c r="U689" i="16" s="1"/>
  <c r="W689" i="16" s="1"/>
  <c r="S646" i="16"/>
  <c r="U646" i="16" s="1"/>
  <c r="W646" i="16" s="1"/>
  <c r="S157" i="16"/>
  <c r="U157" i="16" s="1"/>
  <c r="W157" i="16" s="1"/>
  <c r="S810" i="16"/>
  <c r="U810" i="16" s="1"/>
  <c r="W810" i="16" s="1"/>
  <c r="S273" i="16"/>
  <c r="U273" i="16" s="1"/>
  <c r="W273" i="16" s="1"/>
  <c r="S657" i="16"/>
  <c r="U657" i="16" s="1"/>
  <c r="W657" i="16" s="1"/>
  <c r="S643" i="16"/>
  <c r="U643" i="16" s="1"/>
  <c r="W643" i="16" s="1"/>
  <c r="S747" i="16"/>
  <c r="U747" i="16" s="1"/>
  <c r="W747" i="16" s="1"/>
  <c r="S684" i="16"/>
  <c r="U684" i="16" s="1"/>
  <c r="W684" i="16" s="1"/>
  <c r="S809" i="16"/>
  <c r="U809" i="16" s="1"/>
  <c r="W809" i="16" s="1"/>
  <c r="S1029" i="16"/>
  <c r="U1029" i="16" s="1"/>
  <c r="W1029" i="16" s="1"/>
  <c r="S1067" i="16"/>
  <c r="U1067" i="16" s="1"/>
  <c r="W1067" i="16" s="1"/>
  <c r="S644" i="16"/>
  <c r="U644" i="16" s="1"/>
  <c r="W644" i="16" s="1"/>
  <c r="S264" i="16"/>
  <c r="U264" i="16" s="1"/>
  <c r="W264" i="16" s="1"/>
  <c r="S153" i="16"/>
  <c r="S912" i="16"/>
  <c r="U912" i="16" s="1"/>
  <c r="W912" i="16" s="1"/>
  <c r="S138" i="15"/>
  <c r="S1291" i="15" s="1"/>
  <c r="U1291" i="15" s="1"/>
  <c r="S746" i="15"/>
  <c r="U746" i="15" s="1"/>
  <c r="W746" i="15" s="1"/>
  <c r="S116" i="15"/>
  <c r="U116" i="15" s="1"/>
  <c r="W116" i="15" s="1"/>
  <c r="S495" i="15"/>
  <c r="S822" i="15"/>
  <c r="U822" i="15" s="1"/>
  <c r="W822" i="15" s="1"/>
  <c r="S241" i="15"/>
  <c r="S242" i="15" s="1"/>
  <c r="S244" i="15" s="1"/>
  <c r="S68" i="15" s="1"/>
  <c r="S157" i="15"/>
  <c r="U157" i="15" s="1"/>
  <c r="W157" i="15" s="1"/>
  <c r="S681" i="15"/>
  <c r="U681" i="15" s="1"/>
  <c r="W681" i="15" s="1"/>
  <c r="S808" i="15"/>
  <c r="U808" i="15" s="1"/>
  <c r="W808" i="15" s="1"/>
  <c r="S685" i="15"/>
  <c r="U685" i="15" s="1"/>
  <c r="W685" i="15" s="1"/>
  <c r="S913" i="15"/>
  <c r="U913" i="15" s="1"/>
  <c r="W913" i="15" s="1"/>
  <c r="S153" i="15"/>
  <c r="S643" i="15"/>
  <c r="U643" i="15" s="1"/>
  <c r="W643" i="15" s="1"/>
  <c r="S119" i="15"/>
  <c r="U119" i="15" s="1"/>
  <c r="W119" i="15" s="1"/>
  <c r="S736" i="15"/>
  <c r="U736" i="15" s="1"/>
  <c r="W736" i="15" s="1"/>
  <c r="S292" i="15"/>
  <c r="U292" i="15" s="1"/>
  <c r="W292" i="15" s="1"/>
  <c r="S270" i="15"/>
  <c r="U270" i="15" s="1"/>
  <c r="W270" i="15" s="1"/>
  <c r="S272" i="15"/>
  <c r="U272" i="15" s="1"/>
  <c r="W272" i="15" s="1"/>
  <c r="S113" i="15"/>
  <c r="S108" i="15"/>
  <c r="U108" i="15" s="1"/>
  <c r="W108" i="15" s="1"/>
  <c r="S734" i="13"/>
  <c r="U734" i="13" s="1"/>
  <c r="X734" i="13" s="1"/>
  <c r="S821" i="13"/>
  <c r="U821" i="13" s="1"/>
  <c r="X821" i="13" s="1"/>
  <c r="S1208" i="13"/>
  <c r="U1208" i="13" s="1"/>
  <c r="X1208" i="13" s="1"/>
  <c r="S307" i="13"/>
  <c r="S273" i="13"/>
  <c r="U273" i="13" s="1"/>
  <c r="X273" i="13" s="1"/>
  <c r="S653" i="13"/>
  <c r="U653" i="13" s="1"/>
  <c r="X653" i="13" s="1"/>
  <c r="S852" i="13"/>
  <c r="U852" i="13" s="1"/>
  <c r="X852" i="13" s="1"/>
  <c r="S655" i="13"/>
  <c r="U655" i="13" s="1"/>
  <c r="X655" i="13" s="1"/>
  <c r="S157" i="13"/>
  <c r="S645" i="13"/>
  <c r="P46" i="1" s="1"/>
  <c r="F46" i="1" s="1"/>
  <c r="S689" i="13"/>
  <c r="U689" i="13" s="1"/>
  <c r="X689" i="13" s="1"/>
  <c r="S495" i="13"/>
  <c r="S900" i="13"/>
  <c r="U900" i="13" s="1"/>
  <c r="X900" i="13" s="1"/>
  <c r="S644" i="13"/>
  <c r="U644" i="13" s="1"/>
  <c r="X644" i="13" s="1"/>
  <c r="S1006" i="13"/>
  <c r="U1006" i="13" s="1"/>
  <c r="X1006" i="13" s="1"/>
  <c r="S687" i="13"/>
  <c r="S807" i="13"/>
  <c r="U807" i="13" s="1"/>
  <c r="X807" i="13" s="1"/>
  <c r="S264" i="13"/>
  <c r="U264" i="13" s="1"/>
  <c r="X264" i="13" s="1"/>
  <c r="U268" i="13"/>
  <c r="X268" i="13" s="1"/>
  <c r="O663" i="13"/>
  <c r="N650" i="18"/>
  <c r="R270" i="18"/>
  <c r="R272" i="18"/>
  <c r="R1099" i="18"/>
  <c r="R644" i="18"/>
  <c r="R658" i="18"/>
  <c r="N68" i="15"/>
  <c r="N73" i="15"/>
  <c r="N663" i="13"/>
  <c r="S114" i="13"/>
  <c r="S118" i="13"/>
  <c r="N69" i="13"/>
  <c r="R264" i="18"/>
  <c r="G1278" i="16"/>
  <c r="G1279" i="16" s="1"/>
  <c r="H1277" i="16"/>
  <c r="G1276" i="15"/>
  <c r="G1277" i="15" s="1"/>
  <c r="H1275" i="15"/>
  <c r="R263" i="18"/>
  <c r="N921" i="18"/>
  <c r="N69" i="16"/>
  <c r="R155" i="18"/>
  <c r="R645" i="18"/>
  <c r="R648" i="13"/>
  <c r="R73" i="13"/>
  <c r="N244" i="18"/>
  <c r="N73" i="13"/>
  <c r="S807" i="15"/>
  <c r="U807" i="15" s="1"/>
  <c r="W807" i="15" s="1"/>
  <c r="S914" i="15"/>
  <c r="U914" i="15" s="1"/>
  <c r="W914" i="15" s="1"/>
  <c r="S805" i="15"/>
  <c r="S275" i="15"/>
  <c r="U275" i="15" s="1"/>
  <c r="W275" i="15" s="1"/>
  <c r="R659" i="15"/>
  <c r="Q73" i="18"/>
  <c r="M80" i="14" s="1"/>
  <c r="N476" i="18"/>
  <c r="N388" i="18"/>
  <c r="N73" i="16"/>
  <c r="R900" i="18"/>
  <c r="R685" i="18"/>
  <c r="H1277" i="13"/>
  <c r="G1278" i="13"/>
  <c r="G1279" i="13" s="1"/>
  <c r="O663" i="16"/>
  <c r="N69" i="15"/>
  <c r="N663" i="15"/>
  <c r="J119" i="14"/>
  <c r="N68" i="13"/>
  <c r="R914" i="18"/>
  <c r="N68" i="16"/>
  <c r="S865" i="15"/>
  <c r="U865" i="15" s="1"/>
  <c r="W865" i="15" s="1"/>
  <c r="S1005" i="15"/>
  <c r="U1005" i="15" s="1"/>
  <c r="W1005" i="15" s="1"/>
  <c r="S811" i="15"/>
  <c r="U811" i="15" s="1"/>
  <c r="W811" i="15" s="1"/>
  <c r="S1029" i="15"/>
  <c r="U1029" i="15" s="1"/>
  <c r="W1029" i="15" s="1"/>
  <c r="S646" i="15"/>
  <c r="U646" i="15" s="1"/>
  <c r="W646" i="15" s="1"/>
  <c r="S809" i="15"/>
  <c r="U809" i="15" s="1"/>
  <c r="W809" i="15" s="1"/>
  <c r="S640" i="15"/>
  <c r="S817" i="15"/>
  <c r="S644" i="15"/>
  <c r="U644" i="15" s="1"/>
  <c r="W644" i="15" s="1"/>
  <c r="S274" i="15"/>
  <c r="U274" i="15" s="1"/>
  <c r="W274" i="15" s="1"/>
  <c r="S263" i="15"/>
  <c r="S268" i="15"/>
  <c r="U268" i="15" s="1"/>
  <c r="W268" i="15" s="1"/>
  <c r="S269" i="15"/>
  <c r="U269" i="15" s="1"/>
  <c r="W269" i="15" s="1"/>
  <c r="S311" i="15"/>
  <c r="U311" i="15" s="1"/>
  <c r="W311" i="15" s="1"/>
  <c r="S271" i="15"/>
  <c r="P663" i="16"/>
  <c r="N663" i="16"/>
  <c r="N661" i="18"/>
  <c r="R274" i="18"/>
  <c r="X640" i="13" l="1"/>
  <c r="B1005" i="16"/>
  <c r="B814" i="16"/>
  <c r="B649" i="16"/>
  <c r="B302" i="16"/>
  <c r="B602" i="16"/>
  <c r="B195" i="16"/>
  <c r="B269" i="16"/>
  <c r="B780" i="16"/>
  <c r="B528" i="16"/>
  <c r="B1128" i="16"/>
  <c r="B148" i="16"/>
  <c r="B951" i="16"/>
  <c r="B735" i="16"/>
  <c r="B854" i="16"/>
  <c r="B690" i="16"/>
  <c r="B1097" i="16"/>
  <c r="B355" i="16"/>
  <c r="B114" i="16"/>
  <c r="B899" i="16"/>
  <c r="B924" i="44"/>
  <c r="B558" i="44"/>
  <c r="U494" i="16"/>
  <c r="U494" i="15"/>
  <c r="U473" i="16"/>
  <c r="W473" i="16" s="1"/>
  <c r="B690" i="8"/>
  <c r="B27" i="8"/>
  <c r="B780" i="8"/>
  <c r="B1097" i="8"/>
  <c r="B65" i="8"/>
  <c r="B528" i="8"/>
  <c r="B951" i="8"/>
  <c r="B899" i="8"/>
  <c r="B814" i="8"/>
  <c r="B355" i="8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854" i="8"/>
  <c r="B1128" i="8"/>
  <c r="B602" i="8"/>
  <c r="B735" i="8"/>
  <c r="B649" i="8"/>
  <c r="B195" i="8"/>
  <c r="N22" i="7"/>
  <c r="U1180" i="13"/>
  <c r="X1180" i="13" s="1"/>
  <c r="R921" i="15"/>
  <c r="R921" i="13"/>
  <c r="R661" i="13"/>
  <c r="R663" i="13" s="1"/>
  <c r="S496" i="18"/>
  <c r="U496" i="18" s="1"/>
  <c r="U496" i="13"/>
  <c r="U495" i="15"/>
  <c r="W495" i="15" s="1"/>
  <c r="U476" i="15"/>
  <c r="W476" i="15" s="1"/>
  <c r="S73" i="15"/>
  <c r="U73" i="15" s="1"/>
  <c r="W73" i="15" s="1"/>
  <c r="U117" i="13"/>
  <c r="X117" i="13" s="1"/>
  <c r="U115" i="13"/>
  <c r="X115" i="13" s="1"/>
  <c r="U138" i="13"/>
  <c r="X138" i="13" s="1"/>
  <c r="U116" i="13"/>
  <c r="X116" i="13" s="1"/>
  <c r="U157" i="13"/>
  <c r="X157" i="13" s="1"/>
  <c r="S495" i="18"/>
  <c r="S494" i="18"/>
  <c r="U494" i="13"/>
  <c r="X494" i="13" s="1"/>
  <c r="S1291" i="13"/>
  <c r="U1291" i="13" s="1"/>
  <c r="S1398" i="13" s="1"/>
  <c r="R827" i="15"/>
  <c r="R825" i="18"/>
  <c r="R749" i="18"/>
  <c r="L1395" i="16"/>
  <c r="J1395" i="16"/>
  <c r="N1395" i="16"/>
  <c r="S844" i="18"/>
  <c r="U844" i="18" s="1"/>
  <c r="X844" i="18" s="1"/>
  <c r="U114" i="16"/>
  <c r="W114" i="16" s="1"/>
  <c r="R741" i="18"/>
  <c r="Q1395" i="16"/>
  <c r="S1395" i="16"/>
  <c r="K1395" i="16"/>
  <c r="R1395" i="16"/>
  <c r="O1395" i="16"/>
  <c r="M1395" i="16"/>
  <c r="R915" i="18"/>
  <c r="P1395" i="16"/>
  <c r="R903" i="18"/>
  <c r="R919" i="18"/>
  <c r="R921" i="16"/>
  <c r="R814" i="18"/>
  <c r="R659" i="18"/>
  <c r="U388" i="15"/>
  <c r="W388" i="15" s="1"/>
  <c r="S819" i="18"/>
  <c r="U819" i="18" s="1"/>
  <c r="X819" i="18" s="1"/>
  <c r="U386" i="15"/>
  <c r="W386" i="15" s="1"/>
  <c r="U385" i="15"/>
  <c r="W385" i="15" s="1"/>
  <c r="U69" i="15"/>
  <c r="W69" i="15" s="1"/>
  <c r="S386" i="13"/>
  <c r="U386" i="13" s="1"/>
  <c r="X386" i="13" s="1"/>
  <c r="U844" i="13"/>
  <c r="X844" i="13" s="1"/>
  <c r="S919" i="15"/>
  <c r="U919" i="15" s="1"/>
  <c r="W919" i="15" s="1"/>
  <c r="S263" i="18"/>
  <c r="U263" i="18" s="1"/>
  <c r="X263" i="18" s="1"/>
  <c r="Q661" i="18"/>
  <c r="Q663" i="18" s="1"/>
  <c r="S113" i="18"/>
  <c r="U113" i="18" s="1"/>
  <c r="X113" i="18" s="1"/>
  <c r="S271" i="18"/>
  <c r="U271" i="18" s="1"/>
  <c r="X271" i="18" s="1"/>
  <c r="S777" i="18"/>
  <c r="U777" i="18" s="1"/>
  <c r="X777" i="18" s="1"/>
  <c r="S153" i="18"/>
  <c r="R661" i="16"/>
  <c r="R663" i="16" s="1"/>
  <c r="S275" i="18"/>
  <c r="U275" i="18" s="1"/>
  <c r="X275" i="18" s="1"/>
  <c r="S749" i="13"/>
  <c r="U749" i="13" s="1"/>
  <c r="X749" i="13" s="1"/>
  <c r="S1206" i="18"/>
  <c r="S818" i="18"/>
  <c r="U818" i="18" s="1"/>
  <c r="X818" i="18" s="1"/>
  <c r="S1031" i="18"/>
  <c r="S1291" i="16"/>
  <c r="U1291" i="16" s="1"/>
  <c r="R1398" i="16" s="1"/>
  <c r="R861" i="16" s="1"/>
  <c r="S108" i="18"/>
  <c r="U108" i="18" s="1"/>
  <c r="X108" i="18" s="1"/>
  <c r="S307" i="18"/>
  <c r="S1208" i="18"/>
  <c r="Q921" i="18"/>
  <c r="S1180" i="18"/>
  <c r="U1180" i="18" s="1"/>
  <c r="R1333" i="15"/>
  <c r="S820" i="18"/>
  <c r="U820" i="18" s="1"/>
  <c r="X820" i="18" s="1"/>
  <c r="U385" i="16"/>
  <c r="W385" i="16" s="1"/>
  <c r="S744" i="18"/>
  <c r="U744" i="18" s="1"/>
  <c r="X744" i="18" s="1"/>
  <c r="R751" i="18"/>
  <c r="S751" i="13"/>
  <c r="S1322" i="13" s="1"/>
  <c r="U1322" i="13" s="1"/>
  <c r="S737" i="18"/>
  <c r="U737" i="18" s="1"/>
  <c r="X737" i="18" s="1"/>
  <c r="S1297" i="13"/>
  <c r="S642" i="18"/>
  <c r="U642" i="18" s="1"/>
  <c r="X642" i="18" s="1"/>
  <c r="S120" i="18"/>
  <c r="U120" i="18" s="1"/>
  <c r="X120" i="18" s="1"/>
  <c r="S155" i="18"/>
  <c r="S292" i="18"/>
  <c r="U495" i="13"/>
  <c r="X495" i="13" s="1"/>
  <c r="S900" i="18"/>
  <c r="U900" i="18" s="1"/>
  <c r="X900" i="18" s="1"/>
  <c r="S655" i="18"/>
  <c r="U655" i="18" s="1"/>
  <c r="X655" i="18" s="1"/>
  <c r="U138" i="15"/>
  <c r="W138" i="15" s="1"/>
  <c r="S741" i="15"/>
  <c r="S1321" i="15" s="1"/>
  <c r="U1321" i="15" s="1"/>
  <c r="J1428" i="15" s="1"/>
  <c r="U113" i="15"/>
  <c r="W113" i="15" s="1"/>
  <c r="U818" i="13"/>
  <c r="X818" i="13" s="1"/>
  <c r="S1289" i="16"/>
  <c r="U1289" i="16" s="1"/>
  <c r="S1396" i="16" s="1"/>
  <c r="S807" i="18"/>
  <c r="U807" i="18" s="1"/>
  <c r="X807" i="18" s="1"/>
  <c r="U645" i="13"/>
  <c r="X645" i="13" s="1"/>
  <c r="S659" i="16"/>
  <c r="U659" i="16" s="1"/>
  <c r="W659" i="16" s="1"/>
  <c r="S814" i="13"/>
  <c r="U814" i="13" s="1"/>
  <c r="X814" i="13" s="1"/>
  <c r="S643" i="18"/>
  <c r="U643" i="18" s="1"/>
  <c r="X643" i="18" s="1"/>
  <c r="S641" i="18"/>
  <c r="U641" i="18" s="1"/>
  <c r="X641" i="18" s="1"/>
  <c r="S640" i="18"/>
  <c r="U640" i="18" s="1"/>
  <c r="X640" i="18" s="1"/>
  <c r="S727" i="18"/>
  <c r="U744" i="15"/>
  <c r="W744" i="15" s="1"/>
  <c r="U474" i="15"/>
  <c r="W474" i="15" s="1"/>
  <c r="S913" i="18"/>
  <c r="U913" i="18" s="1"/>
  <c r="X913" i="18" s="1"/>
  <c r="U155" i="13"/>
  <c r="X155" i="13" s="1"/>
  <c r="S912" i="18"/>
  <c r="U912" i="18" s="1"/>
  <c r="X912" i="18" s="1"/>
  <c r="S242" i="13"/>
  <c r="S1289" i="13"/>
  <c r="U1289" i="13" s="1"/>
  <c r="L1396" i="13" s="1"/>
  <c r="S1289" i="15"/>
  <c r="U1289" i="15" s="1"/>
  <c r="S474" i="13"/>
  <c r="S476" i="13" s="1"/>
  <c r="U473" i="15"/>
  <c r="W473" i="15" s="1"/>
  <c r="U241" i="16"/>
  <c r="W241" i="16" s="1"/>
  <c r="S825" i="13"/>
  <c r="S1328" i="13" s="1"/>
  <c r="S1297" i="16"/>
  <c r="S825" i="16"/>
  <c r="S1328" i="16" s="1"/>
  <c r="U1328" i="16" s="1"/>
  <c r="U120" i="13"/>
  <c r="X120" i="13" s="1"/>
  <c r="S806" i="18"/>
  <c r="U806" i="18" s="1"/>
  <c r="X806" i="18" s="1"/>
  <c r="S702" i="18"/>
  <c r="U702" i="18" s="1"/>
  <c r="X702" i="18" s="1"/>
  <c r="U292" i="13"/>
  <c r="X292" i="13" s="1"/>
  <c r="U114" i="15"/>
  <c r="W114" i="15" s="1"/>
  <c r="P25" i="1"/>
  <c r="S473" i="18"/>
  <c r="S474" i="18" s="1"/>
  <c r="S476" i="18" s="1"/>
  <c r="U476" i="18" s="1"/>
  <c r="X476" i="18" s="1"/>
  <c r="S1099" i="18"/>
  <c r="U1099" i="18" s="1"/>
  <c r="X1099" i="18" s="1"/>
  <c r="S385" i="18"/>
  <c r="S386" i="18" s="1"/>
  <c r="S117" i="18"/>
  <c r="U117" i="18" s="1"/>
  <c r="X117" i="18" s="1"/>
  <c r="S919" i="16"/>
  <c r="U919" i="16" s="1"/>
  <c r="W919" i="16" s="1"/>
  <c r="S685" i="18"/>
  <c r="U685" i="18" s="1"/>
  <c r="X685" i="18" s="1"/>
  <c r="S811" i="18"/>
  <c r="U811" i="18" s="1"/>
  <c r="X811" i="18" s="1"/>
  <c r="S736" i="18"/>
  <c r="U736" i="18" s="1"/>
  <c r="X736" i="18" s="1"/>
  <c r="S902" i="18"/>
  <c r="U902" i="18" s="1"/>
  <c r="X902" i="18" s="1"/>
  <c r="S748" i="18"/>
  <c r="U748" i="18" s="1"/>
  <c r="X748" i="18" s="1"/>
  <c r="S1288" i="15"/>
  <c r="U1288" i="15" s="1"/>
  <c r="S1395" i="15" s="1"/>
  <c r="S138" i="18"/>
  <c r="S687" i="18"/>
  <c r="S657" i="18"/>
  <c r="U657" i="18" s="1"/>
  <c r="X657" i="18" s="1"/>
  <c r="S647" i="18"/>
  <c r="U647" i="18" s="1"/>
  <c r="X647" i="18" s="1"/>
  <c r="S116" i="18"/>
  <c r="U116" i="18" s="1"/>
  <c r="X116" i="18" s="1"/>
  <c r="S1297" i="15"/>
  <c r="U244" i="15"/>
  <c r="S653" i="18"/>
  <c r="S659" i="15"/>
  <c r="U659" i="15" s="1"/>
  <c r="W659" i="15" s="1"/>
  <c r="S903" i="13"/>
  <c r="S1332" i="13" s="1"/>
  <c r="S689" i="18"/>
  <c r="U689" i="18" s="1"/>
  <c r="X689" i="18" s="1"/>
  <c r="S681" i="18"/>
  <c r="U681" i="18" s="1"/>
  <c r="X681" i="18" s="1"/>
  <c r="S745" i="18"/>
  <c r="U745" i="18" s="1"/>
  <c r="X745" i="18" s="1"/>
  <c r="S741" i="16"/>
  <c r="S850" i="18"/>
  <c r="S749" i="15"/>
  <c r="U749" i="15" s="1"/>
  <c r="W749" i="15" s="1"/>
  <c r="S810" i="18"/>
  <c r="U810" i="18" s="1"/>
  <c r="X810" i="18" s="1"/>
  <c r="S658" i="18"/>
  <c r="U658" i="18" s="1"/>
  <c r="X658" i="18" s="1"/>
  <c r="S865" i="18"/>
  <c r="U865" i="18" s="1"/>
  <c r="X865" i="18" s="1"/>
  <c r="S903" i="16"/>
  <c r="S1332" i="16" s="1"/>
  <c r="S241" i="18"/>
  <c r="S242" i="18" s="1"/>
  <c r="S645" i="18"/>
  <c r="O18" i="14" s="1"/>
  <c r="S273" i="18"/>
  <c r="U273" i="18" s="1"/>
  <c r="X273" i="18" s="1"/>
  <c r="S734" i="18"/>
  <c r="U734" i="18" s="1"/>
  <c r="X734" i="18" s="1"/>
  <c r="S656" i="18"/>
  <c r="U656" i="18" s="1"/>
  <c r="X656" i="18" s="1"/>
  <c r="S157" i="18"/>
  <c r="S388" i="16"/>
  <c r="U386" i="16"/>
  <c r="W386" i="16" s="1"/>
  <c r="U658" i="15"/>
  <c r="W658" i="15" s="1"/>
  <c r="S272" i="18"/>
  <c r="U272" i="18" s="1"/>
  <c r="X272" i="18" s="1"/>
  <c r="S264" i="18"/>
  <c r="U264" i="18" s="1"/>
  <c r="X264" i="18" s="1"/>
  <c r="S848" i="18"/>
  <c r="U848" i="18" s="1"/>
  <c r="X848" i="18" s="1"/>
  <c r="S309" i="18"/>
  <c r="U242" i="15"/>
  <c r="W242" i="15" s="1"/>
  <c r="S648" i="16"/>
  <c r="U648" i="16" s="1"/>
  <c r="W648" i="16" s="1"/>
  <c r="S918" i="18"/>
  <c r="U918" i="18" s="1"/>
  <c r="X918" i="18" s="1"/>
  <c r="S654" i="18"/>
  <c r="U654" i="18" s="1"/>
  <c r="X654" i="18" s="1"/>
  <c r="S814" i="16"/>
  <c r="S1327" i="16" s="1"/>
  <c r="S749" i="16"/>
  <c r="U749" i="16" s="1"/>
  <c r="W749" i="16" s="1"/>
  <c r="S115" i="18"/>
  <c r="U115" i="18" s="1"/>
  <c r="X115" i="18" s="1"/>
  <c r="S917" i="18"/>
  <c r="S915" i="13"/>
  <c r="S1333" i="13" s="1"/>
  <c r="U1333" i="13" s="1"/>
  <c r="S901" i="18"/>
  <c r="U901" i="18" s="1"/>
  <c r="S822" i="18"/>
  <c r="U822" i="18" s="1"/>
  <c r="X822" i="18" s="1"/>
  <c r="S741" i="13"/>
  <c r="S1321" i="13" s="1"/>
  <c r="U241" i="15"/>
  <c r="W241" i="15" s="1"/>
  <c r="U917" i="15"/>
  <c r="W917" i="15" s="1"/>
  <c r="S747" i="18"/>
  <c r="U747" i="18" s="1"/>
  <c r="X747" i="18" s="1"/>
  <c r="S821" i="18"/>
  <c r="U821" i="18" s="1"/>
  <c r="X821" i="18" s="1"/>
  <c r="S825" i="15"/>
  <c r="S1328" i="15" s="1"/>
  <c r="S751" i="15"/>
  <c r="S1322" i="15" s="1"/>
  <c r="S915" i="16"/>
  <c r="S119" i="18"/>
  <c r="U119" i="18" s="1"/>
  <c r="X119" i="18" s="1"/>
  <c r="S746" i="18"/>
  <c r="U746" i="18" s="1"/>
  <c r="X746" i="18" s="1"/>
  <c r="S808" i="18"/>
  <c r="U808" i="18" s="1"/>
  <c r="X808" i="18" s="1"/>
  <c r="R648" i="18"/>
  <c r="S270" i="18"/>
  <c r="U270" i="18" s="1"/>
  <c r="X270" i="18" s="1"/>
  <c r="S919" i="13"/>
  <c r="U919" i="13" s="1"/>
  <c r="X919" i="13" s="1"/>
  <c r="S852" i="18"/>
  <c r="U852" i="18" s="1"/>
  <c r="X852" i="18" s="1"/>
  <c r="S648" i="13"/>
  <c r="S650" i="13" s="1"/>
  <c r="S659" i="13"/>
  <c r="U659" i="13" s="1"/>
  <c r="X659" i="13" s="1"/>
  <c r="S751" i="16"/>
  <c r="S903" i="15"/>
  <c r="U900" i="15"/>
  <c r="W900" i="15" s="1"/>
  <c r="S814" i="15"/>
  <c r="U805" i="15"/>
  <c r="W805" i="15" s="1"/>
  <c r="S812" i="15"/>
  <c r="U812" i="15" s="1"/>
  <c r="W812" i="15" s="1"/>
  <c r="R650" i="13"/>
  <c r="S244" i="16"/>
  <c r="U242" i="16"/>
  <c r="W242" i="16" s="1"/>
  <c r="S646" i="18"/>
  <c r="U646" i="18" s="1"/>
  <c r="X646" i="18" s="1"/>
  <c r="S114" i="18"/>
  <c r="S1288" i="13"/>
  <c r="U114" i="13"/>
  <c r="X114" i="13" s="1"/>
  <c r="S274" i="18"/>
  <c r="U274" i="18" s="1"/>
  <c r="X274" i="18" s="1"/>
  <c r="S268" i="18"/>
  <c r="U268" i="18" s="1"/>
  <c r="X268" i="18" s="1"/>
  <c r="U271" i="15"/>
  <c r="W271" i="15" s="1"/>
  <c r="G1280" i="13"/>
  <c r="H1279" i="13"/>
  <c r="R661" i="15"/>
  <c r="G1278" i="15"/>
  <c r="G1279" i="15" s="1"/>
  <c r="H1277" i="15"/>
  <c r="S805" i="18"/>
  <c r="S915" i="15"/>
  <c r="S914" i="18"/>
  <c r="U914" i="18" s="1"/>
  <c r="X914" i="18" s="1"/>
  <c r="S644" i="18"/>
  <c r="U644" i="18" s="1"/>
  <c r="X644" i="18" s="1"/>
  <c r="U68" i="15"/>
  <c r="W68" i="15" s="1"/>
  <c r="S311" i="18"/>
  <c r="N663" i="18"/>
  <c r="N73" i="18"/>
  <c r="S269" i="18"/>
  <c r="G1280" i="16"/>
  <c r="H1279" i="16"/>
  <c r="S118" i="18"/>
  <c r="U118" i="18" s="1"/>
  <c r="X118" i="18" s="1"/>
  <c r="U118" i="13"/>
  <c r="X118" i="13" s="1"/>
  <c r="S823" i="15"/>
  <c r="U817" i="15"/>
  <c r="W817" i="15" s="1"/>
  <c r="N69" i="18"/>
  <c r="S809" i="18"/>
  <c r="U809" i="18" s="1"/>
  <c r="X809" i="18" s="1"/>
  <c r="U263" i="15"/>
  <c r="W263" i="15" s="1"/>
  <c r="S648" i="15"/>
  <c r="U640" i="15"/>
  <c r="W640" i="15" s="1"/>
  <c r="S476" i="16"/>
  <c r="U474" i="16"/>
  <c r="W474" i="16" s="1"/>
  <c r="S1029" i="18"/>
  <c r="N68" i="18"/>
  <c r="N18" i="14"/>
  <c r="W640" i="18" l="1"/>
  <c r="B1006" i="16"/>
  <c r="B270" i="16"/>
  <c r="B1098" i="16"/>
  <c r="B149" i="16"/>
  <c r="B196" i="16"/>
  <c r="B691" i="16"/>
  <c r="B1129" i="16"/>
  <c r="B603" i="16"/>
  <c r="B900" i="16"/>
  <c r="B855" i="16"/>
  <c r="B529" i="16"/>
  <c r="B303" i="16"/>
  <c r="B115" i="16"/>
  <c r="B736" i="16"/>
  <c r="B781" i="16"/>
  <c r="B650" i="16"/>
  <c r="B356" i="16"/>
  <c r="B952" i="16"/>
  <c r="B815" i="16"/>
  <c r="B925" i="44"/>
  <c r="U157" i="18"/>
  <c r="X157" i="18" s="1"/>
  <c r="U292" i="18"/>
  <c r="X292" i="18" s="1"/>
  <c r="U269" i="18"/>
  <c r="X269" i="18" s="1"/>
  <c r="U155" i="18"/>
  <c r="X155" i="18" s="1"/>
  <c r="U1031" i="18"/>
  <c r="X1031" i="18" s="1"/>
  <c r="U1029" i="18"/>
  <c r="X1029" i="18" s="1"/>
  <c r="U138" i="18"/>
  <c r="X138" i="18" s="1"/>
  <c r="U311" i="18"/>
  <c r="X311" i="18" s="1"/>
  <c r="U114" i="18"/>
  <c r="X114" i="18" s="1"/>
  <c r="U309" i="18"/>
  <c r="X309" i="18" s="1"/>
  <c r="W494" i="16"/>
  <c r="W494" i="15"/>
  <c r="F25" i="1"/>
  <c r="U1332" i="13"/>
  <c r="X901" i="18"/>
  <c r="W901" i="18"/>
  <c r="X1180" i="18"/>
  <c r="W1180" i="18"/>
  <c r="B855" i="8"/>
  <c r="B900" i="8"/>
  <c r="B66" i="8"/>
  <c r="B28" i="8"/>
  <c r="B736" i="8"/>
  <c r="B952" i="8"/>
  <c r="B196" i="8"/>
  <c r="B603" i="8"/>
  <c r="B529" i="8"/>
  <c r="B1098" i="8"/>
  <c r="B691" i="8"/>
  <c r="B650" i="8"/>
  <c r="B1129" i="8"/>
  <c r="B815" i="8"/>
  <c r="B781" i="8"/>
  <c r="U494" i="18"/>
  <c r="R661" i="18"/>
  <c r="R663" i="18" s="1"/>
  <c r="R921" i="18"/>
  <c r="U1395" i="16"/>
  <c r="S388" i="13"/>
  <c r="U388" i="13" s="1"/>
  <c r="X388" i="13" s="1"/>
  <c r="U474" i="13"/>
  <c r="X474" i="13" s="1"/>
  <c r="S741" i="18"/>
  <c r="U741" i="18" s="1"/>
  <c r="N1398" i="16"/>
  <c r="N861" i="16" s="1"/>
  <c r="M1398" i="16"/>
  <c r="M682" i="16" s="1"/>
  <c r="R1396" i="13"/>
  <c r="U751" i="15"/>
  <c r="W751" i="15" s="1"/>
  <c r="O119" i="14"/>
  <c r="Q1396" i="13"/>
  <c r="J1396" i="13"/>
  <c r="S1327" i="13"/>
  <c r="U1327" i="13" s="1"/>
  <c r="S1434" i="13" s="1"/>
  <c r="S804" i="13" s="1"/>
  <c r="R1018" i="16"/>
  <c r="K1398" i="16"/>
  <c r="K698" i="16" s="1"/>
  <c r="R698" i="16"/>
  <c r="Q1398" i="16"/>
  <c r="Q1018" i="16" s="1"/>
  <c r="R845" i="16"/>
  <c r="S1398" i="16"/>
  <c r="S682" i="16" s="1"/>
  <c r="U645" i="18"/>
  <c r="X645" i="18" s="1"/>
  <c r="S1428" i="15"/>
  <c r="S738" i="15" s="1"/>
  <c r="P1396" i="13"/>
  <c r="K1396" i="13"/>
  <c r="U903" i="16"/>
  <c r="W903" i="16" s="1"/>
  <c r="U751" i="13"/>
  <c r="X751" i="13" s="1"/>
  <c r="O1396" i="13"/>
  <c r="M1396" i="13"/>
  <c r="S921" i="13"/>
  <c r="U921" i="13" s="1"/>
  <c r="X921" i="13" s="1"/>
  <c r="P1398" i="16"/>
  <c r="P682" i="16" s="1"/>
  <c r="L1398" i="16"/>
  <c r="L861" i="16" s="1"/>
  <c r="R682" i="16"/>
  <c r="O1398" i="16"/>
  <c r="O861" i="16" s="1"/>
  <c r="J1398" i="16"/>
  <c r="J845" i="16" s="1"/>
  <c r="U825" i="15"/>
  <c r="W825" i="15" s="1"/>
  <c r="R650" i="18"/>
  <c r="P1428" i="15"/>
  <c r="P735" i="15" s="1"/>
  <c r="U915" i="13"/>
  <c r="X915" i="13" s="1"/>
  <c r="M1428" i="15"/>
  <c r="M738" i="15" s="1"/>
  <c r="U495" i="18"/>
  <c r="Q1428" i="15"/>
  <c r="Q738" i="15" s="1"/>
  <c r="S919" i="18"/>
  <c r="U919" i="18" s="1"/>
  <c r="N1428" i="15"/>
  <c r="N735" i="15" s="1"/>
  <c r="L1428" i="15"/>
  <c r="L735" i="15" s="1"/>
  <c r="S1396" i="13"/>
  <c r="U385" i="18"/>
  <c r="X385" i="18" s="1"/>
  <c r="S921" i="16"/>
  <c r="U921" i="16" s="1"/>
  <c r="W921" i="16" s="1"/>
  <c r="O1428" i="15"/>
  <c r="O735" i="15" s="1"/>
  <c r="K1428" i="15"/>
  <c r="K735" i="15" s="1"/>
  <c r="N1396" i="13"/>
  <c r="U741" i="15"/>
  <c r="W741" i="15" s="1"/>
  <c r="R1428" i="15"/>
  <c r="R735" i="15" s="1"/>
  <c r="U825" i="16"/>
  <c r="W825" i="16" s="1"/>
  <c r="U242" i="13"/>
  <c r="X242" i="13" s="1"/>
  <c r="S659" i="18"/>
  <c r="U659" i="18" s="1"/>
  <c r="X659" i="18" s="1"/>
  <c r="R1435" i="16"/>
  <c r="R817" i="16" s="1"/>
  <c r="R823" i="16" s="1"/>
  <c r="M1435" i="16"/>
  <c r="M817" i="16" s="1"/>
  <c r="M823" i="16" s="1"/>
  <c r="S1435" i="16"/>
  <c r="S817" i="16" s="1"/>
  <c r="S823" i="16" s="1"/>
  <c r="J1435" i="16"/>
  <c r="J817" i="16" s="1"/>
  <c r="L1435" i="16"/>
  <c r="L817" i="16" s="1"/>
  <c r="L823" i="16" s="1"/>
  <c r="O1435" i="16"/>
  <c r="O817" i="16" s="1"/>
  <c r="O823" i="16" s="1"/>
  <c r="K1435" i="16"/>
  <c r="K817" i="16" s="1"/>
  <c r="K823" i="16" s="1"/>
  <c r="Q1435" i="16"/>
  <c r="Q817" i="16" s="1"/>
  <c r="Q823" i="16" s="1"/>
  <c r="P1435" i="16"/>
  <c r="P817" i="16" s="1"/>
  <c r="P823" i="16" s="1"/>
  <c r="N1435" i="16"/>
  <c r="N817" i="16" s="1"/>
  <c r="N823" i="16" s="1"/>
  <c r="U917" i="18"/>
  <c r="X917" i="18" s="1"/>
  <c r="S661" i="13"/>
  <c r="U661" i="13" s="1"/>
  <c r="X661" i="13" s="1"/>
  <c r="S73" i="18"/>
  <c r="O80" i="14" s="1"/>
  <c r="U825" i="13"/>
  <c r="X825" i="13" s="1"/>
  <c r="U653" i="18"/>
  <c r="X653" i="18" s="1"/>
  <c r="S650" i="16"/>
  <c r="U650" i="16" s="1"/>
  <c r="W650" i="16" s="1"/>
  <c r="U903" i="13"/>
  <c r="X903" i="13" s="1"/>
  <c r="S661" i="16"/>
  <c r="U661" i="16" s="1"/>
  <c r="W661" i="16" s="1"/>
  <c r="U741" i="13"/>
  <c r="X741" i="13" s="1"/>
  <c r="U814" i="16"/>
  <c r="W814" i="16" s="1"/>
  <c r="U474" i="18"/>
  <c r="X474" i="18" s="1"/>
  <c r="U241" i="18"/>
  <c r="X241" i="18" s="1"/>
  <c r="S825" i="18"/>
  <c r="U825" i="18" s="1"/>
  <c r="U648" i="13"/>
  <c r="X648" i="13" s="1"/>
  <c r="S661" i="15"/>
  <c r="S663" i="15" s="1"/>
  <c r="U650" i="13"/>
  <c r="X650" i="13" s="1"/>
  <c r="U473" i="18"/>
  <c r="X473" i="18" s="1"/>
  <c r="S915" i="18"/>
  <c r="S751" i="18"/>
  <c r="U751" i="18" s="1"/>
  <c r="X751" i="18" s="1"/>
  <c r="S749" i="18"/>
  <c r="U749" i="18" s="1"/>
  <c r="X749" i="18" s="1"/>
  <c r="S903" i="18"/>
  <c r="U903" i="18" s="1"/>
  <c r="S1321" i="16"/>
  <c r="U741" i="16"/>
  <c r="W741" i="16" s="1"/>
  <c r="S1332" i="15"/>
  <c r="U903" i="15"/>
  <c r="W903" i="15" s="1"/>
  <c r="S69" i="16"/>
  <c r="U69" i="16" s="1"/>
  <c r="W69" i="16" s="1"/>
  <c r="U388" i="16"/>
  <c r="U915" i="16"/>
  <c r="W915" i="16" s="1"/>
  <c r="S1333" i="16"/>
  <c r="U1333" i="16" s="1"/>
  <c r="R1440" i="16" s="1"/>
  <c r="S1322" i="16"/>
  <c r="U751" i="16"/>
  <c r="W751" i="16" s="1"/>
  <c r="S1018" i="13"/>
  <c r="S682" i="13"/>
  <c r="S698" i="13"/>
  <c r="S861" i="13"/>
  <c r="S845" i="13"/>
  <c r="J1440" i="13"/>
  <c r="K1440" i="13"/>
  <c r="L1440" i="13"/>
  <c r="M1440" i="13"/>
  <c r="P1440" i="13"/>
  <c r="O1440" i="13"/>
  <c r="N1440" i="13"/>
  <c r="Q1440" i="13"/>
  <c r="R1440" i="13"/>
  <c r="S73" i="16"/>
  <c r="U73" i="16" s="1"/>
  <c r="W73" i="16" s="1"/>
  <c r="U476" i="16"/>
  <c r="W476" i="16" s="1"/>
  <c r="S827" i="15"/>
  <c r="U827" i="15" s="1"/>
  <c r="W827" i="15" s="1"/>
  <c r="U823" i="15"/>
  <c r="W823" i="15" s="1"/>
  <c r="K1429" i="13"/>
  <c r="L1429" i="13"/>
  <c r="M1429" i="13"/>
  <c r="J1429" i="13"/>
  <c r="P1429" i="13"/>
  <c r="Q1429" i="13"/>
  <c r="O1429" i="13"/>
  <c r="R1429" i="13"/>
  <c r="N1429" i="13"/>
  <c r="J1396" i="15"/>
  <c r="M1396" i="15"/>
  <c r="K1396" i="15"/>
  <c r="L1396" i="15"/>
  <c r="P1396" i="15"/>
  <c r="N1396" i="15"/>
  <c r="O1396" i="15"/>
  <c r="R1396" i="15"/>
  <c r="Q1396" i="15"/>
  <c r="J75" i="14"/>
  <c r="S1429" i="13"/>
  <c r="S73" i="13"/>
  <c r="U73" i="13" s="1"/>
  <c r="X73" i="13" s="1"/>
  <c r="U476" i="13"/>
  <c r="X476" i="13" s="1"/>
  <c r="O682" i="15"/>
  <c r="O861" i="15"/>
  <c r="O845" i="15"/>
  <c r="O698" i="15"/>
  <c r="O1018" i="15"/>
  <c r="K1018" i="15"/>
  <c r="K861" i="15"/>
  <c r="K682" i="15"/>
  <c r="K698" i="15"/>
  <c r="K845" i="15"/>
  <c r="H1280" i="13"/>
  <c r="G1281" i="13"/>
  <c r="G1282" i="13" s="1"/>
  <c r="G1283" i="13" s="1"/>
  <c r="S244" i="18"/>
  <c r="U242" i="18"/>
  <c r="X242" i="18" s="1"/>
  <c r="S68" i="16"/>
  <c r="U244" i="16"/>
  <c r="W244" i="16" s="1"/>
  <c r="K1395" i="15"/>
  <c r="L1395" i="15"/>
  <c r="M1395" i="15"/>
  <c r="J1395" i="15"/>
  <c r="Q1395" i="15"/>
  <c r="P1395" i="15"/>
  <c r="O1395" i="15"/>
  <c r="N1395" i="15"/>
  <c r="R1395" i="15"/>
  <c r="S648" i="18"/>
  <c r="J76" i="14"/>
  <c r="Q1018" i="15"/>
  <c r="Q698" i="15"/>
  <c r="Q682" i="15"/>
  <c r="Q845" i="15"/>
  <c r="Q861" i="15"/>
  <c r="U1332" i="16"/>
  <c r="U1322" i="15"/>
  <c r="J80" i="14"/>
  <c r="N682" i="15"/>
  <c r="N845" i="15"/>
  <c r="N1018" i="15"/>
  <c r="N861" i="15"/>
  <c r="N698" i="15"/>
  <c r="L698" i="15"/>
  <c r="L1018" i="15"/>
  <c r="L845" i="15"/>
  <c r="L861" i="15"/>
  <c r="L682" i="15"/>
  <c r="U1327" i="16"/>
  <c r="U1288" i="13"/>
  <c r="S650" i="15"/>
  <c r="U650" i="15" s="1"/>
  <c r="W650" i="15" s="1"/>
  <c r="U648" i="15"/>
  <c r="W648" i="15" s="1"/>
  <c r="S698" i="15"/>
  <c r="S861" i="15"/>
  <c r="S682" i="15"/>
  <c r="S1018" i="15"/>
  <c r="S845" i="15"/>
  <c r="G1281" i="16"/>
  <c r="G1282" i="16" s="1"/>
  <c r="G1283" i="16" s="1"/>
  <c r="H1280" i="16"/>
  <c r="L1398" i="13"/>
  <c r="K1398" i="13"/>
  <c r="J1398" i="13"/>
  <c r="M1398" i="13"/>
  <c r="P1398" i="13"/>
  <c r="N1398" i="13"/>
  <c r="O1398" i="13"/>
  <c r="Q1398" i="13"/>
  <c r="R1398" i="13"/>
  <c r="S68" i="13"/>
  <c r="X244" i="13"/>
  <c r="S1396" i="15"/>
  <c r="N119" i="14"/>
  <c r="D18" i="14"/>
  <c r="Q18" i="14" s="1"/>
  <c r="S388" i="18"/>
  <c r="U386" i="18"/>
  <c r="X386" i="18" s="1"/>
  <c r="L1396" i="16"/>
  <c r="J1396" i="16"/>
  <c r="K1396" i="16"/>
  <c r="M1396" i="16"/>
  <c r="Q1396" i="16"/>
  <c r="P1396" i="16"/>
  <c r="O1396" i="16"/>
  <c r="N1396" i="16"/>
  <c r="R1396" i="16"/>
  <c r="U1328" i="15"/>
  <c r="U1328" i="13"/>
  <c r="S1435" i="13" s="1"/>
  <c r="S817" i="13" s="1"/>
  <c r="S921" i="15"/>
  <c r="S1333" i="15"/>
  <c r="U915" i="15"/>
  <c r="W915" i="15" s="1"/>
  <c r="P1018" i="15"/>
  <c r="P682" i="15"/>
  <c r="P698" i="15"/>
  <c r="P861" i="15"/>
  <c r="P845" i="15"/>
  <c r="U1398" i="15"/>
  <c r="J861" i="15"/>
  <c r="J682" i="15"/>
  <c r="J845" i="15"/>
  <c r="J1018" i="15"/>
  <c r="J698" i="15"/>
  <c r="U1321" i="13"/>
  <c r="S1428" i="13" s="1"/>
  <c r="R663" i="15"/>
  <c r="S1440" i="13"/>
  <c r="R1018" i="15"/>
  <c r="R861" i="15"/>
  <c r="R845" i="15"/>
  <c r="R698" i="15"/>
  <c r="R682" i="15"/>
  <c r="M698" i="15"/>
  <c r="M682" i="15"/>
  <c r="M861" i="15"/>
  <c r="M1018" i="15"/>
  <c r="M845" i="15"/>
  <c r="S814" i="18"/>
  <c r="U814" i="18" s="1"/>
  <c r="U805" i="18"/>
  <c r="X805" i="18" s="1"/>
  <c r="G1280" i="15"/>
  <c r="H1279" i="15"/>
  <c r="S1327" i="15"/>
  <c r="U814" i="15"/>
  <c r="W814" i="15" s="1"/>
  <c r="J735" i="15"/>
  <c r="J738" i="15"/>
  <c r="B1007" i="16" l="1"/>
  <c r="B357" i="16"/>
  <c r="B530" i="16"/>
  <c r="B197" i="16"/>
  <c r="B651" i="16"/>
  <c r="B856" i="16"/>
  <c r="B150" i="16"/>
  <c r="B782" i="16"/>
  <c r="B901" i="16"/>
  <c r="B1099" i="16"/>
  <c r="B816" i="16"/>
  <c r="B737" i="16"/>
  <c r="B604" i="16"/>
  <c r="B271" i="16"/>
  <c r="B116" i="16"/>
  <c r="B1130" i="16"/>
  <c r="B953" i="16"/>
  <c r="B304" i="16"/>
  <c r="B692" i="16"/>
  <c r="X494" i="18"/>
  <c r="X903" i="18"/>
  <c r="W903" i="18"/>
  <c r="X825" i="18"/>
  <c r="W825" i="18"/>
  <c r="X814" i="18"/>
  <c r="W814" i="18"/>
  <c r="X919" i="18"/>
  <c r="W919" i="18"/>
  <c r="X741" i="18"/>
  <c r="W741" i="18"/>
  <c r="B816" i="8"/>
  <c r="B1099" i="8"/>
  <c r="B197" i="8"/>
  <c r="B67" i="8"/>
  <c r="B1130" i="8"/>
  <c r="B530" i="8"/>
  <c r="B737" i="8"/>
  <c r="B901" i="8"/>
  <c r="B782" i="8"/>
  <c r="B651" i="8"/>
  <c r="B856" i="8"/>
  <c r="B692" i="8"/>
  <c r="B604" i="8"/>
  <c r="B953" i="8"/>
  <c r="B29" i="8"/>
  <c r="X495" i="18"/>
  <c r="S18" i="14"/>
  <c r="S69" i="13"/>
  <c r="U69" i="13" s="1"/>
  <c r="X69" i="13" s="1"/>
  <c r="K682" i="16"/>
  <c r="S698" i="16"/>
  <c r="S698" i="18" s="1"/>
  <c r="S735" i="15"/>
  <c r="S739" i="15" s="1"/>
  <c r="M845" i="16"/>
  <c r="M1018" i="16"/>
  <c r="S921" i="18"/>
  <c r="U921" i="18" s="1"/>
  <c r="X921" i="18" s="1"/>
  <c r="N682" i="16"/>
  <c r="J682" i="16"/>
  <c r="M698" i="16"/>
  <c r="L845" i="16"/>
  <c r="M861" i="16"/>
  <c r="N845" i="16"/>
  <c r="D119" i="14"/>
  <c r="Q119" i="14" s="1"/>
  <c r="N1018" i="16"/>
  <c r="N698" i="16"/>
  <c r="S861" i="16"/>
  <c r="S861" i="18" s="1"/>
  <c r="K738" i="15"/>
  <c r="K739" i="15" s="1"/>
  <c r="S1018" i="16"/>
  <c r="S1018" i="18" s="1"/>
  <c r="R738" i="15"/>
  <c r="R739" i="15" s="1"/>
  <c r="S845" i="16"/>
  <c r="S845" i="18" s="1"/>
  <c r="P738" i="15"/>
  <c r="P739" i="15" s="1"/>
  <c r="P698" i="16"/>
  <c r="O1018" i="16"/>
  <c r="P845" i="16"/>
  <c r="O698" i="16"/>
  <c r="Q861" i="16"/>
  <c r="P1018" i="16"/>
  <c r="K845" i="16"/>
  <c r="N738" i="15"/>
  <c r="N739" i="15" s="1"/>
  <c r="K1018" i="16"/>
  <c r="K861" i="16"/>
  <c r="S663" i="16"/>
  <c r="U663" i="16" s="1"/>
  <c r="W663" i="16" s="1"/>
  <c r="Q682" i="16"/>
  <c r="J861" i="16"/>
  <c r="Q698" i="16"/>
  <c r="Q845" i="16"/>
  <c r="M735" i="15"/>
  <c r="M739" i="15" s="1"/>
  <c r="L738" i="15"/>
  <c r="L739" i="15" s="1"/>
  <c r="L698" i="16"/>
  <c r="O845" i="16"/>
  <c r="O682" i="16"/>
  <c r="P861" i="16"/>
  <c r="U1398" i="16"/>
  <c r="M1440" i="16"/>
  <c r="J698" i="16"/>
  <c r="L1018" i="16"/>
  <c r="U1396" i="13"/>
  <c r="J1018" i="16"/>
  <c r="L682" i="16"/>
  <c r="Q735" i="15"/>
  <c r="U1428" i="15"/>
  <c r="O738" i="15"/>
  <c r="U1435" i="16"/>
  <c r="U661" i="15"/>
  <c r="W661" i="15" s="1"/>
  <c r="U663" i="15"/>
  <c r="W663" i="15" s="1"/>
  <c r="S663" i="13"/>
  <c r="U663" i="13" s="1"/>
  <c r="X663" i="13" s="1"/>
  <c r="S661" i="18"/>
  <c r="U661" i="18" s="1"/>
  <c r="P1440" i="16"/>
  <c r="D80" i="14"/>
  <c r="Q80" i="14" s="1"/>
  <c r="K1440" i="16"/>
  <c r="U73" i="18"/>
  <c r="X73" i="18" s="1"/>
  <c r="O1440" i="16"/>
  <c r="N1440" i="16"/>
  <c r="L1440" i="16"/>
  <c r="U1321" i="16"/>
  <c r="S1440" i="16"/>
  <c r="U915" i="18"/>
  <c r="Q1440" i="16"/>
  <c r="J1440" i="16"/>
  <c r="U1322" i="16"/>
  <c r="S1429" i="16" s="1"/>
  <c r="U1332" i="15"/>
  <c r="S1439" i="15" s="1"/>
  <c r="U682" i="15"/>
  <c r="W682" i="15" s="1"/>
  <c r="N698" i="13"/>
  <c r="N845" i="13"/>
  <c r="N682" i="13"/>
  <c r="N1018" i="13"/>
  <c r="N861" i="13"/>
  <c r="N861" i="18" s="1"/>
  <c r="K1018" i="13"/>
  <c r="K682" i="13"/>
  <c r="K861" i="13"/>
  <c r="K698" i="13"/>
  <c r="K698" i="18" s="1"/>
  <c r="K845" i="13"/>
  <c r="L1434" i="16"/>
  <c r="L804" i="16" s="1"/>
  <c r="L812" i="16" s="1"/>
  <c r="L827" i="16" s="1"/>
  <c r="M1434" i="16"/>
  <c r="M804" i="16" s="1"/>
  <c r="M812" i="16" s="1"/>
  <c r="M827" i="16" s="1"/>
  <c r="K1434" i="16"/>
  <c r="K804" i="16" s="1"/>
  <c r="K812" i="16" s="1"/>
  <c r="K827" i="16" s="1"/>
  <c r="J1434" i="16"/>
  <c r="O1434" i="16"/>
  <c r="O804" i="16" s="1"/>
  <c r="O812" i="16" s="1"/>
  <c r="O827" i="16" s="1"/>
  <c r="Q1434" i="16"/>
  <c r="Q804" i="16" s="1"/>
  <c r="Q812" i="16" s="1"/>
  <c r="Q827" i="16" s="1"/>
  <c r="P1434" i="16"/>
  <c r="P804" i="16" s="1"/>
  <c r="P812" i="16" s="1"/>
  <c r="P827" i="16" s="1"/>
  <c r="R1434" i="16"/>
  <c r="R804" i="16" s="1"/>
  <c r="R812" i="16" s="1"/>
  <c r="R827" i="16" s="1"/>
  <c r="N1434" i="16"/>
  <c r="N804" i="16" s="1"/>
  <c r="N812" i="16" s="1"/>
  <c r="N827" i="16" s="1"/>
  <c r="L1439" i="16"/>
  <c r="K1439" i="16"/>
  <c r="M1439" i="16"/>
  <c r="J1439" i="16"/>
  <c r="Q1439" i="16"/>
  <c r="R1439" i="16"/>
  <c r="O1439" i="16"/>
  <c r="P1439" i="16"/>
  <c r="N1439" i="16"/>
  <c r="S650" i="18"/>
  <c r="U650" i="18" s="1"/>
  <c r="W650" i="18" s="1"/>
  <c r="U648" i="18"/>
  <c r="U68" i="16"/>
  <c r="W68" i="16" s="1"/>
  <c r="J739" i="15"/>
  <c r="U698" i="15"/>
  <c r="W698" i="15" s="1"/>
  <c r="U861" i="15"/>
  <c r="W861" i="15" s="1"/>
  <c r="U1333" i="15"/>
  <c r="S1440" i="15" s="1"/>
  <c r="L1435" i="15"/>
  <c r="K1435" i="15"/>
  <c r="M1435" i="15"/>
  <c r="J1435" i="15"/>
  <c r="P1435" i="15"/>
  <c r="O1435" i="15"/>
  <c r="Q1435" i="15"/>
  <c r="R1435" i="15"/>
  <c r="N1435" i="15"/>
  <c r="S69" i="18"/>
  <c r="U388" i="18"/>
  <c r="X388" i="18" s="1"/>
  <c r="R845" i="13"/>
  <c r="R1018" i="13"/>
  <c r="R1018" i="18" s="1"/>
  <c r="R698" i="13"/>
  <c r="R698" i="18" s="1"/>
  <c r="R861" i="13"/>
  <c r="R861" i="18" s="1"/>
  <c r="R682" i="13"/>
  <c r="P682" i="13"/>
  <c r="P861" i="13"/>
  <c r="P845" i="13"/>
  <c r="P698" i="13"/>
  <c r="P1018" i="13"/>
  <c r="L682" i="13"/>
  <c r="L1018" i="13"/>
  <c r="L845" i="13"/>
  <c r="L698" i="13"/>
  <c r="L861" i="13"/>
  <c r="L861" i="18" s="1"/>
  <c r="S1434" i="16"/>
  <c r="S804" i="16" s="1"/>
  <c r="S812" i="16" s="1"/>
  <c r="S827" i="16" s="1"/>
  <c r="S1439" i="16"/>
  <c r="G1284" i="13"/>
  <c r="H1283" i="13"/>
  <c r="U1327" i="15"/>
  <c r="G1281" i="15"/>
  <c r="G1282" i="15" s="1"/>
  <c r="G1283" i="15" s="1"/>
  <c r="H1280" i="15"/>
  <c r="U1018" i="15"/>
  <c r="W1018" i="15" s="1"/>
  <c r="U921" i="15"/>
  <c r="W921" i="15" s="1"/>
  <c r="S1435" i="15"/>
  <c r="U1396" i="16"/>
  <c r="Q845" i="13"/>
  <c r="Q1018" i="13"/>
  <c r="Q1018" i="18" s="1"/>
  <c r="Q682" i="13"/>
  <c r="Q698" i="13"/>
  <c r="Q861" i="13"/>
  <c r="M1018" i="13"/>
  <c r="M682" i="13"/>
  <c r="M698" i="13"/>
  <c r="M845" i="13"/>
  <c r="M861" i="13"/>
  <c r="J1395" i="13"/>
  <c r="L1395" i="13"/>
  <c r="K1395" i="13"/>
  <c r="M1395" i="13"/>
  <c r="P1395" i="13"/>
  <c r="Q1395" i="13"/>
  <c r="O1395" i="13"/>
  <c r="N1395" i="13"/>
  <c r="R1395" i="13"/>
  <c r="L1429" i="15"/>
  <c r="M1429" i="15"/>
  <c r="K1429" i="15"/>
  <c r="J1429" i="15"/>
  <c r="O1429" i="15"/>
  <c r="P1429" i="15"/>
  <c r="Q1429" i="15"/>
  <c r="R1429" i="15"/>
  <c r="N1429" i="15"/>
  <c r="U1395" i="15"/>
  <c r="S68" i="18"/>
  <c r="U244" i="18"/>
  <c r="X244" i="18" s="1"/>
  <c r="U1429" i="13"/>
  <c r="L1434" i="13"/>
  <c r="L804" i="13" s="1"/>
  <c r="K1434" i="13"/>
  <c r="K804" i="13" s="1"/>
  <c r="M1434" i="13"/>
  <c r="M804" i="13" s="1"/>
  <c r="J1434" i="13"/>
  <c r="P1434" i="13"/>
  <c r="P804" i="13" s="1"/>
  <c r="Q1434" i="13"/>
  <c r="Q804" i="13" s="1"/>
  <c r="O1434" i="13"/>
  <c r="O804" i="13" s="1"/>
  <c r="R1434" i="13"/>
  <c r="R804" i="13" s="1"/>
  <c r="N1434" i="13"/>
  <c r="N804" i="13" s="1"/>
  <c r="S682" i="18"/>
  <c r="S735" i="13"/>
  <c r="S738" i="13"/>
  <c r="S823" i="13"/>
  <c r="S817" i="18"/>
  <c r="S823" i="18" s="1"/>
  <c r="K1428" i="13"/>
  <c r="L1428" i="13"/>
  <c r="M1428" i="13"/>
  <c r="J1428" i="13"/>
  <c r="P1428" i="13"/>
  <c r="Q1428" i="13"/>
  <c r="O1428" i="13"/>
  <c r="N1428" i="13"/>
  <c r="R1428" i="13"/>
  <c r="U845" i="15"/>
  <c r="W845" i="15" s="1"/>
  <c r="K1435" i="13"/>
  <c r="K817" i="13" s="1"/>
  <c r="L1435" i="13"/>
  <c r="L817" i="13" s="1"/>
  <c r="M1435" i="13"/>
  <c r="M817" i="13" s="1"/>
  <c r="J1435" i="13"/>
  <c r="P1435" i="13"/>
  <c r="P817" i="13" s="1"/>
  <c r="O1435" i="13"/>
  <c r="O817" i="13" s="1"/>
  <c r="Q1435" i="13"/>
  <c r="Q817" i="13" s="1"/>
  <c r="R1435" i="13"/>
  <c r="R817" i="13" s="1"/>
  <c r="N1435" i="13"/>
  <c r="N817" i="13" s="1"/>
  <c r="J823" i="16"/>
  <c r="U817" i="16"/>
  <c r="W817" i="16" s="1"/>
  <c r="U68" i="13"/>
  <c r="X68" i="13" s="1"/>
  <c r="O861" i="13"/>
  <c r="O861" i="18" s="1"/>
  <c r="O845" i="13"/>
  <c r="O682" i="13"/>
  <c r="O1018" i="13"/>
  <c r="O698" i="13"/>
  <c r="U1398" i="13"/>
  <c r="J682" i="13"/>
  <c r="J845" i="13"/>
  <c r="J861" i="13"/>
  <c r="J1018" i="13"/>
  <c r="J698" i="13"/>
  <c r="G1284" i="16"/>
  <c r="H1283" i="16"/>
  <c r="S1395" i="13"/>
  <c r="S1429" i="15"/>
  <c r="U1396" i="15"/>
  <c r="S812" i="13"/>
  <c r="U1440" i="13"/>
  <c r="B1008" i="16" l="1"/>
  <c r="B954" i="16"/>
  <c r="B605" i="16"/>
  <c r="B151" i="16"/>
  <c r="B738" i="16"/>
  <c r="B857" i="16"/>
  <c r="B1131" i="16"/>
  <c r="B817" i="16"/>
  <c r="B652" i="16"/>
  <c r="B117" i="16"/>
  <c r="B198" i="16"/>
  <c r="B693" i="16"/>
  <c r="B902" i="16"/>
  <c r="B531" i="16"/>
  <c r="B305" i="16"/>
  <c r="B272" i="16"/>
  <c r="B783" i="16"/>
  <c r="B358" i="16"/>
  <c r="X648" i="18"/>
  <c r="W648" i="18"/>
  <c r="X915" i="18"/>
  <c r="W915" i="18"/>
  <c r="X661" i="18"/>
  <c r="W661" i="18"/>
  <c r="B605" i="8"/>
  <c r="B783" i="8"/>
  <c r="B531" i="8"/>
  <c r="B693" i="8"/>
  <c r="B902" i="8"/>
  <c r="B1131" i="8"/>
  <c r="B198" i="8"/>
  <c r="B31" i="8"/>
  <c r="B738" i="8"/>
  <c r="B954" i="8"/>
  <c r="B857" i="8"/>
  <c r="B652" i="8"/>
  <c r="B68" i="8"/>
  <c r="B817" i="8"/>
  <c r="S119" i="14"/>
  <c r="S80" i="14"/>
  <c r="M1018" i="18"/>
  <c r="K1018" i="18"/>
  <c r="Q698" i="18"/>
  <c r="P1018" i="18"/>
  <c r="M861" i="18"/>
  <c r="U698" i="16"/>
  <c r="W698" i="16" s="1"/>
  <c r="N698" i="18"/>
  <c r="M698" i="18"/>
  <c r="P698" i="18"/>
  <c r="N1018" i="18"/>
  <c r="O1018" i="18"/>
  <c r="L1018" i="18"/>
  <c r="K861" i="18"/>
  <c r="O698" i="18"/>
  <c r="Q861" i="18"/>
  <c r="U1018" i="16"/>
  <c r="W1018" i="16" s="1"/>
  <c r="U861" i="16"/>
  <c r="W861" i="16" s="1"/>
  <c r="U735" i="15"/>
  <c r="W735" i="15" s="1"/>
  <c r="U845" i="16"/>
  <c r="W845" i="16" s="1"/>
  <c r="P861" i="18"/>
  <c r="U738" i="15"/>
  <c r="W738" i="15" s="1"/>
  <c r="L698" i="18"/>
  <c r="U682" i="16"/>
  <c r="W682" i="16" s="1"/>
  <c r="Q739" i="15"/>
  <c r="O739" i="15"/>
  <c r="S663" i="18"/>
  <c r="U663" i="18" s="1"/>
  <c r="W663" i="18" s="1"/>
  <c r="U1440" i="16"/>
  <c r="J1428" i="16"/>
  <c r="L1428" i="16"/>
  <c r="Q1428" i="16"/>
  <c r="M1428" i="16"/>
  <c r="P1428" i="16"/>
  <c r="K1428" i="16"/>
  <c r="O1428" i="16"/>
  <c r="N1428" i="16"/>
  <c r="R1428" i="16"/>
  <c r="S1428" i="16"/>
  <c r="S906" i="15"/>
  <c r="S905" i="15"/>
  <c r="S700" i="16"/>
  <c r="S863" i="16"/>
  <c r="R1429" i="16"/>
  <c r="M1429" i="16"/>
  <c r="P1429" i="16"/>
  <c r="K1429" i="16"/>
  <c r="Q1429" i="16"/>
  <c r="J1429" i="16"/>
  <c r="L1429" i="16"/>
  <c r="O1429" i="16"/>
  <c r="N1429" i="16"/>
  <c r="R1439" i="15"/>
  <c r="Q1439" i="15"/>
  <c r="L1439" i="15"/>
  <c r="O1439" i="15"/>
  <c r="N1439" i="15"/>
  <c r="M1439" i="15"/>
  <c r="P1439" i="15"/>
  <c r="K1439" i="15"/>
  <c r="J1439" i="15"/>
  <c r="J845" i="18"/>
  <c r="U845" i="13"/>
  <c r="X845" i="13" s="1"/>
  <c r="N823" i="13"/>
  <c r="N817" i="18"/>
  <c r="N823" i="18" s="1"/>
  <c r="Q738" i="13"/>
  <c r="Q735" i="13"/>
  <c r="P812" i="13"/>
  <c r="P804" i="18"/>
  <c r="P812" i="18" s="1"/>
  <c r="M845" i="18"/>
  <c r="R682" i="18"/>
  <c r="P905" i="16"/>
  <c r="P906" i="16"/>
  <c r="K682" i="18"/>
  <c r="N682" i="18"/>
  <c r="J698" i="18"/>
  <c r="U698" i="13"/>
  <c r="X698" i="13" s="1"/>
  <c r="J682" i="18"/>
  <c r="U682" i="13"/>
  <c r="X682" i="13" s="1"/>
  <c r="O682" i="18"/>
  <c r="S905" i="13"/>
  <c r="S906" i="13"/>
  <c r="R823" i="13"/>
  <c r="R817" i="18"/>
  <c r="R823" i="18" s="1"/>
  <c r="U1435" i="13"/>
  <c r="J817" i="13"/>
  <c r="R738" i="13"/>
  <c r="R735" i="13"/>
  <c r="P735" i="13"/>
  <c r="P738" i="13"/>
  <c r="K735" i="13"/>
  <c r="K738" i="13"/>
  <c r="S739" i="13"/>
  <c r="R812" i="13"/>
  <c r="R804" i="18"/>
  <c r="R812" i="18" s="1"/>
  <c r="U1434" i="13"/>
  <c r="J804" i="13"/>
  <c r="Q906" i="13"/>
  <c r="Q905" i="13"/>
  <c r="L905" i="13"/>
  <c r="L906" i="13"/>
  <c r="P845" i="18"/>
  <c r="M1440" i="15"/>
  <c r="K1440" i="15"/>
  <c r="L1440" i="15"/>
  <c r="J1440" i="15"/>
  <c r="P1440" i="15"/>
  <c r="O1440" i="15"/>
  <c r="Q1440" i="15"/>
  <c r="N1440" i="15"/>
  <c r="R1440" i="15"/>
  <c r="O905" i="16"/>
  <c r="O906" i="16"/>
  <c r="M906" i="16"/>
  <c r="M905" i="16"/>
  <c r="K845" i="18"/>
  <c r="N845" i="18"/>
  <c r="K823" i="13"/>
  <c r="K817" i="18"/>
  <c r="K823" i="18" s="1"/>
  <c r="L738" i="13"/>
  <c r="L735" i="13"/>
  <c r="Q845" i="18"/>
  <c r="O905" i="13"/>
  <c r="O906" i="13"/>
  <c r="S804" i="18"/>
  <c r="S812" i="18" s="1"/>
  <c r="S827" i="18" s="1"/>
  <c r="J1018" i="18"/>
  <c r="U1018" i="13"/>
  <c r="X1018" i="13" s="1"/>
  <c r="O845" i="18"/>
  <c r="Q823" i="13"/>
  <c r="Q817" i="18"/>
  <c r="Q823" i="18" s="1"/>
  <c r="M823" i="13"/>
  <c r="M817" i="18"/>
  <c r="M823" i="18" s="1"/>
  <c r="N738" i="13"/>
  <c r="N735" i="13"/>
  <c r="U1428" i="13"/>
  <c r="J738" i="13"/>
  <c r="J735" i="13"/>
  <c r="O812" i="13"/>
  <c r="O804" i="18"/>
  <c r="O812" i="18" s="1"/>
  <c r="M812" i="13"/>
  <c r="M804" i="18"/>
  <c r="M812" i="18" s="1"/>
  <c r="U1429" i="15"/>
  <c r="M682" i="18"/>
  <c r="Q682" i="18"/>
  <c r="N905" i="13"/>
  <c r="N906" i="13"/>
  <c r="P906" i="13"/>
  <c r="P905" i="13"/>
  <c r="K905" i="13"/>
  <c r="K906" i="13"/>
  <c r="G1284" i="15"/>
  <c r="H1283" i="15"/>
  <c r="K1434" i="15"/>
  <c r="L1434" i="15"/>
  <c r="M1434" i="15"/>
  <c r="J1434" i="15"/>
  <c r="P1434" i="15"/>
  <c r="O1434" i="15"/>
  <c r="N1434" i="15"/>
  <c r="R1434" i="15"/>
  <c r="Q1434" i="15"/>
  <c r="L682" i="18"/>
  <c r="O76" i="14"/>
  <c r="U69" i="18"/>
  <c r="X69" i="18" s="1"/>
  <c r="U1435" i="15"/>
  <c r="R906" i="16"/>
  <c r="R905" i="16"/>
  <c r="K905" i="16"/>
  <c r="K906" i="16"/>
  <c r="U1434" i="16"/>
  <c r="J804" i="16"/>
  <c r="G1285" i="16"/>
  <c r="G1286" i="16" s="1"/>
  <c r="H1284" i="16"/>
  <c r="P823" i="13"/>
  <c r="P817" i="18"/>
  <c r="P823" i="18" s="1"/>
  <c r="N812" i="13"/>
  <c r="N804" i="18"/>
  <c r="N812" i="18" s="1"/>
  <c r="L812" i="13"/>
  <c r="L804" i="18"/>
  <c r="L812" i="18" s="1"/>
  <c r="M906" i="13"/>
  <c r="M905" i="13"/>
  <c r="L845" i="18"/>
  <c r="R845" i="18"/>
  <c r="U1439" i="16"/>
  <c r="J905" i="16"/>
  <c r="J906" i="16"/>
  <c r="U861" i="13"/>
  <c r="X861" i="13" s="1"/>
  <c r="J861" i="18"/>
  <c r="U823" i="16"/>
  <c r="W823" i="16" s="1"/>
  <c r="O823" i="13"/>
  <c r="O817" i="18"/>
  <c r="O823" i="18" s="1"/>
  <c r="L823" i="13"/>
  <c r="L817" i="18"/>
  <c r="L823" i="18" s="1"/>
  <c r="O738" i="13"/>
  <c r="O735" i="13"/>
  <c r="M735" i="13"/>
  <c r="M738" i="13"/>
  <c r="S827" i="13"/>
  <c r="Q812" i="13"/>
  <c r="Q804" i="18"/>
  <c r="Q812" i="18" s="1"/>
  <c r="K812" i="13"/>
  <c r="K804" i="18"/>
  <c r="K812" i="18" s="1"/>
  <c r="O75" i="14"/>
  <c r="U68" i="18"/>
  <c r="X68" i="18" s="1"/>
  <c r="U1395" i="13"/>
  <c r="R906" i="13"/>
  <c r="R905" i="13"/>
  <c r="J906" i="13"/>
  <c r="J905" i="13"/>
  <c r="S1434" i="15"/>
  <c r="G1285" i="13"/>
  <c r="G1286" i="13" s="1"/>
  <c r="H1284" i="13"/>
  <c r="S906" i="16"/>
  <c r="S905" i="16"/>
  <c r="P682" i="18"/>
  <c r="N906" i="16"/>
  <c r="N905" i="16"/>
  <c r="Q906" i="16"/>
  <c r="Q905" i="16"/>
  <c r="L905" i="16"/>
  <c r="L906" i="16"/>
  <c r="B1009" i="16" l="1"/>
  <c r="B306" i="16"/>
  <c r="B858" i="16"/>
  <c r="B532" i="16"/>
  <c r="B118" i="16"/>
  <c r="B739" i="16"/>
  <c r="B903" i="16"/>
  <c r="B359" i="16"/>
  <c r="B653" i="16"/>
  <c r="B152" i="16"/>
  <c r="B784" i="16"/>
  <c r="B694" i="16"/>
  <c r="B818" i="16"/>
  <c r="B606" i="16"/>
  <c r="B273" i="16"/>
  <c r="B199" i="16"/>
  <c r="B1132" i="16"/>
  <c r="B955" i="16"/>
  <c r="B532" i="8"/>
  <c r="B653" i="8"/>
  <c r="B32" i="8"/>
  <c r="B818" i="8"/>
  <c r="B858" i="8"/>
  <c r="B739" i="8"/>
  <c r="B199" i="8"/>
  <c r="B694" i="8"/>
  <c r="B784" i="8"/>
  <c r="B69" i="8"/>
  <c r="B955" i="8"/>
  <c r="B1132" i="8"/>
  <c r="B903" i="8"/>
  <c r="B606" i="8"/>
  <c r="D76" i="14"/>
  <c r="Q76" i="14" s="1"/>
  <c r="U1018" i="18"/>
  <c r="X1018" i="18" s="1"/>
  <c r="U739" i="15"/>
  <c r="W739" i="15" s="1"/>
  <c r="U861" i="18"/>
  <c r="X861" i="18" s="1"/>
  <c r="U698" i="18"/>
  <c r="X698" i="18" s="1"/>
  <c r="P827" i="13"/>
  <c r="S907" i="15"/>
  <c r="S909" i="15" s="1"/>
  <c r="P907" i="16"/>
  <c r="P909" i="16" s="1"/>
  <c r="P827" i="18"/>
  <c r="O735" i="16"/>
  <c r="O735" i="18" s="1"/>
  <c r="O738" i="16"/>
  <c r="O738" i="18" s="1"/>
  <c r="Q738" i="16"/>
  <c r="Q738" i="18" s="1"/>
  <c r="Q735" i="16"/>
  <c r="Q907" i="16"/>
  <c r="Q909" i="16" s="1"/>
  <c r="L827" i="18"/>
  <c r="K907" i="16"/>
  <c r="K909" i="16" s="1"/>
  <c r="K738" i="16"/>
  <c r="K738" i="18" s="1"/>
  <c r="K735" i="16"/>
  <c r="K735" i="18" s="1"/>
  <c r="L735" i="16"/>
  <c r="L738" i="16"/>
  <c r="L738" i="18" s="1"/>
  <c r="S738" i="16"/>
  <c r="S738" i="18" s="1"/>
  <c r="S735" i="16"/>
  <c r="R738" i="16"/>
  <c r="R738" i="18" s="1"/>
  <c r="R735" i="16"/>
  <c r="R735" i="18" s="1"/>
  <c r="P738" i="16"/>
  <c r="P738" i="18" s="1"/>
  <c r="P735" i="16"/>
  <c r="U1428" i="16"/>
  <c r="J738" i="16"/>
  <c r="J738" i="18" s="1"/>
  <c r="J735" i="16"/>
  <c r="J735" i="18" s="1"/>
  <c r="O907" i="16"/>
  <c r="O909" i="16" s="1"/>
  <c r="N735" i="16"/>
  <c r="N738" i="16"/>
  <c r="N738" i="18" s="1"/>
  <c r="M738" i="16"/>
  <c r="M738" i="18" s="1"/>
  <c r="M735" i="16"/>
  <c r="M735" i="18" s="1"/>
  <c r="J905" i="15"/>
  <c r="J905" i="18" s="1"/>
  <c r="J906" i="15"/>
  <c r="J906" i="18" s="1"/>
  <c r="U1439" i="15"/>
  <c r="P700" i="16"/>
  <c r="P863" i="16"/>
  <c r="U1407" i="16"/>
  <c r="J700" i="16"/>
  <c r="J863" i="16"/>
  <c r="R863" i="16"/>
  <c r="R700" i="16"/>
  <c r="L907" i="16"/>
  <c r="L909" i="16" s="1"/>
  <c r="L827" i="13"/>
  <c r="R907" i="16"/>
  <c r="R909" i="16" s="1"/>
  <c r="M827" i="18"/>
  <c r="K906" i="15"/>
  <c r="K906" i="18" s="1"/>
  <c r="K905" i="15"/>
  <c r="K905" i="18" s="1"/>
  <c r="O906" i="15"/>
  <c r="O906" i="18" s="1"/>
  <c r="O905" i="15"/>
  <c r="O905" i="18" s="1"/>
  <c r="K700" i="16"/>
  <c r="K863" i="16"/>
  <c r="L700" i="16"/>
  <c r="L863" i="16"/>
  <c r="N906" i="15"/>
  <c r="N906" i="18" s="1"/>
  <c r="N905" i="15"/>
  <c r="N905" i="18" s="1"/>
  <c r="M827" i="13"/>
  <c r="P905" i="15"/>
  <c r="P905" i="18" s="1"/>
  <c r="P906" i="15"/>
  <c r="P906" i="18" s="1"/>
  <c r="L906" i="15"/>
  <c r="L906" i="18" s="1"/>
  <c r="L905" i="15"/>
  <c r="L905" i="18" s="1"/>
  <c r="Q700" i="16"/>
  <c r="Q863" i="16"/>
  <c r="N863" i="16"/>
  <c r="N700" i="16"/>
  <c r="R906" i="15"/>
  <c r="R906" i="18" s="1"/>
  <c r="R905" i="15"/>
  <c r="R905" i="18" s="1"/>
  <c r="S907" i="16"/>
  <c r="S909" i="16" s="1"/>
  <c r="M905" i="15"/>
  <c r="M906" i="15"/>
  <c r="M906" i="18" s="1"/>
  <c r="Q906" i="15"/>
  <c r="Q906" i="18" s="1"/>
  <c r="Q905" i="15"/>
  <c r="U1429" i="16"/>
  <c r="M700" i="16"/>
  <c r="M863" i="16"/>
  <c r="O700" i="16"/>
  <c r="O863" i="16"/>
  <c r="J812" i="16"/>
  <c r="U804" i="16"/>
  <c r="W804" i="16" s="1"/>
  <c r="U1434" i="15"/>
  <c r="K907" i="13"/>
  <c r="K909" i="13" s="1"/>
  <c r="N907" i="13"/>
  <c r="N909" i="13" s="1"/>
  <c r="N739" i="13"/>
  <c r="K827" i="18"/>
  <c r="M907" i="16"/>
  <c r="M909" i="16" s="1"/>
  <c r="L907" i="13"/>
  <c r="L909" i="13" s="1"/>
  <c r="S906" i="18"/>
  <c r="Q739" i="13"/>
  <c r="N827" i="13"/>
  <c r="D75" i="14"/>
  <c r="Q75" i="14" s="1"/>
  <c r="M907" i="13"/>
  <c r="M909" i="13" s="1"/>
  <c r="G1287" i="16"/>
  <c r="H1286" i="16"/>
  <c r="H1284" i="15"/>
  <c r="G1285" i="15"/>
  <c r="G1286" i="15" s="1"/>
  <c r="U735" i="13"/>
  <c r="X735" i="13" s="1"/>
  <c r="J739" i="13"/>
  <c r="K827" i="13"/>
  <c r="U1440" i="15"/>
  <c r="Q907" i="13"/>
  <c r="Q909" i="13" s="1"/>
  <c r="P739" i="13"/>
  <c r="R827" i="18"/>
  <c r="S907" i="13"/>
  <c r="S909" i="13" s="1"/>
  <c r="S905" i="18"/>
  <c r="U845" i="18"/>
  <c r="X845" i="18" s="1"/>
  <c r="M739" i="13"/>
  <c r="P907" i="13"/>
  <c r="P909" i="13" s="1"/>
  <c r="O739" i="13"/>
  <c r="O827" i="18"/>
  <c r="U738" i="13"/>
  <c r="X738" i="13" s="1"/>
  <c r="Q827" i="18"/>
  <c r="O907" i="13"/>
  <c r="O909" i="13" s="1"/>
  <c r="L739" i="13"/>
  <c r="R739" i="13"/>
  <c r="R827" i="13"/>
  <c r="G1287" i="13"/>
  <c r="H1286" i="13"/>
  <c r="J907" i="13"/>
  <c r="U905" i="13"/>
  <c r="X905" i="13" s="1"/>
  <c r="J907" i="16"/>
  <c r="U905" i="16"/>
  <c r="W905" i="16" s="1"/>
  <c r="U906" i="13"/>
  <c r="X906" i="13" s="1"/>
  <c r="N907" i="16"/>
  <c r="N909" i="16" s="1"/>
  <c r="R907" i="13"/>
  <c r="R909" i="13" s="1"/>
  <c r="O827" i="13"/>
  <c r="U906" i="16"/>
  <c r="W906" i="16" s="1"/>
  <c r="Q827" i="13"/>
  <c r="J812" i="13"/>
  <c r="U812" i="13" s="1"/>
  <c r="X812" i="13" s="1"/>
  <c r="J804" i="18"/>
  <c r="U804" i="13"/>
  <c r="X804" i="13" s="1"/>
  <c r="K739" i="13"/>
  <c r="J823" i="13"/>
  <c r="J817" i="18"/>
  <c r="U817" i="13"/>
  <c r="X817" i="13" s="1"/>
  <c r="U682" i="18"/>
  <c r="X682" i="18" s="1"/>
  <c r="N827" i="18"/>
  <c r="B1010" i="16" l="1"/>
  <c r="B274" i="16"/>
  <c r="B654" i="16"/>
  <c r="B740" i="16"/>
  <c r="B607" i="16"/>
  <c r="B119" i="16"/>
  <c r="B819" i="16"/>
  <c r="B360" i="16"/>
  <c r="B533" i="16"/>
  <c r="B956" i="16"/>
  <c r="B695" i="16"/>
  <c r="B859" i="16"/>
  <c r="B1133" i="16"/>
  <c r="B785" i="16"/>
  <c r="B153" i="16"/>
  <c r="B904" i="16"/>
  <c r="B307" i="16"/>
  <c r="B70" i="8"/>
  <c r="B740" i="8"/>
  <c r="B33" i="8"/>
  <c r="B607" i="8"/>
  <c r="B1133" i="8"/>
  <c r="B785" i="8"/>
  <c r="B859" i="8"/>
  <c r="B695" i="8"/>
  <c r="B819" i="8"/>
  <c r="B654" i="8"/>
  <c r="B533" i="8"/>
  <c r="B904" i="8"/>
  <c r="B956" i="8"/>
  <c r="S76" i="14"/>
  <c r="S75" i="14"/>
  <c r="M907" i="15"/>
  <c r="M909" i="15" s="1"/>
  <c r="N739" i="16"/>
  <c r="R739" i="18"/>
  <c r="P739" i="16"/>
  <c r="L739" i="16"/>
  <c r="R739" i="16"/>
  <c r="Q739" i="16"/>
  <c r="K739" i="18"/>
  <c r="U738" i="16"/>
  <c r="W738" i="16" s="1"/>
  <c r="P907" i="18"/>
  <c r="P909" i="18" s="1"/>
  <c r="M905" i="18"/>
  <c r="M907" i="18" s="1"/>
  <c r="M909" i="18" s="1"/>
  <c r="Q735" i="18"/>
  <c r="Q739" i="18" s="1"/>
  <c r="N735" i="18"/>
  <c r="N739" i="18" s="1"/>
  <c r="Q907" i="15"/>
  <c r="Q909" i="15" s="1"/>
  <c r="M739" i="16"/>
  <c r="O739" i="16"/>
  <c r="S739" i="16"/>
  <c r="S735" i="18"/>
  <c r="S739" i="18" s="1"/>
  <c r="L735" i="18"/>
  <c r="L739" i="18" s="1"/>
  <c r="U738" i="18"/>
  <c r="X738" i="18" s="1"/>
  <c r="O739" i="18"/>
  <c r="M739" i="18"/>
  <c r="S907" i="18"/>
  <c r="S909" i="18" s="1"/>
  <c r="P735" i="18"/>
  <c r="P739" i="18" s="1"/>
  <c r="U735" i="16"/>
  <c r="W735" i="16" s="1"/>
  <c r="J739" i="16"/>
  <c r="K739" i="16"/>
  <c r="U863" i="16"/>
  <c r="W863" i="16" s="1"/>
  <c r="O907" i="15"/>
  <c r="O909" i="15" s="1"/>
  <c r="U700" i="16"/>
  <c r="W700" i="16" s="1"/>
  <c r="P907" i="15"/>
  <c r="P909" i="15" s="1"/>
  <c r="U906" i="15"/>
  <c r="W906" i="15" s="1"/>
  <c r="R907" i="18"/>
  <c r="R909" i="18" s="1"/>
  <c r="O907" i="18"/>
  <c r="O909" i="18" s="1"/>
  <c r="Q905" i="18"/>
  <c r="Q907" i="18" s="1"/>
  <c r="Q909" i="18" s="1"/>
  <c r="R907" i="15"/>
  <c r="R909" i="15" s="1"/>
  <c r="L907" i="15"/>
  <c r="L909" i="15" s="1"/>
  <c r="N907" i="15"/>
  <c r="N909" i="15" s="1"/>
  <c r="K907" i="15"/>
  <c r="K909" i="15" s="1"/>
  <c r="J907" i="15"/>
  <c r="U905" i="15"/>
  <c r="W905" i="15" s="1"/>
  <c r="J827" i="13"/>
  <c r="U827" i="13" s="1"/>
  <c r="X827" i="13" s="1"/>
  <c r="U823" i="13"/>
  <c r="X823" i="13" s="1"/>
  <c r="U906" i="18"/>
  <c r="X906" i="18" s="1"/>
  <c r="J909" i="13"/>
  <c r="U907" i="13"/>
  <c r="X907" i="13" s="1"/>
  <c r="U739" i="13"/>
  <c r="X739" i="13" s="1"/>
  <c r="G1288" i="16"/>
  <c r="H1287" i="16"/>
  <c r="L907" i="18"/>
  <c r="L909" i="18" s="1"/>
  <c r="N907" i="18"/>
  <c r="N909" i="18" s="1"/>
  <c r="J909" i="16"/>
  <c r="U907" i="16"/>
  <c r="W907" i="16" s="1"/>
  <c r="G1288" i="13"/>
  <c r="H1287" i="13"/>
  <c r="J739" i="18"/>
  <c r="G1287" i="15"/>
  <c r="H1286" i="15"/>
  <c r="J823" i="18"/>
  <c r="U817" i="18"/>
  <c r="X817" i="18" s="1"/>
  <c r="U804" i="18"/>
  <c r="X804" i="18" s="1"/>
  <c r="J812" i="18"/>
  <c r="U812" i="18" s="1"/>
  <c r="J907" i="18"/>
  <c r="K907" i="18"/>
  <c r="K909" i="18" s="1"/>
  <c r="U812" i="16"/>
  <c r="W812" i="16" s="1"/>
  <c r="J827" i="16"/>
  <c r="U827" i="16" s="1"/>
  <c r="W827" i="16" s="1"/>
  <c r="B1011" i="16" l="1"/>
  <c r="B154" i="16"/>
  <c r="B120" i="16"/>
  <c r="B696" i="16"/>
  <c r="B957" i="16"/>
  <c r="B608" i="16"/>
  <c r="B786" i="16"/>
  <c r="B534" i="16"/>
  <c r="B741" i="16"/>
  <c r="B308" i="16"/>
  <c r="B1134" i="16"/>
  <c r="B361" i="16"/>
  <c r="B655" i="16"/>
  <c r="B905" i="16"/>
  <c r="B860" i="16"/>
  <c r="B820" i="16"/>
  <c r="B275" i="16"/>
  <c r="X812" i="18"/>
  <c r="W812" i="18"/>
  <c r="B655" i="8"/>
  <c r="B1134" i="8"/>
  <c r="B741" i="8"/>
  <c r="B957" i="8"/>
  <c r="B820" i="8"/>
  <c r="B71" i="8"/>
  <c r="B905" i="8"/>
  <c r="B696" i="8"/>
  <c r="B860" i="8"/>
  <c r="B608" i="8"/>
  <c r="B534" i="8"/>
  <c r="B786" i="8"/>
  <c r="U735" i="18"/>
  <c r="X735" i="18" s="1"/>
  <c r="U905" i="18"/>
  <c r="X905" i="18" s="1"/>
  <c r="U739" i="16"/>
  <c r="W739" i="16" s="1"/>
  <c r="J909" i="15"/>
  <c r="U909" i="15" s="1"/>
  <c r="W909" i="15" s="1"/>
  <c r="U907" i="15"/>
  <c r="W907" i="15" s="1"/>
  <c r="J909" i="18"/>
  <c r="U907" i="18"/>
  <c r="X907" i="18" s="1"/>
  <c r="J827" i="18"/>
  <c r="U827" i="18" s="1"/>
  <c r="U823" i="18"/>
  <c r="G1288" i="15"/>
  <c r="H1287" i="15"/>
  <c r="U909" i="16"/>
  <c r="W909" i="16" s="1"/>
  <c r="G1289" i="16"/>
  <c r="H1288" i="16"/>
  <c r="U909" i="13"/>
  <c r="X909" i="13" s="1"/>
  <c r="U739" i="18"/>
  <c r="H1288" i="13"/>
  <c r="G1289" i="13"/>
  <c r="B1012" i="16" l="1"/>
  <c r="B821" i="16"/>
  <c r="B309" i="16"/>
  <c r="B535" i="16"/>
  <c r="B697" i="16"/>
  <c r="B656" i="16"/>
  <c r="B121" i="16"/>
  <c r="B742" i="16"/>
  <c r="B362" i="16"/>
  <c r="B609" i="16"/>
  <c r="B861" i="16"/>
  <c r="B906" i="16"/>
  <c r="B787" i="16"/>
  <c r="B276" i="16"/>
  <c r="B1135" i="16"/>
  <c r="B155" i="16"/>
  <c r="X823" i="18"/>
  <c r="W823" i="18"/>
  <c r="X827" i="18"/>
  <c r="W827" i="18"/>
  <c r="X739" i="18"/>
  <c r="W739" i="18"/>
  <c r="B861" i="8"/>
  <c r="B1135" i="8"/>
  <c r="B535" i="8"/>
  <c r="B697" i="8"/>
  <c r="B821" i="8"/>
  <c r="B906" i="8"/>
  <c r="B656" i="8"/>
  <c r="B787" i="8"/>
  <c r="B609" i="8"/>
  <c r="B72" i="8"/>
  <c r="B742" i="8"/>
  <c r="G1290" i="16"/>
  <c r="H1289" i="16"/>
  <c r="G1289" i="15"/>
  <c r="H1288" i="15"/>
  <c r="G1290" i="13"/>
  <c r="H1289" i="13"/>
  <c r="U909" i="18"/>
  <c r="B1013" i="16" l="1"/>
  <c r="B698" i="16"/>
  <c r="B1136" i="16"/>
  <c r="B610" i="16"/>
  <c r="B156" i="16"/>
  <c r="B536" i="16"/>
  <c r="B363" i="16"/>
  <c r="B743" i="16"/>
  <c r="B907" i="16"/>
  <c r="B310" i="16"/>
  <c r="B862" i="16"/>
  <c r="B657" i="16"/>
  <c r="B822" i="16"/>
  <c r="X909" i="18"/>
  <c r="W909" i="18"/>
  <c r="B743" i="8"/>
  <c r="B657" i="8"/>
  <c r="B1136" i="8"/>
  <c r="B73" i="8"/>
  <c r="B907" i="8"/>
  <c r="B822" i="8"/>
  <c r="B610" i="8"/>
  <c r="B698" i="8"/>
  <c r="B862" i="8"/>
  <c r="B536" i="8"/>
  <c r="H1289" i="15"/>
  <c r="G1290" i="15"/>
  <c r="G1291" i="16"/>
  <c r="H1290" i="16"/>
  <c r="G1291" i="13"/>
  <c r="H1290" i="13"/>
  <c r="B1014" i="16" l="1"/>
  <c r="B311" i="16"/>
  <c r="B537" i="16"/>
  <c r="B908" i="16"/>
  <c r="B157" i="16"/>
  <c r="B611" i="16"/>
  <c r="B823" i="16"/>
  <c r="B744" i="16"/>
  <c r="B1137" i="16"/>
  <c r="B658" i="16"/>
  <c r="B863" i="16"/>
  <c r="B364" i="16"/>
  <c r="B699" i="16"/>
  <c r="B863" i="8"/>
  <c r="B1137" i="8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537" i="8"/>
  <c r="B699" i="8"/>
  <c r="B823" i="8"/>
  <c r="B908" i="8"/>
  <c r="B658" i="8"/>
  <c r="B1016" i="8"/>
  <c r="B611" i="8"/>
  <c r="B74" i="8"/>
  <c r="B744" i="8"/>
  <c r="H1291" i="16"/>
  <c r="G1292" i="16"/>
  <c r="G1291" i="15"/>
  <c r="H1290" i="15"/>
  <c r="G1292" i="13"/>
  <c r="H1291" i="13"/>
  <c r="B1015" i="16" l="1"/>
  <c r="B612" i="16"/>
  <c r="B659" i="16"/>
  <c r="B158" i="16"/>
  <c r="B700" i="16"/>
  <c r="B1138" i="16"/>
  <c r="B909" i="16"/>
  <c r="B365" i="16"/>
  <c r="B745" i="16"/>
  <c r="B538" i="16"/>
  <c r="B864" i="16"/>
  <c r="B824" i="16"/>
  <c r="B312" i="16"/>
  <c r="B659" i="8"/>
  <c r="B538" i="8"/>
  <c r="B745" i="8"/>
  <c r="B75" i="8"/>
  <c r="B909" i="8"/>
  <c r="B612" i="8"/>
  <c r="B824" i="8"/>
  <c r="B1017" i="8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700" i="8"/>
  <c r="B864" i="8"/>
  <c r="G1293" i="13"/>
  <c r="H1292" i="13"/>
  <c r="G1293" i="16"/>
  <c r="H1292" i="16"/>
  <c r="G1292" i="15"/>
  <c r="H1291" i="15"/>
  <c r="B1016" i="16" l="1"/>
  <c r="B159" i="16"/>
  <c r="B865" i="16"/>
  <c r="B701" i="16"/>
  <c r="B660" i="16"/>
  <c r="B539" i="16"/>
  <c r="B746" i="16"/>
  <c r="B366" i="16"/>
  <c r="B313" i="16"/>
  <c r="B910" i="16"/>
  <c r="B827" i="16"/>
  <c r="B825" i="16"/>
  <c r="B1139" i="16"/>
  <c r="B613" i="16"/>
  <c r="B746" i="8"/>
  <c r="B539" i="8"/>
  <c r="B865" i="8"/>
  <c r="B701" i="8"/>
  <c r="B910" i="8"/>
  <c r="B825" i="8"/>
  <c r="B827" i="8"/>
  <c r="B613" i="8"/>
  <c r="B76" i="8"/>
  <c r="B660" i="8"/>
  <c r="G1293" i="15"/>
  <c r="H1292" i="15"/>
  <c r="G1294" i="13"/>
  <c r="H1293" i="13"/>
  <c r="G1294" i="16"/>
  <c r="H1293" i="16"/>
  <c r="B1017" i="16" l="1"/>
  <c r="B747" i="16"/>
  <c r="B540" i="16"/>
  <c r="B911" i="16"/>
  <c r="B661" i="16"/>
  <c r="B314" i="16"/>
  <c r="B702" i="16"/>
  <c r="B614" i="16"/>
  <c r="B866" i="16"/>
  <c r="B1140" i="16"/>
  <c r="B826" i="16"/>
  <c r="B367" i="16"/>
  <c r="B160" i="16"/>
  <c r="B573" i="44"/>
  <c r="B911" i="8"/>
  <c r="B540" i="8"/>
  <c r="B661" i="8"/>
  <c r="B702" i="8"/>
  <c r="B747" i="8"/>
  <c r="B77" i="8"/>
  <c r="B614" i="8"/>
  <c r="B826" i="8"/>
  <c r="B866" i="8"/>
  <c r="G1294" i="15"/>
  <c r="H1293" i="15"/>
  <c r="G1295" i="16"/>
  <c r="H1294" i="16"/>
  <c r="G1295" i="13"/>
  <c r="H1294" i="13"/>
  <c r="B1141" i="16" l="1"/>
  <c r="B1018" i="16"/>
  <c r="B1019" i="16" s="1"/>
  <c r="B368" i="16"/>
  <c r="B703" i="16"/>
  <c r="B315" i="16"/>
  <c r="B662" i="16"/>
  <c r="B867" i="16"/>
  <c r="B912" i="16"/>
  <c r="B541" i="16"/>
  <c r="B161" i="16"/>
  <c r="B615" i="16"/>
  <c r="B748" i="16"/>
  <c r="B748" i="8"/>
  <c r="B703" i="8"/>
  <c r="B541" i="8"/>
  <c r="B615" i="8"/>
  <c r="B78" i="8"/>
  <c r="B662" i="8"/>
  <c r="B867" i="8"/>
  <c r="B912" i="8"/>
  <c r="G1296" i="16"/>
  <c r="H1295" i="16"/>
  <c r="G1295" i="15"/>
  <c r="H1294" i="15"/>
  <c r="G1296" i="13"/>
  <c r="H1295" i="13"/>
  <c r="B1142" i="16" l="1"/>
  <c r="B1020" i="16"/>
  <c r="B663" i="16"/>
  <c r="B162" i="16"/>
  <c r="B542" i="16"/>
  <c r="B704" i="16"/>
  <c r="B868" i="16"/>
  <c r="B616" i="16"/>
  <c r="B749" i="16"/>
  <c r="B316" i="16"/>
  <c r="B913" i="16"/>
  <c r="B913" i="8"/>
  <c r="B542" i="8"/>
  <c r="B868" i="8"/>
  <c r="B704" i="8"/>
  <c r="B663" i="8"/>
  <c r="B79" i="8"/>
  <c r="B616" i="8"/>
  <c r="B749" i="8"/>
  <c r="G1297" i="13"/>
  <c r="H1296" i="13"/>
  <c r="G1297" i="16"/>
  <c r="H1296" i="16"/>
  <c r="G1296" i="15"/>
  <c r="H1295" i="15"/>
  <c r="B1143" i="16" l="1"/>
  <c r="B1021" i="16"/>
  <c r="B869" i="16"/>
  <c r="B914" i="16"/>
  <c r="B705" i="16"/>
  <c r="B317" i="16"/>
  <c r="B543" i="16"/>
  <c r="B750" i="16"/>
  <c r="B163" i="16"/>
  <c r="B617" i="16"/>
  <c r="B869" i="8"/>
  <c r="B750" i="8"/>
  <c r="B543" i="8"/>
  <c r="B705" i="8"/>
  <c r="B80" i="8"/>
  <c r="B617" i="8"/>
  <c r="B914" i="8"/>
  <c r="G1297" i="15"/>
  <c r="H1296" i="15"/>
  <c r="G1298" i="13"/>
  <c r="H1297" i="13"/>
  <c r="G1298" i="16"/>
  <c r="H1297" i="16"/>
  <c r="B1144" i="16" l="1"/>
  <c r="B1022" i="16"/>
  <c r="B618" i="16"/>
  <c r="B318" i="16"/>
  <c r="B164" i="16"/>
  <c r="B706" i="16"/>
  <c r="B751" i="16"/>
  <c r="B915" i="16"/>
  <c r="B544" i="16"/>
  <c r="B870" i="16"/>
  <c r="B544" i="8"/>
  <c r="B915" i="8"/>
  <c r="B81" i="8"/>
  <c r="B751" i="8"/>
  <c r="B618" i="8"/>
  <c r="B870" i="8"/>
  <c r="B320" i="8"/>
  <c r="B706" i="8"/>
  <c r="H1298" i="16"/>
  <c r="G1299" i="16"/>
  <c r="G1299" i="13"/>
  <c r="H1298" i="13"/>
  <c r="H1297" i="15"/>
  <c r="G1298" i="15"/>
  <c r="B1145" i="16" l="1"/>
  <c r="B1023" i="16"/>
  <c r="B319" i="16"/>
  <c r="B707" i="16"/>
  <c r="B165" i="16"/>
  <c r="B871" i="16"/>
  <c r="B545" i="16"/>
  <c r="B619" i="16"/>
  <c r="B916" i="16"/>
  <c r="B752" i="16"/>
  <c r="B871" i="8"/>
  <c r="B752" i="8"/>
  <c r="B82" i="8"/>
  <c r="B707" i="8"/>
  <c r="B916" i="8"/>
  <c r="B321" i="8"/>
  <c r="B619" i="8"/>
  <c r="B545" i="8"/>
  <c r="G1299" i="15"/>
  <c r="H1298" i="15"/>
  <c r="G1300" i="13"/>
  <c r="H1299" i="13"/>
  <c r="G1300" i="16"/>
  <c r="H1299" i="16"/>
  <c r="B1146" i="16" l="1"/>
  <c r="B1024" i="16"/>
  <c r="B620" i="16"/>
  <c r="B546" i="16"/>
  <c r="B872" i="16"/>
  <c r="B753" i="16"/>
  <c r="B166" i="16"/>
  <c r="B708" i="16"/>
  <c r="B917" i="16"/>
  <c r="B320" i="16"/>
  <c r="B917" i="8"/>
  <c r="B546" i="8"/>
  <c r="B620" i="8"/>
  <c r="B708" i="8"/>
  <c r="B753" i="8"/>
  <c r="B322" i="8"/>
  <c r="B83" i="8"/>
  <c r="B872" i="8"/>
  <c r="G1301" i="13"/>
  <c r="H1300" i="13"/>
  <c r="G1301" i="16"/>
  <c r="H1300" i="16"/>
  <c r="G1300" i="15"/>
  <c r="H1299" i="15"/>
  <c r="B1147" i="16" l="1"/>
  <c r="B1025" i="16"/>
  <c r="B167" i="16"/>
  <c r="B754" i="16"/>
  <c r="B321" i="16"/>
  <c r="B873" i="16"/>
  <c r="B918" i="16"/>
  <c r="B709" i="16"/>
  <c r="B547" i="16"/>
  <c r="B621" i="16"/>
  <c r="B709" i="8"/>
  <c r="B873" i="8"/>
  <c r="B621" i="8"/>
  <c r="B754" i="8"/>
  <c r="B323" i="8"/>
  <c r="B547" i="8"/>
  <c r="B918" i="8"/>
  <c r="H1301" i="13"/>
  <c r="G1302" i="13"/>
  <c r="G1303" i="13" s="1"/>
  <c r="H1300" i="15"/>
  <c r="G1301" i="15"/>
  <c r="G1302" i="16"/>
  <c r="G1303" i="16" s="1"/>
  <c r="H1301" i="16"/>
  <c r="B1148" i="16" l="1"/>
  <c r="B1026" i="16"/>
  <c r="B622" i="16"/>
  <c r="B874" i="16"/>
  <c r="B919" i="16"/>
  <c r="B322" i="16"/>
  <c r="B548" i="16"/>
  <c r="B168" i="16"/>
  <c r="B622" i="8"/>
  <c r="B874" i="8"/>
  <c r="B548" i="8"/>
  <c r="B549" i="8" s="1"/>
  <c r="B550" i="8" s="1"/>
  <c r="B551" i="8" s="1"/>
  <c r="B552" i="8" s="1"/>
  <c r="B553" i="8" s="1"/>
  <c r="B554" i="8" s="1"/>
  <c r="B555" i="8" s="1"/>
  <c r="B556" i="8" s="1"/>
  <c r="B557" i="8" s="1"/>
  <c r="B324" i="8"/>
  <c r="B919" i="8"/>
  <c r="H1303" i="16"/>
  <c r="G1304" i="16"/>
  <c r="H1303" i="13"/>
  <c r="G1304" i="13"/>
  <c r="G1302" i="15"/>
  <c r="G1303" i="15" s="1"/>
  <c r="H1301" i="15"/>
  <c r="B1149" i="16" l="1"/>
  <c r="B1027" i="16"/>
  <c r="B920" i="16"/>
  <c r="B323" i="16"/>
  <c r="B549" i="16"/>
  <c r="B325" i="8"/>
  <c r="B920" i="8"/>
  <c r="G1305" i="13"/>
  <c r="H1304" i="13"/>
  <c r="H1304" i="16"/>
  <c r="G1305" i="16"/>
  <c r="H1303" i="15"/>
  <c r="G1304" i="15"/>
  <c r="B1150" i="16" l="1"/>
  <c r="B1028" i="16"/>
  <c r="B550" i="16"/>
  <c r="B324" i="16"/>
  <c r="B921" i="16"/>
  <c r="B921" i="8"/>
  <c r="B326" i="8"/>
  <c r="H1304" i="15"/>
  <c r="G1305" i="15"/>
  <c r="H1305" i="13"/>
  <c r="G1306" i="13"/>
  <c r="G1306" i="16"/>
  <c r="H1305" i="16"/>
  <c r="B1151" i="16" l="1"/>
  <c r="B1029" i="16"/>
  <c r="B922" i="16"/>
  <c r="B325" i="16"/>
  <c r="B551" i="16"/>
  <c r="B922" i="8"/>
  <c r="B327" i="8"/>
  <c r="G1307" i="16"/>
  <c r="H1306" i="16"/>
  <c r="G1306" i="15"/>
  <c r="H1305" i="15"/>
  <c r="G1307" i="13"/>
  <c r="H1306" i="13"/>
  <c r="B1152" i="16" l="1"/>
  <c r="B1030" i="16"/>
  <c r="B552" i="16"/>
  <c r="B326" i="16"/>
  <c r="B923" i="16"/>
  <c r="B923" i="8"/>
  <c r="G1308" i="13"/>
  <c r="H1307" i="13"/>
  <c r="G1307" i="15"/>
  <c r="H1306" i="15"/>
  <c r="H1307" i="16"/>
  <c r="G1308" i="16"/>
  <c r="B1153" i="16" l="1"/>
  <c r="B1031" i="16"/>
  <c r="B924" i="16"/>
  <c r="B327" i="16"/>
  <c r="B553" i="16"/>
  <c r="B924" i="8"/>
  <c r="B558" i="8"/>
  <c r="H1308" i="16"/>
  <c r="G1309" i="16"/>
  <c r="G1308" i="15"/>
  <c r="H1307" i="15"/>
  <c r="G1309" i="13"/>
  <c r="H1308" i="13"/>
  <c r="B1154" i="16" l="1"/>
  <c r="B1032" i="16"/>
  <c r="B554" i="16"/>
  <c r="B925" i="16"/>
  <c r="B559" i="8"/>
  <c r="B925" i="8"/>
  <c r="G1310" i="13"/>
  <c r="H1309" i="13"/>
  <c r="H1308" i="15"/>
  <c r="G1309" i="15"/>
  <c r="G1310" i="16"/>
  <c r="H1309" i="16"/>
  <c r="B1155" i="16" l="1"/>
  <c r="B555" i="16"/>
  <c r="B560" i="8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G1311" i="16"/>
  <c r="H1310" i="16"/>
  <c r="G1311" i="13"/>
  <c r="H1310" i="13"/>
  <c r="G1310" i="15"/>
  <c r="H1309" i="15"/>
  <c r="B1156" i="16" l="1"/>
  <c r="B556" i="16"/>
  <c r="H1311" i="16"/>
  <c r="G1312" i="16"/>
  <c r="G1311" i="15"/>
  <c r="H1310" i="15"/>
  <c r="G1312" i="13"/>
  <c r="H1311" i="13"/>
  <c r="B1157" i="16" l="1"/>
  <c r="B557" i="16"/>
  <c r="G1313" i="13"/>
  <c r="H1312" i="13"/>
  <c r="H1311" i="15"/>
  <c r="G1312" i="15"/>
  <c r="G1313" i="16"/>
  <c r="H1312" i="16"/>
  <c r="B1158" i="16" l="1"/>
  <c r="B558" i="16"/>
  <c r="G1314" i="16"/>
  <c r="H1313" i="16"/>
  <c r="H1313" i="13"/>
  <c r="G1314" i="13"/>
  <c r="G1313" i="15"/>
  <c r="H1312" i="15"/>
  <c r="B1159" i="16" l="1"/>
  <c r="B559" i="16"/>
  <c r="G1315" i="13"/>
  <c r="H1314" i="13"/>
  <c r="G1315" i="16"/>
  <c r="H1314" i="16"/>
  <c r="G1314" i="15"/>
  <c r="H1313" i="15"/>
  <c r="B1160" i="16" l="1"/>
  <c r="B560" i="16"/>
  <c r="H1315" i="16"/>
  <c r="G1316" i="16"/>
  <c r="G1316" i="13"/>
  <c r="H1315" i="13"/>
  <c r="G1315" i="15"/>
  <c r="H1314" i="15"/>
  <c r="B1161" i="16" l="1"/>
  <c r="B561" i="16"/>
  <c r="G1317" i="16"/>
  <c r="G1318" i="16" s="1"/>
  <c r="H1316" i="16"/>
  <c r="H1315" i="15"/>
  <c r="G1316" i="15"/>
  <c r="H1316" i="13"/>
  <c r="G1317" i="13"/>
  <c r="G1318" i="13" s="1"/>
  <c r="B1162" i="16" l="1"/>
  <c r="B562" i="16"/>
  <c r="G1319" i="16"/>
  <c r="H1318" i="16"/>
  <c r="G1317" i="15"/>
  <c r="G1318" i="15" s="1"/>
  <c r="H1316" i="15"/>
  <c r="G1319" i="13"/>
  <c r="H1318" i="13"/>
  <c r="B563" i="16" l="1"/>
  <c r="H1319" i="13"/>
  <c r="G1320" i="13"/>
  <c r="H1318" i="15"/>
  <c r="G1319" i="15"/>
  <c r="H1319" i="16"/>
  <c r="G1320" i="16"/>
  <c r="B564" i="16" l="1"/>
  <c r="G1321" i="13"/>
  <c r="H1320" i="13"/>
  <c r="H1319" i="15"/>
  <c r="G1320" i="15"/>
  <c r="G1321" i="16"/>
  <c r="H1320" i="16"/>
  <c r="B565" i="16" l="1"/>
  <c r="H1321" i="16"/>
  <c r="G1322" i="16"/>
  <c r="H1321" i="13"/>
  <c r="G1322" i="13"/>
  <c r="H1320" i="15"/>
  <c r="G1321" i="15"/>
  <c r="B566" i="16" l="1"/>
  <c r="G1323" i="13"/>
  <c r="H1322" i="13"/>
  <c r="H1321" i="15"/>
  <c r="G1322" i="15"/>
  <c r="H1322" i="16"/>
  <c r="G1323" i="16"/>
  <c r="B567" i="16" l="1"/>
  <c r="G1324" i="16"/>
  <c r="H1323" i="16"/>
  <c r="G1323" i="15"/>
  <c r="H1322" i="15"/>
  <c r="G1324" i="13"/>
  <c r="H1323" i="13"/>
  <c r="B568" i="16" l="1"/>
  <c r="G1324" i="15"/>
  <c r="H1323" i="15"/>
  <c r="H1324" i="13"/>
  <c r="G1325" i="13"/>
  <c r="G1326" i="13" s="1"/>
  <c r="G1327" i="13" s="1"/>
  <c r="G1325" i="16"/>
  <c r="G1326" i="16" s="1"/>
  <c r="G1327" i="16" s="1"/>
  <c r="H1324" i="16"/>
  <c r="B569" i="16" l="1"/>
  <c r="H1327" i="16"/>
  <c r="G1328" i="16"/>
  <c r="H1324" i="15"/>
  <c r="G1325" i="15"/>
  <c r="G1326" i="15" s="1"/>
  <c r="G1327" i="15" s="1"/>
  <c r="G1328" i="13"/>
  <c r="H1327" i="13"/>
  <c r="B570" i="16" l="1"/>
  <c r="G1328" i="15"/>
  <c r="H1327" i="15"/>
  <c r="G1329" i="16"/>
  <c r="H1328" i="16"/>
  <c r="G1329" i="13"/>
  <c r="H1328" i="13"/>
  <c r="B571" i="16" l="1"/>
  <c r="G1329" i="15"/>
  <c r="H1328" i="15"/>
  <c r="H1329" i="13"/>
  <c r="G1330" i="13"/>
  <c r="H1329" i="16"/>
  <c r="G1330" i="16"/>
  <c r="B572" i="16" l="1"/>
  <c r="G1331" i="13"/>
  <c r="H1330" i="13"/>
  <c r="H1329" i="15"/>
  <c r="G1330" i="15"/>
  <c r="H1330" i="16"/>
  <c r="G1331" i="16"/>
  <c r="B573" i="16" l="1"/>
  <c r="G1332" i="16"/>
  <c r="H1331" i="16"/>
  <c r="G1331" i="15"/>
  <c r="H1330" i="15"/>
  <c r="H1331" i="13"/>
  <c r="G1332" i="13"/>
  <c r="B574" i="16" l="1"/>
  <c r="G1333" i="16"/>
  <c r="H1332" i="16"/>
  <c r="H1332" i="13"/>
  <c r="G1333" i="13"/>
  <c r="G1332" i="15"/>
  <c r="H1331" i="15"/>
  <c r="B575" i="16" l="1"/>
  <c r="G1334" i="13"/>
  <c r="H1333" i="13"/>
  <c r="G1334" i="16"/>
  <c r="H1333" i="16"/>
  <c r="G1333" i="15"/>
  <c r="H1332" i="15"/>
  <c r="H1333" i="15" l="1"/>
  <c r="G1334" i="15"/>
  <c r="H1334" i="13"/>
  <c r="G1335" i="13"/>
  <c r="H1334" i="16"/>
  <c r="G1335" i="16"/>
  <c r="H1335" i="16" l="1"/>
  <c r="G1336" i="16"/>
  <c r="G1337" i="16" s="1"/>
  <c r="G1338" i="16" s="1"/>
  <c r="G1336" i="13"/>
  <c r="G1337" i="13" s="1"/>
  <c r="G1338" i="13" s="1"/>
  <c r="H1335" i="13"/>
  <c r="G1335" i="15"/>
  <c r="H1334" i="15"/>
  <c r="G1339" i="16" l="1"/>
  <c r="H1338" i="16"/>
  <c r="H1338" i="13"/>
  <c r="G1339" i="13"/>
  <c r="H1335" i="15"/>
  <c r="G1336" i="15"/>
  <c r="G1337" i="15" s="1"/>
  <c r="G1338" i="15" s="1"/>
  <c r="G1339" i="15" l="1"/>
  <c r="H1338" i="15"/>
  <c r="H1339" i="13"/>
  <c r="G1340" i="13"/>
  <c r="G1341" i="13" s="1"/>
  <c r="H1339" i="16"/>
  <c r="G1340" i="16"/>
  <c r="G1341" i="16" s="1"/>
  <c r="H1339" i="15" l="1"/>
  <c r="G1340" i="15"/>
  <c r="G1341" i="15" s="1"/>
  <c r="M862" i="16" l="1"/>
  <c r="O862" i="16"/>
  <c r="P862" i="16"/>
  <c r="J862" i="16"/>
  <c r="K862" i="16"/>
  <c r="N862" i="16" l="1"/>
  <c r="Q862" i="16"/>
  <c r="R862" i="16"/>
  <c r="S862" i="16"/>
  <c r="L862" i="16"/>
  <c r="U862" i="16" l="1"/>
  <c r="W862" i="16" s="1"/>
  <c r="F81" i="16" l="1"/>
  <c r="J81" i="44" s="1"/>
  <c r="O620" i="16"/>
  <c r="O81" i="16" s="1"/>
  <c r="N620" i="16"/>
  <c r="N81" i="16" s="1"/>
  <c r="P620" i="16"/>
  <c r="P81" i="16" s="1"/>
  <c r="M620" i="16"/>
  <c r="M81" i="16" s="1"/>
  <c r="S620" i="16"/>
  <c r="S81" i="16" s="1"/>
  <c r="R620" i="16"/>
  <c r="R81" i="16" s="1"/>
  <c r="L620" i="16"/>
  <c r="L81" i="16" s="1"/>
  <c r="Q620" i="16"/>
  <c r="Q81" i="16" s="1"/>
  <c r="J620" i="16"/>
  <c r="J81" i="16" s="1"/>
  <c r="K620" i="16"/>
  <c r="K81" i="16" s="1"/>
  <c r="Q81" i="44" l="1"/>
  <c r="J1128" i="13" l="1"/>
  <c r="K1129" i="13" l="1"/>
  <c r="P1129" i="13"/>
  <c r="P1128" i="13"/>
  <c r="N1128" i="13"/>
  <c r="J1129" i="13"/>
  <c r="R1129" i="13"/>
  <c r="M1129" i="13"/>
  <c r="O1128" i="13"/>
  <c r="Q1128" i="13"/>
  <c r="Q1129" i="13"/>
  <c r="N1129" i="13"/>
  <c r="L1129" i="13"/>
  <c r="M1128" i="13"/>
  <c r="K1128" i="13"/>
  <c r="S1129" i="13"/>
  <c r="O1129" i="13"/>
  <c r="S1128" i="13"/>
  <c r="L1128" i="13"/>
  <c r="R1128" i="13"/>
  <c r="U1128" i="13" l="1"/>
  <c r="X1128" i="13" s="1"/>
  <c r="K1129" i="15"/>
  <c r="L1128" i="15"/>
  <c r="J1129" i="15"/>
  <c r="O1129" i="15"/>
  <c r="S1129" i="15"/>
  <c r="O1128" i="15"/>
  <c r="K1128" i="15"/>
  <c r="J1128" i="15"/>
  <c r="R1129" i="15"/>
  <c r="Q1129" i="15"/>
  <c r="P1128" i="15"/>
  <c r="M1128" i="15"/>
  <c r="L1129" i="15"/>
  <c r="N1129" i="15"/>
  <c r="U1129" i="13"/>
  <c r="X1129" i="13" s="1"/>
  <c r="Q1128" i="15"/>
  <c r="M1129" i="15"/>
  <c r="P1129" i="15"/>
  <c r="R1128" i="15"/>
  <c r="N1128" i="15"/>
  <c r="S1128" i="15"/>
  <c r="U1128" i="15" l="1"/>
  <c r="W1128" i="15" s="1"/>
  <c r="U1129" i="15"/>
  <c r="W1129" i="15" s="1"/>
  <c r="S1159" i="15" l="1"/>
  <c r="L1159" i="15"/>
  <c r="K1159" i="15"/>
  <c r="M1159" i="15"/>
  <c r="Q1159" i="15"/>
  <c r="J1159" i="15"/>
  <c r="O1159" i="15"/>
  <c r="R1159" i="15"/>
  <c r="X1159" i="13"/>
  <c r="N1159" i="15"/>
  <c r="P1159" i="15"/>
  <c r="U1159" i="15" l="1"/>
  <c r="W1159" i="15" s="1"/>
  <c r="J1128" i="16"/>
  <c r="N1128" i="16" l="1"/>
  <c r="N1128" i="18" s="1"/>
  <c r="M1128" i="16"/>
  <c r="M1128" i="18" s="1"/>
  <c r="L1128" i="16"/>
  <c r="L1128" i="18" s="1"/>
  <c r="P1129" i="16"/>
  <c r="P1129" i="18" s="1"/>
  <c r="R1129" i="16"/>
  <c r="R1129" i="18" s="1"/>
  <c r="J1129" i="16"/>
  <c r="Q1128" i="16"/>
  <c r="Q1128" i="18" s="1"/>
  <c r="O1128" i="16"/>
  <c r="O1128" i="18" s="1"/>
  <c r="M1129" i="16"/>
  <c r="M1129" i="18" s="1"/>
  <c r="L1129" i="16"/>
  <c r="L1129" i="18" s="1"/>
  <c r="N1129" i="16"/>
  <c r="N1129" i="18" s="1"/>
  <c r="R1128" i="16"/>
  <c r="R1128" i="18" s="1"/>
  <c r="K1128" i="16"/>
  <c r="K1128" i="18" s="1"/>
  <c r="O1129" i="16"/>
  <c r="O1129" i="18" s="1"/>
  <c r="S1129" i="16"/>
  <c r="S1129" i="18" s="1"/>
  <c r="P1128" i="16"/>
  <c r="P1128" i="18" s="1"/>
  <c r="S1128" i="16"/>
  <c r="S1128" i="18" s="1"/>
  <c r="Q1129" i="16"/>
  <c r="Q1129" i="18" s="1"/>
  <c r="K1129" i="16"/>
  <c r="K1129" i="18" s="1"/>
  <c r="J1128" i="18"/>
  <c r="U1128" i="18" l="1"/>
  <c r="X1128" i="18" s="1"/>
  <c r="U1128" i="16"/>
  <c r="W1128" i="16" s="1"/>
  <c r="U1129" i="16"/>
  <c r="W1129" i="16" s="1"/>
  <c r="J1129" i="18"/>
  <c r="U1129" i="18" s="1"/>
  <c r="X1129" i="18" s="1"/>
  <c r="P68" i="5" l="1"/>
  <c r="P69" i="5" l="1"/>
  <c r="R69" i="5" s="1"/>
  <c r="P70" i="5" l="1"/>
  <c r="P22" i="7" l="1"/>
  <c r="Q22" i="7" s="1"/>
  <c r="X1159" i="18" l="1"/>
  <c r="J573" i="8" l="1"/>
  <c r="F575" i="8"/>
  <c r="F614" i="8" s="1"/>
  <c r="F616" i="8" s="1"/>
  <c r="J575" i="8" l="1"/>
  <c r="N573" i="8"/>
  <c r="N575" i="8" l="1"/>
  <c r="J614" i="8"/>
  <c r="F75" i="8"/>
  <c r="N614" i="8" l="1"/>
  <c r="J616" i="8"/>
  <c r="F77" i="8"/>
  <c r="J75" i="8"/>
  <c r="N616" i="8" l="1"/>
  <c r="J77" i="8"/>
  <c r="K699" i="16" l="1"/>
  <c r="M699" i="16"/>
  <c r="Q699" i="16"/>
  <c r="S699" i="16"/>
  <c r="N699" i="16"/>
  <c r="R699" i="16"/>
  <c r="L699" i="16"/>
  <c r="P699" i="16"/>
  <c r="O699" i="16"/>
  <c r="J699" i="16"/>
  <c r="U699" i="16" l="1"/>
  <c r="W699" i="16" s="1"/>
  <c r="E41" i="3" l="1"/>
  <c r="E40" i="3"/>
  <c r="E58" i="3" l="1"/>
  <c r="I40" i="3"/>
  <c r="I151" i="8" s="1"/>
  <c r="F151" i="16" s="1"/>
  <c r="J151" i="44" s="1"/>
  <c r="G40" i="3"/>
  <c r="G151" i="8" s="1"/>
  <c r="F40" i="3"/>
  <c r="H40" i="3"/>
  <c r="H151" i="8" s="1"/>
  <c r="F151" i="15" s="1"/>
  <c r="H151" i="44" s="1"/>
  <c r="G41" i="3"/>
  <c r="G152" i="8" s="1"/>
  <c r="F41" i="3"/>
  <c r="I41" i="3"/>
  <c r="I152" i="8" s="1"/>
  <c r="F152" i="16" s="1"/>
  <c r="J152" i="44" s="1"/>
  <c r="H41" i="3"/>
  <c r="H152" i="8" s="1"/>
  <c r="F152" i="15" s="1"/>
  <c r="H152" i="44" s="1"/>
  <c r="E59" i="3"/>
  <c r="I59" i="3" s="1"/>
  <c r="I306" i="8" s="1"/>
  <c r="F306" i="16" s="1"/>
  <c r="J306" i="44" s="1"/>
  <c r="E39" i="3"/>
  <c r="H31" i="4"/>
  <c r="I31" i="4" s="1"/>
  <c r="E28" i="3"/>
  <c r="E31" i="3"/>
  <c r="J306" i="16" l="1"/>
  <c r="L306" i="16"/>
  <c r="K306" i="16"/>
  <c r="M306" i="16"/>
  <c r="N306" i="16"/>
  <c r="P306" i="16"/>
  <c r="O306" i="16"/>
  <c r="Q306" i="16"/>
  <c r="R306" i="16"/>
  <c r="S306" i="16"/>
  <c r="L151" i="16"/>
  <c r="J151" i="16"/>
  <c r="M151" i="16"/>
  <c r="K151" i="16"/>
  <c r="P151" i="16"/>
  <c r="O151" i="16"/>
  <c r="N151" i="16"/>
  <c r="Q151" i="16"/>
  <c r="R151" i="16"/>
  <c r="S151" i="16"/>
  <c r="K152" i="15"/>
  <c r="J152" i="15"/>
  <c r="L152" i="15"/>
  <c r="M152" i="15"/>
  <c r="P152" i="15"/>
  <c r="O152" i="15"/>
  <c r="N152" i="15"/>
  <c r="Q152" i="15"/>
  <c r="R152" i="15"/>
  <c r="S152" i="15"/>
  <c r="F58" i="3"/>
  <c r="H58" i="3"/>
  <c r="H305" i="8" s="1"/>
  <c r="F305" i="15" s="1"/>
  <c r="H305" i="44" s="1"/>
  <c r="I58" i="3"/>
  <c r="I305" i="8" s="1"/>
  <c r="F305" i="16" s="1"/>
  <c r="J305" i="44" s="1"/>
  <c r="G58" i="3"/>
  <c r="G305" i="8" s="1"/>
  <c r="L152" i="16"/>
  <c r="J152" i="16"/>
  <c r="K152" i="16"/>
  <c r="M152" i="16"/>
  <c r="N152" i="16"/>
  <c r="P152" i="16"/>
  <c r="O152" i="16"/>
  <c r="Q152" i="16"/>
  <c r="R152" i="16"/>
  <c r="S152" i="16"/>
  <c r="G59" i="3"/>
  <c r="G306" i="8" s="1"/>
  <c r="H59" i="3"/>
  <c r="H306" i="8" s="1"/>
  <c r="F306" i="15" s="1"/>
  <c r="H306" i="44" s="1"/>
  <c r="F59" i="3"/>
  <c r="F152" i="8"/>
  <c r="J152" i="8" s="1"/>
  <c r="J41" i="3"/>
  <c r="L152" i="8"/>
  <c r="F152" i="18" s="1"/>
  <c r="F152" i="13"/>
  <c r="F152" i="44" s="1"/>
  <c r="K151" i="15"/>
  <c r="J151" i="15"/>
  <c r="M151" i="15"/>
  <c r="L151" i="15"/>
  <c r="N151" i="15"/>
  <c r="P151" i="15"/>
  <c r="O151" i="15"/>
  <c r="Q151" i="15"/>
  <c r="R151" i="15"/>
  <c r="S151" i="15"/>
  <c r="F151" i="8"/>
  <c r="J151" i="8" s="1"/>
  <c r="J40" i="3"/>
  <c r="E57" i="3"/>
  <c r="E38" i="3"/>
  <c r="G39" i="3"/>
  <c r="G150" i="8" s="1"/>
  <c r="F39" i="3"/>
  <c r="I39" i="3"/>
  <c r="I150" i="8" s="1"/>
  <c r="H39" i="3"/>
  <c r="H150" i="8" s="1"/>
  <c r="L151" i="8"/>
  <c r="F151" i="18" s="1"/>
  <c r="F151" i="13"/>
  <c r="F151" i="44" s="1"/>
  <c r="E27" i="3"/>
  <c r="H19" i="4"/>
  <c r="I19" i="4" s="1"/>
  <c r="F28" i="3"/>
  <c r="I28" i="3"/>
  <c r="I143" i="8" s="1"/>
  <c r="F143" i="16" s="1"/>
  <c r="J143" i="44" s="1"/>
  <c r="G28" i="3"/>
  <c r="G143" i="8" s="1"/>
  <c r="H28" i="3"/>
  <c r="H143" i="8" s="1"/>
  <c r="F143" i="15" s="1"/>
  <c r="H143" i="44" s="1"/>
  <c r="E46" i="3"/>
  <c r="E30" i="3"/>
  <c r="H22" i="4"/>
  <c r="I22" i="4" s="1"/>
  <c r="E49" i="3"/>
  <c r="G49" i="3" s="1"/>
  <c r="I31" i="3"/>
  <c r="I145" i="8" s="1"/>
  <c r="F145" i="16" s="1"/>
  <c r="J145" i="44" s="1"/>
  <c r="F31" i="3"/>
  <c r="H31" i="3"/>
  <c r="H145" i="8" s="1"/>
  <c r="F145" i="15" s="1"/>
  <c r="H145" i="44" s="1"/>
  <c r="G31" i="3"/>
  <c r="G145" i="8" s="1"/>
  <c r="U306" i="16" l="1"/>
  <c r="W306" i="16" s="1"/>
  <c r="N152" i="8"/>
  <c r="U151" i="15"/>
  <c r="W151" i="15" s="1"/>
  <c r="J306" i="15"/>
  <c r="L306" i="15"/>
  <c r="K306" i="15"/>
  <c r="M306" i="15"/>
  <c r="N306" i="15"/>
  <c r="O306" i="15"/>
  <c r="P306" i="15"/>
  <c r="Q306" i="15"/>
  <c r="R306" i="15"/>
  <c r="S306" i="15"/>
  <c r="F305" i="8"/>
  <c r="J305" i="8" s="1"/>
  <c r="J58" i="3"/>
  <c r="L150" i="8"/>
  <c r="F150" i="18" s="1"/>
  <c r="F165" i="18" s="1"/>
  <c r="G165" i="8"/>
  <c r="F150" i="13"/>
  <c r="F150" i="44" s="1"/>
  <c r="L151" i="44"/>
  <c r="L151" i="13"/>
  <c r="L151" i="18" s="1"/>
  <c r="J151" i="13"/>
  <c r="J151" i="18" s="1"/>
  <c r="M151" i="13"/>
  <c r="M151" i="18" s="1"/>
  <c r="K151" i="13"/>
  <c r="K151" i="18" s="1"/>
  <c r="Q151" i="13"/>
  <c r="Q151" i="18" s="1"/>
  <c r="O151" i="13"/>
  <c r="O151" i="18" s="1"/>
  <c r="P151" i="13"/>
  <c r="P151" i="18" s="1"/>
  <c r="N151" i="13"/>
  <c r="N151" i="18" s="1"/>
  <c r="R151" i="13"/>
  <c r="R151" i="18" s="1"/>
  <c r="S151" i="13"/>
  <c r="E36" i="3"/>
  <c r="N151" i="8"/>
  <c r="F306" i="8"/>
  <c r="J306" i="8" s="1"/>
  <c r="J59" i="3"/>
  <c r="K305" i="15"/>
  <c r="L305" i="15"/>
  <c r="J305" i="15"/>
  <c r="M305" i="15"/>
  <c r="P305" i="15"/>
  <c r="O305" i="15"/>
  <c r="N305" i="15"/>
  <c r="Q305" i="15"/>
  <c r="R305" i="15"/>
  <c r="S305" i="15"/>
  <c r="F150" i="15"/>
  <c r="H150" i="44" s="1"/>
  <c r="H165" i="8"/>
  <c r="F150" i="16"/>
  <c r="J150" i="44" s="1"/>
  <c r="I165" i="8"/>
  <c r="U152" i="15"/>
  <c r="W152" i="15" s="1"/>
  <c r="F150" i="8"/>
  <c r="J39" i="3"/>
  <c r="U152" i="16"/>
  <c r="W152" i="16" s="1"/>
  <c r="L306" i="8"/>
  <c r="F306" i="18" s="1"/>
  <c r="F306" i="13"/>
  <c r="F306" i="44" s="1"/>
  <c r="U151" i="16"/>
  <c r="W151" i="16" s="1"/>
  <c r="L152" i="13"/>
  <c r="L152" i="18" s="1"/>
  <c r="J152" i="13"/>
  <c r="M152" i="13"/>
  <c r="M152" i="18" s="1"/>
  <c r="K152" i="13"/>
  <c r="K152" i="18" s="1"/>
  <c r="N152" i="13"/>
  <c r="N152" i="18" s="1"/>
  <c r="P152" i="13"/>
  <c r="P152" i="18" s="1"/>
  <c r="O152" i="13"/>
  <c r="O152" i="18" s="1"/>
  <c r="Q152" i="13"/>
  <c r="Q152" i="18" s="1"/>
  <c r="R152" i="13"/>
  <c r="R152" i="18" s="1"/>
  <c r="S152" i="13"/>
  <c r="S152" i="18" s="1"/>
  <c r="H57" i="3"/>
  <c r="H304" i="8" s="1"/>
  <c r="G57" i="3"/>
  <c r="G304" i="8" s="1"/>
  <c r="I57" i="3"/>
  <c r="I304" i="8" s="1"/>
  <c r="F57" i="3"/>
  <c r="E56" i="3"/>
  <c r="F305" i="13"/>
  <c r="F305" i="44" s="1"/>
  <c r="L305" i="8"/>
  <c r="F305" i="18" s="1"/>
  <c r="L305" i="16"/>
  <c r="J305" i="16"/>
  <c r="K305" i="16"/>
  <c r="M305" i="16"/>
  <c r="P305" i="16"/>
  <c r="N305" i="16"/>
  <c r="O305" i="16"/>
  <c r="Q305" i="16"/>
  <c r="R305" i="16"/>
  <c r="S305" i="16"/>
  <c r="K143" i="15"/>
  <c r="L143" i="15"/>
  <c r="M143" i="15"/>
  <c r="J143" i="15"/>
  <c r="P143" i="15"/>
  <c r="N143" i="15"/>
  <c r="O143" i="15"/>
  <c r="Q143" i="15"/>
  <c r="R143" i="15"/>
  <c r="S143" i="15"/>
  <c r="F143" i="13"/>
  <c r="F143" i="44" s="1"/>
  <c r="L143" i="8"/>
  <c r="F143" i="18" s="1"/>
  <c r="G46" i="3"/>
  <c r="G297" i="8" s="1"/>
  <c r="H46" i="3"/>
  <c r="H297" i="8" s="1"/>
  <c r="F297" i="15" s="1"/>
  <c r="H297" i="44" s="1"/>
  <c r="F46" i="3"/>
  <c r="I46" i="3"/>
  <c r="I297" i="8" s="1"/>
  <c r="F297" i="16" s="1"/>
  <c r="J297" i="44" s="1"/>
  <c r="L143" i="16"/>
  <c r="K143" i="16"/>
  <c r="J143" i="16"/>
  <c r="M143" i="16"/>
  <c r="O143" i="16"/>
  <c r="P143" i="16"/>
  <c r="N143" i="16"/>
  <c r="Q143" i="16"/>
  <c r="R143" i="16"/>
  <c r="S143" i="16"/>
  <c r="F143" i="8"/>
  <c r="J143" i="8" s="1"/>
  <c r="J28" i="3"/>
  <c r="F27" i="3"/>
  <c r="E45" i="3"/>
  <c r="H27" i="3"/>
  <c r="H142" i="8" s="1"/>
  <c r="E26" i="3"/>
  <c r="G27" i="3"/>
  <c r="G142" i="8" s="1"/>
  <c r="I27" i="3"/>
  <c r="I142" i="8" s="1"/>
  <c r="L145" i="8"/>
  <c r="F145" i="18" s="1"/>
  <c r="F145" i="13"/>
  <c r="F145" i="44" s="1"/>
  <c r="K145" i="15"/>
  <c r="L145" i="15"/>
  <c r="J145" i="15"/>
  <c r="M145" i="15"/>
  <c r="N145" i="15"/>
  <c r="O145" i="15"/>
  <c r="P145" i="15"/>
  <c r="Q145" i="15"/>
  <c r="R145" i="15"/>
  <c r="S145" i="15"/>
  <c r="H49" i="3"/>
  <c r="F49" i="3"/>
  <c r="G299" i="8"/>
  <c r="I49" i="3"/>
  <c r="J145" i="16"/>
  <c r="K145" i="16"/>
  <c r="L145" i="16"/>
  <c r="M145" i="16"/>
  <c r="O145" i="16"/>
  <c r="P145" i="16"/>
  <c r="N145" i="16"/>
  <c r="Q145" i="16"/>
  <c r="R145" i="16"/>
  <c r="S145" i="16"/>
  <c r="J31" i="3"/>
  <c r="F145" i="8"/>
  <c r="J145" i="8" s="1"/>
  <c r="E29" i="3"/>
  <c r="H30" i="3"/>
  <c r="H144" i="8" s="1"/>
  <c r="F30" i="3"/>
  <c r="E48" i="3"/>
  <c r="G30" i="3"/>
  <c r="G144" i="8" s="1"/>
  <c r="I30" i="3"/>
  <c r="I144" i="8" s="1"/>
  <c r="N143" i="8" l="1"/>
  <c r="N145" i="8"/>
  <c r="N306" i="8"/>
  <c r="J150" i="8"/>
  <c r="N150" i="8" s="1"/>
  <c r="F165" i="8"/>
  <c r="J165" i="8" s="1"/>
  <c r="L305" i="44"/>
  <c r="L305" i="13"/>
  <c r="L305" i="18" s="1"/>
  <c r="J305" i="13"/>
  <c r="J305" i="18" s="1"/>
  <c r="M305" i="13"/>
  <c r="M305" i="18" s="1"/>
  <c r="K305" i="13"/>
  <c r="K305" i="18" s="1"/>
  <c r="O305" i="13"/>
  <c r="O305" i="18" s="1"/>
  <c r="P305" i="13"/>
  <c r="P305" i="18" s="1"/>
  <c r="N305" i="13"/>
  <c r="N305" i="18" s="1"/>
  <c r="Q305" i="13"/>
  <c r="Q305" i="18" s="1"/>
  <c r="R305" i="13"/>
  <c r="R305" i="18" s="1"/>
  <c r="S305" i="13"/>
  <c r="F165" i="13"/>
  <c r="F165" i="44" s="1"/>
  <c r="M150" i="13"/>
  <c r="J150" i="13"/>
  <c r="L150" i="13"/>
  <c r="K150" i="13"/>
  <c r="O150" i="13"/>
  <c r="N150" i="13"/>
  <c r="P150" i="13"/>
  <c r="Q150" i="13"/>
  <c r="R150" i="13"/>
  <c r="S150" i="13"/>
  <c r="L165" i="8"/>
  <c r="W165" i="18" s="1"/>
  <c r="J57" i="3"/>
  <c r="F304" i="8"/>
  <c r="F165" i="16"/>
  <c r="J165" i="44" s="1"/>
  <c r="M150" i="16"/>
  <c r="M165" i="16" s="1"/>
  <c r="M1296" i="16" s="1"/>
  <c r="K150" i="16"/>
  <c r="K165" i="16" s="1"/>
  <c r="K1296" i="16" s="1"/>
  <c r="L150" i="16"/>
  <c r="L165" i="16" s="1"/>
  <c r="L1296" i="16" s="1"/>
  <c r="J150" i="16"/>
  <c r="J165" i="16" s="1"/>
  <c r="N150" i="16"/>
  <c r="N165" i="16" s="1"/>
  <c r="N1296" i="16" s="1"/>
  <c r="O150" i="16"/>
  <c r="O165" i="16" s="1"/>
  <c r="O1296" i="16" s="1"/>
  <c r="P150" i="16"/>
  <c r="P165" i="16" s="1"/>
  <c r="P1296" i="16" s="1"/>
  <c r="Q150" i="16"/>
  <c r="Q165" i="16" s="1"/>
  <c r="Q1296" i="16" s="1"/>
  <c r="R150" i="16"/>
  <c r="R165" i="16" s="1"/>
  <c r="R1296" i="16" s="1"/>
  <c r="S150" i="16"/>
  <c r="U305" i="16"/>
  <c r="W305" i="16" s="1"/>
  <c r="I318" i="8"/>
  <c r="F304" i="16"/>
  <c r="J304" i="44" s="1"/>
  <c r="J306" i="13"/>
  <c r="J306" i="18" s="1"/>
  <c r="K306" i="13"/>
  <c r="K306" i="18" s="1"/>
  <c r="L306" i="44"/>
  <c r="L306" i="13"/>
  <c r="L306" i="18" s="1"/>
  <c r="M306" i="13"/>
  <c r="M306" i="18" s="1"/>
  <c r="O306" i="13"/>
  <c r="O306" i="18" s="1"/>
  <c r="P306" i="13"/>
  <c r="P306" i="18" s="1"/>
  <c r="N306" i="13"/>
  <c r="N306" i="18" s="1"/>
  <c r="Q306" i="13"/>
  <c r="Q306" i="18" s="1"/>
  <c r="R306" i="13"/>
  <c r="R306" i="18" s="1"/>
  <c r="S306" i="13"/>
  <c r="E54" i="3"/>
  <c r="G36" i="3"/>
  <c r="G148" i="8" s="1"/>
  <c r="F36" i="3"/>
  <c r="H36" i="3"/>
  <c r="H148" i="8" s="1"/>
  <c r="I36" i="3"/>
  <c r="I148" i="8" s="1"/>
  <c r="F304" i="13"/>
  <c r="F304" i="44" s="1"/>
  <c r="L304" i="8"/>
  <c r="F304" i="18" s="1"/>
  <c r="F318" i="18" s="1"/>
  <c r="G318" i="8"/>
  <c r="F165" i="15"/>
  <c r="H165" i="44" s="1"/>
  <c r="L150" i="15"/>
  <c r="L165" i="15" s="1"/>
  <c r="L1296" i="15" s="1"/>
  <c r="J150" i="15"/>
  <c r="J165" i="15" s="1"/>
  <c r="M150" i="15"/>
  <c r="M165" i="15" s="1"/>
  <c r="M1296" i="15" s="1"/>
  <c r="K150" i="15"/>
  <c r="K165" i="15" s="1"/>
  <c r="K1296" i="15" s="1"/>
  <c r="P150" i="15"/>
  <c r="P165" i="15" s="1"/>
  <c r="P1296" i="15" s="1"/>
  <c r="N150" i="15"/>
  <c r="N165" i="15" s="1"/>
  <c r="N1296" i="15" s="1"/>
  <c r="O150" i="15"/>
  <c r="O165" i="15" s="1"/>
  <c r="O1296" i="15" s="1"/>
  <c r="Q150" i="15"/>
  <c r="Q165" i="15" s="1"/>
  <c r="Q1296" i="15" s="1"/>
  <c r="R150" i="15"/>
  <c r="R165" i="15" s="1"/>
  <c r="R1296" i="15" s="1"/>
  <c r="S150" i="15"/>
  <c r="N305" i="8"/>
  <c r="F304" i="15"/>
  <c r="H304" i="44" s="1"/>
  <c r="H318" i="8"/>
  <c r="U305" i="15"/>
  <c r="W305" i="15" s="1"/>
  <c r="U151" i="13"/>
  <c r="X151" i="13" s="1"/>
  <c r="S151" i="18"/>
  <c r="U306" i="15"/>
  <c r="W306" i="15" s="1"/>
  <c r="J152" i="18"/>
  <c r="U152" i="13"/>
  <c r="X152" i="13" s="1"/>
  <c r="J46" i="3"/>
  <c r="F297" i="8"/>
  <c r="J297" i="8" s="1"/>
  <c r="F142" i="8"/>
  <c r="J27" i="3"/>
  <c r="F297" i="13"/>
  <c r="F297" i="44" s="1"/>
  <c r="L297" i="8"/>
  <c r="F297" i="18" s="1"/>
  <c r="K297" i="15"/>
  <c r="L297" i="15"/>
  <c r="J297" i="15"/>
  <c r="M297" i="15"/>
  <c r="N297" i="15"/>
  <c r="O297" i="15"/>
  <c r="P297" i="15"/>
  <c r="Q297" i="15"/>
  <c r="R297" i="15"/>
  <c r="S297" i="15"/>
  <c r="F142" i="16"/>
  <c r="J142" i="44" s="1"/>
  <c r="I161" i="8"/>
  <c r="U143" i="16"/>
  <c r="W143" i="16" s="1"/>
  <c r="J143" i="13"/>
  <c r="J143" i="18" s="1"/>
  <c r="L143" i="13"/>
  <c r="L143" i="18" s="1"/>
  <c r="M143" i="13"/>
  <c r="M143" i="18" s="1"/>
  <c r="K143" i="13"/>
  <c r="K143" i="18" s="1"/>
  <c r="N143" i="13"/>
  <c r="N143" i="18" s="1"/>
  <c r="P143" i="13"/>
  <c r="P143" i="18" s="1"/>
  <c r="O143" i="13"/>
  <c r="O143" i="18" s="1"/>
  <c r="Q143" i="13"/>
  <c r="Q143" i="18" s="1"/>
  <c r="R143" i="13"/>
  <c r="R143" i="18" s="1"/>
  <c r="S143" i="13"/>
  <c r="L142" i="8"/>
  <c r="F142" i="18" s="1"/>
  <c r="F161" i="18" s="1"/>
  <c r="G161" i="8"/>
  <c r="F142" i="13"/>
  <c r="F142" i="44" s="1"/>
  <c r="U143" i="15"/>
  <c r="W143" i="15" s="1"/>
  <c r="F45" i="3"/>
  <c r="E44" i="3"/>
  <c r="H45" i="3"/>
  <c r="H296" i="8" s="1"/>
  <c r="I45" i="3"/>
  <c r="I296" i="8" s="1"/>
  <c r="G45" i="3"/>
  <c r="G296" i="8" s="1"/>
  <c r="H161" i="8"/>
  <c r="F142" i="15"/>
  <c r="H142" i="44" s="1"/>
  <c r="L297" i="16"/>
  <c r="J297" i="16"/>
  <c r="K297" i="16"/>
  <c r="M297" i="16"/>
  <c r="O297" i="16"/>
  <c r="P297" i="16"/>
  <c r="N297" i="16"/>
  <c r="Q297" i="16"/>
  <c r="R297" i="16"/>
  <c r="S297" i="16"/>
  <c r="U145" i="15"/>
  <c r="W145" i="15" s="1"/>
  <c r="U145" i="16"/>
  <c r="W145" i="16" s="1"/>
  <c r="F299" i="13"/>
  <c r="F299" i="44" s="1"/>
  <c r="H162" i="8"/>
  <c r="F144" i="15"/>
  <c r="H144" i="44" s="1"/>
  <c r="J49" i="3"/>
  <c r="F299" i="8"/>
  <c r="H299" i="8"/>
  <c r="F299" i="15" s="1"/>
  <c r="H299" i="44" s="1"/>
  <c r="L144" i="8"/>
  <c r="F144" i="18" s="1"/>
  <c r="G162" i="8"/>
  <c r="F144" i="13"/>
  <c r="F144" i="44" s="1"/>
  <c r="I162" i="8"/>
  <c r="F144" i="16"/>
  <c r="J144" i="44" s="1"/>
  <c r="L145" i="44"/>
  <c r="K145" i="13"/>
  <c r="K145" i="18" s="1"/>
  <c r="J145" i="13"/>
  <c r="L145" i="13"/>
  <c r="L145" i="18" s="1"/>
  <c r="M145" i="13"/>
  <c r="M145" i="18" s="1"/>
  <c r="P145" i="13"/>
  <c r="P145" i="18" s="1"/>
  <c r="N145" i="13"/>
  <c r="N145" i="18" s="1"/>
  <c r="O145" i="13"/>
  <c r="O145" i="18" s="1"/>
  <c r="Q145" i="13"/>
  <c r="Q145" i="18" s="1"/>
  <c r="R145" i="13"/>
  <c r="R145" i="18" s="1"/>
  <c r="S145" i="13"/>
  <c r="S145" i="18" s="1"/>
  <c r="G48" i="3"/>
  <c r="G298" i="8" s="1"/>
  <c r="H48" i="3"/>
  <c r="H298" i="8" s="1"/>
  <c r="I48" i="3"/>
  <c r="I298" i="8" s="1"/>
  <c r="F48" i="3"/>
  <c r="E47" i="3"/>
  <c r="J30" i="3"/>
  <c r="F144" i="8"/>
  <c r="I299" i="8"/>
  <c r="F299" i="16" s="1"/>
  <c r="J299" i="44" s="1"/>
  <c r="L385" i="44" l="1"/>
  <c r="L297" i="44"/>
  <c r="U152" i="18"/>
  <c r="X152" i="18" s="1"/>
  <c r="U151" i="18"/>
  <c r="X151" i="18" s="1"/>
  <c r="F148" i="16"/>
  <c r="J148" i="44" s="1"/>
  <c r="J304" i="8"/>
  <c r="N304" i="8" s="1"/>
  <c r="F318" i="8"/>
  <c r="J318" i="8" s="1"/>
  <c r="P150" i="18"/>
  <c r="P165" i="13"/>
  <c r="P1296" i="13" s="1"/>
  <c r="U306" i="13"/>
  <c r="X306" i="13" s="1"/>
  <c r="S306" i="18"/>
  <c r="F318" i="13"/>
  <c r="F318" i="44" s="1"/>
  <c r="K304" i="13"/>
  <c r="L304" i="13"/>
  <c r="J304" i="13"/>
  <c r="M304" i="13"/>
  <c r="P304" i="13"/>
  <c r="O304" i="13"/>
  <c r="N304" i="13"/>
  <c r="Q304" i="13"/>
  <c r="R304" i="13"/>
  <c r="S304" i="13"/>
  <c r="E33" i="3"/>
  <c r="U150" i="15"/>
  <c r="W150" i="15" s="1"/>
  <c r="S165" i="15"/>
  <c r="S1296" i="15" s="1"/>
  <c r="J1296" i="15"/>
  <c r="F148" i="15"/>
  <c r="H148" i="44" s="1"/>
  <c r="L304" i="16"/>
  <c r="L318" i="16" s="1"/>
  <c r="J304" i="16"/>
  <c r="J318" i="16" s="1"/>
  <c r="K304" i="16"/>
  <c r="K318" i="16" s="1"/>
  <c r="F318" i="16"/>
  <c r="J318" i="44" s="1"/>
  <c r="M304" i="16"/>
  <c r="M318" i="16" s="1"/>
  <c r="P304" i="16"/>
  <c r="P318" i="16" s="1"/>
  <c r="O304" i="16"/>
  <c r="O318" i="16" s="1"/>
  <c r="N304" i="16"/>
  <c r="N318" i="16" s="1"/>
  <c r="Q304" i="16"/>
  <c r="Q318" i="16" s="1"/>
  <c r="R304" i="16"/>
  <c r="R318" i="16" s="1"/>
  <c r="S304" i="16"/>
  <c r="N165" i="13"/>
  <c r="N1296" i="13" s="1"/>
  <c r="N150" i="18"/>
  <c r="U305" i="13"/>
  <c r="X305" i="13" s="1"/>
  <c r="S305" i="18"/>
  <c r="Q150" i="18"/>
  <c r="Q165" i="13"/>
  <c r="Q1296" i="13" s="1"/>
  <c r="J1296" i="16"/>
  <c r="E37" i="3"/>
  <c r="H28" i="4"/>
  <c r="I28" i="4" s="1"/>
  <c r="O150" i="18"/>
  <c r="O165" i="13"/>
  <c r="O1296" i="13" s="1"/>
  <c r="L165" i="44"/>
  <c r="J36" i="3"/>
  <c r="F148" i="8"/>
  <c r="K150" i="18"/>
  <c r="K165" i="13"/>
  <c r="K1296" i="13" s="1"/>
  <c r="L304" i="15"/>
  <c r="L318" i="15" s="1"/>
  <c r="F318" i="15"/>
  <c r="H318" i="44" s="1"/>
  <c r="J304" i="15"/>
  <c r="J318" i="15" s="1"/>
  <c r="K304" i="15"/>
  <c r="K318" i="15" s="1"/>
  <c r="M304" i="15"/>
  <c r="M318" i="15" s="1"/>
  <c r="O304" i="15"/>
  <c r="O318" i="15" s="1"/>
  <c r="P304" i="15"/>
  <c r="P318" i="15" s="1"/>
  <c r="N304" i="15"/>
  <c r="N318" i="15" s="1"/>
  <c r="Q304" i="15"/>
  <c r="Q318" i="15" s="1"/>
  <c r="R304" i="15"/>
  <c r="R318" i="15" s="1"/>
  <c r="S304" i="15"/>
  <c r="F148" i="13"/>
  <c r="F148" i="44" s="1"/>
  <c r="L148" i="8"/>
  <c r="F148" i="18" s="1"/>
  <c r="U150" i="16"/>
  <c r="W150" i="16" s="1"/>
  <c r="S165" i="16"/>
  <c r="S1296" i="16" s="1"/>
  <c r="L150" i="18"/>
  <c r="L165" i="13"/>
  <c r="L1296" i="13" s="1"/>
  <c r="N165" i="8"/>
  <c r="R150" i="18"/>
  <c r="R165" i="13"/>
  <c r="R1296" i="13" s="1"/>
  <c r="M150" i="18"/>
  <c r="M165" i="13"/>
  <c r="M1296" i="13" s="1"/>
  <c r="L318" i="8"/>
  <c r="W318" i="18" s="1"/>
  <c r="H54" i="3"/>
  <c r="H302" i="8" s="1"/>
  <c r="F54" i="3"/>
  <c r="I54" i="3"/>
  <c r="I302" i="8" s="1"/>
  <c r="G54" i="3"/>
  <c r="G302" i="8" s="1"/>
  <c r="S165" i="13"/>
  <c r="S1296" i="13" s="1"/>
  <c r="S150" i="18"/>
  <c r="J150" i="18"/>
  <c r="J165" i="13"/>
  <c r="U150" i="13"/>
  <c r="X150" i="13" s="1"/>
  <c r="F296" i="13"/>
  <c r="F296" i="44" s="1"/>
  <c r="G314" i="8"/>
  <c r="L296" i="8"/>
  <c r="F296" i="18" s="1"/>
  <c r="F314" i="18" s="1"/>
  <c r="F296" i="16"/>
  <c r="J296" i="44" s="1"/>
  <c r="I314" i="8"/>
  <c r="U143" i="13"/>
  <c r="X143" i="13" s="1"/>
  <c r="S143" i="18"/>
  <c r="F296" i="15"/>
  <c r="H296" i="44" s="1"/>
  <c r="H314" i="8"/>
  <c r="M297" i="13"/>
  <c r="M297" i="18" s="1"/>
  <c r="L297" i="13"/>
  <c r="L297" i="18" s="1"/>
  <c r="J297" i="13"/>
  <c r="J297" i="18" s="1"/>
  <c r="K297" i="13"/>
  <c r="K297" i="18" s="1"/>
  <c r="P297" i="13"/>
  <c r="P297" i="18" s="1"/>
  <c r="N297" i="13"/>
  <c r="N297" i="18" s="1"/>
  <c r="O297" i="13"/>
  <c r="O297" i="18" s="1"/>
  <c r="Q297" i="13"/>
  <c r="Q297" i="18" s="1"/>
  <c r="R297" i="13"/>
  <c r="R297" i="18" s="1"/>
  <c r="S297" i="13"/>
  <c r="U297" i="16"/>
  <c r="W297" i="16" s="1"/>
  <c r="F296" i="8"/>
  <c r="J45" i="3"/>
  <c r="F161" i="8"/>
  <c r="J161" i="8" s="1"/>
  <c r="J142" i="8"/>
  <c r="N142" i="8" s="1"/>
  <c r="O142" i="15"/>
  <c r="O161" i="15" s="1"/>
  <c r="O1292" i="15" s="1"/>
  <c r="M142" i="15"/>
  <c r="M161" i="15" s="1"/>
  <c r="M1292" i="15" s="1"/>
  <c r="N142" i="15"/>
  <c r="N161" i="15" s="1"/>
  <c r="N1292" i="15" s="1"/>
  <c r="K142" i="15"/>
  <c r="K161" i="15" s="1"/>
  <c r="K1292" i="15" s="1"/>
  <c r="F161" i="15"/>
  <c r="H161" i="44" s="1"/>
  <c r="P142" i="15"/>
  <c r="P161" i="15" s="1"/>
  <c r="P1292" i="15" s="1"/>
  <c r="Q142" i="15"/>
  <c r="Q161" i="15" s="1"/>
  <c r="Q1292" i="15" s="1"/>
  <c r="L142" i="15"/>
  <c r="L161" i="15" s="1"/>
  <c r="L1292" i="15" s="1"/>
  <c r="R142" i="15"/>
  <c r="R161" i="15" s="1"/>
  <c r="R1292" i="15" s="1"/>
  <c r="J142" i="15"/>
  <c r="S142" i="15"/>
  <c r="S161" i="15" s="1"/>
  <c r="S1292" i="15" s="1"/>
  <c r="M142" i="13"/>
  <c r="P142" i="13"/>
  <c r="F161" i="13"/>
  <c r="F161" i="44" s="1"/>
  <c r="S142" i="13"/>
  <c r="N142" i="13"/>
  <c r="O142" i="13"/>
  <c r="R142" i="13"/>
  <c r="Q142" i="13"/>
  <c r="J142" i="13"/>
  <c r="K142" i="13"/>
  <c r="L142" i="13"/>
  <c r="K142" i="16"/>
  <c r="K161" i="16" s="1"/>
  <c r="K1292" i="16" s="1"/>
  <c r="N142" i="16"/>
  <c r="N161" i="16" s="1"/>
  <c r="N1292" i="16" s="1"/>
  <c r="M142" i="16"/>
  <c r="M161" i="16" s="1"/>
  <c r="M1292" i="16" s="1"/>
  <c r="F161" i="16"/>
  <c r="J161" i="44" s="1"/>
  <c r="O142" i="16"/>
  <c r="O161" i="16" s="1"/>
  <c r="O1292" i="16" s="1"/>
  <c r="J142" i="16"/>
  <c r="R142" i="16"/>
  <c r="R161" i="16" s="1"/>
  <c r="R1292" i="16" s="1"/>
  <c r="Q142" i="16"/>
  <c r="Q161" i="16" s="1"/>
  <c r="Q1292" i="16" s="1"/>
  <c r="L142" i="16"/>
  <c r="L161" i="16" s="1"/>
  <c r="L1292" i="16" s="1"/>
  <c r="P142" i="16"/>
  <c r="P161" i="16" s="1"/>
  <c r="P1292" i="16" s="1"/>
  <c r="S142" i="16"/>
  <c r="S161" i="16" s="1"/>
  <c r="S1292" i="16" s="1"/>
  <c r="N297" i="8"/>
  <c r="L161" i="8"/>
  <c r="W161" i="18" s="1"/>
  <c r="U297" i="15"/>
  <c r="W297" i="15" s="1"/>
  <c r="L162" i="8"/>
  <c r="F162" i="13"/>
  <c r="F162" i="44" s="1"/>
  <c r="M144" i="13"/>
  <c r="J144" i="13"/>
  <c r="L144" i="13"/>
  <c r="K144" i="13"/>
  <c r="P144" i="13"/>
  <c r="O144" i="13"/>
  <c r="N144" i="13"/>
  <c r="Q144" i="13"/>
  <c r="R144" i="13"/>
  <c r="S144" i="13"/>
  <c r="J299" i="8"/>
  <c r="F162" i="18"/>
  <c r="J144" i="8"/>
  <c r="N144" i="8" s="1"/>
  <c r="F162" i="8"/>
  <c r="J162" i="8" s="1"/>
  <c r="L144" i="15"/>
  <c r="F162" i="15"/>
  <c r="H162" i="44" s="1"/>
  <c r="K144" i="15"/>
  <c r="M144" i="15"/>
  <c r="J144" i="15"/>
  <c r="P144" i="15"/>
  <c r="N144" i="15"/>
  <c r="O144" i="15"/>
  <c r="Q144" i="15"/>
  <c r="R144" i="15"/>
  <c r="S144" i="15"/>
  <c r="J145" i="18"/>
  <c r="U145" i="13"/>
  <c r="X145" i="13" s="1"/>
  <c r="F298" i="8"/>
  <c r="J48" i="3"/>
  <c r="K144" i="16"/>
  <c r="F162" i="16"/>
  <c r="J162" i="44" s="1"/>
  <c r="L144" i="16"/>
  <c r="M144" i="16"/>
  <c r="J144" i="16"/>
  <c r="N144" i="16"/>
  <c r="P144" i="16"/>
  <c r="O144" i="16"/>
  <c r="Q144" i="16"/>
  <c r="R144" i="16"/>
  <c r="S144" i="16"/>
  <c r="I315" i="8"/>
  <c r="F298" i="16"/>
  <c r="J298" i="44" s="1"/>
  <c r="K299" i="15"/>
  <c r="M299" i="15"/>
  <c r="L299" i="15"/>
  <c r="J299" i="15"/>
  <c r="P299" i="15"/>
  <c r="O299" i="15"/>
  <c r="N299" i="15"/>
  <c r="Q299" i="15"/>
  <c r="R299" i="15"/>
  <c r="S299" i="15"/>
  <c r="M299" i="13"/>
  <c r="K299" i="13"/>
  <c r="L299" i="13"/>
  <c r="J299" i="13"/>
  <c r="O299" i="13"/>
  <c r="P299" i="13"/>
  <c r="N299" i="13"/>
  <c r="Q299" i="13"/>
  <c r="R299" i="13"/>
  <c r="S299" i="13"/>
  <c r="F298" i="13"/>
  <c r="F298" i="44" s="1"/>
  <c r="G315" i="8"/>
  <c r="L298" i="8"/>
  <c r="F298" i="18" s="1"/>
  <c r="L299" i="16"/>
  <c r="K299" i="16"/>
  <c r="M299" i="16"/>
  <c r="J299" i="16"/>
  <c r="P299" i="16"/>
  <c r="O299" i="16"/>
  <c r="N299" i="16"/>
  <c r="Q299" i="16"/>
  <c r="R299" i="16"/>
  <c r="S299" i="16"/>
  <c r="H315" i="8"/>
  <c r="F298" i="15"/>
  <c r="H298" i="44" s="1"/>
  <c r="L299" i="8"/>
  <c r="F299" i="18" s="1"/>
  <c r="L386" i="44" l="1"/>
  <c r="L406" i="44"/>
  <c r="N162" i="8"/>
  <c r="U306" i="18"/>
  <c r="X306" i="18" s="1"/>
  <c r="O165" i="18"/>
  <c r="N165" i="18"/>
  <c r="L165" i="18"/>
  <c r="U143" i="18"/>
  <c r="X143" i="18" s="1"/>
  <c r="R165" i="18"/>
  <c r="U145" i="18"/>
  <c r="X145" i="18" s="1"/>
  <c r="K165" i="18"/>
  <c r="P165" i="18"/>
  <c r="U305" i="18"/>
  <c r="X305" i="18" s="1"/>
  <c r="S165" i="18"/>
  <c r="M165" i="18"/>
  <c r="Q165" i="18"/>
  <c r="W162" i="18"/>
  <c r="L142" i="44"/>
  <c r="U165" i="16"/>
  <c r="W165" i="16" s="1"/>
  <c r="U165" i="15"/>
  <c r="W165" i="15" s="1"/>
  <c r="L302" i="8"/>
  <c r="F302" i="18" s="1"/>
  <c r="F302" i="13"/>
  <c r="F302" i="44" s="1"/>
  <c r="U304" i="15"/>
  <c r="W304" i="15" s="1"/>
  <c r="S318" i="15"/>
  <c r="U318" i="15" s="1"/>
  <c r="W318" i="15" s="1"/>
  <c r="U1296" i="16"/>
  <c r="J1403" i="16" s="1"/>
  <c r="Q304" i="18"/>
  <c r="Q318" i="13"/>
  <c r="N318" i="8"/>
  <c r="L148" i="15"/>
  <c r="J148" i="15"/>
  <c r="M148" i="15"/>
  <c r="K148" i="15"/>
  <c r="N148" i="15"/>
  <c r="O148" i="15"/>
  <c r="P148" i="15"/>
  <c r="Q148" i="15"/>
  <c r="R148" i="15"/>
  <c r="S148" i="15"/>
  <c r="F302" i="16"/>
  <c r="J302" i="44" s="1"/>
  <c r="U1296" i="15"/>
  <c r="J1403" i="15" s="1"/>
  <c r="N304" i="18"/>
  <c r="N318" i="13"/>
  <c r="L304" i="44"/>
  <c r="L304" i="18"/>
  <c r="L318" i="13"/>
  <c r="R318" i="13"/>
  <c r="R304" i="18"/>
  <c r="J1296" i="13"/>
  <c r="U165" i="13"/>
  <c r="X165" i="13" s="1"/>
  <c r="J54" i="3"/>
  <c r="F302" i="8"/>
  <c r="U304" i="16"/>
  <c r="W304" i="16" s="1"/>
  <c r="S318" i="16"/>
  <c r="U318" i="16" s="1"/>
  <c r="W318" i="16" s="1"/>
  <c r="O304" i="18"/>
  <c r="O318" i="13"/>
  <c r="E55" i="3"/>
  <c r="F37" i="3"/>
  <c r="I37" i="3"/>
  <c r="I149" i="8" s="1"/>
  <c r="G37" i="3"/>
  <c r="G149" i="8" s="1"/>
  <c r="H37" i="3"/>
  <c r="H149" i="8" s="1"/>
  <c r="E35" i="3"/>
  <c r="U304" i="13"/>
  <c r="X304" i="13" s="1"/>
  <c r="S304" i="18"/>
  <c r="S318" i="13"/>
  <c r="Q299" i="18"/>
  <c r="J165" i="18"/>
  <c r="U150" i="18"/>
  <c r="X150" i="18" s="1"/>
  <c r="P318" i="13"/>
  <c r="P304" i="18"/>
  <c r="J148" i="16"/>
  <c r="K148" i="16"/>
  <c r="M148" i="16"/>
  <c r="L148" i="16"/>
  <c r="N148" i="16"/>
  <c r="O148" i="16"/>
  <c r="P148" i="16"/>
  <c r="Q148" i="16"/>
  <c r="R148" i="16"/>
  <c r="S148" i="16"/>
  <c r="K318" i="13"/>
  <c r="K304" i="18"/>
  <c r="F302" i="15"/>
  <c r="H302" i="44" s="1"/>
  <c r="K148" i="13"/>
  <c r="M148" i="13"/>
  <c r="L148" i="13"/>
  <c r="J148" i="13"/>
  <c r="N148" i="13"/>
  <c r="O148" i="13"/>
  <c r="P148" i="13"/>
  <c r="Q148" i="13"/>
  <c r="R148" i="13"/>
  <c r="S148" i="13"/>
  <c r="M304" i="18"/>
  <c r="M318" i="13"/>
  <c r="J148" i="8"/>
  <c r="N148" i="8" s="1"/>
  <c r="E51" i="3"/>
  <c r="I33" i="3"/>
  <c r="I146" i="8" s="1"/>
  <c r="H33" i="3"/>
  <c r="H146" i="8" s="1"/>
  <c r="G33" i="3"/>
  <c r="G146" i="8" s="1"/>
  <c r="F33" i="3"/>
  <c r="J304" i="18"/>
  <c r="J318" i="13"/>
  <c r="Q161" i="13"/>
  <c r="Q1292" i="13" s="1"/>
  <c r="Q142" i="18"/>
  <c r="R161" i="13"/>
  <c r="R1292" i="13" s="1"/>
  <c r="R142" i="18"/>
  <c r="F314" i="8"/>
  <c r="J314" i="8" s="1"/>
  <c r="J296" i="8"/>
  <c r="N296" i="8" s="1"/>
  <c r="M161" i="13"/>
  <c r="M1292" i="13" s="1"/>
  <c r="M142" i="18"/>
  <c r="O161" i="13"/>
  <c r="O1292" i="13" s="1"/>
  <c r="O142" i="18"/>
  <c r="J161" i="15"/>
  <c r="U142" i="15"/>
  <c r="W142" i="15" s="1"/>
  <c r="N161" i="13"/>
  <c r="N1292" i="13" s="1"/>
  <c r="N142" i="18"/>
  <c r="U297" i="13"/>
  <c r="X297" i="13" s="1"/>
  <c r="S297" i="18"/>
  <c r="R296" i="16"/>
  <c r="R314" i="16" s="1"/>
  <c r="F314" i="16"/>
  <c r="J314" i="44" s="1"/>
  <c r="N296" i="16"/>
  <c r="N314" i="16" s="1"/>
  <c r="O296" i="16"/>
  <c r="O314" i="16" s="1"/>
  <c r="M296" i="16"/>
  <c r="M314" i="16" s="1"/>
  <c r="L296" i="16"/>
  <c r="L314" i="16" s="1"/>
  <c r="K296" i="16"/>
  <c r="K314" i="16" s="1"/>
  <c r="S296" i="16"/>
  <c r="S314" i="16" s="1"/>
  <c r="P296" i="16"/>
  <c r="P314" i="16" s="1"/>
  <c r="Q296" i="16"/>
  <c r="Q314" i="16" s="1"/>
  <c r="J296" i="16"/>
  <c r="J161" i="13"/>
  <c r="J1292" i="13" s="1"/>
  <c r="U142" i="13"/>
  <c r="X142" i="13" s="1"/>
  <c r="J142" i="18"/>
  <c r="S161" i="13"/>
  <c r="S1292" i="13" s="1"/>
  <c r="S142" i="18"/>
  <c r="M296" i="15"/>
  <c r="M314" i="15" s="1"/>
  <c r="O296" i="15"/>
  <c r="O314" i="15" s="1"/>
  <c r="J296" i="15"/>
  <c r="K296" i="15"/>
  <c r="K314" i="15" s="1"/>
  <c r="R296" i="15"/>
  <c r="R314" i="15" s="1"/>
  <c r="P296" i="15"/>
  <c r="P314" i="15" s="1"/>
  <c r="S296" i="15"/>
  <c r="S314" i="15" s="1"/>
  <c r="N296" i="15"/>
  <c r="N314" i="15" s="1"/>
  <c r="L296" i="15"/>
  <c r="L314" i="15" s="1"/>
  <c r="Q296" i="15"/>
  <c r="Q314" i="15" s="1"/>
  <c r="F314" i="15"/>
  <c r="H314" i="44" s="1"/>
  <c r="L161" i="13"/>
  <c r="L1292" i="13" s="1"/>
  <c r="L142" i="18"/>
  <c r="L161" i="44"/>
  <c r="L314" i="8"/>
  <c r="W314" i="18" s="1"/>
  <c r="J161" i="16"/>
  <c r="U142" i="16"/>
  <c r="W142" i="16" s="1"/>
  <c r="K142" i="18"/>
  <c r="K161" i="13"/>
  <c r="P161" i="13"/>
  <c r="P1292" i="13" s="1"/>
  <c r="P142" i="18"/>
  <c r="N161" i="8"/>
  <c r="Q296" i="13"/>
  <c r="M296" i="13"/>
  <c r="J296" i="13"/>
  <c r="N296" i="13"/>
  <c r="L296" i="13"/>
  <c r="O296" i="13"/>
  <c r="R296" i="13"/>
  <c r="P296" i="13"/>
  <c r="F314" i="13"/>
  <c r="F314" i="44" s="1"/>
  <c r="K296" i="13"/>
  <c r="S296" i="13"/>
  <c r="U299" i="16"/>
  <c r="W299" i="16" s="1"/>
  <c r="L299" i="44"/>
  <c r="U144" i="16"/>
  <c r="W144" i="16" s="1"/>
  <c r="S162" i="16"/>
  <c r="L162" i="16"/>
  <c r="M162" i="15"/>
  <c r="O162" i="13"/>
  <c r="O144" i="18"/>
  <c r="N299" i="18"/>
  <c r="U299" i="15"/>
  <c r="W299" i="15" s="1"/>
  <c r="R162" i="16"/>
  <c r="U144" i="15"/>
  <c r="W144" i="15" s="1"/>
  <c r="S162" i="15"/>
  <c r="K162" i="15"/>
  <c r="P144" i="18"/>
  <c r="P162" i="13"/>
  <c r="P299" i="18"/>
  <c r="Q162" i="16"/>
  <c r="K162" i="16"/>
  <c r="R162" i="15"/>
  <c r="K144" i="18"/>
  <c r="K162" i="13"/>
  <c r="F315" i="18"/>
  <c r="O299" i="18"/>
  <c r="O162" i="16"/>
  <c r="Q162" i="15"/>
  <c r="L162" i="15"/>
  <c r="L144" i="18"/>
  <c r="L162" i="13"/>
  <c r="L315" i="8"/>
  <c r="J299" i="18"/>
  <c r="P162" i="16"/>
  <c r="O162" i="15"/>
  <c r="S144" i="18"/>
  <c r="S162" i="13"/>
  <c r="J144" i="18"/>
  <c r="J162" i="13"/>
  <c r="U144" i="13"/>
  <c r="X144" i="13" s="1"/>
  <c r="L298" i="15"/>
  <c r="L315" i="15" s="1"/>
  <c r="F315" i="15"/>
  <c r="H315" i="44" s="1"/>
  <c r="J298" i="15"/>
  <c r="J315" i="15" s="1"/>
  <c r="M298" i="15"/>
  <c r="M315" i="15" s="1"/>
  <c r="K298" i="15"/>
  <c r="K315" i="15" s="1"/>
  <c r="P298" i="15"/>
  <c r="P315" i="15" s="1"/>
  <c r="N298" i="15"/>
  <c r="N315" i="15" s="1"/>
  <c r="O298" i="15"/>
  <c r="O315" i="15" s="1"/>
  <c r="Q298" i="15"/>
  <c r="Q315" i="15" s="1"/>
  <c r="R298" i="15"/>
  <c r="R315" i="15" s="1"/>
  <c r="S298" i="15"/>
  <c r="F315" i="13"/>
  <c r="F315" i="44" s="1"/>
  <c r="L298" i="13"/>
  <c r="M298" i="13"/>
  <c r="K298" i="13"/>
  <c r="J298" i="13"/>
  <c r="P298" i="13"/>
  <c r="N298" i="13"/>
  <c r="O298" i="13"/>
  <c r="Q298" i="13"/>
  <c r="R298" i="13"/>
  <c r="S298" i="13"/>
  <c r="L299" i="18"/>
  <c r="F315" i="16"/>
  <c r="J315" i="44" s="1"/>
  <c r="J298" i="16"/>
  <c r="K298" i="16"/>
  <c r="K315" i="16" s="1"/>
  <c r="L298" i="16"/>
  <c r="L315" i="16" s="1"/>
  <c r="M298" i="16"/>
  <c r="M315" i="16" s="1"/>
  <c r="N298" i="16"/>
  <c r="N315" i="16" s="1"/>
  <c r="O298" i="16"/>
  <c r="O315" i="16" s="1"/>
  <c r="P298" i="16"/>
  <c r="P315" i="16" s="1"/>
  <c r="Q298" i="16"/>
  <c r="Q315" i="16" s="1"/>
  <c r="R298" i="16"/>
  <c r="R315" i="16" s="1"/>
  <c r="S298" i="16"/>
  <c r="S315" i="16" s="1"/>
  <c r="N162" i="16"/>
  <c r="F315" i="8"/>
  <c r="J315" i="8" s="1"/>
  <c r="J298" i="8"/>
  <c r="N298" i="8" s="1"/>
  <c r="N162" i="15"/>
  <c r="R144" i="18"/>
  <c r="R162" i="13"/>
  <c r="M162" i="13"/>
  <c r="M144" i="18"/>
  <c r="U299" i="13"/>
  <c r="X299" i="13" s="1"/>
  <c r="S299" i="18"/>
  <c r="K299" i="18"/>
  <c r="J162" i="16"/>
  <c r="P162" i="15"/>
  <c r="Q144" i="18"/>
  <c r="Q162" i="13"/>
  <c r="L162" i="44"/>
  <c r="R299" i="18"/>
  <c r="M299" i="18"/>
  <c r="M162" i="16"/>
  <c r="J162" i="15"/>
  <c r="N299" i="8"/>
  <c r="N162" i="13"/>
  <c r="N144" i="18"/>
  <c r="F51" i="3" l="1"/>
  <c r="I51" i="3"/>
  <c r="H51" i="3"/>
  <c r="H300" i="8" s="1"/>
  <c r="U165" i="18"/>
  <c r="X165" i="18" s="1"/>
  <c r="O161" i="18"/>
  <c r="Q161" i="18"/>
  <c r="K318" i="18"/>
  <c r="P162" i="18"/>
  <c r="K162" i="18"/>
  <c r="S161" i="18"/>
  <c r="N318" i="18"/>
  <c r="Q318" i="18"/>
  <c r="J162" i="18"/>
  <c r="L162" i="18"/>
  <c r="U297" i="18"/>
  <c r="X297" i="18" s="1"/>
  <c r="M161" i="18"/>
  <c r="P161" i="18"/>
  <c r="L161" i="18"/>
  <c r="J318" i="18"/>
  <c r="M318" i="18"/>
  <c r="R318" i="18"/>
  <c r="M162" i="18"/>
  <c r="N161" i="18"/>
  <c r="O318" i="18"/>
  <c r="Q162" i="18"/>
  <c r="P318" i="18"/>
  <c r="N162" i="18"/>
  <c r="R162" i="18"/>
  <c r="O162" i="18"/>
  <c r="K161" i="18"/>
  <c r="R161" i="18"/>
  <c r="L318" i="18"/>
  <c r="L296" i="44"/>
  <c r="J1026" i="16"/>
  <c r="J864" i="16"/>
  <c r="J701" i="16"/>
  <c r="O148" i="18"/>
  <c r="U148" i="16"/>
  <c r="W148" i="16" s="1"/>
  <c r="F149" i="8"/>
  <c r="J37" i="3"/>
  <c r="L302" i="15"/>
  <c r="K302" i="15"/>
  <c r="J302" i="15"/>
  <c r="M302" i="15"/>
  <c r="P302" i="15"/>
  <c r="N302" i="15"/>
  <c r="O302" i="15"/>
  <c r="Q302" i="15"/>
  <c r="R302" i="15"/>
  <c r="S302" i="15"/>
  <c r="F146" i="15"/>
  <c r="H146" i="44" s="1"/>
  <c r="F146" i="16"/>
  <c r="J146" i="44" s="1"/>
  <c r="L148" i="18"/>
  <c r="S1403" i="15"/>
  <c r="S1026" i="15" s="1"/>
  <c r="M1403" i="15"/>
  <c r="M1026" i="15" s="1"/>
  <c r="P1403" i="15"/>
  <c r="P1026" i="15" s="1"/>
  <c r="R1403" i="15"/>
  <c r="R1026" i="15" s="1"/>
  <c r="K1403" i="15"/>
  <c r="K1026" i="15" s="1"/>
  <c r="L1403" i="15"/>
  <c r="L1026" i="15" s="1"/>
  <c r="Q1403" i="15"/>
  <c r="Q1026" i="15" s="1"/>
  <c r="O1403" i="15"/>
  <c r="O1026" i="15" s="1"/>
  <c r="N1403" i="15"/>
  <c r="N1026" i="15" s="1"/>
  <c r="F55" i="3"/>
  <c r="G55" i="3"/>
  <c r="G303" i="8" s="1"/>
  <c r="H55" i="3"/>
  <c r="H303" i="8" s="1"/>
  <c r="I55" i="3"/>
  <c r="I303" i="8" s="1"/>
  <c r="E53" i="3"/>
  <c r="J148" i="18"/>
  <c r="U148" i="13"/>
  <c r="X148" i="13" s="1"/>
  <c r="J1026" i="15"/>
  <c r="G51" i="3"/>
  <c r="G300" i="8" s="1"/>
  <c r="I300" i="8"/>
  <c r="S148" i="18"/>
  <c r="M148" i="18"/>
  <c r="L302" i="16"/>
  <c r="K302" i="16"/>
  <c r="J302" i="16"/>
  <c r="M302" i="16"/>
  <c r="N302" i="16"/>
  <c r="P302" i="16"/>
  <c r="O302" i="16"/>
  <c r="Q302" i="16"/>
  <c r="R302" i="16"/>
  <c r="S302" i="16"/>
  <c r="M302" i="13"/>
  <c r="K302" i="13"/>
  <c r="L302" i="13"/>
  <c r="J302" i="13"/>
  <c r="N302" i="13"/>
  <c r="P302" i="13"/>
  <c r="O302" i="13"/>
  <c r="Q302" i="13"/>
  <c r="R302" i="13"/>
  <c r="S302" i="13"/>
  <c r="N148" i="18"/>
  <c r="U304" i="18"/>
  <c r="X304" i="18" s="1"/>
  <c r="S318" i="18"/>
  <c r="U1296" i="13"/>
  <c r="J1403" i="13" s="1"/>
  <c r="R148" i="18"/>
  <c r="K148" i="18"/>
  <c r="F149" i="15"/>
  <c r="H149" i="44" s="1"/>
  <c r="H164" i="8"/>
  <c r="Q148" i="18"/>
  <c r="F149" i="13"/>
  <c r="F149" i="44" s="1"/>
  <c r="L149" i="8"/>
  <c r="F149" i="18" s="1"/>
  <c r="F164" i="18" s="1"/>
  <c r="G164" i="8"/>
  <c r="U148" i="15"/>
  <c r="W148" i="15" s="1"/>
  <c r="E34" i="3"/>
  <c r="H25" i="4"/>
  <c r="I25" i="4" s="1"/>
  <c r="F146" i="13"/>
  <c r="F146" i="44" s="1"/>
  <c r="L146" i="8"/>
  <c r="F146" i="18" s="1"/>
  <c r="U318" i="13"/>
  <c r="X318" i="13" s="1"/>
  <c r="F146" i="8"/>
  <c r="J33" i="3"/>
  <c r="P148" i="18"/>
  <c r="F149" i="16"/>
  <c r="J149" i="44" s="1"/>
  <c r="I164" i="8"/>
  <c r="J302" i="8"/>
  <c r="N302" i="8" s="1"/>
  <c r="S1403" i="16"/>
  <c r="R1403" i="16"/>
  <c r="Q1403" i="16"/>
  <c r="P1403" i="16"/>
  <c r="O1403" i="16"/>
  <c r="N1403" i="16"/>
  <c r="L1403" i="16"/>
  <c r="M1403" i="16"/>
  <c r="K1403" i="16"/>
  <c r="S314" i="13"/>
  <c r="S296" i="18"/>
  <c r="N314" i="13"/>
  <c r="N296" i="18"/>
  <c r="U161" i="13"/>
  <c r="X161" i="13" s="1"/>
  <c r="K1292" i="13"/>
  <c r="J314" i="16"/>
  <c r="U314" i="16" s="1"/>
  <c r="W314" i="16" s="1"/>
  <c r="U296" i="16"/>
  <c r="W296" i="16" s="1"/>
  <c r="J314" i="13"/>
  <c r="J296" i="18"/>
  <c r="U296" i="13"/>
  <c r="X296" i="13" s="1"/>
  <c r="K314" i="13"/>
  <c r="K296" i="18"/>
  <c r="M314" i="13"/>
  <c r="M296" i="18"/>
  <c r="Q314" i="13"/>
  <c r="Q296" i="18"/>
  <c r="J1292" i="16"/>
  <c r="U161" i="16"/>
  <c r="W161" i="16" s="1"/>
  <c r="J314" i="15"/>
  <c r="U314" i="15" s="1"/>
  <c r="W314" i="15" s="1"/>
  <c r="U296" i="15"/>
  <c r="W296" i="15" s="1"/>
  <c r="L314" i="13"/>
  <c r="L296" i="18"/>
  <c r="P314" i="13"/>
  <c r="P296" i="18"/>
  <c r="R314" i="13"/>
  <c r="R296" i="18"/>
  <c r="J161" i="18"/>
  <c r="U142" i="18"/>
  <c r="X142" i="18" s="1"/>
  <c r="N314" i="8"/>
  <c r="O314" i="13"/>
  <c r="O296" i="18"/>
  <c r="J1292" i="15"/>
  <c r="U161" i="15"/>
  <c r="W161" i="15" s="1"/>
  <c r="N315" i="8"/>
  <c r="N315" i="13"/>
  <c r="N298" i="18"/>
  <c r="R1293" i="15"/>
  <c r="R1299" i="15"/>
  <c r="R1293" i="16"/>
  <c r="R1299" i="16"/>
  <c r="L1293" i="16"/>
  <c r="L1299" i="16"/>
  <c r="P298" i="18"/>
  <c r="P315" i="13"/>
  <c r="U298" i="15"/>
  <c r="W298" i="15" s="1"/>
  <c r="S315" i="15"/>
  <c r="U315" i="15" s="1"/>
  <c r="W315" i="15" s="1"/>
  <c r="O1293" i="15"/>
  <c r="O1299" i="15"/>
  <c r="L1293" i="13"/>
  <c r="L1299" i="13"/>
  <c r="K1293" i="13"/>
  <c r="K1299" i="13"/>
  <c r="K1293" i="16"/>
  <c r="K1299" i="16"/>
  <c r="M1293" i="15"/>
  <c r="M1299" i="15"/>
  <c r="P1293" i="15"/>
  <c r="P1299" i="15"/>
  <c r="M1293" i="16"/>
  <c r="M1299" i="16"/>
  <c r="J1293" i="16"/>
  <c r="U162" i="16"/>
  <c r="W162" i="16" s="1"/>
  <c r="J1299" i="16"/>
  <c r="R1293" i="13"/>
  <c r="R1299" i="13"/>
  <c r="J298" i="18"/>
  <c r="J315" i="13"/>
  <c r="L1293" i="15"/>
  <c r="L1299" i="15"/>
  <c r="S1293" i="16"/>
  <c r="S1299" i="16"/>
  <c r="Q1293" i="13"/>
  <c r="Q1299" i="13"/>
  <c r="K298" i="18"/>
  <c r="K315" i="13"/>
  <c r="J1293" i="13"/>
  <c r="J1299" i="13"/>
  <c r="P1293" i="16"/>
  <c r="P1299" i="16"/>
  <c r="K1293" i="15"/>
  <c r="K1299" i="15"/>
  <c r="M1293" i="13"/>
  <c r="M1299" i="13"/>
  <c r="N1293" i="13"/>
  <c r="N1299" i="13"/>
  <c r="U299" i="18"/>
  <c r="X299" i="18" s="1"/>
  <c r="N1293" i="16"/>
  <c r="N1299" i="16"/>
  <c r="U298" i="13"/>
  <c r="X298" i="13" s="1"/>
  <c r="S315" i="13"/>
  <c r="S298" i="18"/>
  <c r="M315" i="13"/>
  <c r="M298" i="18"/>
  <c r="Q1293" i="16"/>
  <c r="Q1299" i="16"/>
  <c r="P1293" i="13"/>
  <c r="P1299" i="13"/>
  <c r="R298" i="18"/>
  <c r="R315" i="13"/>
  <c r="L315" i="13"/>
  <c r="L298" i="18"/>
  <c r="Q1293" i="15"/>
  <c r="Q1299" i="15"/>
  <c r="S1293" i="15"/>
  <c r="S1299" i="15"/>
  <c r="J1293" i="15"/>
  <c r="U162" i="15"/>
  <c r="W162" i="15" s="1"/>
  <c r="J1299" i="15"/>
  <c r="Q298" i="18"/>
  <c r="Q315" i="13"/>
  <c r="U162" i="13"/>
  <c r="X162" i="13" s="1"/>
  <c r="S1293" i="13"/>
  <c r="S1299" i="13"/>
  <c r="N1293" i="15"/>
  <c r="N1299" i="15"/>
  <c r="J315" i="16"/>
  <c r="U315" i="16" s="1"/>
  <c r="W315" i="16" s="1"/>
  <c r="U298" i="16"/>
  <c r="W298" i="16" s="1"/>
  <c r="O315" i="13"/>
  <c r="O298" i="18"/>
  <c r="L298" i="44"/>
  <c r="U144" i="18"/>
  <c r="X144" i="18" s="1"/>
  <c r="S162" i="18"/>
  <c r="W315" i="18"/>
  <c r="O1293" i="16"/>
  <c r="O1299" i="16"/>
  <c r="O1293" i="13"/>
  <c r="O1299" i="13"/>
  <c r="U161" i="18" l="1"/>
  <c r="X161" i="18" s="1"/>
  <c r="P314" i="18"/>
  <c r="Q314" i="18"/>
  <c r="U318" i="18"/>
  <c r="X318" i="18" s="1"/>
  <c r="O314" i="18"/>
  <c r="L314" i="18"/>
  <c r="M314" i="18"/>
  <c r="Q315" i="18"/>
  <c r="L315" i="18"/>
  <c r="M315" i="18"/>
  <c r="N315" i="18"/>
  <c r="K314" i="18"/>
  <c r="O315" i="18"/>
  <c r="P315" i="18"/>
  <c r="N314" i="18"/>
  <c r="S314" i="18"/>
  <c r="U162" i="18"/>
  <c r="X162" i="18" s="1"/>
  <c r="R315" i="18"/>
  <c r="K315" i="18"/>
  <c r="J315" i="18"/>
  <c r="R314" i="18"/>
  <c r="J302" i="18"/>
  <c r="L302" i="44"/>
  <c r="U1026" i="15"/>
  <c r="W1026" i="15" s="1"/>
  <c r="P864" i="16"/>
  <c r="P701" i="16"/>
  <c r="P1026" i="16"/>
  <c r="K1026" i="16"/>
  <c r="K701" i="16"/>
  <c r="K864" i="16"/>
  <c r="S701" i="16"/>
  <c r="S1026" i="16"/>
  <c r="S864" i="16"/>
  <c r="S1403" i="13"/>
  <c r="P1403" i="13"/>
  <c r="R1403" i="13"/>
  <c r="N1403" i="13"/>
  <c r="O1403" i="13"/>
  <c r="Q1403" i="13"/>
  <c r="K1403" i="13"/>
  <c r="L1403" i="13"/>
  <c r="M1403" i="13"/>
  <c r="Q302" i="18"/>
  <c r="F303" i="15"/>
  <c r="H303" i="44" s="1"/>
  <c r="H317" i="8"/>
  <c r="U302" i="15"/>
  <c r="W302" i="15" s="1"/>
  <c r="M701" i="16"/>
  <c r="M1026" i="16"/>
  <c r="M864" i="16"/>
  <c r="L303" i="8"/>
  <c r="F303" i="18" s="1"/>
  <c r="F317" i="18" s="1"/>
  <c r="F303" i="13"/>
  <c r="F303" i="44" s="1"/>
  <c r="G317" i="8"/>
  <c r="L864" i="16"/>
  <c r="L1026" i="16"/>
  <c r="L701" i="16"/>
  <c r="P302" i="18"/>
  <c r="U1403" i="15"/>
  <c r="J55" i="3"/>
  <c r="F303" i="8"/>
  <c r="K146" i="16"/>
  <c r="L146" i="16"/>
  <c r="M146" i="16"/>
  <c r="J146" i="16"/>
  <c r="N146" i="16"/>
  <c r="P146" i="16"/>
  <c r="O146" i="16"/>
  <c r="Q146" i="16"/>
  <c r="R146" i="16"/>
  <c r="S146" i="16"/>
  <c r="J146" i="13"/>
  <c r="K146" i="13"/>
  <c r="L146" i="13"/>
  <c r="M146" i="13"/>
  <c r="N146" i="13"/>
  <c r="P146" i="13"/>
  <c r="O146" i="13"/>
  <c r="Q146" i="13"/>
  <c r="R146" i="13"/>
  <c r="S146" i="13"/>
  <c r="M149" i="13"/>
  <c r="J149" i="13"/>
  <c r="L149" i="13"/>
  <c r="K149" i="13"/>
  <c r="O149" i="13"/>
  <c r="P149" i="13"/>
  <c r="N149" i="13"/>
  <c r="Q149" i="13"/>
  <c r="R149" i="13"/>
  <c r="S149" i="13"/>
  <c r="F164" i="13"/>
  <c r="F164" i="44" s="1"/>
  <c r="K149" i="15"/>
  <c r="K164" i="15" s="1"/>
  <c r="K1295" i="15" s="1"/>
  <c r="L149" i="15"/>
  <c r="L164" i="15" s="1"/>
  <c r="L1295" i="15" s="1"/>
  <c r="M149" i="15"/>
  <c r="M164" i="15" s="1"/>
  <c r="M1295" i="15" s="1"/>
  <c r="J149" i="15"/>
  <c r="J164" i="15" s="1"/>
  <c r="N149" i="15"/>
  <c r="N164" i="15" s="1"/>
  <c r="N1295" i="15" s="1"/>
  <c r="P149" i="15"/>
  <c r="P164" i="15" s="1"/>
  <c r="P1295" i="15" s="1"/>
  <c r="O149" i="15"/>
  <c r="O164" i="15" s="1"/>
  <c r="O1295" i="15" s="1"/>
  <c r="Q149" i="15"/>
  <c r="Q164" i="15" s="1"/>
  <c r="Q1295" i="15" s="1"/>
  <c r="R149" i="15"/>
  <c r="R164" i="15" s="1"/>
  <c r="R1295" i="15" s="1"/>
  <c r="S149" i="15"/>
  <c r="F164" i="15"/>
  <c r="H164" i="44" s="1"/>
  <c r="O302" i="18"/>
  <c r="N1026" i="16"/>
  <c r="N701" i="16"/>
  <c r="N864" i="16"/>
  <c r="E52" i="3"/>
  <c r="F34" i="3"/>
  <c r="I34" i="3"/>
  <c r="I147" i="8" s="1"/>
  <c r="H34" i="3"/>
  <c r="H147" i="8" s="1"/>
  <c r="G34" i="3"/>
  <c r="G147" i="8" s="1"/>
  <c r="E32" i="3"/>
  <c r="N302" i="18"/>
  <c r="U302" i="16"/>
  <c r="W302" i="16" s="1"/>
  <c r="O701" i="16"/>
  <c r="O864" i="16"/>
  <c r="O1026" i="16"/>
  <c r="J146" i="8"/>
  <c r="N146" i="8" s="1"/>
  <c r="F300" i="15"/>
  <c r="H300" i="44" s="1"/>
  <c r="U1403" i="16"/>
  <c r="L149" i="16"/>
  <c r="L164" i="16" s="1"/>
  <c r="L1295" i="16" s="1"/>
  <c r="J149" i="16"/>
  <c r="J164" i="16" s="1"/>
  <c r="K149" i="16"/>
  <c r="K164" i="16" s="1"/>
  <c r="K1295" i="16" s="1"/>
  <c r="M149" i="16"/>
  <c r="M164" i="16" s="1"/>
  <c r="M1295" i="16" s="1"/>
  <c r="P149" i="16"/>
  <c r="P164" i="16" s="1"/>
  <c r="P1295" i="16" s="1"/>
  <c r="O149" i="16"/>
  <c r="O164" i="16" s="1"/>
  <c r="O1295" i="16" s="1"/>
  <c r="N149" i="16"/>
  <c r="N164" i="16" s="1"/>
  <c r="N1295" i="16" s="1"/>
  <c r="Q149" i="16"/>
  <c r="Q164" i="16" s="1"/>
  <c r="Q1295" i="16" s="1"/>
  <c r="R149" i="16"/>
  <c r="R164" i="16" s="1"/>
  <c r="R1295" i="16" s="1"/>
  <c r="S149" i="16"/>
  <c r="F164" i="16"/>
  <c r="J164" i="44" s="1"/>
  <c r="F300" i="16"/>
  <c r="J300" i="44" s="1"/>
  <c r="L146" i="15"/>
  <c r="K146" i="15"/>
  <c r="M146" i="15"/>
  <c r="J146" i="15"/>
  <c r="P146" i="15"/>
  <c r="N146" i="15"/>
  <c r="O146" i="15"/>
  <c r="Q146" i="15"/>
  <c r="R146" i="15"/>
  <c r="S146" i="15"/>
  <c r="U148" i="18"/>
  <c r="X148" i="18" s="1"/>
  <c r="Q701" i="16"/>
  <c r="Q1026" i="16"/>
  <c r="Q864" i="16"/>
  <c r="U302" i="13"/>
  <c r="X302" i="13" s="1"/>
  <c r="S302" i="18"/>
  <c r="K302" i="18"/>
  <c r="F300" i="13"/>
  <c r="F300" i="44" s="1"/>
  <c r="L300" i="8"/>
  <c r="F300" i="18" s="1"/>
  <c r="J149" i="8"/>
  <c r="N149" i="8" s="1"/>
  <c r="F164" i="8"/>
  <c r="J164" i="8" s="1"/>
  <c r="L302" i="18"/>
  <c r="R701" i="16"/>
  <c r="R1026" i="16"/>
  <c r="R864" i="16"/>
  <c r="L164" i="8"/>
  <c r="W164" i="18" s="1"/>
  <c r="J864" i="13"/>
  <c r="J1026" i="13"/>
  <c r="J701" i="13"/>
  <c r="R302" i="18"/>
  <c r="M302" i="18"/>
  <c r="F300" i="8"/>
  <c r="J51" i="3"/>
  <c r="F303" i="16"/>
  <c r="J303" i="44" s="1"/>
  <c r="I317" i="8"/>
  <c r="U1292" i="16"/>
  <c r="U1292" i="13"/>
  <c r="K1399" i="13" s="1"/>
  <c r="J314" i="18"/>
  <c r="U296" i="18"/>
  <c r="X296" i="18" s="1"/>
  <c r="U314" i="13"/>
  <c r="X314" i="13" s="1"/>
  <c r="U1292" i="15"/>
  <c r="J1399" i="15" s="1"/>
  <c r="U1293" i="13"/>
  <c r="S1400" i="13" s="1"/>
  <c r="U298" i="18"/>
  <c r="X298" i="18" s="1"/>
  <c r="S315" i="18"/>
  <c r="U1299" i="16"/>
  <c r="U315" i="13"/>
  <c r="X315" i="13" s="1"/>
  <c r="U1299" i="15"/>
  <c r="O1406" i="15" s="1"/>
  <c r="U1293" i="16"/>
  <c r="Q1400" i="16" s="1"/>
  <c r="U1293" i="15"/>
  <c r="S1400" i="15" s="1"/>
  <c r="S1023" i="15" s="1"/>
  <c r="U1299" i="13"/>
  <c r="Q1406" i="13" s="1"/>
  <c r="I52" i="3" l="1"/>
  <c r="I301" i="8" s="1"/>
  <c r="H52" i="3"/>
  <c r="F52" i="3"/>
  <c r="U315" i="18"/>
  <c r="X315" i="18" s="1"/>
  <c r="U314" i="18"/>
  <c r="X314" i="18" s="1"/>
  <c r="K1400" i="13"/>
  <c r="K1023" i="13" s="1"/>
  <c r="L164" i="44"/>
  <c r="L146" i="44"/>
  <c r="U1026" i="16"/>
  <c r="W1026" i="16" s="1"/>
  <c r="K1406" i="15"/>
  <c r="U864" i="16"/>
  <c r="W864" i="16" s="1"/>
  <c r="U701" i="16"/>
  <c r="W701" i="16" s="1"/>
  <c r="J300" i="8"/>
  <c r="N300" i="8" s="1"/>
  <c r="J1026" i="18"/>
  <c r="U146" i="15"/>
  <c r="W146" i="15" s="1"/>
  <c r="U149" i="16"/>
  <c r="W149" i="16" s="1"/>
  <c r="S164" i="16"/>
  <c r="S1295" i="16" s="1"/>
  <c r="N164" i="8"/>
  <c r="K149" i="18"/>
  <c r="K164" i="13"/>
  <c r="K1295" i="13" s="1"/>
  <c r="Q146" i="18"/>
  <c r="R1026" i="13"/>
  <c r="R1026" i="18" s="1"/>
  <c r="R701" i="13"/>
  <c r="R864" i="13"/>
  <c r="L149" i="18"/>
  <c r="L164" i="13"/>
  <c r="L1295" i="13" s="1"/>
  <c r="L147" i="8"/>
  <c r="F147" i="18" s="1"/>
  <c r="F147" i="13"/>
  <c r="F147" i="44" s="1"/>
  <c r="G163" i="8"/>
  <c r="G159" i="8"/>
  <c r="S149" i="18"/>
  <c r="S164" i="13"/>
  <c r="S1295" i="13" s="1"/>
  <c r="J149" i="18"/>
  <c r="U149" i="13"/>
  <c r="X149" i="13" s="1"/>
  <c r="J164" i="13"/>
  <c r="P146" i="18"/>
  <c r="M701" i="13"/>
  <c r="M864" i="13"/>
  <c r="M1026" i="13"/>
  <c r="M1026" i="18" s="1"/>
  <c r="S701" i="13"/>
  <c r="S1026" i="13"/>
  <c r="S1026" i="18" s="1"/>
  <c r="S864" i="13"/>
  <c r="U302" i="18"/>
  <c r="X302" i="18" s="1"/>
  <c r="O146" i="18"/>
  <c r="J303" i="8"/>
  <c r="N303" i="8" s="1"/>
  <c r="F317" i="8"/>
  <c r="J317" i="8" s="1"/>
  <c r="P1026" i="13"/>
  <c r="P1026" i="18" s="1"/>
  <c r="P864" i="13"/>
  <c r="P701" i="13"/>
  <c r="F147" i="15"/>
  <c r="H147" i="44" s="1"/>
  <c r="H163" i="8"/>
  <c r="H159" i="8"/>
  <c r="R149" i="18"/>
  <c r="R164" i="13"/>
  <c r="R1295" i="13" s="1"/>
  <c r="M149" i="18"/>
  <c r="M164" i="13"/>
  <c r="M1295" i="13" s="1"/>
  <c r="N146" i="18"/>
  <c r="L317" i="8"/>
  <c r="W317" i="18" s="1"/>
  <c r="L1026" i="13"/>
  <c r="L1026" i="18" s="1"/>
  <c r="L701" i="13"/>
  <c r="L864" i="13"/>
  <c r="K300" i="15"/>
  <c r="S300" i="15"/>
  <c r="N300" i="15"/>
  <c r="P300" i="15"/>
  <c r="L300" i="15"/>
  <c r="O300" i="15"/>
  <c r="Q300" i="15"/>
  <c r="J300" i="15"/>
  <c r="R300" i="15"/>
  <c r="M300" i="15"/>
  <c r="Q149" i="18"/>
  <c r="Q164" i="13"/>
  <c r="Q1295" i="13" s="1"/>
  <c r="L149" i="44"/>
  <c r="M146" i="18"/>
  <c r="K303" i="13"/>
  <c r="J303" i="13"/>
  <c r="M303" i="13"/>
  <c r="L303" i="13"/>
  <c r="O303" i="13"/>
  <c r="N303" i="13"/>
  <c r="P303" i="13"/>
  <c r="Q303" i="13"/>
  <c r="R303" i="13"/>
  <c r="S303" i="13"/>
  <c r="F317" i="13"/>
  <c r="F317" i="44" s="1"/>
  <c r="K701" i="13"/>
  <c r="K1026" i="13"/>
  <c r="K864" i="13"/>
  <c r="S300" i="16"/>
  <c r="J300" i="16"/>
  <c r="M300" i="16"/>
  <c r="L300" i="16"/>
  <c r="K300" i="16"/>
  <c r="O300" i="16"/>
  <c r="P300" i="16"/>
  <c r="N300" i="16"/>
  <c r="Q300" i="16"/>
  <c r="R300" i="16"/>
  <c r="J1295" i="15"/>
  <c r="J303" i="16"/>
  <c r="J317" i="16" s="1"/>
  <c r="L303" i="16"/>
  <c r="L317" i="16" s="1"/>
  <c r="K303" i="16"/>
  <c r="K317" i="16" s="1"/>
  <c r="M303" i="16"/>
  <c r="M317" i="16" s="1"/>
  <c r="O303" i="16"/>
  <c r="O317" i="16" s="1"/>
  <c r="P303" i="16"/>
  <c r="P317" i="16" s="1"/>
  <c r="N303" i="16"/>
  <c r="N317" i="16" s="1"/>
  <c r="Q303" i="16"/>
  <c r="Q317" i="16" s="1"/>
  <c r="R303" i="16"/>
  <c r="R317" i="16" s="1"/>
  <c r="S303" i="16"/>
  <c r="F317" i="16"/>
  <c r="J317" i="44" s="1"/>
  <c r="U1403" i="13"/>
  <c r="F147" i="8"/>
  <c r="J34" i="3"/>
  <c r="N149" i="18"/>
  <c r="N164" i="13"/>
  <c r="N1295" i="13" s="1"/>
  <c r="L146" i="18"/>
  <c r="U146" i="16"/>
  <c r="W146" i="16" s="1"/>
  <c r="K303" i="15"/>
  <c r="K317" i="15" s="1"/>
  <c r="J303" i="15"/>
  <c r="J317" i="15" s="1"/>
  <c r="M303" i="15"/>
  <c r="M317" i="15" s="1"/>
  <c r="L303" i="15"/>
  <c r="L317" i="15" s="1"/>
  <c r="P303" i="15"/>
  <c r="P317" i="15" s="1"/>
  <c r="N303" i="15"/>
  <c r="N317" i="15" s="1"/>
  <c r="O303" i="15"/>
  <c r="O317" i="15" s="1"/>
  <c r="Q303" i="15"/>
  <c r="Q317" i="15" s="1"/>
  <c r="R303" i="15"/>
  <c r="R317" i="15" s="1"/>
  <c r="S303" i="15"/>
  <c r="F317" i="15"/>
  <c r="H317" i="44" s="1"/>
  <c r="Q864" i="13"/>
  <c r="Q701" i="13"/>
  <c r="Q1026" i="13"/>
  <c r="Q1026" i="18" s="1"/>
  <c r="F147" i="16"/>
  <c r="J147" i="44" s="1"/>
  <c r="I163" i="8"/>
  <c r="I159" i="8"/>
  <c r="K300" i="13"/>
  <c r="J300" i="13"/>
  <c r="L300" i="13"/>
  <c r="M300" i="13"/>
  <c r="P300" i="13"/>
  <c r="O300" i="13"/>
  <c r="N300" i="13"/>
  <c r="Q300" i="13"/>
  <c r="R300" i="13"/>
  <c r="S300" i="13"/>
  <c r="G52" i="3"/>
  <c r="G301" i="8" s="1"/>
  <c r="G312" i="8" s="1"/>
  <c r="H301" i="8"/>
  <c r="H312" i="8" s="1"/>
  <c r="E50" i="3"/>
  <c r="U149" i="15"/>
  <c r="W149" i="15" s="1"/>
  <c r="S164" i="15"/>
  <c r="S1295" i="15" s="1"/>
  <c r="P149" i="18"/>
  <c r="P164" i="13"/>
  <c r="P1295" i="13" s="1"/>
  <c r="S146" i="18"/>
  <c r="K146" i="18"/>
  <c r="O864" i="13"/>
  <c r="O1026" i="13"/>
  <c r="O1026" i="18" s="1"/>
  <c r="O701" i="13"/>
  <c r="J1295" i="16"/>
  <c r="O149" i="18"/>
  <c r="O164" i="13"/>
  <c r="O1295" i="13" s="1"/>
  <c r="R146" i="18"/>
  <c r="J146" i="18"/>
  <c r="U146" i="13"/>
  <c r="X146" i="13" s="1"/>
  <c r="N1026" i="13"/>
  <c r="N1026" i="18" s="1"/>
  <c r="N864" i="13"/>
  <c r="N701" i="13"/>
  <c r="M1406" i="15"/>
  <c r="K1406" i="13"/>
  <c r="K699" i="13" s="1"/>
  <c r="K1022" i="13"/>
  <c r="K1211" i="13"/>
  <c r="K1213" i="13"/>
  <c r="K1210" i="13"/>
  <c r="Q1406" i="15"/>
  <c r="N1399" i="13"/>
  <c r="J1399" i="13"/>
  <c r="O1399" i="13"/>
  <c r="M1399" i="13"/>
  <c r="S1399" i="13"/>
  <c r="Q1399" i="13"/>
  <c r="P1399" i="13"/>
  <c r="R1399" i="13"/>
  <c r="L1399" i="13"/>
  <c r="J1022" i="15"/>
  <c r="J1211" i="15"/>
  <c r="J1213" i="15"/>
  <c r="J1210" i="15"/>
  <c r="M1399" i="16"/>
  <c r="O1399" i="16"/>
  <c r="Q1399" i="16"/>
  <c r="L1399" i="16"/>
  <c r="K1399" i="16"/>
  <c r="S1399" i="16"/>
  <c r="P1399" i="16"/>
  <c r="N1399" i="16"/>
  <c r="R1399" i="16"/>
  <c r="S1406" i="15"/>
  <c r="P1406" i="15"/>
  <c r="N1399" i="15"/>
  <c r="R1399" i="15"/>
  <c r="Q1399" i="15"/>
  <c r="P1399" i="15"/>
  <c r="M1399" i="15"/>
  <c r="K1399" i="15"/>
  <c r="L1399" i="15"/>
  <c r="S1399" i="15"/>
  <c r="O1399" i="15"/>
  <c r="J1399" i="16"/>
  <c r="N1400" i="13"/>
  <c r="N846" i="13" s="1"/>
  <c r="M1400" i="13"/>
  <c r="M1023" i="13" s="1"/>
  <c r="N1400" i="16"/>
  <c r="N683" i="16" s="1"/>
  <c r="Q1400" i="13"/>
  <c r="Q846" i="13" s="1"/>
  <c r="O1400" i="13"/>
  <c r="O683" i="13" s="1"/>
  <c r="L1406" i="15"/>
  <c r="R1406" i="15"/>
  <c r="K1400" i="15"/>
  <c r="K1023" i="15" s="1"/>
  <c r="Q1400" i="15"/>
  <c r="Q1023" i="15" s="1"/>
  <c r="N1400" i="15"/>
  <c r="N1023" i="15" s="1"/>
  <c r="Q1023" i="16"/>
  <c r="Q846" i="16"/>
  <c r="Q683" i="16"/>
  <c r="S846" i="13"/>
  <c r="S683" i="13"/>
  <c r="S1023" i="13"/>
  <c r="L1406" i="13"/>
  <c r="R1400" i="16"/>
  <c r="J1400" i="13"/>
  <c r="L1400" i="15"/>
  <c r="L1023" i="15" s="1"/>
  <c r="O1406" i="13"/>
  <c r="N1406" i="15"/>
  <c r="J1400" i="15"/>
  <c r="J1406" i="15"/>
  <c r="R1400" i="15"/>
  <c r="R1023" i="15" s="1"/>
  <c r="N1406" i="13"/>
  <c r="M1400" i="15"/>
  <c r="M1023" i="15" s="1"/>
  <c r="Q862" i="13"/>
  <c r="Q699" i="13"/>
  <c r="O1400" i="16"/>
  <c r="O1400" i="15"/>
  <c r="O1023" i="15" s="1"/>
  <c r="J1406" i="13"/>
  <c r="L1400" i="16"/>
  <c r="S1400" i="16"/>
  <c r="M1400" i="16"/>
  <c r="P1400" i="13"/>
  <c r="P1400" i="16"/>
  <c r="P1406" i="13"/>
  <c r="K1400" i="16"/>
  <c r="M1406" i="13"/>
  <c r="P1400" i="15"/>
  <c r="P1023" i="15" s="1"/>
  <c r="J1400" i="16"/>
  <c r="L1400" i="13"/>
  <c r="R1400" i="13"/>
  <c r="R1406" i="13"/>
  <c r="S1406" i="13"/>
  <c r="L405" i="44" l="1"/>
  <c r="Q164" i="18"/>
  <c r="J164" i="18"/>
  <c r="L164" i="18"/>
  <c r="O164" i="18"/>
  <c r="P164" i="18"/>
  <c r="N164" i="18"/>
  <c r="M164" i="18"/>
  <c r="R164" i="18"/>
  <c r="K164" i="18"/>
  <c r="U164" i="16"/>
  <c r="W164" i="16" s="1"/>
  <c r="K846" i="13"/>
  <c r="K683" i="13"/>
  <c r="M846" i="13"/>
  <c r="M683" i="13"/>
  <c r="K862" i="13"/>
  <c r="N1023" i="13"/>
  <c r="N683" i="13"/>
  <c r="N846" i="16"/>
  <c r="O846" i="13"/>
  <c r="U164" i="15"/>
  <c r="W164" i="15" s="1"/>
  <c r="F301" i="16"/>
  <c r="J301" i="44" s="1"/>
  <c r="I312" i="8"/>
  <c r="I325" i="8" s="1"/>
  <c r="I316" i="8"/>
  <c r="K1026" i="18"/>
  <c r="U1026" i="13"/>
  <c r="X1026" i="13" s="1"/>
  <c r="F301" i="15"/>
  <c r="H301" i="44" s="1"/>
  <c r="H325" i="8"/>
  <c r="H316" i="8"/>
  <c r="U146" i="18"/>
  <c r="X146" i="18" s="1"/>
  <c r="L147" i="16"/>
  <c r="K147" i="16"/>
  <c r="M147" i="16"/>
  <c r="J147" i="16"/>
  <c r="N147" i="16"/>
  <c r="O147" i="16"/>
  <c r="P147" i="16"/>
  <c r="Q147" i="16"/>
  <c r="R147" i="16"/>
  <c r="S147" i="16"/>
  <c r="F163" i="16"/>
  <c r="J163" i="44" s="1"/>
  <c r="F159" i="16"/>
  <c r="J159" i="44" s="1"/>
  <c r="O1023" i="13"/>
  <c r="O303" i="18"/>
  <c r="O317" i="13"/>
  <c r="U300" i="13"/>
  <c r="X300" i="13" s="1"/>
  <c r="S300" i="18"/>
  <c r="J300" i="18"/>
  <c r="U300" i="15"/>
  <c r="W300" i="15" s="1"/>
  <c r="R300" i="18"/>
  <c r="K300" i="18"/>
  <c r="U864" i="13"/>
  <c r="X864" i="13" s="1"/>
  <c r="N303" i="18"/>
  <c r="N317" i="13"/>
  <c r="U149" i="18"/>
  <c r="X149" i="18" s="1"/>
  <c r="S164" i="18"/>
  <c r="F301" i="13"/>
  <c r="F301" i="44" s="1"/>
  <c r="L301" i="8"/>
  <c r="F301" i="18" s="1"/>
  <c r="G316" i="8"/>
  <c r="Q300" i="18"/>
  <c r="L303" i="18"/>
  <c r="L317" i="13"/>
  <c r="G55" i="8"/>
  <c r="L159" i="8"/>
  <c r="G167" i="8"/>
  <c r="G168" i="8"/>
  <c r="N300" i="18"/>
  <c r="U300" i="16"/>
  <c r="W300" i="16" s="1"/>
  <c r="J147" i="13"/>
  <c r="L147" i="13"/>
  <c r="K147" i="13"/>
  <c r="M147" i="13"/>
  <c r="O147" i="13"/>
  <c r="P147" i="13"/>
  <c r="N147" i="13"/>
  <c r="Q147" i="13"/>
  <c r="R147" i="13"/>
  <c r="S147" i="13"/>
  <c r="F159" i="13"/>
  <c r="F159" i="44" s="1"/>
  <c r="F163" i="13"/>
  <c r="F163" i="44" s="1"/>
  <c r="N1023" i="16"/>
  <c r="Q1023" i="13"/>
  <c r="Q1023" i="18" s="1"/>
  <c r="U1295" i="15"/>
  <c r="S1402" i="15" s="1"/>
  <c r="S1025" i="15" s="1"/>
  <c r="P300" i="18"/>
  <c r="U303" i="16"/>
  <c r="W303" i="16" s="1"/>
  <c r="S317" i="16"/>
  <c r="U317" i="16" s="1"/>
  <c r="W317" i="16" s="1"/>
  <c r="R303" i="18"/>
  <c r="R317" i="13"/>
  <c r="K317" i="13"/>
  <c r="K303" i="18"/>
  <c r="F163" i="18"/>
  <c r="F159" i="18"/>
  <c r="F301" i="8"/>
  <c r="J52" i="3"/>
  <c r="M303" i="18"/>
  <c r="M317" i="13"/>
  <c r="L163" i="8"/>
  <c r="U1295" i="16"/>
  <c r="J1402" i="16" s="1"/>
  <c r="J317" i="13"/>
  <c r="J303" i="18"/>
  <c r="Q683" i="13"/>
  <c r="M300" i="18"/>
  <c r="U701" i="13"/>
  <c r="X701" i="13" s="1"/>
  <c r="Q303" i="18"/>
  <c r="Q317" i="13"/>
  <c r="L303" i="44"/>
  <c r="K147" i="15"/>
  <c r="L147" i="15"/>
  <c r="J147" i="15"/>
  <c r="M147" i="15"/>
  <c r="O147" i="15"/>
  <c r="N147" i="15"/>
  <c r="P147" i="15"/>
  <c r="Q147" i="15"/>
  <c r="R147" i="15"/>
  <c r="S147" i="15"/>
  <c r="F159" i="15"/>
  <c r="H159" i="44" s="1"/>
  <c r="F163" i="15"/>
  <c r="H163" i="44" s="1"/>
  <c r="O300" i="18"/>
  <c r="U303" i="13"/>
  <c r="X303" i="13" s="1"/>
  <c r="S303" i="18"/>
  <c r="S317" i="13"/>
  <c r="H167" i="8"/>
  <c r="H223" i="8" s="1"/>
  <c r="H55" i="8"/>
  <c r="H56" i="8" s="1"/>
  <c r="H168" i="8"/>
  <c r="H225" i="8" s="1"/>
  <c r="J1295" i="13"/>
  <c r="U164" i="13"/>
  <c r="X164" i="13" s="1"/>
  <c r="L300" i="18"/>
  <c r="I168" i="8"/>
  <c r="I225" i="8" s="1"/>
  <c r="I167" i="8"/>
  <c r="I223" i="8" s="1"/>
  <c r="I55" i="8"/>
  <c r="I56" i="8" s="1"/>
  <c r="U303" i="15"/>
  <c r="W303" i="15" s="1"/>
  <c r="S317" i="15"/>
  <c r="U317" i="15" s="1"/>
  <c r="W317" i="15" s="1"/>
  <c r="J147" i="8"/>
  <c r="N147" i="8" s="1"/>
  <c r="F163" i="8"/>
  <c r="J163" i="8" s="1"/>
  <c r="F159" i="8"/>
  <c r="P303" i="18"/>
  <c r="P317" i="13"/>
  <c r="L300" i="44"/>
  <c r="N317" i="8"/>
  <c r="O1211" i="15"/>
  <c r="O1022" i="15"/>
  <c r="O1213" i="15"/>
  <c r="O1210" i="15"/>
  <c r="N1213" i="15"/>
  <c r="N1210" i="15"/>
  <c r="N1022" i="15"/>
  <c r="N1211" i="15"/>
  <c r="L1210" i="16"/>
  <c r="L1022" i="16"/>
  <c r="L1213" i="16"/>
  <c r="L1211" i="16"/>
  <c r="J1210" i="13"/>
  <c r="U1399" i="13"/>
  <c r="J1211" i="13"/>
  <c r="J1213" i="13"/>
  <c r="J1022" i="13"/>
  <c r="S1022" i="15"/>
  <c r="S1210" i="15"/>
  <c r="S1213" i="15"/>
  <c r="S1211" i="15"/>
  <c r="L1022" i="15"/>
  <c r="L1210" i="15"/>
  <c r="L1211" i="15"/>
  <c r="L1213" i="15"/>
  <c r="O1022" i="16"/>
  <c r="O1213" i="16"/>
  <c r="O1210" i="16"/>
  <c r="O1211" i="16"/>
  <c r="R1213" i="13"/>
  <c r="R1211" i="13"/>
  <c r="R1022" i="13"/>
  <c r="R1210" i="13"/>
  <c r="Q1211" i="16"/>
  <c r="Q1210" i="16"/>
  <c r="Q1213" i="16"/>
  <c r="Q1022" i="16"/>
  <c r="K1210" i="15"/>
  <c r="K1211" i="15"/>
  <c r="K1022" i="15"/>
  <c r="K1213" i="15"/>
  <c r="R1210" i="16"/>
  <c r="R1211" i="16"/>
  <c r="R1213" i="16"/>
  <c r="R1022" i="16"/>
  <c r="M1213" i="16"/>
  <c r="M1210" i="16"/>
  <c r="M1211" i="16"/>
  <c r="M1022" i="16"/>
  <c r="P1210" i="13"/>
  <c r="P1022" i="13"/>
  <c r="P1211" i="13"/>
  <c r="P1213" i="13"/>
  <c r="L1211" i="13"/>
  <c r="L1213" i="13"/>
  <c r="L1210" i="13"/>
  <c r="L1022" i="13"/>
  <c r="M1213" i="15"/>
  <c r="M1211" i="15"/>
  <c r="M1210" i="15"/>
  <c r="M1022" i="15"/>
  <c r="N1210" i="16"/>
  <c r="N1213" i="16"/>
  <c r="N1211" i="16"/>
  <c r="N1022" i="16"/>
  <c r="Q1022" i="13"/>
  <c r="Q1211" i="13"/>
  <c r="Q1210" i="13"/>
  <c r="Q1213" i="13"/>
  <c r="P1022" i="15"/>
  <c r="P1210" i="15"/>
  <c r="P1211" i="15"/>
  <c r="P1213" i="15"/>
  <c r="P1213" i="16"/>
  <c r="P1211" i="16"/>
  <c r="P1210" i="16"/>
  <c r="P1022" i="16"/>
  <c r="U1399" i="15"/>
  <c r="S1210" i="13"/>
  <c r="S1022" i="13"/>
  <c r="S1211" i="13"/>
  <c r="S1213" i="13"/>
  <c r="N1022" i="13"/>
  <c r="N1213" i="13"/>
  <c r="N1211" i="13"/>
  <c r="N1210" i="13"/>
  <c r="Q1210" i="15"/>
  <c r="Q1211" i="15"/>
  <c r="Q1022" i="15"/>
  <c r="Q1213" i="15"/>
  <c r="S1210" i="16"/>
  <c r="S1022" i="16"/>
  <c r="S1211" i="16"/>
  <c r="S1213" i="16"/>
  <c r="M1022" i="13"/>
  <c r="M1210" i="13"/>
  <c r="M1211" i="13"/>
  <c r="M1213" i="13"/>
  <c r="J1022" i="16"/>
  <c r="J1211" i="16"/>
  <c r="U1399" i="16"/>
  <c r="J1213" i="16"/>
  <c r="J1210" i="16"/>
  <c r="R1213" i="15"/>
  <c r="R1210" i="15"/>
  <c r="R1022" i="15"/>
  <c r="R1211" i="15"/>
  <c r="K1022" i="16"/>
  <c r="K1211" i="16"/>
  <c r="K1210" i="16"/>
  <c r="K1213" i="16"/>
  <c r="O1211" i="13"/>
  <c r="O1022" i="13"/>
  <c r="O1213" i="13"/>
  <c r="O1210" i="13"/>
  <c r="U1406" i="15"/>
  <c r="L846" i="13"/>
  <c r="L1023" i="13"/>
  <c r="L683" i="13"/>
  <c r="P683" i="16"/>
  <c r="P1023" i="16"/>
  <c r="P846" i="16"/>
  <c r="J699" i="13"/>
  <c r="U1406" i="13"/>
  <c r="J862" i="13"/>
  <c r="U1400" i="15"/>
  <c r="J1023" i="15"/>
  <c r="U1023" i="15" s="1"/>
  <c r="W1023" i="15" s="1"/>
  <c r="R846" i="16"/>
  <c r="R1023" i="16"/>
  <c r="R683" i="16"/>
  <c r="P846" i="13"/>
  <c r="P683" i="13"/>
  <c r="P1023" i="13"/>
  <c r="S846" i="16"/>
  <c r="S683" i="16"/>
  <c r="S1023" i="16"/>
  <c r="S1023" i="18" s="1"/>
  <c r="O699" i="13"/>
  <c r="O862" i="13"/>
  <c r="U1400" i="16"/>
  <c r="J1023" i="16"/>
  <c r="J846" i="16"/>
  <c r="J683" i="16"/>
  <c r="S862" i="13"/>
  <c r="S699" i="13"/>
  <c r="M699" i="13"/>
  <c r="M862" i="13"/>
  <c r="L846" i="16"/>
  <c r="L1023" i="16"/>
  <c r="L683" i="16"/>
  <c r="N699" i="13"/>
  <c r="N862" i="13"/>
  <c r="L862" i="13"/>
  <c r="L699" i="13"/>
  <c r="M846" i="16"/>
  <c r="M1023" i="16"/>
  <c r="M1023" i="18" s="1"/>
  <c r="M683" i="16"/>
  <c r="K683" i="16"/>
  <c r="K846" i="16"/>
  <c r="K1023" i="16"/>
  <c r="K1023" i="18" s="1"/>
  <c r="U1400" i="13"/>
  <c r="J846" i="13"/>
  <c r="J1023" i="13"/>
  <c r="J683" i="13"/>
  <c r="R699" i="13"/>
  <c r="R862" i="13"/>
  <c r="R1023" i="13"/>
  <c r="R846" i="13"/>
  <c r="R683" i="13"/>
  <c r="P699" i="13"/>
  <c r="P862" i="13"/>
  <c r="O846" i="16"/>
  <c r="O1023" i="16"/>
  <c r="O683" i="16"/>
  <c r="J317" i="18" l="1"/>
  <c r="N317" i="18"/>
  <c r="P317" i="18"/>
  <c r="K317" i="18"/>
  <c r="O317" i="18"/>
  <c r="Q317" i="18"/>
  <c r="L317" i="18"/>
  <c r="M317" i="18"/>
  <c r="R317" i="18"/>
  <c r="U164" i="18"/>
  <c r="X164" i="18" s="1"/>
  <c r="U1026" i="18"/>
  <c r="X1026" i="18" s="1"/>
  <c r="N1023" i="18"/>
  <c r="W163" i="18"/>
  <c r="K1211" i="18"/>
  <c r="O1023" i="18"/>
  <c r="K1213" i="18"/>
  <c r="M1211" i="18"/>
  <c r="L147" i="44"/>
  <c r="O1210" i="18"/>
  <c r="J1025" i="16"/>
  <c r="J847" i="16"/>
  <c r="G325" i="8"/>
  <c r="G321" i="8"/>
  <c r="L312" i="8"/>
  <c r="G320" i="8"/>
  <c r="U317" i="13"/>
  <c r="X317" i="13" s="1"/>
  <c r="F168" i="18"/>
  <c r="F225" i="18" s="1"/>
  <c r="F167" i="18"/>
  <c r="F223" i="18" s="1"/>
  <c r="F55" i="18"/>
  <c r="F56" i="18" s="1"/>
  <c r="F60" i="18" s="1"/>
  <c r="F55" i="15"/>
  <c r="H55" i="44" s="1"/>
  <c r="F167" i="15"/>
  <c r="H167" i="44" s="1"/>
  <c r="F168" i="15"/>
  <c r="H168" i="44" s="1"/>
  <c r="J163" i="15"/>
  <c r="S1402" i="16"/>
  <c r="O1402" i="16"/>
  <c r="N1402" i="16"/>
  <c r="Q1402" i="16"/>
  <c r="L1402" i="16"/>
  <c r="K1402" i="16"/>
  <c r="R1402" i="16"/>
  <c r="P1402" i="16"/>
  <c r="M1402" i="16"/>
  <c r="N1402" i="15"/>
  <c r="N1025" i="15" s="1"/>
  <c r="L1402" i="15"/>
  <c r="L1025" i="15" s="1"/>
  <c r="R1402" i="15"/>
  <c r="R1025" i="15" s="1"/>
  <c r="O1402" i="15"/>
  <c r="O1025" i="15" s="1"/>
  <c r="M1402" i="15"/>
  <c r="M1025" i="15" s="1"/>
  <c r="Q1402" i="15"/>
  <c r="Q1025" i="15" s="1"/>
  <c r="K1402" i="15"/>
  <c r="K1025" i="15" s="1"/>
  <c r="P1402" i="15"/>
  <c r="P1025" i="15" s="1"/>
  <c r="Q147" i="18"/>
  <c r="Q163" i="13"/>
  <c r="F316" i="18"/>
  <c r="F312" i="18"/>
  <c r="F325" i="18" s="1"/>
  <c r="Q163" i="16"/>
  <c r="K1210" i="18"/>
  <c r="I326" i="8"/>
  <c r="I368" i="8" s="1"/>
  <c r="I327" i="8"/>
  <c r="I366" i="8" s="1"/>
  <c r="I618" i="8" s="1"/>
  <c r="I622" i="8" s="1"/>
  <c r="U303" i="18"/>
  <c r="X303" i="18" s="1"/>
  <c r="S317" i="18"/>
  <c r="U147" i="15"/>
  <c r="W147" i="15" s="1"/>
  <c r="S163" i="15"/>
  <c r="L163" i="15"/>
  <c r="N147" i="18"/>
  <c r="N163" i="13"/>
  <c r="G225" i="8"/>
  <c r="L225" i="8" s="1"/>
  <c r="L168" i="8"/>
  <c r="J301" i="13"/>
  <c r="J316" i="13" s="1"/>
  <c r="K301" i="13"/>
  <c r="K316" i="13" s="1"/>
  <c r="M301" i="13"/>
  <c r="M316" i="13" s="1"/>
  <c r="L301" i="13"/>
  <c r="L316" i="13" s="1"/>
  <c r="P301" i="13"/>
  <c r="P316" i="13" s="1"/>
  <c r="N301" i="13"/>
  <c r="N316" i="13" s="1"/>
  <c r="O301" i="13"/>
  <c r="O316" i="13" s="1"/>
  <c r="Q301" i="13"/>
  <c r="Q316" i="13" s="1"/>
  <c r="R301" i="13"/>
  <c r="R316" i="13" s="1"/>
  <c r="S301" i="13"/>
  <c r="F312" i="13"/>
  <c r="F312" i="44" s="1"/>
  <c r="F316" i="13"/>
  <c r="F316" i="44" s="1"/>
  <c r="P163" i="16"/>
  <c r="J1402" i="15"/>
  <c r="R163" i="15"/>
  <c r="O163" i="16"/>
  <c r="L1211" i="18"/>
  <c r="H327" i="8"/>
  <c r="H366" i="8" s="1"/>
  <c r="H618" i="8" s="1"/>
  <c r="H622" i="8" s="1"/>
  <c r="H326" i="8"/>
  <c r="H368" i="8" s="1"/>
  <c r="Q163" i="15"/>
  <c r="O147" i="18"/>
  <c r="O163" i="13"/>
  <c r="W159" i="18"/>
  <c r="N163" i="16"/>
  <c r="I320" i="8"/>
  <c r="I62" i="8" s="1"/>
  <c r="I321" i="8"/>
  <c r="M163" i="15"/>
  <c r="R147" i="18"/>
  <c r="R163" i="13"/>
  <c r="L1213" i="18"/>
  <c r="N1211" i="18"/>
  <c r="R1213" i="18"/>
  <c r="U1295" i="13"/>
  <c r="J1402" i="13" s="1"/>
  <c r="F167" i="8"/>
  <c r="J159" i="8"/>
  <c r="N159" i="8" s="1"/>
  <c r="F168" i="8"/>
  <c r="F55" i="8"/>
  <c r="P163" i="15"/>
  <c r="L163" i="44"/>
  <c r="M147" i="18"/>
  <c r="M163" i="13"/>
  <c r="L55" i="8"/>
  <c r="G56" i="8"/>
  <c r="F167" i="16"/>
  <c r="J167" i="44" s="1"/>
  <c r="F55" i="16"/>
  <c r="J55" i="44" s="1"/>
  <c r="F168" i="16"/>
  <c r="J168" i="44" s="1"/>
  <c r="J163" i="16"/>
  <c r="L301" i="16"/>
  <c r="L316" i="16" s="1"/>
  <c r="Q301" i="16"/>
  <c r="Q316" i="16" s="1"/>
  <c r="N301" i="16"/>
  <c r="N316" i="16" s="1"/>
  <c r="J301" i="16"/>
  <c r="R301" i="16"/>
  <c r="R316" i="16" s="1"/>
  <c r="S301" i="16"/>
  <c r="S316" i="16" s="1"/>
  <c r="K301" i="16"/>
  <c r="K316" i="16" s="1"/>
  <c r="M301" i="16"/>
  <c r="M316" i="16" s="1"/>
  <c r="O301" i="16"/>
  <c r="O316" i="16" s="1"/>
  <c r="P301" i="16"/>
  <c r="P316" i="16" s="1"/>
  <c r="F316" i="16"/>
  <c r="J316" i="44" s="1"/>
  <c r="F312" i="16"/>
  <c r="J312" i="44" s="1"/>
  <c r="J147" i="18"/>
  <c r="U147" i="13"/>
  <c r="X147" i="13" s="1"/>
  <c r="J163" i="13"/>
  <c r="L163" i="16"/>
  <c r="I60" i="8"/>
  <c r="K163" i="15"/>
  <c r="P147" i="18"/>
  <c r="P163" i="13"/>
  <c r="G223" i="8"/>
  <c r="L223" i="8" s="1"/>
  <c r="L167" i="8"/>
  <c r="U300" i="18"/>
  <c r="X300" i="18" s="1"/>
  <c r="O1213" i="18"/>
  <c r="N1213" i="18"/>
  <c r="N163" i="8"/>
  <c r="H60" i="8"/>
  <c r="N163" i="15"/>
  <c r="F55" i="13"/>
  <c r="F167" i="13"/>
  <c r="F167" i="44" s="1"/>
  <c r="F168" i="13"/>
  <c r="F168" i="44" s="1"/>
  <c r="K147" i="18"/>
  <c r="K163" i="13"/>
  <c r="M163" i="16"/>
  <c r="H321" i="8"/>
  <c r="H320" i="8"/>
  <c r="H62" i="8" s="1"/>
  <c r="R163" i="16"/>
  <c r="O1022" i="18"/>
  <c r="O163" i="15"/>
  <c r="J301" i="8"/>
  <c r="N301" i="8" s="1"/>
  <c r="F316" i="8"/>
  <c r="J316" i="8" s="1"/>
  <c r="F312" i="8"/>
  <c r="F325" i="8" s="1"/>
  <c r="F327" i="8" s="1"/>
  <c r="F366" i="8" s="1"/>
  <c r="S147" i="18"/>
  <c r="S163" i="13"/>
  <c r="L147" i="18"/>
  <c r="L163" i="13"/>
  <c r="L316" i="8"/>
  <c r="U147" i="16"/>
  <c r="W147" i="16" s="1"/>
  <c r="S163" i="16"/>
  <c r="K163" i="16"/>
  <c r="L301" i="15"/>
  <c r="J301" i="15"/>
  <c r="K301" i="15"/>
  <c r="O301" i="15"/>
  <c r="P301" i="15"/>
  <c r="Q301" i="15"/>
  <c r="N301" i="15"/>
  <c r="M301" i="15"/>
  <c r="R301" i="15"/>
  <c r="S301" i="15"/>
  <c r="S316" i="15" s="1"/>
  <c r="F312" i="15"/>
  <c r="H312" i="44" s="1"/>
  <c r="F316" i="15"/>
  <c r="H316" i="44" s="1"/>
  <c r="Q1211" i="18"/>
  <c r="O1211" i="18"/>
  <c r="M1213" i="18"/>
  <c r="U1213" i="15"/>
  <c r="W1213" i="15" s="1"/>
  <c r="S1213" i="18"/>
  <c r="U1210" i="15"/>
  <c r="W1210" i="15" s="1"/>
  <c r="S1211" i="18"/>
  <c r="U1213" i="16"/>
  <c r="W1213" i="16" s="1"/>
  <c r="M1210" i="18"/>
  <c r="U1211" i="15"/>
  <c r="W1211" i="15" s="1"/>
  <c r="U1022" i="15"/>
  <c r="W1022" i="15" s="1"/>
  <c r="P1213" i="18"/>
  <c r="U1210" i="16"/>
  <c r="W1210" i="16" s="1"/>
  <c r="Q1210" i="18"/>
  <c r="M1022" i="18"/>
  <c r="R1211" i="18"/>
  <c r="J1211" i="18"/>
  <c r="U1211" i="13"/>
  <c r="X1211" i="13" s="1"/>
  <c r="Q1022" i="18"/>
  <c r="P1211" i="18"/>
  <c r="U1210" i="13"/>
  <c r="X1210" i="13" s="1"/>
  <c r="J1210" i="18"/>
  <c r="N1210" i="18"/>
  <c r="U1211" i="16"/>
  <c r="W1211" i="16" s="1"/>
  <c r="S1022" i="18"/>
  <c r="P1022" i="18"/>
  <c r="U1022" i="16"/>
  <c r="W1022" i="16" s="1"/>
  <c r="L1022" i="18"/>
  <c r="P1210" i="18"/>
  <c r="S1210" i="18"/>
  <c r="L1210" i="18"/>
  <c r="K1022" i="18"/>
  <c r="R1210" i="18"/>
  <c r="J1022" i="18"/>
  <c r="U1022" i="13"/>
  <c r="X1022" i="13" s="1"/>
  <c r="N1022" i="18"/>
  <c r="Q1213" i="18"/>
  <c r="R1022" i="18"/>
  <c r="J1213" i="18"/>
  <c r="U1213" i="13"/>
  <c r="X1213" i="13" s="1"/>
  <c r="R1023" i="18"/>
  <c r="P1023" i="18"/>
  <c r="U699" i="13"/>
  <c r="X699" i="13" s="1"/>
  <c r="U683" i="13"/>
  <c r="X683" i="13" s="1"/>
  <c r="U1023" i="13"/>
  <c r="X1023" i="13" s="1"/>
  <c r="J1023" i="18"/>
  <c r="U846" i="13"/>
  <c r="X846" i="13" s="1"/>
  <c r="L1023" i="18"/>
  <c r="U683" i="16"/>
  <c r="W683" i="16" s="1"/>
  <c r="U846" i="16"/>
  <c r="W846" i="16" s="1"/>
  <c r="U862" i="13"/>
  <c r="X862" i="13" s="1"/>
  <c r="U1023" i="16"/>
  <c r="W1023" i="16" s="1"/>
  <c r="L143" i="44" l="1"/>
  <c r="F55" i="44"/>
  <c r="F325" i="13"/>
  <c r="F325" i="44" s="1"/>
  <c r="O163" i="18"/>
  <c r="P163" i="18"/>
  <c r="R163" i="18"/>
  <c r="N163" i="18"/>
  <c r="J163" i="18"/>
  <c r="K163" i="18"/>
  <c r="M163" i="18"/>
  <c r="U317" i="18"/>
  <c r="X317" i="18" s="1"/>
  <c r="L163" i="18"/>
  <c r="Q163" i="18"/>
  <c r="W167" i="18"/>
  <c r="W225" i="18"/>
  <c r="W168" i="18"/>
  <c r="L301" i="44"/>
  <c r="W223" i="18"/>
  <c r="L159" i="44"/>
  <c r="W316" i="18"/>
  <c r="F327" i="18"/>
  <c r="F366" i="18" s="1"/>
  <c r="F618" i="18" s="1"/>
  <c r="F326" i="18"/>
  <c r="F368" i="18" s="1"/>
  <c r="F326" i="8"/>
  <c r="F368" i="8" s="1"/>
  <c r="J325" i="8"/>
  <c r="R301" i="18"/>
  <c r="R316" i="15"/>
  <c r="J301" i="18"/>
  <c r="U301" i="15"/>
  <c r="W301" i="15" s="1"/>
  <c r="J316" i="15"/>
  <c r="M1294" i="16"/>
  <c r="M1300" i="16"/>
  <c r="F223" i="13"/>
  <c r="F223" i="44" s="1"/>
  <c r="L1294" i="16"/>
  <c r="L1300" i="16"/>
  <c r="O1294" i="16"/>
  <c r="O1300" i="16"/>
  <c r="U301" i="13"/>
  <c r="X301" i="13" s="1"/>
  <c r="S301" i="18"/>
  <c r="S316" i="13"/>
  <c r="U316" i="13" s="1"/>
  <c r="X316" i="13" s="1"/>
  <c r="J1025" i="13"/>
  <c r="J847" i="13"/>
  <c r="J684" i="13"/>
  <c r="Q1025" i="16"/>
  <c r="Q847" i="16"/>
  <c r="F225" i="15"/>
  <c r="H225" i="44" s="1"/>
  <c r="M301" i="18"/>
  <c r="M316" i="15"/>
  <c r="L301" i="18"/>
  <c r="L316" i="15"/>
  <c r="L1300" i="13"/>
  <c r="L1294" i="13"/>
  <c r="O1294" i="15"/>
  <c r="O1300" i="15"/>
  <c r="P1294" i="13"/>
  <c r="P1300" i="13"/>
  <c r="P1294" i="15"/>
  <c r="P1300" i="15"/>
  <c r="R1294" i="15"/>
  <c r="R1300" i="15"/>
  <c r="I1118" i="8"/>
  <c r="I1142" i="8" s="1"/>
  <c r="I1145" i="8" s="1"/>
  <c r="I1163" i="8" s="1"/>
  <c r="Q1294" i="13"/>
  <c r="Q1300" i="13"/>
  <c r="N847" i="16"/>
  <c r="N1025" i="16"/>
  <c r="F223" i="15"/>
  <c r="H223" i="44" s="1"/>
  <c r="L320" i="8"/>
  <c r="G62" i="8"/>
  <c r="L62" i="8" s="1"/>
  <c r="F56" i="13"/>
  <c r="J1300" i="13"/>
  <c r="J1294" i="13"/>
  <c r="G60" i="8"/>
  <c r="L56" i="8"/>
  <c r="W56" i="18" s="1"/>
  <c r="N1300" i="16"/>
  <c r="N1294" i="16"/>
  <c r="Q1294" i="15"/>
  <c r="Q1300" i="15"/>
  <c r="L1294" i="15"/>
  <c r="L1300" i="15"/>
  <c r="O847" i="16"/>
  <c r="O1025" i="16"/>
  <c r="F56" i="15"/>
  <c r="H56" i="44" s="1"/>
  <c r="W312" i="18"/>
  <c r="N301" i="18"/>
  <c r="N316" i="15"/>
  <c r="K1294" i="16"/>
  <c r="K1300" i="16"/>
  <c r="U163" i="13"/>
  <c r="X163" i="13" s="1"/>
  <c r="S1300" i="13"/>
  <c r="S1294" i="13"/>
  <c r="J1300" i="16"/>
  <c r="J1294" i="16"/>
  <c r="U163" i="16"/>
  <c r="W163" i="16" s="1"/>
  <c r="J55" i="8"/>
  <c r="N55" i="8" s="1"/>
  <c r="F56" i="8"/>
  <c r="J1025" i="15"/>
  <c r="U1025" i="15" s="1"/>
  <c r="W1025" i="15" s="1"/>
  <c r="U1402" i="15"/>
  <c r="U163" i="15"/>
  <c r="W163" i="15" s="1"/>
  <c r="S1300" i="15"/>
  <c r="S1294" i="15"/>
  <c r="M847" i="16"/>
  <c r="M1025" i="16"/>
  <c r="S1025" i="16"/>
  <c r="S847" i="16"/>
  <c r="L321" i="8"/>
  <c r="Q301" i="18"/>
  <c r="Q316" i="15"/>
  <c r="K1294" i="13"/>
  <c r="K1300" i="13"/>
  <c r="N1300" i="15"/>
  <c r="N1294" i="15"/>
  <c r="K1294" i="15"/>
  <c r="K1300" i="15"/>
  <c r="F225" i="16"/>
  <c r="J225" i="44" s="1"/>
  <c r="F225" i="8"/>
  <c r="J225" i="8" s="1"/>
  <c r="N225" i="8" s="1"/>
  <c r="J168" i="8"/>
  <c r="N168" i="8" s="1"/>
  <c r="R1294" i="13"/>
  <c r="R1300" i="13"/>
  <c r="Q1294" i="16"/>
  <c r="Q1300" i="16"/>
  <c r="P847" i="16"/>
  <c r="P1025" i="16"/>
  <c r="G326" i="8"/>
  <c r="G327" i="8"/>
  <c r="L325" i="8"/>
  <c r="W325" i="18" s="1"/>
  <c r="P301" i="18"/>
  <c r="P316" i="15"/>
  <c r="S1294" i="16"/>
  <c r="S1300" i="16"/>
  <c r="U147" i="18"/>
  <c r="X147" i="18" s="1"/>
  <c r="S163" i="18"/>
  <c r="R1294" i="16"/>
  <c r="R1300" i="16"/>
  <c r="I64" i="8"/>
  <c r="I79" i="8" s="1"/>
  <c r="I83" i="8" s="1"/>
  <c r="I27" i="8" s="1"/>
  <c r="F325" i="16"/>
  <c r="J325" i="44" s="1"/>
  <c r="F320" i="16"/>
  <c r="J320" i="44" s="1"/>
  <c r="F321" i="16"/>
  <c r="J321" i="44" s="1"/>
  <c r="M1294" i="13"/>
  <c r="M1300" i="13"/>
  <c r="H1118" i="8"/>
  <c r="H1142" i="8" s="1"/>
  <c r="H1145" i="8" s="1"/>
  <c r="H1163" i="8" s="1"/>
  <c r="P1294" i="16"/>
  <c r="P1300" i="16"/>
  <c r="R847" i="16"/>
  <c r="R1025" i="16"/>
  <c r="J1294" i="15"/>
  <c r="J1300" i="15"/>
  <c r="F321" i="15"/>
  <c r="H321" i="44" s="1"/>
  <c r="F320" i="15"/>
  <c r="H320" i="44" s="1"/>
  <c r="O301" i="18"/>
  <c r="O316" i="15"/>
  <c r="F320" i="8"/>
  <c r="J312" i="8"/>
  <c r="N312" i="8" s="1"/>
  <c r="F321" i="8"/>
  <c r="J321" i="8" s="1"/>
  <c r="H64" i="8"/>
  <c r="H79" i="8" s="1"/>
  <c r="H83" i="8" s="1"/>
  <c r="Q84" i="8" s="1"/>
  <c r="U301" i="16"/>
  <c r="W301" i="16" s="1"/>
  <c r="J316" i="16"/>
  <c r="U316" i="16" s="1"/>
  <c r="W316" i="16" s="1"/>
  <c r="F56" i="16"/>
  <c r="J56" i="44" s="1"/>
  <c r="F223" i="8"/>
  <c r="J223" i="8" s="1"/>
  <c r="N223" i="8" s="1"/>
  <c r="J167" i="8"/>
  <c r="N167" i="8" s="1"/>
  <c r="O1300" i="13"/>
  <c r="O1294" i="13"/>
  <c r="N1294" i="13"/>
  <c r="N1300" i="13"/>
  <c r="F321" i="18"/>
  <c r="F320" i="18"/>
  <c r="F62" i="18" s="1"/>
  <c r="F64" i="18" s="1"/>
  <c r="K847" i="16"/>
  <c r="K1025" i="16"/>
  <c r="F325" i="15"/>
  <c r="H325" i="44" s="1"/>
  <c r="K301" i="18"/>
  <c r="K316" i="15"/>
  <c r="N316" i="8"/>
  <c r="F225" i="13"/>
  <c r="F225" i="44" s="1"/>
  <c r="F223" i="16"/>
  <c r="J223" i="44" s="1"/>
  <c r="R1402" i="13"/>
  <c r="O1402" i="13"/>
  <c r="N1402" i="13"/>
  <c r="M1402" i="13"/>
  <c r="K1402" i="13"/>
  <c r="P1402" i="13"/>
  <c r="L1402" i="13"/>
  <c r="Q1402" i="13"/>
  <c r="S1402" i="13"/>
  <c r="M1294" i="15"/>
  <c r="M1300" i="15"/>
  <c r="F320" i="13"/>
  <c r="F320" i="44" s="1"/>
  <c r="F321" i="13"/>
  <c r="F321" i="44" s="1"/>
  <c r="L1025" i="16"/>
  <c r="L847" i="16"/>
  <c r="U1402" i="16"/>
  <c r="U1211" i="18"/>
  <c r="X1211" i="18" s="1"/>
  <c r="U1210" i="18"/>
  <c r="X1210" i="18" s="1"/>
  <c r="U1022" i="18"/>
  <c r="X1022" i="18" s="1"/>
  <c r="U1213" i="18"/>
  <c r="X1213" i="18" s="1"/>
  <c r="U1023" i="18"/>
  <c r="X1023" i="18" s="1"/>
  <c r="L144" i="44" l="1"/>
  <c r="F56" i="44"/>
  <c r="F326" i="13"/>
  <c r="F326" i="44" s="1"/>
  <c r="F327" i="13"/>
  <c r="F327" i="44" s="1"/>
  <c r="L311" i="44"/>
  <c r="L408" i="44"/>
  <c r="L409" i="44"/>
  <c r="L413" i="44"/>
  <c r="U163" i="18"/>
  <c r="X163" i="18" s="1"/>
  <c r="P316" i="18"/>
  <c r="J316" i="18"/>
  <c r="L316" i="18"/>
  <c r="R316" i="18"/>
  <c r="O316" i="18"/>
  <c r="F79" i="18"/>
  <c r="N316" i="18"/>
  <c r="M316" i="18"/>
  <c r="K316" i="18"/>
  <c r="Q316" i="18"/>
  <c r="W321" i="18"/>
  <c r="L168" i="44"/>
  <c r="L225" i="44"/>
  <c r="N321" i="8"/>
  <c r="L312" i="44"/>
  <c r="L55" i="44"/>
  <c r="U847" i="16"/>
  <c r="W847" i="16" s="1"/>
  <c r="U1294" i="15"/>
  <c r="S1401" i="15" s="1"/>
  <c r="S1212" i="15" s="1"/>
  <c r="L1025" i="13"/>
  <c r="L1025" i="18" s="1"/>
  <c r="L684" i="13"/>
  <c r="L847" i="13"/>
  <c r="F326" i="15"/>
  <c r="H326" i="44" s="1"/>
  <c r="F327" i="15"/>
  <c r="H327" i="44" s="1"/>
  <c r="H27" i="8"/>
  <c r="R27" i="8" s="1"/>
  <c r="G366" i="8"/>
  <c r="L327" i="8"/>
  <c r="W327" i="18" s="1"/>
  <c r="F60" i="8"/>
  <c r="J56" i="8"/>
  <c r="N56" i="8" s="1"/>
  <c r="U1294" i="13"/>
  <c r="S1401" i="13" s="1"/>
  <c r="U301" i="18"/>
  <c r="X301" i="18" s="1"/>
  <c r="S316" i="18"/>
  <c r="L223" i="44"/>
  <c r="P684" i="13"/>
  <c r="P1025" i="13"/>
  <c r="P1025" i="18" s="1"/>
  <c r="P847" i="13"/>
  <c r="F368" i="13"/>
  <c r="F368" i="44" s="1"/>
  <c r="K684" i="13"/>
  <c r="K1025" i="13"/>
  <c r="K1025" i="18" s="1"/>
  <c r="K847" i="13"/>
  <c r="U1300" i="15"/>
  <c r="S1407" i="15" s="1"/>
  <c r="O56" i="44"/>
  <c r="F60" i="13"/>
  <c r="J327" i="8"/>
  <c r="U1300" i="13"/>
  <c r="K1407" i="13" s="1"/>
  <c r="M684" i="13"/>
  <c r="M847" i="13"/>
  <c r="M1025" i="13"/>
  <c r="M1025" i="18" s="1"/>
  <c r="F366" i="13"/>
  <c r="F366" i="44" s="1"/>
  <c r="F62" i="16"/>
  <c r="J62" i="44" s="1"/>
  <c r="U1294" i="16"/>
  <c r="S1401" i="16" s="1"/>
  <c r="N325" i="8"/>
  <c r="F62" i="13"/>
  <c r="F62" i="15"/>
  <c r="H62" i="44" s="1"/>
  <c r="G368" i="8"/>
  <c r="L368" i="8" s="1"/>
  <c r="W368" i="18" s="1"/>
  <c r="L326" i="8"/>
  <c r="W326" i="18" s="1"/>
  <c r="F60" i="15"/>
  <c r="H60" i="44" s="1"/>
  <c r="P56" i="44"/>
  <c r="N684" i="13"/>
  <c r="N1025" i="13"/>
  <c r="N1025" i="18" s="1"/>
  <c r="N847" i="13"/>
  <c r="F326" i="16"/>
  <c r="J326" i="44" s="1"/>
  <c r="F327" i="16"/>
  <c r="J327" i="44" s="1"/>
  <c r="U1300" i="16"/>
  <c r="U1402" i="13"/>
  <c r="J326" i="8"/>
  <c r="O847" i="13"/>
  <c r="O684" i="13"/>
  <c r="O1025" i="13"/>
  <c r="O1025" i="18" s="1"/>
  <c r="Q56" i="44"/>
  <c r="F60" i="16"/>
  <c r="J60" i="44" s="1"/>
  <c r="R84" i="8"/>
  <c r="S27" i="8"/>
  <c r="G64" i="8"/>
  <c r="L60" i="8"/>
  <c r="W60" i="18" s="1"/>
  <c r="W320" i="18"/>
  <c r="I25" i="8"/>
  <c r="I1187" i="8"/>
  <c r="I1185" i="8"/>
  <c r="U316" i="15"/>
  <c r="W316" i="15" s="1"/>
  <c r="S684" i="13"/>
  <c r="S1025" i="13"/>
  <c r="S1025" i="18" s="1"/>
  <c r="S847" i="13"/>
  <c r="R1025" i="13"/>
  <c r="R1025" i="18" s="1"/>
  <c r="R847" i="13"/>
  <c r="R684" i="13"/>
  <c r="F62" i="8"/>
  <c r="J62" i="8" s="1"/>
  <c r="N62" i="8" s="1"/>
  <c r="J320" i="8"/>
  <c r="N320" i="8" s="1"/>
  <c r="H1185" i="8"/>
  <c r="H25" i="8"/>
  <c r="H1187" i="8"/>
  <c r="J1025" i="18"/>
  <c r="L321" i="44"/>
  <c r="Q684" i="13"/>
  <c r="Q847" i="13"/>
  <c r="Q1025" i="13"/>
  <c r="Q1025" i="18" s="1"/>
  <c r="U1025" i="16"/>
  <c r="W1025" i="16" s="1"/>
  <c r="L148" i="44" l="1"/>
  <c r="F60" i="44"/>
  <c r="L150" i="44"/>
  <c r="F62" i="44"/>
  <c r="Q62" i="44"/>
  <c r="P62" i="44"/>
  <c r="U316" i="18"/>
  <c r="X316" i="18" s="1"/>
  <c r="L325" i="44"/>
  <c r="J368" i="8"/>
  <c r="N368" i="8" s="1"/>
  <c r="N327" i="8"/>
  <c r="J1401" i="15"/>
  <c r="J1024" i="15" s="1"/>
  <c r="Q1401" i="15"/>
  <c r="Q1212" i="15" s="1"/>
  <c r="P1401" i="13"/>
  <c r="P1024" i="13" s="1"/>
  <c r="M1407" i="13"/>
  <c r="M700" i="13" s="1"/>
  <c r="N1407" i="13"/>
  <c r="N700" i="13" s="1"/>
  <c r="L1407" i="13"/>
  <c r="L863" i="13" s="1"/>
  <c r="Q1401" i="13"/>
  <c r="Q1212" i="13" s="1"/>
  <c r="O1401" i="13"/>
  <c r="O1024" i="13" s="1"/>
  <c r="K1401" i="13"/>
  <c r="K1212" i="13" s="1"/>
  <c r="R1401" i="13"/>
  <c r="R1024" i="13" s="1"/>
  <c r="J1401" i="13"/>
  <c r="J1212" i="13" s="1"/>
  <c r="N1401" i="13"/>
  <c r="N1212" i="13" s="1"/>
  <c r="K1401" i="16"/>
  <c r="K1024" i="16" s="1"/>
  <c r="O1401" i="15"/>
  <c r="O1024" i="15" s="1"/>
  <c r="J1401" i="16"/>
  <c r="J1212" i="16" s="1"/>
  <c r="S1024" i="15"/>
  <c r="M1401" i="16"/>
  <c r="M1024" i="16" s="1"/>
  <c r="N1401" i="15"/>
  <c r="N1212" i="15" s="1"/>
  <c r="O1401" i="16"/>
  <c r="O1212" i="16" s="1"/>
  <c r="K1401" i="15"/>
  <c r="K1212" i="15" s="1"/>
  <c r="P1401" i="15"/>
  <c r="P1024" i="15" s="1"/>
  <c r="L1401" i="15"/>
  <c r="L1212" i="15" s="1"/>
  <c r="Q1401" i="16"/>
  <c r="Q1024" i="16" s="1"/>
  <c r="L1401" i="16"/>
  <c r="L1024" i="16" s="1"/>
  <c r="M1401" i="15"/>
  <c r="M1024" i="15" s="1"/>
  <c r="P1401" i="16"/>
  <c r="P1024" i="16" s="1"/>
  <c r="U1025" i="13"/>
  <c r="X1025" i="13" s="1"/>
  <c r="J1407" i="13"/>
  <c r="J863" i="13" s="1"/>
  <c r="N1401" i="16"/>
  <c r="N1212" i="16" s="1"/>
  <c r="U847" i="13"/>
  <c r="X847" i="13" s="1"/>
  <c r="U684" i="13"/>
  <c r="X684" i="13" s="1"/>
  <c r="R1401" i="15"/>
  <c r="R1212" i="15" s="1"/>
  <c r="O1407" i="13"/>
  <c r="O700" i="13" s="1"/>
  <c r="P1407" i="13"/>
  <c r="P700" i="13" s="1"/>
  <c r="N1407" i="15"/>
  <c r="L320" i="44"/>
  <c r="S1407" i="13"/>
  <c r="P1407" i="15"/>
  <c r="R1407" i="13"/>
  <c r="H29" i="8"/>
  <c r="H33" i="8" s="1"/>
  <c r="R25" i="8"/>
  <c r="O1407" i="15"/>
  <c r="M1407" i="15"/>
  <c r="K863" i="13"/>
  <c r="K700" i="13"/>
  <c r="Q1407" i="13"/>
  <c r="S1212" i="13"/>
  <c r="S1024" i="13"/>
  <c r="F366" i="15"/>
  <c r="H366" i="44" s="1"/>
  <c r="J366" i="8"/>
  <c r="F618" i="8"/>
  <c r="F618" i="13"/>
  <c r="F618" i="44" s="1"/>
  <c r="R1407" i="15"/>
  <c r="N326" i="8"/>
  <c r="K1407" i="15"/>
  <c r="L1401" i="13"/>
  <c r="L366" i="8"/>
  <c r="W366" i="18" s="1"/>
  <c r="G618" i="8"/>
  <c r="F368" i="15"/>
  <c r="H368" i="44" s="1"/>
  <c r="I1189" i="8"/>
  <c r="I1225" i="8"/>
  <c r="J1407" i="15"/>
  <c r="F366" i="16"/>
  <c r="J366" i="44" s="1"/>
  <c r="F64" i="15"/>
  <c r="H64" i="44" s="1"/>
  <c r="P60" i="44"/>
  <c r="F64" i="13"/>
  <c r="F64" i="8"/>
  <c r="J60" i="8"/>
  <c r="N60" i="8" s="1"/>
  <c r="R1401" i="16"/>
  <c r="G79" i="8"/>
  <c r="L64" i="8"/>
  <c r="W64" i="18" s="1"/>
  <c r="Q1407" i="15"/>
  <c r="S25" i="8"/>
  <c r="I29" i="8"/>
  <c r="I33" i="8" s="1"/>
  <c r="F64" i="16"/>
  <c r="J64" i="44" s="1"/>
  <c r="Q60" i="44"/>
  <c r="F368" i="16"/>
  <c r="J368" i="44" s="1"/>
  <c r="S1212" i="16"/>
  <c r="S1024" i="16"/>
  <c r="L56" i="44"/>
  <c r="M1401" i="13"/>
  <c r="U1025" i="18"/>
  <c r="X1025" i="18" s="1"/>
  <c r="H1189" i="8"/>
  <c r="H1225" i="8"/>
  <c r="L1407" i="15"/>
  <c r="L152" i="44" l="1"/>
  <c r="F64" i="44"/>
  <c r="L62" i="44"/>
  <c r="P1212" i="13"/>
  <c r="J1212" i="15"/>
  <c r="J1212" i="18" s="1"/>
  <c r="R1212" i="13"/>
  <c r="N1024" i="16"/>
  <c r="N1024" i="13"/>
  <c r="N863" i="13"/>
  <c r="M1212" i="15"/>
  <c r="N1024" i="15"/>
  <c r="Q1024" i="15"/>
  <c r="Q1212" i="16"/>
  <c r="Q1212" i="18" s="1"/>
  <c r="M1212" i="16"/>
  <c r="S1024" i="18"/>
  <c r="J1024" i="13"/>
  <c r="J1024" i="16"/>
  <c r="L1024" i="15"/>
  <c r="O1212" i="15"/>
  <c r="P863" i="13"/>
  <c r="Q1024" i="13"/>
  <c r="P1212" i="16"/>
  <c r="K1024" i="13"/>
  <c r="M863" i="13"/>
  <c r="L700" i="13"/>
  <c r="S1212" i="18"/>
  <c r="J700" i="13"/>
  <c r="L1212" i="16"/>
  <c r="K1024" i="15"/>
  <c r="O863" i="13"/>
  <c r="P1212" i="15"/>
  <c r="O1212" i="13"/>
  <c r="U1401" i="16"/>
  <c r="O1024" i="16"/>
  <c r="O1024" i="18" s="1"/>
  <c r="K1212" i="16"/>
  <c r="K1212" i="18" s="1"/>
  <c r="U1401" i="15"/>
  <c r="P1024" i="18"/>
  <c r="R1024" i="15"/>
  <c r="L327" i="44"/>
  <c r="L326" i="44"/>
  <c r="L368" i="44"/>
  <c r="U1401" i="13"/>
  <c r="U1407" i="13"/>
  <c r="L60" i="44"/>
  <c r="F79" i="16"/>
  <c r="J79" i="44" s="1"/>
  <c r="Q64" i="44"/>
  <c r="P64" i="44"/>
  <c r="F79" i="15"/>
  <c r="H79" i="44" s="1"/>
  <c r="F622" i="13"/>
  <c r="F622" i="44" s="1"/>
  <c r="N1212" i="18"/>
  <c r="L618" i="8"/>
  <c r="G622" i="8"/>
  <c r="F618" i="15"/>
  <c r="H618" i="44" s="1"/>
  <c r="M1024" i="13"/>
  <c r="M1024" i="18" s="1"/>
  <c r="M1212" i="13"/>
  <c r="U1407" i="15"/>
  <c r="J64" i="8"/>
  <c r="F79" i="8"/>
  <c r="I1229" i="8"/>
  <c r="I1231" i="8" s="1"/>
  <c r="I1227" i="8"/>
  <c r="I1234" i="8" s="1"/>
  <c r="R700" i="13"/>
  <c r="R863" i="13"/>
  <c r="J618" i="8"/>
  <c r="F622" i="8"/>
  <c r="S863" i="13"/>
  <c r="S700" i="13"/>
  <c r="H1229" i="8"/>
  <c r="H1231" i="8" s="1"/>
  <c r="H1227" i="8"/>
  <c r="H1234" i="8" s="1"/>
  <c r="L79" i="8"/>
  <c r="W79" i="18" s="1"/>
  <c r="G83" i="8"/>
  <c r="P84" i="8" s="1"/>
  <c r="O60" i="44"/>
  <c r="N366" i="8"/>
  <c r="R1212" i="16"/>
  <c r="R1024" i="16"/>
  <c r="F618" i="16"/>
  <c r="J618" i="44" s="1"/>
  <c r="L1024" i="13"/>
  <c r="L1212" i="13"/>
  <c r="F79" i="13"/>
  <c r="O64" i="44"/>
  <c r="Q863" i="13"/>
  <c r="Q700" i="13"/>
  <c r="O62" i="44"/>
  <c r="Q680" i="16"/>
  <c r="Q851" i="16"/>
  <c r="Q688" i="16"/>
  <c r="L167" i="44" l="1"/>
  <c r="F79" i="44"/>
  <c r="R1212" i="18"/>
  <c r="K1024" i="18"/>
  <c r="Q1024" i="18"/>
  <c r="N1024" i="18"/>
  <c r="M1212" i="18"/>
  <c r="O1212" i="18"/>
  <c r="J1024" i="18"/>
  <c r="U1024" i="13"/>
  <c r="X1024" i="13" s="1"/>
  <c r="U1212" i="13"/>
  <c r="X1212" i="13" s="1"/>
  <c r="P1212" i="18"/>
  <c r="U1024" i="15"/>
  <c r="W1024" i="15" s="1"/>
  <c r="R1024" i="18"/>
  <c r="U1212" i="15"/>
  <c r="W1212" i="15" s="1"/>
  <c r="N618" i="8"/>
  <c r="L366" i="44"/>
  <c r="F83" i="13"/>
  <c r="O79" i="44"/>
  <c r="L1212" i="18"/>
  <c r="U1024" i="16"/>
  <c r="W1024" i="16" s="1"/>
  <c r="L622" i="8"/>
  <c r="G1118" i="8"/>
  <c r="L1024" i="18"/>
  <c r="F83" i="8"/>
  <c r="N84" i="8" s="1"/>
  <c r="J79" i="8"/>
  <c r="P79" i="8" s="1"/>
  <c r="F622" i="15"/>
  <c r="H622" i="44" s="1"/>
  <c r="F622" i="16"/>
  <c r="J622" i="44" s="1"/>
  <c r="F1118" i="13"/>
  <c r="F1118" i="44" s="1"/>
  <c r="F83" i="16"/>
  <c r="J83" i="44" s="1"/>
  <c r="Q79" i="44"/>
  <c r="N79" i="8"/>
  <c r="U1212" i="16"/>
  <c r="W1212" i="16" s="1"/>
  <c r="L83" i="8"/>
  <c r="G27" i="8"/>
  <c r="F1118" i="8"/>
  <c r="J622" i="8"/>
  <c r="U700" i="13"/>
  <c r="X700" i="13" s="1"/>
  <c r="L64" i="44"/>
  <c r="U863" i="13"/>
  <c r="X863" i="13" s="1"/>
  <c r="P79" i="44"/>
  <c r="F83" i="15"/>
  <c r="H83" i="44" s="1"/>
  <c r="L620" i="8" l="1"/>
  <c r="F620" i="18" s="1"/>
  <c r="F83" i="44"/>
  <c r="F87" i="13"/>
  <c r="L1208" i="44"/>
  <c r="N1208" i="44" s="1"/>
  <c r="U1024" i="18"/>
  <c r="X1024" i="18" s="1"/>
  <c r="U1212" i="18"/>
  <c r="X1212" i="18" s="1"/>
  <c r="L618" i="44"/>
  <c r="N618" i="44" s="1"/>
  <c r="O83" i="44"/>
  <c r="F27" i="13"/>
  <c r="F27" i="44" s="1"/>
  <c r="F27" i="15"/>
  <c r="H27" i="44" s="1"/>
  <c r="P83" i="44"/>
  <c r="J620" i="8"/>
  <c r="N622" i="8"/>
  <c r="D92" i="14"/>
  <c r="L1118" i="8"/>
  <c r="G1142" i="8"/>
  <c r="F1142" i="8"/>
  <c r="J1118" i="8"/>
  <c r="F27" i="16"/>
  <c r="J27" i="44" s="1"/>
  <c r="Q83" i="44"/>
  <c r="L27" i="8"/>
  <c r="Q27" i="8"/>
  <c r="W1118" i="13"/>
  <c r="F1142" i="13"/>
  <c r="F1142" i="44" s="1"/>
  <c r="F1118" i="15"/>
  <c r="H1118" i="44" s="1"/>
  <c r="L81" i="8"/>
  <c r="F1118" i="16"/>
  <c r="J1118" i="44" s="1"/>
  <c r="F27" i="8"/>
  <c r="J83" i="8"/>
  <c r="L79" i="44"/>
  <c r="O27" i="44" l="1"/>
  <c r="P27" i="44"/>
  <c r="L622" i="44"/>
  <c r="N622" i="44" s="1"/>
  <c r="F1142" i="15"/>
  <c r="H1142" i="44" s="1"/>
  <c r="F622" i="18"/>
  <c r="R620" i="18"/>
  <c r="R81" i="18" s="1"/>
  <c r="L620" i="18"/>
  <c r="L81" i="18" s="1"/>
  <c r="S620" i="18"/>
  <c r="S81" i="18" s="1"/>
  <c r="J620" i="18"/>
  <c r="J81" i="18" s="1"/>
  <c r="K620" i="18"/>
  <c r="K81" i="18" s="1"/>
  <c r="O620" i="18"/>
  <c r="O81" i="18" s="1"/>
  <c r="M620" i="18"/>
  <c r="M81" i="18" s="1"/>
  <c r="N620" i="18"/>
  <c r="N81" i="18" s="1"/>
  <c r="Q620" i="18"/>
  <c r="Q81" i="18" s="1"/>
  <c r="F81" i="18"/>
  <c r="P620" i="18"/>
  <c r="P81" i="18" s="1"/>
  <c r="N83" i="8"/>
  <c r="J81" i="8"/>
  <c r="L1142" i="8"/>
  <c r="G1145" i="8"/>
  <c r="J27" i="8"/>
  <c r="N27" i="8" s="1"/>
  <c r="P27" i="8"/>
  <c r="F1142" i="16"/>
  <c r="J1142" i="44" s="1"/>
  <c r="F1145" i="13"/>
  <c r="F1145" i="44" s="1"/>
  <c r="L83" i="44"/>
  <c r="N1118" i="8"/>
  <c r="J1142" i="8"/>
  <c r="F1145" i="8"/>
  <c r="O92" i="14"/>
  <c r="J92" i="14"/>
  <c r="M92" i="14"/>
  <c r="F92" i="14"/>
  <c r="G92" i="14"/>
  <c r="K92" i="14"/>
  <c r="H92" i="14"/>
  <c r="I92" i="14"/>
  <c r="N92" i="14"/>
  <c r="L92" i="14"/>
  <c r="L27" i="44" l="1"/>
  <c r="T27" i="8"/>
  <c r="L1118" i="44"/>
  <c r="N1118" i="44" s="1"/>
  <c r="Q27" i="44"/>
  <c r="N1142" i="8"/>
  <c r="F1162" i="13"/>
  <c r="F1162" i="44" s="1"/>
  <c r="F1118" i="18"/>
  <c r="J1145" i="8"/>
  <c r="F1163" i="8"/>
  <c r="F1145" i="15"/>
  <c r="H1145" i="44" s="1"/>
  <c r="G1163" i="8"/>
  <c r="G1187" i="8" s="1"/>
  <c r="G1189" i="8" s="1"/>
  <c r="L1145" i="8"/>
  <c r="W1145" i="13"/>
  <c r="S92" i="14"/>
  <c r="F1145" i="16"/>
  <c r="J1145" i="44" s="1"/>
  <c r="F32" i="45"/>
  <c r="F58" i="45" s="1"/>
  <c r="F85" i="45" s="1"/>
  <c r="F83" i="18"/>
  <c r="F87" i="18" s="1"/>
  <c r="F1142" i="18" l="1"/>
  <c r="F1145" i="18" s="1"/>
  <c r="F1162" i="18" s="1"/>
  <c r="F1186" i="18" s="1"/>
  <c r="F1188" i="18" s="1"/>
  <c r="X1119" i="18"/>
  <c r="L1142" i="44"/>
  <c r="N1142" i="44" s="1"/>
  <c r="F1162" i="16"/>
  <c r="J1162" i="44" s="1"/>
  <c r="G25" i="8"/>
  <c r="L1163" i="8"/>
  <c r="G1185" i="8"/>
  <c r="L1185" i="8" s="1"/>
  <c r="F1185" i="8"/>
  <c r="F25" i="8"/>
  <c r="F1187" i="8"/>
  <c r="F27" i="18"/>
  <c r="W27" i="18" s="1"/>
  <c r="W83" i="18"/>
  <c r="J1143" i="8"/>
  <c r="N1143" i="8" s="1"/>
  <c r="J1163" i="8"/>
  <c r="N1145" i="8"/>
  <c r="F1186" i="13"/>
  <c r="F1186" i="44" s="1"/>
  <c r="F25" i="13"/>
  <c r="F25" i="44" s="1"/>
  <c r="W1162" i="13"/>
  <c r="F1184" i="13"/>
  <c r="F1184" i="44" s="1"/>
  <c r="F1162" i="15"/>
  <c r="H1162" i="44" s="1"/>
  <c r="F1188" i="13" l="1"/>
  <c r="F1188" i="44" s="1"/>
  <c r="F1184" i="18"/>
  <c r="F25" i="18"/>
  <c r="F29" i="18" s="1"/>
  <c r="L1145" i="44"/>
  <c r="N1145" i="44" s="1"/>
  <c r="N1163" i="8"/>
  <c r="J1185" i="8"/>
  <c r="N1185" i="8" s="1"/>
  <c r="F1189" i="8"/>
  <c r="J1187" i="8"/>
  <c r="F1225" i="8"/>
  <c r="F29" i="8"/>
  <c r="P25" i="8"/>
  <c r="J25" i="8"/>
  <c r="N25" i="8" s="1"/>
  <c r="L1187" i="8"/>
  <c r="L1189" i="8"/>
  <c r="G1225" i="8"/>
  <c r="G1229" i="8" s="1"/>
  <c r="F29" i="13"/>
  <c r="F29" i="44" s="1"/>
  <c r="F1224" i="13"/>
  <c r="F1224" i="44" s="1"/>
  <c r="L25" i="8"/>
  <c r="G29" i="8"/>
  <c r="Q25" i="8"/>
  <c r="F1224" i="18"/>
  <c r="F1228" i="18" s="1"/>
  <c r="F25" i="16"/>
  <c r="J25" i="44" s="1"/>
  <c r="F1184" i="16"/>
  <c r="J1184" i="44" s="1"/>
  <c r="F1186" i="16"/>
  <c r="J1186" i="44" s="1"/>
  <c r="F1186" i="15"/>
  <c r="H1186" i="44" s="1"/>
  <c r="F1184" i="15"/>
  <c r="H1184" i="44" s="1"/>
  <c r="F25" i="15"/>
  <c r="H25" i="44" s="1"/>
  <c r="F1228" i="13" l="1"/>
  <c r="F1228" i="44" s="1"/>
  <c r="J29" i="8"/>
  <c r="N29" i="8" s="1"/>
  <c r="W25" i="18"/>
  <c r="G1231" i="8"/>
  <c r="L1162" i="44"/>
  <c r="N1162" i="44" s="1"/>
  <c r="L1184" i="44"/>
  <c r="J1189" i="8"/>
  <c r="N1189" i="8" s="1"/>
  <c r="F1188" i="15"/>
  <c r="H1188" i="44" s="1"/>
  <c r="F1224" i="15"/>
  <c r="H1224" i="44" s="1"/>
  <c r="N1187" i="8"/>
  <c r="T25" i="8"/>
  <c r="F1226" i="13"/>
  <c r="F1226" i="44" s="1"/>
  <c r="G1227" i="8"/>
  <c r="L1225" i="8"/>
  <c r="F33" i="8"/>
  <c r="L29" i="8"/>
  <c r="W29" i="18" s="1"/>
  <c r="G33" i="8"/>
  <c r="L33" i="8" s="1"/>
  <c r="P33" i="8" s="1"/>
  <c r="F29" i="15"/>
  <c r="H29" i="44" s="1"/>
  <c r="F1188" i="16"/>
  <c r="J1188" i="44" s="1"/>
  <c r="F1224" i="16"/>
  <c r="J1224" i="44" s="1"/>
  <c r="F33" i="13"/>
  <c r="O29" i="44"/>
  <c r="F29" i="16"/>
  <c r="J29" i="44" s="1"/>
  <c r="J1225" i="8"/>
  <c r="F1227" i="8"/>
  <c r="F1229" i="8"/>
  <c r="F33" i="44" l="1"/>
  <c r="O33" i="44" s="1"/>
  <c r="F37" i="13"/>
  <c r="L121" i="44"/>
  <c r="L25" i="44"/>
  <c r="L1186" i="44"/>
  <c r="N1225" i="8"/>
  <c r="L1188" i="44"/>
  <c r="J33" i="8"/>
  <c r="N33" i="8" s="1"/>
  <c r="Q17" i="7"/>
  <c r="F1230" i="13"/>
  <c r="F1230" i="44" s="1"/>
  <c r="F22" i="20"/>
  <c r="F16" i="20"/>
  <c r="F33" i="15"/>
  <c r="H33" i="44" s="1"/>
  <c r="P29" i="44"/>
  <c r="G1234" i="8"/>
  <c r="L1227" i="8"/>
  <c r="L1229" i="8"/>
  <c r="L1231" i="8"/>
  <c r="F1234" i="8"/>
  <c r="J1227" i="8"/>
  <c r="F33" i="16"/>
  <c r="J33" i="44" s="1"/>
  <c r="Q29" i="44"/>
  <c r="F1231" i="8"/>
  <c r="J1229" i="8"/>
  <c r="F1226" i="16"/>
  <c r="J1226" i="44" s="1"/>
  <c r="F1228" i="16"/>
  <c r="J1228" i="44" s="1"/>
  <c r="F1228" i="15"/>
  <c r="H1228" i="44" s="1"/>
  <c r="F1226" i="15"/>
  <c r="H1226" i="44" s="1"/>
  <c r="N1229" i="8" l="1"/>
  <c r="L1224" i="44"/>
  <c r="N1224" i="44" s="1"/>
  <c r="L1226" i="44"/>
  <c r="N1226" i="44" s="1"/>
  <c r="F1230" i="16"/>
  <c r="J1230" i="44" s="1"/>
  <c r="J1234" i="8"/>
  <c r="N1227" i="8"/>
  <c r="F17" i="20"/>
  <c r="P33" i="44"/>
  <c r="F23" i="20"/>
  <c r="F24" i="20"/>
  <c r="F18" i="20"/>
  <c r="Q33" i="44"/>
  <c r="L29" i="44"/>
  <c r="J1231" i="8"/>
  <c r="N1231" i="8" s="1"/>
  <c r="F1230" i="15"/>
  <c r="H1230" i="44" s="1"/>
  <c r="L1228" i="44" l="1"/>
  <c r="N1228" i="44" s="1"/>
  <c r="F19" i="20"/>
  <c r="L1230" i="44"/>
  <c r="N1230" i="44" s="1"/>
  <c r="L33" i="44"/>
  <c r="S106" i="14" l="1"/>
  <c r="S1253" i="13" l="1"/>
  <c r="S1253" i="16"/>
  <c r="S1253" i="15"/>
  <c r="K1253" i="16" l="1"/>
  <c r="K1253" i="13"/>
  <c r="K1253" i="15"/>
  <c r="O1253" i="13"/>
  <c r="O1253" i="16"/>
  <c r="O1253" i="15"/>
  <c r="J1253" i="13"/>
  <c r="J1253" i="16"/>
  <c r="J1253" i="15"/>
  <c r="P17" i="5"/>
  <c r="Q1253" i="13"/>
  <c r="Q1253" i="15"/>
  <c r="Q1253" i="16"/>
  <c r="N1253" i="13"/>
  <c r="N1253" i="16"/>
  <c r="N1253" i="15"/>
  <c r="P1253" i="13"/>
  <c r="P1253" i="15"/>
  <c r="P1253" i="16"/>
  <c r="M1253" i="15"/>
  <c r="M1255" i="15" s="1"/>
  <c r="M1253" i="16"/>
  <c r="M1253" i="13"/>
  <c r="R1253" i="16"/>
  <c r="R1253" i="15"/>
  <c r="R1253" i="13"/>
  <c r="L1253" i="13"/>
  <c r="L1253" i="16"/>
  <c r="L1253" i="15"/>
  <c r="N1255" i="15" l="1"/>
  <c r="M1255" i="13"/>
  <c r="P1255" i="16"/>
  <c r="Q1255" i="15"/>
  <c r="Q1254" i="15"/>
  <c r="O1255" i="13"/>
  <c r="U1253" i="13"/>
  <c r="N1360" i="13" s="1"/>
  <c r="J1255" i="13"/>
  <c r="J1254" i="13"/>
  <c r="M1255" i="16"/>
  <c r="O1255" i="16"/>
  <c r="L1254" i="13"/>
  <c r="L1255" i="13"/>
  <c r="Q1254" i="13"/>
  <c r="Q1255" i="13"/>
  <c r="K1254" i="15"/>
  <c r="K1255" i="15"/>
  <c r="J1255" i="16"/>
  <c r="U1253" i="16"/>
  <c r="S1360" i="16" s="1"/>
  <c r="J1254" i="16"/>
  <c r="N1255" i="16"/>
  <c r="N1255" i="13"/>
  <c r="Q1254" i="16"/>
  <c r="Q1255" i="16"/>
  <c r="K1255" i="13"/>
  <c r="K1254" i="13"/>
  <c r="O1255" i="15"/>
  <c r="L1255" i="15"/>
  <c r="L1254" i="15"/>
  <c r="L1255" i="16"/>
  <c r="L1254" i="16"/>
  <c r="P1255" i="15"/>
  <c r="P1255" i="13"/>
  <c r="J1254" i="15"/>
  <c r="J1255" i="15"/>
  <c r="U1253" i="15"/>
  <c r="K1360" i="15" s="1"/>
  <c r="K1255" i="16"/>
  <c r="K1254" i="16"/>
  <c r="K1207" i="15" l="1"/>
  <c r="K1215" i="15"/>
  <c r="K1218" i="15"/>
  <c r="K1219" i="15"/>
  <c r="S1207" i="16"/>
  <c r="S1216" i="16"/>
  <c r="S1218" i="16"/>
  <c r="S1219" i="16"/>
  <c r="R1360" i="15"/>
  <c r="O1360" i="15"/>
  <c r="L1360" i="15"/>
  <c r="P1360" i="13"/>
  <c r="P1360" i="15"/>
  <c r="P849" i="15" s="1"/>
  <c r="N1028" i="13"/>
  <c r="N892" i="13"/>
  <c r="N310" i="13"/>
  <c r="N156" i="13"/>
  <c r="N975" i="13"/>
  <c r="N725" i="13"/>
  <c r="N726" i="13"/>
  <c r="N308" i="13"/>
  <c r="N972" i="13"/>
  <c r="N974" i="13"/>
  <c r="N976" i="13"/>
  <c r="N703" i="13"/>
  <c r="N866" i="13"/>
  <c r="N849" i="13"/>
  <c r="N154" i="13"/>
  <c r="N973" i="13"/>
  <c r="N1030" i="13"/>
  <c r="N888" i="13"/>
  <c r="N889" i="13"/>
  <c r="K866" i="15"/>
  <c r="K308" i="15"/>
  <c r="K849" i="15"/>
  <c r="K154" i="15"/>
  <c r="K1298" i="15" s="1"/>
  <c r="K974" i="15"/>
  <c r="K888" i="15"/>
  <c r="K889" i="15"/>
  <c r="K973" i="15"/>
  <c r="K1028" i="15"/>
  <c r="K703" i="15"/>
  <c r="K686" i="15"/>
  <c r="K976" i="15"/>
  <c r="K972" i="15"/>
  <c r="K156" i="15"/>
  <c r="K725" i="15"/>
  <c r="K310" i="15"/>
  <c r="K975" i="15"/>
  <c r="K726" i="15"/>
  <c r="K1030" i="15"/>
  <c r="K1360" i="16"/>
  <c r="Q1360" i="16"/>
  <c r="U1254" i="16"/>
  <c r="K1361" i="16" s="1"/>
  <c r="U1254" i="13"/>
  <c r="L1361" i="13" s="1"/>
  <c r="S310" i="16"/>
  <c r="S974" i="16"/>
  <c r="S889" i="16"/>
  <c r="S1030" i="16"/>
  <c r="S156" i="16"/>
  <c r="S686" i="16"/>
  <c r="S692" i="16" s="1"/>
  <c r="S1318" i="16" s="1"/>
  <c r="S154" i="16"/>
  <c r="S866" i="16"/>
  <c r="S972" i="16"/>
  <c r="S849" i="16"/>
  <c r="S975" i="16"/>
  <c r="S1028" i="16"/>
  <c r="S703" i="16"/>
  <c r="S888" i="16"/>
  <c r="S308" i="16"/>
  <c r="S976" i="16"/>
  <c r="S973" i="16"/>
  <c r="S725" i="16"/>
  <c r="S726" i="16"/>
  <c r="J1360" i="15"/>
  <c r="O1360" i="16"/>
  <c r="R1360" i="16"/>
  <c r="L1360" i="13"/>
  <c r="S1360" i="13"/>
  <c r="M1360" i="15"/>
  <c r="S1360" i="15"/>
  <c r="L1360" i="16"/>
  <c r="K1360" i="13"/>
  <c r="O1360" i="13"/>
  <c r="M1360" i="13"/>
  <c r="P1360" i="16"/>
  <c r="U1255" i="16"/>
  <c r="Q1362" i="16" s="1"/>
  <c r="N1360" i="16"/>
  <c r="M1360" i="16"/>
  <c r="U1255" i="13"/>
  <c r="N1362" i="13" s="1"/>
  <c r="U1255" i="15"/>
  <c r="O1362" i="15" s="1"/>
  <c r="U1254" i="15"/>
  <c r="Q1361" i="15" s="1"/>
  <c r="Q1360" i="13"/>
  <c r="Q1360" i="15"/>
  <c r="N1360" i="15"/>
  <c r="R1360" i="13"/>
  <c r="J1360" i="16"/>
  <c r="J1360" i="13"/>
  <c r="J1207" i="15" l="1"/>
  <c r="J1215" i="15"/>
  <c r="J1218" i="15"/>
  <c r="J1219" i="15"/>
  <c r="Q1207" i="16"/>
  <c r="Q1218" i="16"/>
  <c r="Q1216" i="16"/>
  <c r="Q1219" i="16"/>
  <c r="N1207" i="15"/>
  <c r="N1215" i="15"/>
  <c r="N1218" i="15"/>
  <c r="N1219" i="15"/>
  <c r="Q1215" i="15"/>
  <c r="Q1218" i="15"/>
  <c r="Q1219" i="15"/>
  <c r="Q1207" i="15"/>
  <c r="L1218" i="16"/>
  <c r="L1219" i="16"/>
  <c r="L1207" i="16"/>
  <c r="L1216" i="16"/>
  <c r="N1207" i="16"/>
  <c r="N1216" i="16"/>
  <c r="N1218" i="16"/>
  <c r="N1219" i="16"/>
  <c r="O1207" i="16"/>
  <c r="O1216" i="16"/>
  <c r="O1218" i="16"/>
  <c r="O1219" i="16"/>
  <c r="P1216" i="16"/>
  <c r="P1207" i="16"/>
  <c r="P1218" i="16"/>
  <c r="P1219" i="16"/>
  <c r="P308" i="15"/>
  <c r="K1216" i="16"/>
  <c r="K1218" i="16"/>
  <c r="K1218" i="18" s="1"/>
  <c r="K1219" i="16"/>
  <c r="K1219" i="18" s="1"/>
  <c r="K1207" i="16"/>
  <c r="K1207" i="18" s="1"/>
  <c r="J1207" i="16"/>
  <c r="J1216" i="16"/>
  <c r="J1218" i="16"/>
  <c r="J1219" i="16"/>
  <c r="M1207" i="15"/>
  <c r="M1215" i="15"/>
  <c r="M1218" i="15"/>
  <c r="M1219" i="15"/>
  <c r="O1207" i="15"/>
  <c r="O1215" i="15"/>
  <c r="O1218" i="15"/>
  <c r="O1219" i="15"/>
  <c r="R1028" i="15"/>
  <c r="R1218" i="15"/>
  <c r="R1219" i="15"/>
  <c r="R1207" i="15"/>
  <c r="R1215" i="15"/>
  <c r="S1219" i="15"/>
  <c r="S1219" i="18" s="1"/>
  <c r="S1207" i="15"/>
  <c r="S1207" i="18" s="1"/>
  <c r="S1215" i="15"/>
  <c r="S1218" i="15"/>
  <c r="S1218" i="18" s="1"/>
  <c r="P1207" i="15"/>
  <c r="P1215" i="15"/>
  <c r="P1218" i="15"/>
  <c r="P1219" i="15"/>
  <c r="L725" i="15"/>
  <c r="L1207" i="15"/>
  <c r="L1215" i="15"/>
  <c r="L1218" i="15"/>
  <c r="L1219" i="15"/>
  <c r="M1219" i="16"/>
  <c r="M1207" i="16"/>
  <c r="M1216" i="16"/>
  <c r="M1218" i="16"/>
  <c r="R1207" i="16"/>
  <c r="R1218" i="16"/>
  <c r="R1219" i="16"/>
  <c r="R1216" i="16"/>
  <c r="L976" i="15"/>
  <c r="L888" i="15"/>
  <c r="L686" i="15"/>
  <c r="L1028" i="15"/>
  <c r="O888" i="15"/>
  <c r="R726" i="15"/>
  <c r="L726" i="15"/>
  <c r="L975" i="15"/>
  <c r="R849" i="15"/>
  <c r="R310" i="15"/>
  <c r="L703" i="15"/>
  <c r="R703" i="15"/>
  <c r="L972" i="15"/>
  <c r="L308" i="15"/>
  <c r="R888" i="15"/>
  <c r="L866" i="15"/>
  <c r="P888" i="15"/>
  <c r="P725" i="13"/>
  <c r="P866" i="13"/>
  <c r="P156" i="13"/>
  <c r="P1030" i="13"/>
  <c r="P726" i="13"/>
  <c r="O889" i="15"/>
  <c r="L973" i="15"/>
  <c r="L974" i="15"/>
  <c r="Q1361" i="16"/>
  <c r="Q153" i="16" s="1"/>
  <c r="P726" i="15"/>
  <c r="P973" i="15"/>
  <c r="P156" i="15"/>
  <c r="P974" i="15"/>
  <c r="P976" i="15"/>
  <c r="P849" i="13"/>
  <c r="P1028" i="15"/>
  <c r="P154" i="15"/>
  <c r="P1298" i="15" s="1"/>
  <c r="P889" i="15"/>
  <c r="P866" i="15"/>
  <c r="L1361" i="16"/>
  <c r="L153" i="16" s="1"/>
  <c r="P972" i="15"/>
  <c r="P686" i="15"/>
  <c r="P310" i="15"/>
  <c r="P1030" i="15"/>
  <c r="P975" i="15"/>
  <c r="P703" i="15"/>
  <c r="P725" i="15"/>
  <c r="P308" i="13"/>
  <c r="R972" i="15"/>
  <c r="R976" i="15"/>
  <c r="R725" i="15"/>
  <c r="R686" i="15"/>
  <c r="R866" i="15"/>
  <c r="R1030" i="15"/>
  <c r="R308" i="15"/>
  <c r="R975" i="15"/>
  <c r="R974" i="15"/>
  <c r="R154" i="15"/>
  <c r="R1298" i="15" s="1"/>
  <c r="R156" i="15"/>
  <c r="R973" i="15"/>
  <c r="P310" i="13"/>
  <c r="K1361" i="13"/>
  <c r="K153" i="13" s="1"/>
  <c r="R889" i="15"/>
  <c r="O156" i="15"/>
  <c r="O154" i="15"/>
  <c r="O1298" i="15" s="1"/>
  <c r="P975" i="13"/>
  <c r="P973" i="13"/>
  <c r="O703" i="15"/>
  <c r="P976" i="13"/>
  <c r="P974" i="13"/>
  <c r="P888" i="13"/>
  <c r="P703" i="13"/>
  <c r="P972" i="13"/>
  <c r="P154" i="13"/>
  <c r="P1298" i="13" s="1"/>
  <c r="P892" i="13"/>
  <c r="P889" i="13"/>
  <c r="O866" i="15"/>
  <c r="P1028" i="13"/>
  <c r="L310" i="15"/>
  <c r="L1030" i="15"/>
  <c r="L154" i="15"/>
  <c r="L1298" i="15" s="1"/>
  <c r="L849" i="15"/>
  <c r="L156" i="15"/>
  <c r="L889" i="15"/>
  <c r="N1362" i="15"/>
  <c r="N850" i="15" s="1"/>
  <c r="Q1362" i="13"/>
  <c r="Q850" i="13" s="1"/>
  <c r="O974" i="15"/>
  <c r="O975" i="15"/>
  <c r="O849" i="15"/>
  <c r="O310" i="15"/>
  <c r="O1028" i="15"/>
  <c r="O973" i="15"/>
  <c r="O976" i="15"/>
  <c r="O726" i="15"/>
  <c r="O725" i="15"/>
  <c r="O308" i="15"/>
  <c r="O1030" i="15"/>
  <c r="O972" i="15"/>
  <c r="O686" i="15"/>
  <c r="L1362" i="15"/>
  <c r="L850" i="15" s="1"/>
  <c r="L1362" i="16"/>
  <c r="L850" i="16" s="1"/>
  <c r="Q1361" i="13"/>
  <c r="Q153" i="13" s="1"/>
  <c r="J1361" i="15"/>
  <c r="J153" i="15" s="1"/>
  <c r="L1362" i="13"/>
  <c r="L850" i="13" s="1"/>
  <c r="K1361" i="15"/>
  <c r="K307" i="15" s="1"/>
  <c r="K1362" i="15"/>
  <c r="K850" i="15" s="1"/>
  <c r="P1362" i="15"/>
  <c r="P1208" i="15" s="1"/>
  <c r="P1208" i="18" s="1"/>
  <c r="K1362" i="13"/>
  <c r="K850" i="13" s="1"/>
  <c r="S890" i="16"/>
  <c r="S1331" i="16" s="1"/>
  <c r="J1361" i="16"/>
  <c r="M1362" i="13"/>
  <c r="M687" i="13" s="1"/>
  <c r="K890" i="15"/>
  <c r="K1331" i="15" s="1"/>
  <c r="K978" i="15"/>
  <c r="O687" i="15"/>
  <c r="O850" i="15"/>
  <c r="O1208" i="15"/>
  <c r="O1208" i="18" s="1"/>
  <c r="J308" i="13"/>
  <c r="J889" i="13"/>
  <c r="J849" i="13"/>
  <c r="J976" i="13"/>
  <c r="J888" i="13"/>
  <c r="J154" i="13"/>
  <c r="J1030" i="13"/>
  <c r="J973" i="13"/>
  <c r="J972" i="13"/>
  <c r="J310" i="13"/>
  <c r="J725" i="13"/>
  <c r="U1360" i="13"/>
  <c r="J703" i="13"/>
  <c r="J1028" i="13"/>
  <c r="J156" i="13"/>
  <c r="J974" i="13"/>
  <c r="J892" i="13"/>
  <c r="J726" i="13"/>
  <c r="J866" i="13"/>
  <c r="J975" i="13"/>
  <c r="N850" i="13"/>
  <c r="N687" i="13"/>
  <c r="Q850" i="16"/>
  <c r="Q687" i="16"/>
  <c r="O1362" i="16"/>
  <c r="K1362" i="16"/>
  <c r="L153" i="13"/>
  <c r="L307" i="13"/>
  <c r="N1298" i="13"/>
  <c r="J726" i="16"/>
  <c r="J973" i="16"/>
  <c r="J156" i="16"/>
  <c r="J310" i="16"/>
  <c r="J725" i="16"/>
  <c r="J888" i="16"/>
  <c r="J866" i="16"/>
  <c r="J889" i="16"/>
  <c r="J1028" i="16"/>
  <c r="J1030" i="16"/>
  <c r="U1360" i="16"/>
  <c r="J849" i="16"/>
  <c r="J154" i="16"/>
  <c r="J686" i="16"/>
  <c r="J974" i="16"/>
  <c r="J308" i="16"/>
  <c r="J975" i="16"/>
  <c r="J976" i="16"/>
  <c r="J972" i="16"/>
  <c r="J703" i="16"/>
  <c r="O849" i="16"/>
  <c r="O972" i="16"/>
  <c r="O726" i="16"/>
  <c r="O703" i="16"/>
  <c r="O1030" i="16"/>
  <c r="O310" i="16"/>
  <c r="O974" i="16"/>
  <c r="O725" i="16"/>
  <c r="O889" i="16"/>
  <c r="O156" i="16"/>
  <c r="O686" i="16"/>
  <c r="O866" i="16"/>
  <c r="O975" i="16"/>
  <c r="O976" i="16"/>
  <c r="O1028" i="16"/>
  <c r="O308" i="16"/>
  <c r="O154" i="16"/>
  <c r="O888" i="16"/>
  <c r="O973" i="16"/>
  <c r="N726" i="15"/>
  <c r="N972" i="15"/>
  <c r="N889" i="15"/>
  <c r="N1030" i="15"/>
  <c r="N686" i="15"/>
  <c r="N976" i="15"/>
  <c r="N1028" i="15"/>
  <c r="N154" i="15"/>
  <c r="N310" i="15"/>
  <c r="N725" i="15"/>
  <c r="N156" i="15"/>
  <c r="N888" i="15"/>
  <c r="N703" i="15"/>
  <c r="N974" i="15"/>
  <c r="N866" i="15"/>
  <c r="N308" i="15"/>
  <c r="N975" i="15"/>
  <c r="N849" i="15"/>
  <c r="N973" i="15"/>
  <c r="Q153" i="15"/>
  <c r="Q307" i="15"/>
  <c r="O1362" i="13"/>
  <c r="L889" i="16"/>
  <c r="L154" i="16"/>
  <c r="L1298" i="16" s="1"/>
  <c r="L156" i="16"/>
  <c r="L686" i="16"/>
  <c r="L849" i="16"/>
  <c r="L975" i="16"/>
  <c r="L725" i="16"/>
  <c r="L866" i="16"/>
  <c r="L972" i="16"/>
  <c r="L1028" i="16"/>
  <c r="L703" i="16"/>
  <c r="L976" i="16"/>
  <c r="L973" i="16"/>
  <c r="L308" i="16"/>
  <c r="L1030" i="16"/>
  <c r="L888" i="16"/>
  <c r="L726" i="16"/>
  <c r="L310" i="16"/>
  <c r="L974" i="16"/>
  <c r="K153" i="16"/>
  <c r="K307" i="16"/>
  <c r="Q976" i="15"/>
  <c r="Q888" i="15"/>
  <c r="Q866" i="15"/>
  <c r="Q156" i="15"/>
  <c r="Q974" i="15"/>
  <c r="Q310" i="15"/>
  <c r="Q975" i="15"/>
  <c r="Q308" i="15"/>
  <c r="Q726" i="15"/>
  <c r="Q686" i="15"/>
  <c r="Q703" i="15"/>
  <c r="Q1030" i="15"/>
  <c r="Q849" i="15"/>
  <c r="Q725" i="15"/>
  <c r="Q154" i="15"/>
  <c r="Q1298" i="15" s="1"/>
  <c r="Q889" i="15"/>
  <c r="Q973" i="15"/>
  <c r="Q1028" i="15"/>
  <c r="Q972" i="15"/>
  <c r="M888" i="16"/>
  <c r="M972" i="16"/>
  <c r="M703" i="16"/>
  <c r="M1030" i="16"/>
  <c r="M889" i="16"/>
  <c r="M849" i="16"/>
  <c r="M308" i="16"/>
  <c r="M1028" i="16"/>
  <c r="M976" i="16"/>
  <c r="M310" i="16"/>
  <c r="M866" i="16"/>
  <c r="M725" i="16"/>
  <c r="M975" i="16"/>
  <c r="M686" i="16"/>
  <c r="M974" i="16"/>
  <c r="M973" i="16"/>
  <c r="M156" i="16"/>
  <c r="M726" i="16"/>
  <c r="M154" i="16"/>
  <c r="P725" i="16"/>
  <c r="P308" i="16"/>
  <c r="P976" i="16"/>
  <c r="P703" i="16"/>
  <c r="P888" i="16"/>
  <c r="P973" i="16"/>
  <c r="P866" i="16"/>
  <c r="P1030" i="16"/>
  <c r="P974" i="16"/>
  <c r="P1028" i="16"/>
  <c r="P726" i="16"/>
  <c r="P310" i="16"/>
  <c r="P975" i="16"/>
  <c r="P889" i="16"/>
  <c r="P686" i="16"/>
  <c r="P972" i="16"/>
  <c r="P849" i="16"/>
  <c r="P154" i="16"/>
  <c r="P156" i="16"/>
  <c r="S154" i="15"/>
  <c r="S1030" i="15"/>
  <c r="S888" i="15"/>
  <c r="S308" i="15"/>
  <c r="S974" i="15"/>
  <c r="S975" i="15"/>
  <c r="S973" i="15"/>
  <c r="S686" i="15"/>
  <c r="S156" i="15"/>
  <c r="S703" i="15"/>
  <c r="S976" i="15"/>
  <c r="S866" i="15"/>
  <c r="S1028" i="15"/>
  <c r="S725" i="15"/>
  <c r="S726" i="15"/>
  <c r="S889" i="15"/>
  <c r="S310" i="15"/>
  <c r="S849" i="15"/>
  <c r="S972" i="15"/>
  <c r="S731" i="16"/>
  <c r="S1320" i="16" s="1"/>
  <c r="Q725" i="16"/>
  <c r="Q849" i="16"/>
  <c r="Q974" i="16"/>
  <c r="Q866" i="16"/>
  <c r="Q703" i="16"/>
  <c r="Q889" i="16"/>
  <c r="Q310" i="16"/>
  <c r="Q726" i="16"/>
  <c r="Q1030" i="16"/>
  <c r="Q156" i="16"/>
  <c r="Q154" i="16"/>
  <c r="Q1298" i="16" s="1"/>
  <c r="Q888" i="16"/>
  <c r="Q1028" i="16"/>
  <c r="Q972" i="16"/>
  <c r="Q973" i="16"/>
  <c r="Q975" i="16"/>
  <c r="Q308" i="16"/>
  <c r="Q686" i="16"/>
  <c r="Q976" i="16"/>
  <c r="K725" i="13"/>
  <c r="K310" i="13"/>
  <c r="K892" i="13"/>
  <c r="K1030" i="13"/>
  <c r="K975" i="13"/>
  <c r="K726" i="13"/>
  <c r="K866" i="13"/>
  <c r="K973" i="13"/>
  <c r="K308" i="13"/>
  <c r="K972" i="13"/>
  <c r="K156" i="13"/>
  <c r="K703" i="13"/>
  <c r="K154" i="13"/>
  <c r="K974" i="13"/>
  <c r="K849" i="13"/>
  <c r="K889" i="13"/>
  <c r="K976" i="13"/>
  <c r="K888" i="13"/>
  <c r="K1028" i="13"/>
  <c r="R703" i="13"/>
  <c r="R1028" i="13"/>
  <c r="R972" i="13"/>
  <c r="R154" i="13"/>
  <c r="R892" i="13"/>
  <c r="R866" i="13"/>
  <c r="R976" i="13"/>
  <c r="R974" i="13"/>
  <c r="R1030" i="13"/>
  <c r="R888" i="13"/>
  <c r="R156" i="13"/>
  <c r="R725" i="13"/>
  <c r="R726" i="13"/>
  <c r="R973" i="13"/>
  <c r="R310" i="13"/>
  <c r="R975" i="13"/>
  <c r="R889" i="13"/>
  <c r="R849" i="13"/>
  <c r="R308" i="13"/>
  <c r="M1362" i="16"/>
  <c r="N849" i="16"/>
  <c r="N975" i="16"/>
  <c r="N974" i="16"/>
  <c r="N310" i="16"/>
  <c r="N726" i="16"/>
  <c r="N686" i="16"/>
  <c r="N889" i="16"/>
  <c r="N725" i="16"/>
  <c r="N866" i="16"/>
  <c r="N973" i="16"/>
  <c r="N976" i="16"/>
  <c r="N1030" i="16"/>
  <c r="N703" i="16"/>
  <c r="N154" i="16"/>
  <c r="N1028" i="16"/>
  <c r="N972" i="16"/>
  <c r="N308" i="16"/>
  <c r="N156" i="16"/>
  <c r="N888" i="16"/>
  <c r="P1362" i="13"/>
  <c r="M703" i="15"/>
  <c r="M1028" i="15"/>
  <c r="M972" i="15"/>
  <c r="M888" i="15"/>
  <c r="M308" i="15"/>
  <c r="M973" i="15"/>
  <c r="M725" i="15"/>
  <c r="M156" i="15"/>
  <c r="M1030" i="15"/>
  <c r="M889" i="15"/>
  <c r="M310" i="15"/>
  <c r="M976" i="15"/>
  <c r="M686" i="15"/>
  <c r="M975" i="15"/>
  <c r="M154" i="15"/>
  <c r="M866" i="15"/>
  <c r="M726" i="15"/>
  <c r="M849" i="15"/>
  <c r="M974" i="15"/>
  <c r="J975" i="15"/>
  <c r="J154" i="15"/>
  <c r="J1028" i="15"/>
  <c r="J726" i="15"/>
  <c r="J308" i="15"/>
  <c r="J1030" i="15"/>
  <c r="J703" i="15"/>
  <c r="J974" i="15"/>
  <c r="J889" i="15"/>
  <c r="J725" i="15"/>
  <c r="J310" i="15"/>
  <c r="J973" i="15"/>
  <c r="J976" i="15"/>
  <c r="J888" i="15"/>
  <c r="J849" i="15"/>
  <c r="J972" i="15"/>
  <c r="J686" i="15"/>
  <c r="U1360" i="15"/>
  <c r="J866" i="15"/>
  <c r="J156" i="15"/>
  <c r="S978" i="16"/>
  <c r="L1361" i="15"/>
  <c r="Q892" i="13"/>
  <c r="Q975" i="13"/>
  <c r="Q703" i="13"/>
  <c r="Q308" i="13"/>
  <c r="Q973" i="13"/>
  <c r="Q154" i="13"/>
  <c r="Q974" i="13"/>
  <c r="Q889" i="13"/>
  <c r="Q972" i="13"/>
  <c r="Q849" i="13"/>
  <c r="Q888" i="13"/>
  <c r="Q725" i="13"/>
  <c r="Q310" i="13"/>
  <c r="Q1028" i="13"/>
  <c r="Q156" i="13"/>
  <c r="Q866" i="13"/>
  <c r="Q1030" i="13"/>
  <c r="Q726" i="13"/>
  <c r="Q976" i="13"/>
  <c r="J1362" i="15"/>
  <c r="M1362" i="15"/>
  <c r="M888" i="13"/>
  <c r="M154" i="13"/>
  <c r="M889" i="13"/>
  <c r="M976" i="13"/>
  <c r="M308" i="13"/>
  <c r="M972" i="13"/>
  <c r="M892" i="13"/>
  <c r="M1028" i="13"/>
  <c r="M156" i="13"/>
  <c r="M726" i="13"/>
  <c r="M1030" i="13"/>
  <c r="M310" i="13"/>
  <c r="M849" i="13"/>
  <c r="M975" i="13"/>
  <c r="M866" i="13"/>
  <c r="M703" i="13"/>
  <c r="M973" i="13"/>
  <c r="M974" i="13"/>
  <c r="M725" i="13"/>
  <c r="S974" i="13"/>
  <c r="S1030" i="13"/>
  <c r="S725" i="13"/>
  <c r="S1028" i="13"/>
  <c r="S310" i="13"/>
  <c r="S703" i="13"/>
  <c r="S849" i="13"/>
  <c r="S889" i="13"/>
  <c r="S888" i="13"/>
  <c r="S154" i="13"/>
  <c r="S975" i="13"/>
  <c r="S972" i="13"/>
  <c r="S726" i="13"/>
  <c r="S892" i="13"/>
  <c r="S976" i="13"/>
  <c r="S156" i="13"/>
  <c r="S973" i="13"/>
  <c r="S866" i="13"/>
  <c r="S308" i="13"/>
  <c r="P1362" i="16"/>
  <c r="Q1362" i="15"/>
  <c r="K731" i="15"/>
  <c r="K1320" i="15" s="1"/>
  <c r="N890" i="13"/>
  <c r="N1331" i="13" s="1"/>
  <c r="R976" i="16"/>
  <c r="R889" i="16"/>
  <c r="R974" i="16"/>
  <c r="R308" i="16"/>
  <c r="R686" i="16"/>
  <c r="R692" i="16" s="1"/>
  <c r="R1318" i="16" s="1"/>
  <c r="R154" i="16"/>
  <c r="R866" i="16"/>
  <c r="R726" i="16"/>
  <c r="R973" i="16"/>
  <c r="R1028" i="16"/>
  <c r="R888" i="16"/>
  <c r="R975" i="16"/>
  <c r="R1030" i="16"/>
  <c r="R156" i="16"/>
  <c r="R972" i="16"/>
  <c r="R725" i="16"/>
  <c r="R849" i="16"/>
  <c r="R703" i="16"/>
  <c r="R310" i="16"/>
  <c r="K972" i="16"/>
  <c r="K866" i="16"/>
  <c r="K703" i="16"/>
  <c r="K726" i="16"/>
  <c r="K1028" i="16"/>
  <c r="K1030" i="16"/>
  <c r="K976" i="16"/>
  <c r="K308" i="16"/>
  <c r="K154" i="16"/>
  <c r="K1298" i="16" s="1"/>
  <c r="K888" i="16"/>
  <c r="K889" i="16"/>
  <c r="K849" i="16"/>
  <c r="K975" i="16"/>
  <c r="K974" i="16"/>
  <c r="K973" i="16"/>
  <c r="K310" i="16"/>
  <c r="K725" i="16"/>
  <c r="K156" i="16"/>
  <c r="K686" i="16"/>
  <c r="N731" i="13"/>
  <c r="N1320" i="13" s="1"/>
  <c r="N1362" i="16"/>
  <c r="J1362" i="13"/>
  <c r="J1362" i="16"/>
  <c r="O975" i="13"/>
  <c r="O703" i="13"/>
  <c r="O972" i="13"/>
  <c r="O849" i="13"/>
  <c r="O156" i="13"/>
  <c r="O310" i="13"/>
  <c r="O889" i="13"/>
  <c r="O866" i="13"/>
  <c r="O974" i="13"/>
  <c r="O888" i="13"/>
  <c r="O973" i="13"/>
  <c r="O308" i="13"/>
  <c r="O1030" i="13"/>
  <c r="O154" i="13"/>
  <c r="O892" i="13"/>
  <c r="O976" i="13"/>
  <c r="O1028" i="13"/>
  <c r="O725" i="13"/>
  <c r="O726" i="13"/>
  <c r="L703" i="13"/>
  <c r="L973" i="13"/>
  <c r="L892" i="13"/>
  <c r="L974" i="13"/>
  <c r="L156" i="13"/>
  <c r="L976" i="13"/>
  <c r="L726" i="13"/>
  <c r="L310" i="13"/>
  <c r="L975" i="13"/>
  <c r="L725" i="13"/>
  <c r="L972" i="13"/>
  <c r="L888" i="13"/>
  <c r="L1028" i="13"/>
  <c r="L308" i="13"/>
  <c r="L889" i="13"/>
  <c r="L1030" i="13"/>
  <c r="L849" i="13"/>
  <c r="L866" i="13"/>
  <c r="L154" i="13"/>
  <c r="S1298" i="16"/>
  <c r="J1361" i="13"/>
  <c r="N978" i="13"/>
  <c r="P1207" i="18" l="1"/>
  <c r="O1219" i="18"/>
  <c r="N1218" i="18"/>
  <c r="Q1219" i="18"/>
  <c r="R1218" i="18"/>
  <c r="O1218" i="18"/>
  <c r="Q1218" i="18"/>
  <c r="O1207" i="18"/>
  <c r="M1219" i="18"/>
  <c r="U1216" i="16"/>
  <c r="W1216" i="16" s="1"/>
  <c r="R1219" i="18"/>
  <c r="N1207" i="18"/>
  <c r="P1218" i="18"/>
  <c r="L1219" i="18"/>
  <c r="L1218" i="18"/>
  <c r="U1219" i="16"/>
  <c r="W1219" i="16" s="1"/>
  <c r="N1219" i="18"/>
  <c r="J1219" i="18"/>
  <c r="U1219" i="15"/>
  <c r="W1219" i="15" s="1"/>
  <c r="R1207" i="18"/>
  <c r="U1218" i="16"/>
  <c r="W1218" i="16" s="1"/>
  <c r="M1218" i="18"/>
  <c r="U1207" i="16"/>
  <c r="W1207" i="16" s="1"/>
  <c r="L731" i="15"/>
  <c r="L1320" i="15" s="1"/>
  <c r="L1207" i="18"/>
  <c r="J1218" i="18"/>
  <c r="U1218" i="15"/>
  <c r="W1218" i="15" s="1"/>
  <c r="U1215" i="15"/>
  <c r="W1215" i="15" s="1"/>
  <c r="Q1207" i="18"/>
  <c r="J1207" i="18"/>
  <c r="U1207" i="15"/>
  <c r="W1207" i="15" s="1"/>
  <c r="P1219" i="18"/>
  <c r="M1207" i="18"/>
  <c r="R890" i="15"/>
  <c r="R1331" i="15" s="1"/>
  <c r="L890" i="15"/>
  <c r="L1331" i="15" s="1"/>
  <c r="P731" i="13"/>
  <c r="P1320" i="13" s="1"/>
  <c r="Q307" i="16"/>
  <c r="P890" i="15"/>
  <c r="P1331" i="15" s="1"/>
  <c r="O890" i="15"/>
  <c r="O1331" i="15" s="1"/>
  <c r="R731" i="15"/>
  <c r="R1320" i="15" s="1"/>
  <c r="L978" i="15"/>
  <c r="P849" i="18"/>
  <c r="P726" i="18"/>
  <c r="P156" i="18"/>
  <c r="P731" i="15"/>
  <c r="P1320" i="15" s="1"/>
  <c r="P866" i="18"/>
  <c r="P308" i="18"/>
  <c r="K307" i="13"/>
  <c r="K307" i="18" s="1"/>
  <c r="L307" i="16"/>
  <c r="P978" i="15"/>
  <c r="L687" i="13"/>
  <c r="U1361" i="16"/>
  <c r="P725" i="18"/>
  <c r="P1030" i="18"/>
  <c r="R978" i="15"/>
  <c r="P310" i="18"/>
  <c r="P973" i="18"/>
  <c r="S308" i="18"/>
  <c r="R731" i="16"/>
  <c r="R1320" i="16" s="1"/>
  <c r="J307" i="15"/>
  <c r="M850" i="13"/>
  <c r="P972" i="18"/>
  <c r="P889" i="18"/>
  <c r="P975" i="18"/>
  <c r="Q307" i="13"/>
  <c r="P976" i="18"/>
  <c r="P703" i="18"/>
  <c r="P974" i="18"/>
  <c r="P890" i="13"/>
  <c r="P1331" i="13" s="1"/>
  <c r="P978" i="13"/>
  <c r="Q687" i="13"/>
  <c r="P888" i="18"/>
  <c r="P154" i="18"/>
  <c r="P1028" i="18"/>
  <c r="Q1030" i="18"/>
  <c r="L687" i="15"/>
  <c r="N687" i="15"/>
  <c r="P687" i="15"/>
  <c r="N1208" i="15"/>
  <c r="N1208" i="18" s="1"/>
  <c r="S310" i="18"/>
  <c r="P850" i="15"/>
  <c r="O156" i="18"/>
  <c r="S726" i="18"/>
  <c r="S973" i="18"/>
  <c r="K153" i="15"/>
  <c r="S974" i="18"/>
  <c r="L866" i="18"/>
  <c r="O889" i="18"/>
  <c r="M975" i="18"/>
  <c r="M726" i="18"/>
  <c r="L726" i="18"/>
  <c r="J307" i="16"/>
  <c r="N866" i="18"/>
  <c r="U866" i="15"/>
  <c r="W866" i="15" s="1"/>
  <c r="J153" i="16"/>
  <c r="L889" i="18"/>
  <c r="N1028" i="18"/>
  <c r="O731" i="15"/>
  <c r="O1320" i="15" s="1"/>
  <c r="S866" i="18"/>
  <c r="L1208" i="15"/>
  <c r="L1208" i="18" s="1"/>
  <c r="N975" i="18"/>
  <c r="Q690" i="16"/>
  <c r="U974" i="15"/>
  <c r="W974" i="15" s="1"/>
  <c r="N731" i="16"/>
  <c r="N1320" i="16" s="1"/>
  <c r="N888" i="18"/>
  <c r="U1361" i="15"/>
  <c r="O308" i="18"/>
  <c r="L1030" i="18"/>
  <c r="S976" i="18"/>
  <c r="Q866" i="18"/>
  <c r="N703" i="18"/>
  <c r="Q310" i="18"/>
  <c r="N1030" i="18"/>
  <c r="K687" i="15"/>
  <c r="L308" i="18"/>
  <c r="L975" i="18"/>
  <c r="K1208" i="15"/>
  <c r="K1208" i="18" s="1"/>
  <c r="O310" i="18"/>
  <c r="O1030" i="18"/>
  <c r="N849" i="18"/>
  <c r="N974" i="18"/>
  <c r="N976" i="18"/>
  <c r="L976" i="18"/>
  <c r="O975" i="18"/>
  <c r="S889" i="18"/>
  <c r="Q975" i="18"/>
  <c r="O978" i="15"/>
  <c r="L310" i="18"/>
  <c r="O726" i="18"/>
  <c r="O973" i="18"/>
  <c r="Q1028" i="18"/>
  <c r="K687" i="13"/>
  <c r="L687" i="16"/>
  <c r="L1028" i="18"/>
  <c r="L156" i="18"/>
  <c r="O976" i="18"/>
  <c r="O866" i="18"/>
  <c r="Q703" i="18"/>
  <c r="M156" i="18"/>
  <c r="M703" i="18"/>
  <c r="S1028" i="18"/>
  <c r="M866" i="18"/>
  <c r="N310" i="18"/>
  <c r="O703" i="18"/>
  <c r="M308" i="18"/>
  <c r="Q973" i="18"/>
  <c r="L974" i="18"/>
  <c r="Q976" i="18"/>
  <c r="U686" i="15"/>
  <c r="W686" i="15" s="1"/>
  <c r="Q726" i="18"/>
  <c r="L703" i="18"/>
  <c r="Q889" i="18"/>
  <c r="S975" i="18"/>
  <c r="S731" i="15"/>
  <c r="S1320" i="15" s="1"/>
  <c r="U975" i="15"/>
  <c r="W975" i="15" s="1"/>
  <c r="N978" i="16"/>
  <c r="O890" i="16"/>
  <c r="O1331" i="16" s="1"/>
  <c r="P890" i="16"/>
  <c r="P1331" i="16" s="1"/>
  <c r="K731" i="16"/>
  <c r="K1320" i="16" s="1"/>
  <c r="O731" i="16"/>
  <c r="O1320" i="16" s="1"/>
  <c r="Q731" i="16"/>
  <c r="Q1320" i="16" s="1"/>
  <c r="N973" i="18"/>
  <c r="N156" i="18"/>
  <c r="N889" i="18"/>
  <c r="M976" i="18"/>
  <c r="K726" i="18"/>
  <c r="N731" i="15"/>
  <c r="N1320" i="15" s="1"/>
  <c r="N726" i="18"/>
  <c r="M978" i="15"/>
  <c r="R975" i="18"/>
  <c r="R974" i="18"/>
  <c r="N308" i="18"/>
  <c r="Q890" i="16"/>
  <c r="Q1331" i="16" s="1"/>
  <c r="K890" i="16"/>
  <c r="K1331" i="16" s="1"/>
  <c r="S978" i="15"/>
  <c r="S890" i="15"/>
  <c r="S1331" i="15" s="1"/>
  <c r="M890" i="16"/>
  <c r="M1331" i="16" s="1"/>
  <c r="Q731" i="15"/>
  <c r="Q1320" i="15" s="1"/>
  <c r="L890" i="16"/>
  <c r="L1331" i="16" s="1"/>
  <c r="Q153" i="18"/>
  <c r="Q1297" i="16"/>
  <c r="U1362" i="16"/>
  <c r="J850" i="16"/>
  <c r="J687" i="16"/>
  <c r="J692" i="16" s="1"/>
  <c r="N725" i="18"/>
  <c r="R890" i="16"/>
  <c r="R1331" i="16" s="1"/>
  <c r="P687" i="16"/>
  <c r="P692" i="16" s="1"/>
  <c r="P1318" i="16" s="1"/>
  <c r="P850" i="16"/>
  <c r="S978" i="13"/>
  <c r="S972" i="18"/>
  <c r="K1297" i="13"/>
  <c r="Q156" i="18"/>
  <c r="Q974" i="18"/>
  <c r="U889" i="15"/>
  <c r="W889" i="15" s="1"/>
  <c r="M890" i="15"/>
  <c r="M1331" i="15" s="1"/>
  <c r="R889" i="18"/>
  <c r="R1030" i="18"/>
  <c r="R703" i="18"/>
  <c r="K849" i="18"/>
  <c r="K866" i="18"/>
  <c r="K1297" i="16"/>
  <c r="Q1297" i="15"/>
  <c r="N890" i="15"/>
  <c r="N1331" i="15" s="1"/>
  <c r="U686" i="16"/>
  <c r="W686" i="16" s="1"/>
  <c r="J890" i="16"/>
  <c r="U888" i="16"/>
  <c r="W888" i="16" s="1"/>
  <c r="Q853" i="16"/>
  <c r="Q1329" i="16" s="1"/>
  <c r="J975" i="18"/>
  <c r="U975" i="13"/>
  <c r="X975" i="13" s="1"/>
  <c r="U976" i="13"/>
  <c r="X976" i="13" s="1"/>
  <c r="J976" i="18"/>
  <c r="K974" i="18"/>
  <c r="J731" i="16"/>
  <c r="U725" i="16"/>
  <c r="W725" i="16" s="1"/>
  <c r="L1297" i="13"/>
  <c r="L978" i="13"/>
  <c r="L972" i="18"/>
  <c r="N850" i="16"/>
  <c r="N850" i="18" s="1"/>
  <c r="N687" i="16"/>
  <c r="N692" i="16" s="1"/>
  <c r="N1318" i="16" s="1"/>
  <c r="U849" i="15"/>
  <c r="W849" i="15" s="1"/>
  <c r="U703" i="15"/>
  <c r="W703" i="15" s="1"/>
  <c r="R310" i="18"/>
  <c r="R976" i="18"/>
  <c r="K1298" i="13"/>
  <c r="K154" i="18"/>
  <c r="K975" i="18"/>
  <c r="S1298" i="15"/>
  <c r="N978" i="15"/>
  <c r="U703" i="16"/>
  <c r="W703" i="16" s="1"/>
  <c r="U849" i="16"/>
  <c r="W849" i="16" s="1"/>
  <c r="U310" i="16"/>
  <c r="W310" i="16" s="1"/>
  <c r="Q1297" i="13"/>
  <c r="J726" i="18"/>
  <c r="U726" i="13"/>
  <c r="X726" i="13" s="1"/>
  <c r="U310" i="13"/>
  <c r="X310" i="13" s="1"/>
  <c r="J310" i="18"/>
  <c r="J889" i="18"/>
  <c r="U889" i="13"/>
  <c r="X889" i="13" s="1"/>
  <c r="J978" i="15"/>
  <c r="U972" i="15"/>
  <c r="W972" i="15" s="1"/>
  <c r="O1298" i="13"/>
  <c r="O154" i="18"/>
  <c r="M849" i="18"/>
  <c r="M850" i="15"/>
  <c r="M687" i="15"/>
  <c r="M1208" i="15"/>
  <c r="M1208" i="18" s="1"/>
  <c r="S890" i="13"/>
  <c r="S1331" i="13" s="1"/>
  <c r="S888" i="18"/>
  <c r="M310" i="18"/>
  <c r="J1208" i="15"/>
  <c r="J850" i="15"/>
  <c r="J687" i="15"/>
  <c r="U1362" i="15"/>
  <c r="Q731" i="13"/>
  <c r="Q1320" i="13" s="1"/>
  <c r="Q725" i="18"/>
  <c r="Q308" i="18"/>
  <c r="L153" i="15"/>
  <c r="L307" i="15"/>
  <c r="J890" i="15"/>
  <c r="U888" i="15"/>
  <c r="W888" i="15" s="1"/>
  <c r="U1030" i="15"/>
  <c r="W1030" i="15" s="1"/>
  <c r="N1298" i="16"/>
  <c r="M850" i="16"/>
  <c r="M687" i="16"/>
  <c r="M692" i="16" s="1"/>
  <c r="M1318" i="16" s="1"/>
  <c r="R973" i="18"/>
  <c r="R866" i="18"/>
  <c r="K703" i="18"/>
  <c r="K1030" i="18"/>
  <c r="Q978" i="15"/>
  <c r="U972" i="16"/>
  <c r="W972" i="16" s="1"/>
  <c r="J978" i="16"/>
  <c r="U156" i="16"/>
  <c r="W156" i="16" s="1"/>
  <c r="U892" i="13"/>
  <c r="X892" i="13" s="1"/>
  <c r="U972" i="13"/>
  <c r="X972" i="13" s="1"/>
  <c r="J978" i="13"/>
  <c r="J972" i="18"/>
  <c r="U308" i="13"/>
  <c r="X308" i="13" s="1"/>
  <c r="J308" i="18"/>
  <c r="M972" i="18"/>
  <c r="M978" i="13"/>
  <c r="L1297" i="16"/>
  <c r="U154" i="16"/>
  <c r="W154" i="16" s="1"/>
  <c r="J1298" i="16"/>
  <c r="L1298" i="13"/>
  <c r="L154" i="18"/>
  <c r="S154" i="18"/>
  <c r="S1298" i="13"/>
  <c r="L731" i="13"/>
  <c r="L1320" i="13" s="1"/>
  <c r="L725" i="18"/>
  <c r="L973" i="18"/>
  <c r="J1297" i="15"/>
  <c r="L849" i="18"/>
  <c r="O849" i="18"/>
  <c r="R978" i="16"/>
  <c r="S156" i="18"/>
  <c r="M725" i="18"/>
  <c r="M731" i="13"/>
  <c r="M1320" i="13" s="1"/>
  <c r="M1030" i="18"/>
  <c r="M889" i="18"/>
  <c r="Q890" i="13"/>
  <c r="Q1331" i="13" s="1"/>
  <c r="Q888" i="18"/>
  <c r="U976" i="15"/>
  <c r="W976" i="15" s="1"/>
  <c r="U308" i="15"/>
  <c r="W308" i="15" s="1"/>
  <c r="P850" i="13"/>
  <c r="P687" i="13"/>
  <c r="R726" i="18"/>
  <c r="K1028" i="18"/>
  <c r="K156" i="18"/>
  <c r="P1298" i="16"/>
  <c r="Q890" i="15"/>
  <c r="Q1331" i="15" s="1"/>
  <c r="N1298" i="15"/>
  <c r="U976" i="16"/>
  <c r="W976" i="16" s="1"/>
  <c r="U1030" i="16"/>
  <c r="W1030" i="16" s="1"/>
  <c r="U973" i="16"/>
  <c r="W973" i="16" s="1"/>
  <c r="K850" i="16"/>
  <c r="K850" i="18" s="1"/>
  <c r="K687" i="16"/>
  <c r="K692" i="16" s="1"/>
  <c r="K1318" i="16" s="1"/>
  <c r="J974" i="18"/>
  <c r="U974" i="13"/>
  <c r="X974" i="13" s="1"/>
  <c r="U973" i="13"/>
  <c r="X973" i="13" s="1"/>
  <c r="J973" i="18"/>
  <c r="L890" i="13"/>
  <c r="L1331" i="13" s="1"/>
  <c r="L888" i="18"/>
  <c r="J687" i="13"/>
  <c r="J850" i="13"/>
  <c r="U1362" i="13"/>
  <c r="Q1298" i="13"/>
  <c r="Q154" i="18"/>
  <c r="J725" i="18"/>
  <c r="J731" i="13"/>
  <c r="U725" i="13"/>
  <c r="X725" i="13" s="1"/>
  <c r="S1030" i="18"/>
  <c r="N972" i="18"/>
  <c r="J153" i="13"/>
  <c r="U1361" i="13"/>
  <c r="J307" i="13"/>
  <c r="O978" i="13"/>
  <c r="O972" i="18"/>
  <c r="R1298" i="16"/>
  <c r="S849" i="18"/>
  <c r="M974" i="18"/>
  <c r="M154" i="18"/>
  <c r="M1298" i="13"/>
  <c r="Q849" i="18"/>
  <c r="U156" i="15"/>
  <c r="W156" i="15" s="1"/>
  <c r="U973" i="15"/>
  <c r="W973" i="15" s="1"/>
  <c r="U726" i="15"/>
  <c r="W726" i="15" s="1"/>
  <c r="M1298" i="15"/>
  <c r="M731" i="15"/>
  <c r="M1320" i="15" s="1"/>
  <c r="R725" i="18"/>
  <c r="R731" i="13"/>
  <c r="R1320" i="13" s="1"/>
  <c r="R1298" i="13"/>
  <c r="R154" i="18"/>
  <c r="K888" i="18"/>
  <c r="K890" i="13"/>
  <c r="K1331" i="13" s="1"/>
  <c r="K972" i="18"/>
  <c r="K978" i="13"/>
  <c r="K310" i="18"/>
  <c r="Q978" i="16"/>
  <c r="P731" i="16"/>
  <c r="P1320" i="16" s="1"/>
  <c r="M731" i="16"/>
  <c r="M1320" i="16" s="1"/>
  <c r="L978" i="16"/>
  <c r="U975" i="16"/>
  <c r="W975" i="16" s="1"/>
  <c r="U1028" i="16"/>
  <c r="W1028" i="16" s="1"/>
  <c r="U726" i="16"/>
  <c r="W726" i="16" s="1"/>
  <c r="O687" i="16"/>
  <c r="O692" i="16" s="1"/>
  <c r="O1318" i="16" s="1"/>
  <c r="O850" i="16"/>
  <c r="U156" i="13"/>
  <c r="X156" i="13" s="1"/>
  <c r="J156" i="18"/>
  <c r="J1030" i="18"/>
  <c r="U1030" i="13"/>
  <c r="X1030" i="13" s="1"/>
  <c r="U866" i="13"/>
  <c r="X866" i="13" s="1"/>
  <c r="J866" i="18"/>
  <c r="O731" i="13"/>
  <c r="O1320" i="13" s="1"/>
  <c r="O725" i="18"/>
  <c r="O890" i="13"/>
  <c r="O1331" i="13" s="1"/>
  <c r="O888" i="18"/>
  <c r="K978" i="16"/>
  <c r="Q850" i="15"/>
  <c r="Q850" i="18" s="1"/>
  <c r="Q1208" i="15"/>
  <c r="Q1208" i="18" s="1"/>
  <c r="Q687" i="15"/>
  <c r="S703" i="18"/>
  <c r="M973" i="18"/>
  <c r="M888" i="18"/>
  <c r="M890" i="13"/>
  <c r="M1331" i="13" s="1"/>
  <c r="Q978" i="13"/>
  <c r="Q972" i="18"/>
  <c r="U310" i="15"/>
  <c r="W310" i="15" s="1"/>
  <c r="U1028" i="15"/>
  <c r="W1028" i="15" s="1"/>
  <c r="N890" i="16"/>
  <c r="N1331" i="16" s="1"/>
  <c r="R308" i="18"/>
  <c r="R156" i="18"/>
  <c r="R978" i="13"/>
  <c r="R972" i="18"/>
  <c r="K976" i="18"/>
  <c r="K308" i="18"/>
  <c r="K731" i="13"/>
  <c r="K1320" i="13" s="1"/>
  <c r="K725" i="18"/>
  <c r="P978" i="16"/>
  <c r="M1298" i="16"/>
  <c r="O687" i="13"/>
  <c r="O850" i="13"/>
  <c r="O978" i="16"/>
  <c r="U308" i="16"/>
  <c r="W308" i="16" s="1"/>
  <c r="U889" i="16"/>
  <c r="W889" i="16" s="1"/>
  <c r="J1028" i="18"/>
  <c r="U1028" i="13"/>
  <c r="X1028" i="13" s="1"/>
  <c r="U154" i="13"/>
  <c r="X154" i="13" s="1"/>
  <c r="J1298" i="13"/>
  <c r="J154" i="18"/>
  <c r="S731" i="13"/>
  <c r="S1320" i="13" s="1"/>
  <c r="S725" i="18"/>
  <c r="U849" i="13"/>
  <c r="X849" i="13" s="1"/>
  <c r="J849" i="18"/>
  <c r="O1028" i="18"/>
  <c r="O974" i="18"/>
  <c r="M1028" i="18"/>
  <c r="J731" i="15"/>
  <c r="U725" i="15"/>
  <c r="W725" i="15" s="1"/>
  <c r="J1298" i="15"/>
  <c r="U154" i="15"/>
  <c r="W154" i="15" s="1"/>
  <c r="R849" i="18"/>
  <c r="R890" i="13"/>
  <c r="R1331" i="13" s="1"/>
  <c r="R888" i="18"/>
  <c r="R1028" i="18"/>
  <c r="K889" i="18"/>
  <c r="K973" i="18"/>
  <c r="L850" i="18"/>
  <c r="M978" i="16"/>
  <c r="L731" i="16"/>
  <c r="L1320" i="16" s="1"/>
  <c r="O1298" i="16"/>
  <c r="U974" i="16"/>
  <c r="W974" i="16" s="1"/>
  <c r="U866" i="16"/>
  <c r="W866" i="16" s="1"/>
  <c r="N154" i="18"/>
  <c r="Q692" i="16"/>
  <c r="Q1318" i="16" s="1"/>
  <c r="J703" i="18"/>
  <c r="U703" i="13"/>
  <c r="X703" i="13" s="1"/>
  <c r="J890" i="13"/>
  <c r="U888" i="13"/>
  <c r="X888" i="13" s="1"/>
  <c r="J888" i="18"/>
  <c r="U1207" i="18" l="1"/>
  <c r="U1219" i="18"/>
  <c r="U1218" i="18"/>
  <c r="Q307" i="18"/>
  <c r="P731" i="18"/>
  <c r="U307" i="16"/>
  <c r="W307" i="16" s="1"/>
  <c r="L307" i="18"/>
  <c r="O890" i="18"/>
  <c r="L890" i="18"/>
  <c r="S731" i="18"/>
  <c r="P978" i="18"/>
  <c r="P890" i="18"/>
  <c r="Q687" i="18"/>
  <c r="L687" i="18"/>
  <c r="N890" i="18"/>
  <c r="Q890" i="18"/>
  <c r="U153" i="15"/>
  <c r="W153" i="15" s="1"/>
  <c r="J1297" i="16"/>
  <c r="U1297" i="16" s="1"/>
  <c r="M731" i="18"/>
  <c r="K153" i="18"/>
  <c r="K1297" i="15"/>
  <c r="L731" i="18"/>
  <c r="U153" i="16"/>
  <c r="W153" i="16" s="1"/>
  <c r="L692" i="16"/>
  <c r="L1318" i="16" s="1"/>
  <c r="S890" i="18"/>
  <c r="O731" i="18"/>
  <c r="Q731" i="18"/>
  <c r="R890" i="18"/>
  <c r="O850" i="18"/>
  <c r="U307" i="15"/>
  <c r="W307" i="15" s="1"/>
  <c r="S978" i="18"/>
  <c r="N978" i="18"/>
  <c r="M850" i="18"/>
  <c r="O687" i="18"/>
  <c r="P687" i="18"/>
  <c r="N687" i="18"/>
  <c r="R731" i="18"/>
  <c r="Q978" i="18"/>
  <c r="M890" i="18"/>
  <c r="U703" i="18"/>
  <c r="X703" i="18" s="1"/>
  <c r="K731" i="18"/>
  <c r="U1030" i="18"/>
  <c r="X1030" i="18" s="1"/>
  <c r="R978" i="18"/>
  <c r="K687" i="18"/>
  <c r="N731" i="18"/>
  <c r="M687" i="18"/>
  <c r="O978" i="18"/>
  <c r="U889" i="18"/>
  <c r="X889" i="18" s="1"/>
  <c r="U850" i="16"/>
  <c r="W850" i="16" s="1"/>
  <c r="U1298" i="13"/>
  <c r="O1405" i="13" s="1"/>
  <c r="P850" i="18"/>
  <c r="U978" i="13"/>
  <c r="X978" i="13" s="1"/>
  <c r="U687" i="16"/>
  <c r="W687" i="16" s="1"/>
  <c r="U849" i="18"/>
  <c r="X849" i="18" s="1"/>
  <c r="U974" i="18"/>
  <c r="X974" i="18" s="1"/>
  <c r="U310" i="18"/>
  <c r="X310" i="18" s="1"/>
  <c r="U731" i="16"/>
  <c r="W731" i="16" s="1"/>
  <c r="J1320" i="16"/>
  <c r="U866" i="18"/>
  <c r="X866" i="18" s="1"/>
  <c r="U307" i="13"/>
  <c r="X307" i="13" s="1"/>
  <c r="J307" i="18"/>
  <c r="J1320" i="13"/>
  <c r="U731" i="13"/>
  <c r="X731" i="13" s="1"/>
  <c r="J850" i="18"/>
  <c r="U850" i="13"/>
  <c r="X850" i="13" s="1"/>
  <c r="M978" i="18"/>
  <c r="U687" i="15"/>
  <c r="W687" i="15" s="1"/>
  <c r="J1320" i="15"/>
  <c r="U731" i="15"/>
  <c r="W731" i="15" s="1"/>
  <c r="U156" i="18"/>
  <c r="X156" i="18" s="1"/>
  <c r="J731" i="18"/>
  <c r="U725" i="18"/>
  <c r="X725" i="18" s="1"/>
  <c r="J687" i="18"/>
  <c r="U687" i="13"/>
  <c r="X687" i="13" s="1"/>
  <c r="U1298" i="16"/>
  <c r="J1405" i="16" s="1"/>
  <c r="J1331" i="15"/>
  <c r="U1331" i="15" s="1"/>
  <c r="M1438" i="15" s="1"/>
  <c r="U890" i="15"/>
  <c r="W890" i="15" s="1"/>
  <c r="U850" i="15"/>
  <c r="W850" i="15" s="1"/>
  <c r="L978" i="18"/>
  <c r="U976" i="18"/>
  <c r="X976" i="18" s="1"/>
  <c r="U890" i="16"/>
  <c r="W890" i="16" s="1"/>
  <c r="J1331" i="16"/>
  <c r="U1331" i="16" s="1"/>
  <c r="R1438" i="16" s="1"/>
  <c r="K978" i="18"/>
  <c r="J1297" i="13"/>
  <c r="U1297" i="13" s="1"/>
  <c r="L1404" i="13" s="1"/>
  <c r="L1027" i="13" s="1"/>
  <c r="U153" i="13"/>
  <c r="X153" i="13" s="1"/>
  <c r="J153" i="18"/>
  <c r="U308" i="18"/>
  <c r="X308" i="18" s="1"/>
  <c r="J1208" i="18"/>
  <c r="U1208" i="15"/>
  <c r="W1208" i="15" s="1"/>
  <c r="U726" i="18"/>
  <c r="X726" i="18" s="1"/>
  <c r="J1318" i="16"/>
  <c r="U978" i="16"/>
  <c r="W978" i="16" s="1"/>
  <c r="L1297" i="15"/>
  <c r="U978" i="15"/>
  <c r="W978" i="15" s="1"/>
  <c r="L153" i="18"/>
  <c r="J1331" i="13"/>
  <c r="U1331" i="13" s="1"/>
  <c r="R1438" i="13" s="1"/>
  <c r="R894" i="13" s="1"/>
  <c r="U890" i="13"/>
  <c r="X890" i="13" s="1"/>
  <c r="U1028" i="18"/>
  <c r="X1028" i="18" s="1"/>
  <c r="J890" i="18"/>
  <c r="U888" i="18"/>
  <c r="X888" i="18" s="1"/>
  <c r="U1298" i="15"/>
  <c r="U154" i="18"/>
  <c r="X154" i="18" s="1"/>
  <c r="K890" i="18"/>
  <c r="U973" i="18"/>
  <c r="X973" i="18" s="1"/>
  <c r="U972" i="18"/>
  <c r="X972" i="18" s="1"/>
  <c r="J978" i="18"/>
  <c r="U975" i="18"/>
  <c r="X975" i="18" s="1"/>
  <c r="U307" i="18" l="1"/>
  <c r="X307" i="18" s="1"/>
  <c r="U1297" i="15"/>
  <c r="J1404" i="15" s="1"/>
  <c r="U692" i="16"/>
  <c r="W692" i="16" s="1"/>
  <c r="M1405" i="13"/>
  <c r="P1405" i="16"/>
  <c r="O1405" i="16"/>
  <c r="O545" i="16" s="1"/>
  <c r="R1405" i="16"/>
  <c r="S1405" i="13"/>
  <c r="K1405" i="13"/>
  <c r="U687" i="18"/>
  <c r="X687" i="18" s="1"/>
  <c r="U731" i="18"/>
  <c r="X731" i="18" s="1"/>
  <c r="R1405" i="13"/>
  <c r="Q1405" i="13"/>
  <c r="L1405" i="13"/>
  <c r="K1404" i="13"/>
  <c r="K1027" i="13" s="1"/>
  <c r="U153" i="18"/>
  <c r="X153" i="18" s="1"/>
  <c r="Q1404" i="13"/>
  <c r="Q1027" i="13" s="1"/>
  <c r="M1405" i="16"/>
  <c r="M892" i="15"/>
  <c r="M894" i="15"/>
  <c r="J545" i="16"/>
  <c r="N1405" i="15"/>
  <c r="K1405" i="15"/>
  <c r="L1405" i="15"/>
  <c r="P1405" i="15"/>
  <c r="R1405" i="15"/>
  <c r="O1405" i="15"/>
  <c r="Q1405" i="15"/>
  <c r="J1438" i="13"/>
  <c r="P1438" i="13"/>
  <c r="P894" i="13" s="1"/>
  <c r="N1438" i="13"/>
  <c r="N894" i="13" s="1"/>
  <c r="J1404" i="16"/>
  <c r="P1404" i="16"/>
  <c r="P1027" i="16" s="1"/>
  <c r="M1404" i="16"/>
  <c r="M1027" i="16" s="1"/>
  <c r="R1404" i="16"/>
  <c r="R1027" i="16" s="1"/>
  <c r="S1404" i="16"/>
  <c r="S1027" i="16" s="1"/>
  <c r="O1404" i="16"/>
  <c r="O1027" i="16" s="1"/>
  <c r="N1404" i="16"/>
  <c r="N1027" i="16" s="1"/>
  <c r="K1404" i="16"/>
  <c r="K1027" i="16" s="1"/>
  <c r="J1438" i="15"/>
  <c r="O1438" i="15"/>
  <c r="P1438" i="15"/>
  <c r="R1438" i="15"/>
  <c r="K1438" i="15"/>
  <c r="S1438" i="15"/>
  <c r="L1438" i="15"/>
  <c r="U890" i="18"/>
  <c r="U1318" i="16"/>
  <c r="Q1438" i="13"/>
  <c r="Q894" i="13" s="1"/>
  <c r="J1438" i="16"/>
  <c r="S1438" i="16"/>
  <c r="P1438" i="16"/>
  <c r="M1438" i="16"/>
  <c r="L1438" i="16"/>
  <c r="Q1438" i="16"/>
  <c r="O1438" i="16"/>
  <c r="K1438" i="16"/>
  <c r="N1438" i="16"/>
  <c r="N1438" i="15"/>
  <c r="L1438" i="13"/>
  <c r="L894" i="13" s="1"/>
  <c r="Q1438" i="15"/>
  <c r="N1405" i="16"/>
  <c r="S1405" i="16"/>
  <c r="L1405" i="16"/>
  <c r="K1405" i="16"/>
  <c r="Q1405" i="16"/>
  <c r="U1320" i="15"/>
  <c r="J1427" i="15" s="1"/>
  <c r="U850" i="18"/>
  <c r="X850" i="18" s="1"/>
  <c r="L1404" i="16"/>
  <c r="L1027" i="16" s="1"/>
  <c r="O1438" i="13"/>
  <c r="O894" i="13" s="1"/>
  <c r="U978" i="18"/>
  <c r="Q1404" i="16"/>
  <c r="Q1027" i="16" s="1"/>
  <c r="M1405" i="15"/>
  <c r="O545" i="13"/>
  <c r="J1405" i="13"/>
  <c r="P1405" i="13"/>
  <c r="N1405" i="13"/>
  <c r="R892" i="16"/>
  <c r="R894" i="16"/>
  <c r="U1320" i="13"/>
  <c r="J1427" i="13" s="1"/>
  <c r="M1438" i="13"/>
  <c r="M894" i="13" s="1"/>
  <c r="S1405" i="15"/>
  <c r="S1438" i="13"/>
  <c r="S894" i="13" s="1"/>
  <c r="K1438" i="13"/>
  <c r="K894" i="13" s="1"/>
  <c r="J1405" i="15"/>
  <c r="U1208" i="18"/>
  <c r="X1208" i="18" s="1"/>
  <c r="J1404" i="13"/>
  <c r="O1404" i="13"/>
  <c r="O1027" i="13" s="1"/>
  <c r="M1404" i="13"/>
  <c r="M1027" i="13" s="1"/>
  <c r="R1404" i="13"/>
  <c r="R1027" i="13" s="1"/>
  <c r="S1404" i="13"/>
  <c r="S1027" i="13" s="1"/>
  <c r="N1404" i="13"/>
  <c r="N1027" i="13" s="1"/>
  <c r="P1404" i="13"/>
  <c r="P1027" i="13" s="1"/>
  <c r="U1320" i="16"/>
  <c r="J1427" i="16" s="1"/>
  <c r="Q1404" i="15" l="1"/>
  <c r="Q1027" i="15" s="1"/>
  <c r="Q1027" i="18" s="1"/>
  <c r="S1404" i="15"/>
  <c r="S1027" i="15" s="1"/>
  <c r="S1027" i="18" s="1"/>
  <c r="P1404" i="15"/>
  <c r="P1027" i="15" s="1"/>
  <c r="P1027" i="18" s="1"/>
  <c r="O1404" i="15"/>
  <c r="O1027" i="15" s="1"/>
  <c r="O1027" i="18" s="1"/>
  <c r="R1404" i="15"/>
  <c r="R1027" i="15" s="1"/>
  <c r="R1027" i="18" s="1"/>
  <c r="N1404" i="15"/>
  <c r="N1027" i="15" s="1"/>
  <c r="N1027" i="18" s="1"/>
  <c r="L1404" i="15"/>
  <c r="L1027" i="15" s="1"/>
  <c r="L1027" i="18" s="1"/>
  <c r="M1404" i="15"/>
  <c r="M1027" i="15" s="1"/>
  <c r="M1027" i="18" s="1"/>
  <c r="K1404" i="15"/>
  <c r="K1027" i="15" s="1"/>
  <c r="K1027" i="18" s="1"/>
  <c r="M545" i="13"/>
  <c r="P545" i="16"/>
  <c r="M545" i="16"/>
  <c r="W731" i="18"/>
  <c r="Q545" i="13"/>
  <c r="R545" i="16"/>
  <c r="R545" i="13"/>
  <c r="S545" i="13"/>
  <c r="K545" i="13"/>
  <c r="L545" i="13"/>
  <c r="J724" i="16"/>
  <c r="J728" i="16"/>
  <c r="J724" i="13"/>
  <c r="J728" i="13"/>
  <c r="J1027" i="13"/>
  <c r="U1404" i="13"/>
  <c r="P545" i="13"/>
  <c r="Q545" i="16"/>
  <c r="Q894" i="16"/>
  <c r="Q892" i="16"/>
  <c r="S1425" i="16"/>
  <c r="R1425" i="16"/>
  <c r="O1425" i="16"/>
  <c r="M1425" i="16"/>
  <c r="P1425" i="16"/>
  <c r="K1425" i="16"/>
  <c r="N1425" i="16"/>
  <c r="L1425" i="16"/>
  <c r="R894" i="15"/>
  <c r="R894" i="18" s="1"/>
  <c r="R892" i="15"/>
  <c r="O847" i="15"/>
  <c r="O847" i="18" s="1"/>
  <c r="O699" i="15"/>
  <c r="O699" i="18" s="1"/>
  <c r="O683" i="15"/>
  <c r="O700" i="15"/>
  <c r="O700" i="18" s="1"/>
  <c r="O684" i="15"/>
  <c r="O684" i="18" s="1"/>
  <c r="O545" i="15"/>
  <c r="O545" i="18" s="1"/>
  <c r="O864" i="15"/>
  <c r="O864" i="18" s="1"/>
  <c r="O701" i="15"/>
  <c r="O701" i="18" s="1"/>
  <c r="O846" i="15"/>
  <c r="O846" i="18" s="1"/>
  <c r="O862" i="15"/>
  <c r="O862" i="18" s="1"/>
  <c r="O863" i="15"/>
  <c r="O863" i="18" s="1"/>
  <c r="S699" i="15"/>
  <c r="S699" i="18" s="1"/>
  <c r="S683" i="15"/>
  <c r="S684" i="15"/>
  <c r="S684" i="18" s="1"/>
  <c r="S863" i="15"/>
  <c r="S863" i="18" s="1"/>
  <c r="S701" i="15"/>
  <c r="S701" i="18" s="1"/>
  <c r="S864" i="15"/>
  <c r="S864" i="18" s="1"/>
  <c r="S700" i="15"/>
  <c r="S700" i="18" s="1"/>
  <c r="S846" i="15"/>
  <c r="S846" i="18" s="1"/>
  <c r="S545" i="15"/>
  <c r="S862" i="15"/>
  <c r="S862" i="18" s="1"/>
  <c r="S847" i="15"/>
  <c r="S847" i="18" s="1"/>
  <c r="J545" i="13"/>
  <c r="U1405" i="13"/>
  <c r="L892" i="16"/>
  <c r="L894" i="16"/>
  <c r="R863" i="15"/>
  <c r="R863" i="18" s="1"/>
  <c r="R545" i="15"/>
  <c r="R700" i="15"/>
  <c r="R700" i="18" s="1"/>
  <c r="R864" i="15"/>
  <c r="R864" i="18" s="1"/>
  <c r="R699" i="15"/>
  <c r="R699" i="18" s="1"/>
  <c r="R684" i="15"/>
  <c r="R684" i="18" s="1"/>
  <c r="R862" i="15"/>
  <c r="R862" i="18" s="1"/>
  <c r="R847" i="15"/>
  <c r="R847" i="18" s="1"/>
  <c r="R846" i="15"/>
  <c r="R846" i="18" s="1"/>
  <c r="R683" i="15"/>
  <c r="R701" i="15"/>
  <c r="R701" i="18" s="1"/>
  <c r="M862" i="15"/>
  <c r="M862" i="18" s="1"/>
  <c r="M863" i="15"/>
  <c r="M863" i="18" s="1"/>
  <c r="M699" i="15"/>
  <c r="M699" i="18" s="1"/>
  <c r="M545" i="15"/>
  <c r="M684" i="15"/>
  <c r="M684" i="18" s="1"/>
  <c r="M700" i="15"/>
  <c r="M700" i="18" s="1"/>
  <c r="M864" i="15"/>
  <c r="M864" i="18" s="1"/>
  <c r="M683" i="15"/>
  <c r="M847" i="15"/>
  <c r="M847" i="18" s="1"/>
  <c r="M701" i="15"/>
  <c r="M701" i="18" s="1"/>
  <c r="M846" i="15"/>
  <c r="M846" i="18" s="1"/>
  <c r="X978" i="18"/>
  <c r="W978" i="18"/>
  <c r="L545" i="16"/>
  <c r="N892" i="15"/>
  <c r="N894" i="15"/>
  <c r="M894" i="16"/>
  <c r="M894" i="18" s="1"/>
  <c r="M892" i="16"/>
  <c r="M892" i="18" s="1"/>
  <c r="O892" i="15"/>
  <c r="O894" i="15"/>
  <c r="P683" i="15"/>
  <c r="P862" i="15"/>
  <c r="P862" i="18" s="1"/>
  <c r="P847" i="15"/>
  <c r="P847" i="18" s="1"/>
  <c r="P701" i="15"/>
  <c r="P701" i="18" s="1"/>
  <c r="P699" i="15"/>
  <c r="P699" i="18" s="1"/>
  <c r="P700" i="15"/>
  <c r="P700" i="18" s="1"/>
  <c r="P864" i="15"/>
  <c r="P864" i="18" s="1"/>
  <c r="P863" i="15"/>
  <c r="P863" i="18" s="1"/>
  <c r="P545" i="15"/>
  <c r="P684" i="15"/>
  <c r="P684" i="18" s="1"/>
  <c r="P846" i="15"/>
  <c r="P846" i="18" s="1"/>
  <c r="K545" i="16"/>
  <c r="P894" i="15"/>
  <c r="P892" i="15"/>
  <c r="J864" i="15"/>
  <c r="J701" i="15"/>
  <c r="J863" i="15"/>
  <c r="J545" i="15"/>
  <c r="J700" i="15"/>
  <c r="J862" i="15"/>
  <c r="J846" i="15"/>
  <c r="J684" i="15"/>
  <c r="U1405" i="15"/>
  <c r="J683" i="15"/>
  <c r="J699" i="15"/>
  <c r="J847" i="15"/>
  <c r="S545" i="16"/>
  <c r="Q892" i="15"/>
  <c r="Q894" i="15"/>
  <c r="P892" i="16"/>
  <c r="P894" i="16"/>
  <c r="J892" i="15"/>
  <c r="J894" i="15"/>
  <c r="U1438" i="15"/>
  <c r="J1027" i="16"/>
  <c r="U1027" i="16" s="1"/>
  <c r="W1027" i="16" s="1"/>
  <c r="U1404" i="16"/>
  <c r="L864" i="15"/>
  <c r="L864" i="18" s="1"/>
  <c r="L863" i="15"/>
  <c r="L863" i="18" s="1"/>
  <c r="L684" i="15"/>
  <c r="L684" i="18" s="1"/>
  <c r="L545" i="15"/>
  <c r="L846" i="15"/>
  <c r="L846" i="18" s="1"/>
  <c r="L701" i="15"/>
  <c r="L701" i="18" s="1"/>
  <c r="L862" i="15"/>
  <c r="L862" i="18" s="1"/>
  <c r="L700" i="15"/>
  <c r="L700" i="18" s="1"/>
  <c r="L699" i="15"/>
  <c r="L699" i="18" s="1"/>
  <c r="L683" i="15"/>
  <c r="L847" i="15"/>
  <c r="L847" i="18" s="1"/>
  <c r="X890" i="18"/>
  <c r="W890" i="18"/>
  <c r="N545" i="16"/>
  <c r="S892" i="16"/>
  <c r="S894" i="16"/>
  <c r="K846" i="15"/>
  <c r="K846" i="18" s="1"/>
  <c r="K862" i="15"/>
  <c r="K862" i="18" s="1"/>
  <c r="K684" i="15"/>
  <c r="K684" i="18" s="1"/>
  <c r="K863" i="15"/>
  <c r="K863" i="18" s="1"/>
  <c r="K701" i="15"/>
  <c r="K701" i="18" s="1"/>
  <c r="K545" i="15"/>
  <c r="K700" i="15"/>
  <c r="K700" i="18" s="1"/>
  <c r="K847" i="15"/>
  <c r="K847" i="18" s="1"/>
  <c r="K699" i="15"/>
  <c r="K699" i="18" s="1"/>
  <c r="K683" i="15"/>
  <c r="K864" i="15"/>
  <c r="K864" i="18" s="1"/>
  <c r="J1027" i="15"/>
  <c r="U1405" i="16"/>
  <c r="S1427" i="13"/>
  <c r="P1427" i="13"/>
  <c r="N1427" i="13"/>
  <c r="Q1427" i="13"/>
  <c r="M1427" i="13"/>
  <c r="O1427" i="13"/>
  <c r="L1427" i="13"/>
  <c r="K1427" i="13"/>
  <c r="R1427" i="13"/>
  <c r="N894" i="16"/>
  <c r="N892" i="16"/>
  <c r="J892" i="16"/>
  <c r="J894" i="16"/>
  <c r="U1438" i="16"/>
  <c r="L894" i="15"/>
  <c r="L892" i="15"/>
  <c r="N862" i="15"/>
  <c r="N862" i="18" s="1"/>
  <c r="N683" i="15"/>
  <c r="N684" i="15"/>
  <c r="N684" i="18" s="1"/>
  <c r="N846" i="15"/>
  <c r="N846" i="18" s="1"/>
  <c r="N700" i="15"/>
  <c r="N700" i="18" s="1"/>
  <c r="N545" i="15"/>
  <c r="N699" i="15"/>
  <c r="N699" i="18" s="1"/>
  <c r="N864" i="15"/>
  <c r="N864" i="18" s="1"/>
  <c r="N863" i="15"/>
  <c r="N863" i="18" s="1"/>
  <c r="N701" i="15"/>
  <c r="N701" i="18" s="1"/>
  <c r="N847" i="15"/>
  <c r="N847" i="18" s="1"/>
  <c r="J728" i="15"/>
  <c r="J724" i="15"/>
  <c r="K892" i="16"/>
  <c r="K894" i="16"/>
  <c r="S892" i="15"/>
  <c r="S894" i="15"/>
  <c r="J894" i="13"/>
  <c r="U1438" i="13"/>
  <c r="O1427" i="16"/>
  <c r="N1427" i="16"/>
  <c r="S1427" i="16"/>
  <c r="K1427" i="16"/>
  <c r="Q1427" i="16"/>
  <c r="R1427" i="16"/>
  <c r="M1427" i="16"/>
  <c r="L1427" i="16"/>
  <c r="P1427" i="16"/>
  <c r="N545" i="13"/>
  <c r="P1427" i="15"/>
  <c r="R1427" i="15"/>
  <c r="N1427" i="15"/>
  <c r="O1427" i="15"/>
  <c r="Q1427" i="15"/>
  <c r="K1427" i="15"/>
  <c r="L1427" i="15"/>
  <c r="S1427" i="15"/>
  <c r="M1427" i="15"/>
  <c r="O892" i="16"/>
  <c r="O894" i="16"/>
  <c r="J1425" i="16"/>
  <c r="K894" i="15"/>
  <c r="K892" i="15"/>
  <c r="Q699" i="15"/>
  <c r="Q699" i="18" s="1"/>
  <c r="Q847" i="15"/>
  <c r="Q847" i="18" s="1"/>
  <c r="Q863" i="15"/>
  <c r="Q863" i="18" s="1"/>
  <c r="Q683" i="15"/>
  <c r="Q864" i="15"/>
  <c r="Q864" i="18" s="1"/>
  <c r="Q862" i="15"/>
  <c r="Q862" i="18" s="1"/>
  <c r="Q700" i="15"/>
  <c r="Q700" i="18" s="1"/>
  <c r="Q545" i="15"/>
  <c r="Q846" i="15"/>
  <c r="Q846" i="18" s="1"/>
  <c r="Q684" i="15"/>
  <c r="Q684" i="18" s="1"/>
  <c r="Q701" i="15"/>
  <c r="Q701" i="18" s="1"/>
  <c r="U1404" i="15" l="1"/>
  <c r="U1027" i="15"/>
  <c r="W1027" i="15" s="1"/>
  <c r="M545" i="18"/>
  <c r="R545" i="18"/>
  <c r="O894" i="18"/>
  <c r="L545" i="18"/>
  <c r="P894" i="18"/>
  <c r="K545" i="18"/>
  <c r="N545" i="18"/>
  <c r="Q545" i="18"/>
  <c r="U545" i="13"/>
  <c r="S545" i="18"/>
  <c r="U1427" i="13"/>
  <c r="K894" i="18"/>
  <c r="U545" i="16"/>
  <c r="W545" i="16" s="1"/>
  <c r="P545" i="18"/>
  <c r="U1427" i="15"/>
  <c r="U894" i="15"/>
  <c r="W894" i="15" s="1"/>
  <c r="P688" i="16"/>
  <c r="P851" i="16"/>
  <c r="P853" i="16" s="1"/>
  <c r="P1329" i="16" s="1"/>
  <c r="P680" i="16"/>
  <c r="U892" i="15"/>
  <c r="W892" i="15" s="1"/>
  <c r="S728" i="13"/>
  <c r="S724" i="13"/>
  <c r="J847" i="18"/>
  <c r="U847" i="18" s="1"/>
  <c r="X847" i="18" s="1"/>
  <c r="U847" i="15"/>
  <c r="W847" i="15" s="1"/>
  <c r="J701" i="18"/>
  <c r="U701" i="18" s="1"/>
  <c r="X701" i="18" s="1"/>
  <c r="U701" i="15"/>
  <c r="W701" i="15" s="1"/>
  <c r="O688" i="16"/>
  <c r="O851" i="16"/>
  <c r="O853" i="16" s="1"/>
  <c r="O1329" i="16" s="1"/>
  <c r="O680" i="16"/>
  <c r="M724" i="16"/>
  <c r="M728" i="16"/>
  <c r="J892" i="18"/>
  <c r="U892" i="16"/>
  <c r="W892" i="16" s="1"/>
  <c r="K728" i="13"/>
  <c r="K724" i="13"/>
  <c r="J699" i="18"/>
  <c r="U699" i="18" s="1"/>
  <c r="X699" i="18" s="1"/>
  <c r="U699" i="15"/>
  <c r="W699" i="15" s="1"/>
  <c r="J864" i="18"/>
  <c r="U864" i="18" s="1"/>
  <c r="X864" i="18" s="1"/>
  <c r="U864" i="15"/>
  <c r="W864" i="15" s="1"/>
  <c r="R683" i="18"/>
  <c r="R692" i="15"/>
  <c r="R1318" i="15" s="1"/>
  <c r="R892" i="18"/>
  <c r="R688" i="16"/>
  <c r="R851" i="16"/>
  <c r="R853" i="16" s="1"/>
  <c r="R1329" i="16" s="1"/>
  <c r="R680" i="16"/>
  <c r="J728" i="18"/>
  <c r="Q728" i="15"/>
  <c r="Q724" i="15"/>
  <c r="O728" i="16"/>
  <c r="O724" i="16"/>
  <c r="N692" i="15"/>
  <c r="N1318" i="15" s="1"/>
  <c r="N683" i="18"/>
  <c r="P728" i="13"/>
  <c r="P724" i="13"/>
  <c r="M683" i="18"/>
  <c r="M692" i="15"/>
  <c r="M1318" i="15" s="1"/>
  <c r="M680" i="16"/>
  <c r="M688" i="16"/>
  <c r="M851" i="16"/>
  <c r="M853" i="16" s="1"/>
  <c r="M1329" i="16" s="1"/>
  <c r="K892" i="18"/>
  <c r="U894" i="16"/>
  <c r="W894" i="16" s="1"/>
  <c r="J862" i="18"/>
  <c r="U862" i="18" s="1"/>
  <c r="X862" i="18" s="1"/>
  <c r="U862" i="15"/>
  <c r="W862" i="15" s="1"/>
  <c r="R728" i="15"/>
  <c r="R724" i="15"/>
  <c r="M728" i="15"/>
  <c r="M724" i="15"/>
  <c r="P724" i="15"/>
  <c r="P728" i="15"/>
  <c r="R724" i="16"/>
  <c r="R728" i="16"/>
  <c r="N892" i="18"/>
  <c r="L728" i="13"/>
  <c r="L724" i="13"/>
  <c r="Q892" i="18"/>
  <c r="J683" i="18"/>
  <c r="J692" i="15"/>
  <c r="U683" i="15"/>
  <c r="W683" i="15" s="1"/>
  <c r="J700" i="18"/>
  <c r="U700" i="18" s="1"/>
  <c r="X700" i="18" s="1"/>
  <c r="U700" i="15"/>
  <c r="W700" i="15" s="1"/>
  <c r="L894" i="18"/>
  <c r="S851" i="16"/>
  <c r="S853" i="16" s="1"/>
  <c r="S1329" i="16" s="1"/>
  <c r="S680" i="16"/>
  <c r="S688" i="16"/>
  <c r="J724" i="18"/>
  <c r="N728" i="16"/>
  <c r="N724" i="16"/>
  <c r="O724" i="15"/>
  <c r="O728" i="15"/>
  <c r="P724" i="16"/>
  <c r="P728" i="16"/>
  <c r="P892" i="18"/>
  <c r="L724" i="16"/>
  <c r="L728" i="16"/>
  <c r="R728" i="13"/>
  <c r="R724" i="13"/>
  <c r="S728" i="15"/>
  <c r="S724" i="15"/>
  <c r="J545" i="18"/>
  <c r="U545" i="15"/>
  <c r="W545" i="15" s="1"/>
  <c r="L680" i="16"/>
  <c r="L688" i="16"/>
  <c r="L851" i="16"/>
  <c r="L853" i="16" s="1"/>
  <c r="L1329" i="16" s="1"/>
  <c r="N724" i="13"/>
  <c r="N728" i="13"/>
  <c r="U894" i="13"/>
  <c r="X894" i="13" s="1"/>
  <c r="J894" i="18"/>
  <c r="J846" i="18"/>
  <c r="U846" i="15"/>
  <c r="W846" i="15" s="1"/>
  <c r="J688" i="16"/>
  <c r="J851" i="16"/>
  <c r="J680" i="16"/>
  <c r="U1425" i="16"/>
  <c r="L892" i="18"/>
  <c r="L683" i="18"/>
  <c r="L692" i="15"/>
  <c r="L1318" i="15" s="1"/>
  <c r="K724" i="16"/>
  <c r="K728" i="16"/>
  <c r="M724" i="13"/>
  <c r="M728" i="13"/>
  <c r="J863" i="18"/>
  <c r="U863" i="18" s="1"/>
  <c r="X863" i="18" s="1"/>
  <c r="U863" i="15"/>
  <c r="W863" i="15" s="1"/>
  <c r="S692" i="15"/>
  <c r="S1318" i="15" s="1"/>
  <c r="S683" i="18"/>
  <c r="N680" i="16"/>
  <c r="N851" i="16"/>
  <c r="N853" i="16" s="1"/>
  <c r="N1329" i="16" s="1"/>
  <c r="N688" i="16"/>
  <c r="Q894" i="18"/>
  <c r="Q683" i="18"/>
  <c r="Q692" i="15"/>
  <c r="Q1318" i="15" s="1"/>
  <c r="N728" i="15"/>
  <c r="N724" i="15"/>
  <c r="Q728" i="16"/>
  <c r="Q724" i="16"/>
  <c r="S892" i="18"/>
  <c r="N894" i="18"/>
  <c r="O724" i="13"/>
  <c r="O728" i="13"/>
  <c r="P683" i="18"/>
  <c r="P692" i="15"/>
  <c r="P1318" i="15" s="1"/>
  <c r="O683" i="18"/>
  <c r="O692" i="15"/>
  <c r="O1318" i="15" s="1"/>
  <c r="L724" i="15"/>
  <c r="L728" i="15"/>
  <c r="O892" i="18"/>
  <c r="K728" i="15"/>
  <c r="K724" i="15"/>
  <c r="S724" i="16"/>
  <c r="S728" i="16"/>
  <c r="Q724" i="13"/>
  <c r="Q728" i="13"/>
  <c r="K683" i="18"/>
  <c r="K692" i="15"/>
  <c r="K1318" i="15" s="1"/>
  <c r="S894" i="18"/>
  <c r="J684" i="18"/>
  <c r="U684" i="18" s="1"/>
  <c r="X684" i="18" s="1"/>
  <c r="U684" i="15"/>
  <c r="W684" i="15" s="1"/>
  <c r="K851" i="16"/>
  <c r="K853" i="16" s="1"/>
  <c r="K1329" i="16" s="1"/>
  <c r="K680" i="16"/>
  <c r="K688" i="16"/>
  <c r="U1027" i="13"/>
  <c r="X1027" i="13" s="1"/>
  <c r="J1027" i="18"/>
  <c r="U1427" i="16"/>
  <c r="U1027" i="18" l="1"/>
  <c r="X1027" i="18" s="1"/>
  <c r="O728" i="18"/>
  <c r="U545" i="18"/>
  <c r="X545" i="18" s="1"/>
  <c r="R729" i="16"/>
  <c r="R16" i="16" s="1"/>
  <c r="S729" i="16"/>
  <c r="S16" i="16" s="1"/>
  <c r="P728" i="18"/>
  <c r="U728" i="15"/>
  <c r="W728" i="15" s="1"/>
  <c r="U728" i="16"/>
  <c r="W728" i="16" s="1"/>
  <c r="U894" i="18"/>
  <c r="X894" i="18" s="1"/>
  <c r="P690" i="16"/>
  <c r="U724" i="16"/>
  <c r="W724" i="16" s="1"/>
  <c r="O690" i="16"/>
  <c r="R690" i="16"/>
  <c r="U724" i="15"/>
  <c r="W724" i="15" s="1"/>
  <c r="R729" i="15"/>
  <c r="J690" i="16"/>
  <c r="U680" i="16"/>
  <c r="W680" i="16" s="1"/>
  <c r="S690" i="16"/>
  <c r="L724" i="18"/>
  <c r="U851" i="16"/>
  <c r="W851" i="16" s="1"/>
  <c r="J853" i="16"/>
  <c r="L728" i="18"/>
  <c r="M690" i="16"/>
  <c r="U688" i="16"/>
  <c r="W688" i="16" s="1"/>
  <c r="J1318" i="15"/>
  <c r="U1318" i="15" s="1"/>
  <c r="J1425" i="15" s="1"/>
  <c r="U692" i="15"/>
  <c r="W692" i="15" s="1"/>
  <c r="U846" i="18"/>
  <c r="X846" i="18" s="1"/>
  <c r="K690" i="16"/>
  <c r="Q728" i="18"/>
  <c r="O724" i="18"/>
  <c r="M728" i="18"/>
  <c r="R729" i="13"/>
  <c r="R724" i="18"/>
  <c r="U683" i="18"/>
  <c r="X683" i="18" s="1"/>
  <c r="K724" i="18"/>
  <c r="S729" i="13"/>
  <c r="S724" i="18"/>
  <c r="N690" i="16"/>
  <c r="M724" i="18"/>
  <c r="N728" i="18"/>
  <c r="L690" i="16"/>
  <c r="R728" i="18"/>
  <c r="P724" i="18"/>
  <c r="U728" i="13"/>
  <c r="X728" i="13" s="1"/>
  <c r="S728" i="18"/>
  <c r="U892" i="18"/>
  <c r="Q724" i="18"/>
  <c r="K728" i="18"/>
  <c r="N724" i="18"/>
  <c r="S729" i="15"/>
  <c r="S16" i="15" s="1"/>
  <c r="U724" i="13"/>
  <c r="X724" i="13" s="1"/>
  <c r="O1425" i="15" l="1"/>
  <c r="O851" i="15" s="1"/>
  <c r="O853" i="15" s="1"/>
  <c r="O1329" i="15" s="1"/>
  <c r="L1425" i="15"/>
  <c r="L680" i="15" s="1"/>
  <c r="K1425" i="15"/>
  <c r="K688" i="15" s="1"/>
  <c r="U724" i="18"/>
  <c r="X724" i="18" s="1"/>
  <c r="U728" i="18"/>
  <c r="X728" i="18" s="1"/>
  <c r="J1216" i="15"/>
  <c r="U690" i="16"/>
  <c r="W690" i="16" s="1"/>
  <c r="X892" i="18"/>
  <c r="W892" i="18"/>
  <c r="S729" i="18"/>
  <c r="S16" i="18" s="1"/>
  <c r="P1425" i="15"/>
  <c r="S16" i="13"/>
  <c r="P36" i="1" s="1"/>
  <c r="R16" i="15"/>
  <c r="J851" i="15"/>
  <c r="J688" i="15"/>
  <c r="J680" i="15"/>
  <c r="S1425" i="15"/>
  <c r="R729" i="18"/>
  <c r="R16" i="18" s="1"/>
  <c r="M1425" i="15"/>
  <c r="N1425" i="15"/>
  <c r="U853" i="16"/>
  <c r="W853" i="16" s="1"/>
  <c r="J1329" i="16"/>
  <c r="R16" i="13"/>
  <c r="O36" i="1" s="1"/>
  <c r="R1425" i="15"/>
  <c r="Q1425" i="15"/>
  <c r="O680" i="15" l="1"/>
  <c r="O688" i="15"/>
  <c r="L688" i="15"/>
  <c r="L690" i="15" s="1"/>
  <c r="L851" i="15"/>
  <c r="L853" i="15" s="1"/>
  <c r="L1329" i="15" s="1"/>
  <c r="K851" i="15"/>
  <c r="K853" i="15" s="1"/>
  <c r="K1329" i="15" s="1"/>
  <c r="K680" i="15"/>
  <c r="K690" i="15" s="1"/>
  <c r="U1425" i="15"/>
  <c r="R688" i="15"/>
  <c r="R851" i="15"/>
  <c r="R853" i="15" s="1"/>
  <c r="R1329" i="15" s="1"/>
  <c r="R680" i="15"/>
  <c r="U1329" i="16"/>
  <c r="J1436" i="16" s="1"/>
  <c r="Q851" i="15"/>
  <c r="Q853" i="15" s="1"/>
  <c r="Q1329" i="15" s="1"/>
  <c r="Q688" i="15"/>
  <c r="Q680" i="15"/>
  <c r="J690" i="15"/>
  <c r="P688" i="15"/>
  <c r="P851" i="15"/>
  <c r="P853" i="15" s="1"/>
  <c r="P1329" i="15" s="1"/>
  <c r="P680" i="15"/>
  <c r="J1215" i="16"/>
  <c r="J1215" i="18" s="1"/>
  <c r="N851" i="15"/>
  <c r="N853" i="15" s="1"/>
  <c r="N1329" i="15" s="1"/>
  <c r="N688" i="15"/>
  <c r="N680" i="15"/>
  <c r="S680" i="15"/>
  <c r="S688" i="15"/>
  <c r="S851" i="15"/>
  <c r="S853" i="15" s="1"/>
  <c r="S1329" i="15" s="1"/>
  <c r="J853" i="15"/>
  <c r="M688" i="15"/>
  <c r="M851" i="15"/>
  <c r="M853" i="15" s="1"/>
  <c r="M1329" i="15" s="1"/>
  <c r="M680" i="15"/>
  <c r="O690" i="15" l="1"/>
  <c r="Q690" i="15"/>
  <c r="M690" i="15"/>
  <c r="U688" i="15"/>
  <c r="W688" i="15" s="1"/>
  <c r="N690" i="15"/>
  <c r="J855" i="16"/>
  <c r="U680" i="15"/>
  <c r="Q1436" i="16"/>
  <c r="Q855" i="16" s="1"/>
  <c r="Q857" i="16" s="1"/>
  <c r="K1436" i="16"/>
  <c r="K855" i="16" s="1"/>
  <c r="K857" i="16" s="1"/>
  <c r="P1436" i="16"/>
  <c r="P855" i="16" s="1"/>
  <c r="P857" i="16" s="1"/>
  <c r="L1436" i="16"/>
  <c r="L855" i="16" s="1"/>
  <c r="L857" i="16" s="1"/>
  <c r="M1436" i="16"/>
  <c r="M855" i="16" s="1"/>
  <c r="M857" i="16" s="1"/>
  <c r="O1436" i="16"/>
  <c r="O855" i="16" s="1"/>
  <c r="O857" i="16" s="1"/>
  <c r="R1436" i="16"/>
  <c r="R855" i="16" s="1"/>
  <c r="R857" i="16" s="1"/>
  <c r="S1436" i="16"/>
  <c r="S855" i="16" s="1"/>
  <c r="S857" i="16" s="1"/>
  <c r="N1436" i="16"/>
  <c r="N855" i="16" s="1"/>
  <c r="N857" i="16" s="1"/>
  <c r="P690" i="15"/>
  <c r="J1329" i="15"/>
  <c r="U1329" i="15" s="1"/>
  <c r="U853" i="15"/>
  <c r="W853" i="15" s="1"/>
  <c r="U851" i="15"/>
  <c r="W851" i="15" s="1"/>
  <c r="S690" i="15"/>
  <c r="R690" i="15"/>
  <c r="U690" i="15" l="1"/>
  <c r="W690" i="15" s="1"/>
  <c r="J1436" i="15"/>
  <c r="O1436" i="15"/>
  <c r="O855" i="15" s="1"/>
  <c r="O857" i="15" s="1"/>
  <c r="K1436" i="15"/>
  <c r="K855" i="15" s="1"/>
  <c r="K857" i="15" s="1"/>
  <c r="L1436" i="15"/>
  <c r="L855" i="15" s="1"/>
  <c r="L857" i="15" s="1"/>
  <c r="N1436" i="15"/>
  <c r="N855" i="15" s="1"/>
  <c r="N857" i="15" s="1"/>
  <c r="S1436" i="15"/>
  <c r="S855" i="15" s="1"/>
  <c r="S857" i="15" s="1"/>
  <c r="Q1436" i="15"/>
  <c r="Q855" i="15" s="1"/>
  <c r="Q857" i="15" s="1"/>
  <c r="J1205" i="15"/>
  <c r="M1436" i="15"/>
  <c r="M855" i="15" s="1"/>
  <c r="M857" i="15" s="1"/>
  <c r="R1436" i="15"/>
  <c r="R855" i="15" s="1"/>
  <c r="R857" i="15" s="1"/>
  <c r="U1436" i="16"/>
  <c r="P1436" i="15"/>
  <c r="P855" i="15" s="1"/>
  <c r="P857" i="15" s="1"/>
  <c r="U855" i="16"/>
  <c r="W855" i="16" s="1"/>
  <c r="J857" i="16"/>
  <c r="J855" i="15" l="1"/>
  <c r="U1436" i="15"/>
  <c r="U857" i="16"/>
  <c r="W857" i="16" s="1"/>
  <c r="U855" i="15" l="1"/>
  <c r="W855" i="15" s="1"/>
  <c r="J857" i="15"/>
  <c r="U857" i="15" l="1"/>
  <c r="W857" i="15" s="1"/>
  <c r="R497" i="15" l="1"/>
  <c r="R498" i="15"/>
  <c r="J497" i="15"/>
  <c r="J498" i="15"/>
  <c r="Q497" i="15"/>
  <c r="Q498" i="15"/>
  <c r="M497" i="15"/>
  <c r="M498" i="15"/>
  <c r="S498" i="15"/>
  <c r="S497" i="15"/>
  <c r="K497" i="15"/>
  <c r="K498" i="15"/>
  <c r="N497" i="15"/>
  <c r="N498" i="15"/>
  <c r="P498" i="15"/>
  <c r="P497" i="15"/>
  <c r="O498" i="15"/>
  <c r="O497" i="15"/>
  <c r="L497" i="15"/>
  <c r="L498" i="15"/>
  <c r="Q564" i="15"/>
  <c r="Q535" i="15"/>
  <c r="P535" i="15"/>
  <c r="P564" i="15"/>
  <c r="O535" i="15"/>
  <c r="O564" i="15"/>
  <c r="K564" i="15"/>
  <c r="K535" i="15"/>
  <c r="M535" i="15"/>
  <c r="M564" i="15"/>
  <c r="J564" i="15"/>
  <c r="J535" i="15"/>
  <c r="L564" i="15"/>
  <c r="L535" i="15"/>
  <c r="S535" i="15"/>
  <c r="S564" i="15"/>
  <c r="N535" i="15"/>
  <c r="N564" i="15"/>
  <c r="R564" i="15"/>
  <c r="R535" i="15"/>
  <c r="P499" i="15" l="1"/>
  <c r="P74" i="15" s="1"/>
  <c r="O499" i="15"/>
  <c r="O74" i="15" s="1"/>
  <c r="S499" i="15"/>
  <c r="S74" i="15" s="1"/>
  <c r="N499" i="15"/>
  <c r="N74" i="15" s="1"/>
  <c r="Q499" i="15"/>
  <c r="Q74" i="15" s="1"/>
  <c r="M499" i="15"/>
  <c r="M74" i="15" s="1"/>
  <c r="U498" i="15"/>
  <c r="L499" i="15"/>
  <c r="L74" i="15" s="1"/>
  <c r="K499" i="15"/>
  <c r="K74" i="15" s="1"/>
  <c r="U497" i="15"/>
  <c r="J499" i="15"/>
  <c r="J74" i="15" s="1"/>
  <c r="R499" i="15"/>
  <c r="R74" i="15" s="1"/>
  <c r="U564" i="15"/>
  <c r="W564" i="15" s="1"/>
  <c r="U535" i="15"/>
  <c r="W535" i="15" s="1"/>
  <c r="U499" i="15" l="1"/>
  <c r="W499" i="15" s="1"/>
  <c r="U74" i="15"/>
  <c r="W74" i="15" s="1"/>
  <c r="N535" i="16" l="1"/>
  <c r="M535" i="16"/>
  <c r="Q535" i="16"/>
  <c r="P535" i="16"/>
  <c r="J535" i="16"/>
  <c r="S535" i="16"/>
  <c r="R535" i="16"/>
  <c r="O535" i="16"/>
  <c r="K535" i="16"/>
  <c r="L535" i="16"/>
  <c r="U535" i="16" l="1"/>
  <c r="W535" i="16" s="1"/>
  <c r="J1205" i="13" l="1"/>
  <c r="K1205" i="13"/>
  <c r="P1205" i="13"/>
  <c r="N1205" i="13"/>
  <c r="L1205" i="13"/>
  <c r="Q1205" i="13"/>
  <c r="M1205" i="13"/>
  <c r="O1205" i="13"/>
  <c r="R1205" i="13"/>
  <c r="S1205" i="13"/>
  <c r="J686" i="13"/>
  <c r="J686" i="18" s="1"/>
  <c r="K686" i="13"/>
  <c r="K686" i="18" s="1"/>
  <c r="K692" i="18" s="1"/>
  <c r="L686" i="13"/>
  <c r="L692" i="13" s="1"/>
  <c r="L1318" i="13" s="1"/>
  <c r="M686" i="13"/>
  <c r="M686" i="18" s="1"/>
  <c r="M692" i="18" s="1"/>
  <c r="N686" i="13"/>
  <c r="N692" i="13" s="1"/>
  <c r="N1318" i="13" s="1"/>
  <c r="O686" i="13"/>
  <c r="O692" i="13" s="1"/>
  <c r="O1318" i="13" s="1"/>
  <c r="P686" i="13"/>
  <c r="P692" i="13" s="1"/>
  <c r="P1318" i="13" s="1"/>
  <c r="Q686" i="13"/>
  <c r="Q686" i="18" s="1"/>
  <c r="Q692" i="18" s="1"/>
  <c r="R686" i="13"/>
  <c r="R686" i="18" s="1"/>
  <c r="R692" i="18" s="1"/>
  <c r="S686" i="13"/>
  <c r="S686" i="18" s="1"/>
  <c r="S692" i="18" s="1"/>
  <c r="M692" i="13" l="1"/>
  <c r="M1318" i="13" s="1"/>
  <c r="K692" i="13"/>
  <c r="K1318" i="13" s="1"/>
  <c r="R692" i="13"/>
  <c r="R1318" i="13" s="1"/>
  <c r="N686" i="18"/>
  <c r="N692" i="18" s="1"/>
  <c r="Q692" i="13"/>
  <c r="Q1318" i="13" s="1"/>
  <c r="O686" i="18"/>
  <c r="O692" i="18" s="1"/>
  <c r="J692" i="13"/>
  <c r="J1318" i="13" s="1"/>
  <c r="P686" i="18"/>
  <c r="P692" i="18" s="1"/>
  <c r="S692" i="13"/>
  <c r="S1318" i="13" s="1"/>
  <c r="U686" i="13"/>
  <c r="X686" i="13" s="1"/>
  <c r="L686" i="18"/>
  <c r="L692" i="18" s="1"/>
  <c r="J692" i="18"/>
  <c r="U1205" i="13"/>
  <c r="X1205" i="13" s="1"/>
  <c r="U692" i="13" l="1"/>
  <c r="X692" i="13" s="1"/>
  <c r="U1318" i="13"/>
  <c r="L1425" i="13" s="1"/>
  <c r="L688" i="13" s="1"/>
  <c r="L688" i="18" s="1"/>
  <c r="U686" i="18"/>
  <c r="X686" i="18" s="1"/>
  <c r="U692" i="18"/>
  <c r="X692" i="18" s="1"/>
  <c r="L680" i="13" l="1"/>
  <c r="L690" i="13" s="1"/>
  <c r="L851" i="13"/>
  <c r="L851" i="18" s="1"/>
  <c r="L853" i="18" s="1"/>
  <c r="N1425" i="13"/>
  <c r="N851" i="13" s="1"/>
  <c r="N853" i="13" s="1"/>
  <c r="P1425" i="13"/>
  <c r="P688" i="13" s="1"/>
  <c r="P688" i="18" s="1"/>
  <c r="O1425" i="13"/>
  <c r="O680" i="13" s="1"/>
  <c r="O680" i="18" s="1"/>
  <c r="R1425" i="13"/>
  <c r="R688" i="13" s="1"/>
  <c r="R688" i="18" s="1"/>
  <c r="K1425" i="13"/>
  <c r="K851" i="13" s="1"/>
  <c r="Q1425" i="13"/>
  <c r="Q680" i="13" s="1"/>
  <c r="S1425" i="13"/>
  <c r="S851" i="13" s="1"/>
  <c r="S851" i="18" s="1"/>
  <c r="S853" i="18" s="1"/>
  <c r="J1425" i="13"/>
  <c r="M1425" i="13"/>
  <c r="M680" i="13" s="1"/>
  <c r="M680" i="18" s="1"/>
  <c r="W692" i="18"/>
  <c r="O688" i="13" l="1"/>
  <c r="O688" i="18" s="1"/>
  <c r="O690" i="18" s="1"/>
  <c r="R680" i="13"/>
  <c r="R690" i="13" s="1"/>
  <c r="N851" i="18"/>
  <c r="N853" i="18" s="1"/>
  <c r="N680" i="13"/>
  <c r="N680" i="18" s="1"/>
  <c r="N688" i="13"/>
  <c r="N688" i="18" s="1"/>
  <c r="O851" i="13"/>
  <c r="O851" i="18" s="1"/>
  <c r="O853" i="18" s="1"/>
  <c r="L680" i="18"/>
  <c r="L690" i="18" s="1"/>
  <c r="L853" i="13"/>
  <c r="L1329" i="13" s="1"/>
  <c r="K688" i="13"/>
  <c r="K688" i="18" s="1"/>
  <c r="K680" i="13"/>
  <c r="K680" i="18" s="1"/>
  <c r="P851" i="13"/>
  <c r="P851" i="18" s="1"/>
  <c r="P853" i="18" s="1"/>
  <c r="P680" i="13"/>
  <c r="P690" i="13" s="1"/>
  <c r="Q851" i="13"/>
  <c r="Q853" i="13" s="1"/>
  <c r="Q688" i="13"/>
  <c r="Q688" i="18" s="1"/>
  <c r="U1425" i="13"/>
  <c r="S853" i="13"/>
  <c r="S1329" i="13" s="1"/>
  <c r="J851" i="13"/>
  <c r="J680" i="13"/>
  <c r="J688" i="13"/>
  <c r="J688" i="18" s="1"/>
  <c r="R851" i="13"/>
  <c r="R851" i="18" s="1"/>
  <c r="R853" i="18" s="1"/>
  <c r="S680" i="13"/>
  <c r="S688" i="13"/>
  <c r="S688" i="18" s="1"/>
  <c r="M688" i="13"/>
  <c r="M851" i="13"/>
  <c r="N1329" i="13"/>
  <c r="K851" i="18"/>
  <c r="K853" i="18" s="1"/>
  <c r="K853" i="13"/>
  <c r="Q680" i="18"/>
  <c r="O690" i="13" l="1"/>
  <c r="N690" i="18"/>
  <c r="R680" i="18"/>
  <c r="R690" i="18" s="1"/>
  <c r="N690" i="13"/>
  <c r="P853" i="13"/>
  <c r="P1329" i="13" s="1"/>
  <c r="O853" i="13"/>
  <c r="O1329" i="13" s="1"/>
  <c r="K690" i="13"/>
  <c r="P680" i="18"/>
  <c r="P690" i="18" s="1"/>
  <c r="K690" i="18"/>
  <c r="Q690" i="13"/>
  <c r="Q690" i="18"/>
  <c r="Q851" i="18"/>
  <c r="Q853" i="18" s="1"/>
  <c r="U680" i="13"/>
  <c r="X680" i="13" s="1"/>
  <c r="J851" i="18"/>
  <c r="J853" i="18" s="1"/>
  <c r="J853" i="13"/>
  <c r="J1329" i="13" s="1"/>
  <c r="S690" i="13"/>
  <c r="J690" i="13"/>
  <c r="J680" i="18"/>
  <c r="J690" i="18" s="1"/>
  <c r="R853" i="13"/>
  <c r="R1329" i="13" s="1"/>
  <c r="S680" i="18"/>
  <c r="S690" i="18" s="1"/>
  <c r="U851" i="13"/>
  <c r="X851" i="13" s="1"/>
  <c r="M853" i="13"/>
  <c r="M1329" i="13" s="1"/>
  <c r="M851" i="18"/>
  <c r="M853" i="18" s="1"/>
  <c r="M688" i="18"/>
  <c r="M690" i="13"/>
  <c r="U688" i="13"/>
  <c r="X688" i="13" s="1"/>
  <c r="K1329" i="13"/>
  <c r="Q1329" i="13"/>
  <c r="U853" i="18" l="1"/>
  <c r="X853" i="18" s="1"/>
  <c r="U690" i="13"/>
  <c r="X690" i="13" s="1"/>
  <c r="U680" i="18"/>
  <c r="X680" i="18" s="1"/>
  <c r="U851" i="18"/>
  <c r="X851" i="18" s="1"/>
  <c r="U853" i="13"/>
  <c r="X853" i="13" s="1"/>
  <c r="M690" i="18"/>
  <c r="U690" i="18" s="1"/>
  <c r="X690" i="18" s="1"/>
  <c r="U688" i="18"/>
  <c r="X688" i="18" s="1"/>
  <c r="U1329" i="13"/>
  <c r="N1436" i="13" s="1"/>
  <c r="N855" i="13" s="1"/>
  <c r="W853" i="18" l="1"/>
  <c r="M1436" i="13"/>
  <c r="M855" i="13" s="1"/>
  <c r="M857" i="13" s="1"/>
  <c r="S1436" i="13"/>
  <c r="S855" i="13" s="1"/>
  <c r="S857" i="13" s="1"/>
  <c r="L1436" i="13"/>
  <c r="L855" i="13" s="1"/>
  <c r="L855" i="18" s="1"/>
  <c r="L857" i="18" s="1"/>
  <c r="J1436" i="13"/>
  <c r="J855" i="13" s="1"/>
  <c r="P1436" i="13"/>
  <c r="P855" i="13" s="1"/>
  <c r="P855" i="18" s="1"/>
  <c r="P857" i="18" s="1"/>
  <c r="O1436" i="13"/>
  <c r="O855" i="13" s="1"/>
  <c r="O855" i="18" s="1"/>
  <c r="O857" i="18" s="1"/>
  <c r="W690" i="18"/>
  <c r="R1436" i="13"/>
  <c r="R855" i="13" s="1"/>
  <c r="R855" i="18" s="1"/>
  <c r="R857" i="18" s="1"/>
  <c r="K1436" i="13"/>
  <c r="K855" i="13" s="1"/>
  <c r="K855" i="18" s="1"/>
  <c r="K857" i="18" s="1"/>
  <c r="Q1436" i="13"/>
  <c r="Q855" i="13" s="1"/>
  <c r="Q857" i="13" s="1"/>
  <c r="N855" i="18"/>
  <c r="N857" i="18" s="1"/>
  <c r="N857" i="13"/>
  <c r="M855" i="18" l="1"/>
  <c r="M857" i="18" s="1"/>
  <c r="S855" i="18"/>
  <c r="S857" i="18" s="1"/>
  <c r="P857" i="13"/>
  <c r="O857" i="13"/>
  <c r="L857" i="13"/>
  <c r="R857" i="13"/>
  <c r="K857" i="13"/>
  <c r="Q855" i="18"/>
  <c r="Q857" i="18" s="1"/>
  <c r="U1436" i="13"/>
  <c r="U855" i="13"/>
  <c r="X855" i="13" s="1"/>
  <c r="J855" i="18"/>
  <c r="J857" i="13"/>
  <c r="J1216" i="13"/>
  <c r="J1216" i="18" s="1"/>
  <c r="U857" i="13" l="1"/>
  <c r="X857" i="13" s="1"/>
  <c r="U855" i="18"/>
  <c r="J857" i="18"/>
  <c r="U857" i="18" s="1"/>
  <c r="X857" i="18" l="1"/>
  <c r="W857" i="18"/>
  <c r="X855" i="18"/>
  <c r="W855" i="18"/>
  <c r="J564" i="13" l="1"/>
  <c r="J535" i="13"/>
  <c r="O564" i="13" l="1"/>
  <c r="O535" i="13"/>
  <c r="O535" i="18" s="1"/>
  <c r="Q535" i="13"/>
  <c r="Q535" i="18" s="1"/>
  <c r="Q564" i="13"/>
  <c r="J535" i="18"/>
  <c r="M564" i="13"/>
  <c r="M535" i="13"/>
  <c r="M535" i="18" s="1"/>
  <c r="R564" i="13"/>
  <c r="R535" i="13"/>
  <c r="R535" i="18" s="1"/>
  <c r="K535" i="13"/>
  <c r="K535" i="18" s="1"/>
  <c r="K564" i="13"/>
  <c r="S535" i="13"/>
  <c r="S535" i="18" s="1"/>
  <c r="S564" i="13"/>
  <c r="L535" i="13"/>
  <c r="L535" i="18" s="1"/>
  <c r="L564" i="13"/>
  <c r="N535" i="13"/>
  <c r="N535" i="18" s="1"/>
  <c r="N564" i="13"/>
  <c r="P564" i="13"/>
  <c r="P535" i="13"/>
  <c r="P535" i="18" s="1"/>
  <c r="U535" i="13" l="1"/>
  <c r="X535" i="13" s="1"/>
  <c r="U535" i="18"/>
  <c r="X535" i="18" s="1"/>
  <c r="U564" i="13"/>
  <c r="X564" i="13" l="1"/>
  <c r="P55" i="5" l="1"/>
  <c r="M65" i="5"/>
  <c r="M74" i="5" l="1"/>
  <c r="M61" i="5"/>
  <c r="P56" i="5"/>
  <c r="N74" i="5"/>
  <c r="N65" i="5"/>
  <c r="N61" i="5"/>
  <c r="N89" i="5" s="1"/>
  <c r="M89" i="5" l="1"/>
  <c r="J74" i="5"/>
  <c r="J77" i="5" s="1"/>
  <c r="J65" i="5"/>
  <c r="J61" i="5"/>
  <c r="J89" i="5" s="1"/>
  <c r="K74" i="5"/>
  <c r="K61" i="5"/>
  <c r="K89" i="5" s="1"/>
  <c r="K65" i="5"/>
  <c r="O109" i="14"/>
  <c r="O112" i="14" s="1"/>
  <c r="N77" i="5"/>
  <c r="P52" i="5"/>
  <c r="M77" i="5"/>
  <c r="N109" i="14"/>
  <c r="N112" i="14" s="1"/>
  <c r="I61" i="5"/>
  <c r="I89" i="5" s="1"/>
  <c r="I74" i="5"/>
  <c r="I65" i="5"/>
  <c r="P51" i="5"/>
  <c r="G61" i="5"/>
  <c r="G74" i="5"/>
  <c r="G65" i="5"/>
  <c r="J86" i="5" l="1"/>
  <c r="K109" i="14"/>
  <c r="K112" i="14" s="1"/>
  <c r="S1261" i="15"/>
  <c r="S1261" i="16"/>
  <c r="N84" i="5"/>
  <c r="N87" i="5" s="1"/>
  <c r="S1261" i="13"/>
  <c r="O116" i="14"/>
  <c r="O38" i="14"/>
  <c r="G89" i="5"/>
  <c r="P61" i="5"/>
  <c r="M84" i="5"/>
  <c r="M87" i="5" s="1"/>
  <c r="R1261" i="13"/>
  <c r="R1261" i="16"/>
  <c r="R1261" i="15"/>
  <c r="K86" i="5"/>
  <c r="L109" i="14"/>
  <c r="L112" i="14" s="1"/>
  <c r="K77" i="5"/>
  <c r="I86" i="5"/>
  <c r="J109" i="14"/>
  <c r="J112" i="14" s="1"/>
  <c r="I77" i="5"/>
  <c r="H109" i="14"/>
  <c r="G77" i="5"/>
  <c r="F86" i="5"/>
  <c r="G86" i="5"/>
  <c r="L86" i="5"/>
  <c r="H86" i="5"/>
  <c r="E86" i="5"/>
  <c r="P74" i="5"/>
  <c r="N38" i="14"/>
  <c r="N116" i="14"/>
  <c r="O1261" i="15"/>
  <c r="J84" i="5"/>
  <c r="J87" i="5" s="1"/>
  <c r="O1261" i="13"/>
  <c r="O1261" i="16"/>
  <c r="O1262" i="16" s="1"/>
  <c r="K115" i="14" l="1"/>
  <c r="K116" i="14" s="1"/>
  <c r="D26" i="28" s="1"/>
  <c r="K38" i="14"/>
  <c r="L115" i="14"/>
  <c r="L116" i="14" s="1"/>
  <c r="D31" i="28"/>
  <c r="R74" i="5"/>
  <c r="F115" i="14"/>
  <c r="R86" i="5"/>
  <c r="E87" i="5"/>
  <c r="H87" i="5"/>
  <c r="I115" i="14"/>
  <c r="I116" i="14" s="1"/>
  <c r="G115" i="14"/>
  <c r="G116" i="14" s="1"/>
  <c r="F87" i="5"/>
  <c r="L38" i="14"/>
  <c r="H115" i="14"/>
  <c r="P1261" i="13"/>
  <c r="P1261" i="15"/>
  <c r="K84" i="5"/>
  <c r="K87" i="5" s="1"/>
  <c r="P1261" i="16"/>
  <c r="J115" i="14"/>
  <c r="J116" i="14" s="1"/>
  <c r="O1262" i="13"/>
  <c r="L1261" i="16"/>
  <c r="L1261" i="13"/>
  <c r="G84" i="5"/>
  <c r="L1261" i="15"/>
  <c r="P77" i="5"/>
  <c r="R77" i="5" s="1"/>
  <c r="H112" i="14"/>
  <c r="D109" i="14"/>
  <c r="S109" i="14" s="1"/>
  <c r="N1261" i="15"/>
  <c r="N1262" i="15" s="1"/>
  <c r="I84" i="5"/>
  <c r="I87" i="5" s="1"/>
  <c r="N1261" i="16"/>
  <c r="N1261" i="13"/>
  <c r="L87" i="5"/>
  <c r="M115" i="14"/>
  <c r="M116" i="14" s="1"/>
  <c r="O1262" i="15"/>
  <c r="D30" i="28"/>
  <c r="P90" i="5"/>
  <c r="D16" i="28"/>
  <c r="P65" i="5"/>
  <c r="J38" i="14"/>
  <c r="F116" i="14" l="1"/>
  <c r="D115" i="14"/>
  <c r="P1262" i="13"/>
  <c r="G87" i="5"/>
  <c r="P87" i="5" s="1"/>
  <c r="R87" i="5" s="1"/>
  <c r="P84" i="5"/>
  <c r="D22" i="28"/>
  <c r="L1262" i="15"/>
  <c r="U1261" i="15"/>
  <c r="P1368" i="15" s="1"/>
  <c r="H38" i="14"/>
  <c r="D38" i="14" s="1"/>
  <c r="S38" i="14" s="1"/>
  <c r="D112" i="14"/>
  <c r="S112" i="14" s="1"/>
  <c r="P1262" i="15"/>
  <c r="Q109" i="14"/>
  <c r="D28" i="28"/>
  <c r="L1262" i="13"/>
  <c r="U1261" i="13"/>
  <c r="L1368" i="13" s="1"/>
  <c r="L1262" i="16"/>
  <c r="U1261" i="16"/>
  <c r="H116" i="14"/>
  <c r="D24" i="28"/>
  <c r="N1262" i="13"/>
  <c r="D25" i="28"/>
  <c r="D27" i="28"/>
  <c r="P1262" i="16"/>
  <c r="N1262" i="16"/>
  <c r="U1262" i="15" l="1"/>
  <c r="O1369" i="15" s="1"/>
  <c r="O727" i="15" s="1"/>
  <c r="O729" i="15" s="1"/>
  <c r="O16" i="15" s="1"/>
  <c r="L1368" i="15"/>
  <c r="O1368" i="16"/>
  <c r="Q1368" i="16"/>
  <c r="M1368" i="16"/>
  <c r="J1368" i="16"/>
  <c r="K1368" i="16"/>
  <c r="R1368" i="16"/>
  <c r="S1368" i="16"/>
  <c r="L776" i="13"/>
  <c r="L947" i="13"/>
  <c r="L893" i="13"/>
  <c r="S115" i="14"/>
  <c r="Q115" i="14"/>
  <c r="D17" i="28"/>
  <c r="P893" i="15"/>
  <c r="P895" i="15" s="1"/>
  <c r="P897" i="15" s="1"/>
  <c r="P923" i="15" s="1"/>
  <c r="P947" i="15"/>
  <c r="P776" i="15"/>
  <c r="U1262" i="16"/>
  <c r="N1368" i="16"/>
  <c r="J1368" i="13"/>
  <c r="K1368" i="13"/>
  <c r="Q1368" i="13"/>
  <c r="M1368" i="13"/>
  <c r="S1368" i="13"/>
  <c r="O1368" i="13"/>
  <c r="R1368" i="13"/>
  <c r="N1368" i="13"/>
  <c r="U1262" i="13"/>
  <c r="L1369" i="13" s="1"/>
  <c r="L727" i="13" s="1"/>
  <c r="P1368" i="16"/>
  <c r="P1368" i="13"/>
  <c r="L947" i="15"/>
  <c r="L776" i="15"/>
  <c r="L893" i="15"/>
  <c r="L895" i="15" s="1"/>
  <c r="L897" i="15" s="1"/>
  <c r="L923" i="15" s="1"/>
  <c r="D23" i="28"/>
  <c r="N1368" i="15"/>
  <c r="J1368" i="15"/>
  <c r="K1368" i="15"/>
  <c r="Q1368" i="15"/>
  <c r="M1368" i="15"/>
  <c r="R1368" i="15"/>
  <c r="S1368" i="15"/>
  <c r="O1368" i="15"/>
  <c r="D116" i="14"/>
  <c r="D21" i="28"/>
  <c r="L1369" i="15"/>
  <c r="L727" i="15" s="1"/>
  <c r="L729" i="15" s="1"/>
  <c r="M1369" i="15"/>
  <c r="M727" i="15" s="1"/>
  <c r="M729" i="15" s="1"/>
  <c r="Q1369" i="15"/>
  <c r="Q727" i="15" s="1"/>
  <c r="Q729" i="15" s="1"/>
  <c r="L1368" i="16"/>
  <c r="P1369" i="15"/>
  <c r="P727" i="15" s="1"/>
  <c r="P729" i="15" s="1"/>
  <c r="J1369" i="15" l="1"/>
  <c r="N1369" i="15"/>
  <c r="N727" i="15" s="1"/>
  <c r="N729" i="15" s="1"/>
  <c r="N16" i="15" s="1"/>
  <c r="K1369" i="15"/>
  <c r="K727" i="15" s="1"/>
  <c r="K729" i="15" s="1"/>
  <c r="L895" i="13"/>
  <c r="L897" i="13" s="1"/>
  <c r="L923" i="13" s="1"/>
  <c r="L16" i="15"/>
  <c r="J776" i="13"/>
  <c r="U1368" i="13"/>
  <c r="J893" i="13"/>
  <c r="J947" i="13"/>
  <c r="N947" i="16"/>
  <c r="N776" i="16"/>
  <c r="N893" i="16"/>
  <c r="N895" i="16" s="1"/>
  <c r="N897" i="16" s="1"/>
  <c r="N923" i="16" s="1"/>
  <c r="R893" i="16"/>
  <c r="R895" i="16" s="1"/>
  <c r="R897" i="16" s="1"/>
  <c r="R923" i="16" s="1"/>
  <c r="R947" i="16"/>
  <c r="R776" i="16"/>
  <c r="D29" i="28"/>
  <c r="D32" i="28" s="1"/>
  <c r="O1369" i="13"/>
  <c r="O727" i="13" s="1"/>
  <c r="M1369" i="13"/>
  <c r="M727" i="13" s="1"/>
  <c r="Q1369" i="13"/>
  <c r="Q727" i="13" s="1"/>
  <c r="K1369" i="13"/>
  <c r="K727" i="13" s="1"/>
  <c r="J1369" i="13"/>
  <c r="L1369" i="16"/>
  <c r="L727" i="16" s="1"/>
  <c r="L729" i="16" s="1"/>
  <c r="K1369" i="16"/>
  <c r="K727" i="16" s="1"/>
  <c r="K729" i="16" s="1"/>
  <c r="J1369" i="16"/>
  <c r="Q1369" i="16"/>
  <c r="Q727" i="16" s="1"/>
  <c r="Q729" i="16" s="1"/>
  <c r="M1369" i="16"/>
  <c r="M727" i="16" s="1"/>
  <c r="M729" i="16" s="1"/>
  <c r="O1369" i="16"/>
  <c r="O727" i="16" s="1"/>
  <c r="O729" i="16" s="1"/>
  <c r="K947" i="16"/>
  <c r="K893" i="16"/>
  <c r="K895" i="16" s="1"/>
  <c r="K897" i="16" s="1"/>
  <c r="K923" i="16" s="1"/>
  <c r="K776" i="16"/>
  <c r="U1368" i="16"/>
  <c r="J893" i="16"/>
  <c r="J776" i="16"/>
  <c r="J947" i="16"/>
  <c r="Q776" i="15"/>
  <c r="Q893" i="15"/>
  <c r="Q895" i="15" s="1"/>
  <c r="Q897" i="15" s="1"/>
  <c r="Q923" i="15" s="1"/>
  <c r="Q947" i="15"/>
  <c r="Q776" i="13"/>
  <c r="Q947" i="13"/>
  <c r="Q893" i="13"/>
  <c r="K947" i="15"/>
  <c r="K893" i="15"/>
  <c r="K895" i="15" s="1"/>
  <c r="K897" i="15" s="1"/>
  <c r="K923" i="15" s="1"/>
  <c r="K776" i="15"/>
  <c r="L729" i="13"/>
  <c r="P1369" i="13"/>
  <c r="P727" i="13" s="1"/>
  <c r="M893" i="16"/>
  <c r="M895" i="16" s="1"/>
  <c r="M897" i="16" s="1"/>
  <c r="M923" i="16" s="1"/>
  <c r="M776" i="16"/>
  <c r="M947" i="16"/>
  <c r="K776" i="13"/>
  <c r="K893" i="13"/>
  <c r="K947" i="13"/>
  <c r="P893" i="16"/>
  <c r="P895" i="16" s="1"/>
  <c r="P897" i="16" s="1"/>
  <c r="P923" i="16" s="1"/>
  <c r="P776" i="16"/>
  <c r="P947" i="16"/>
  <c r="S116" i="14"/>
  <c r="Q116" i="14"/>
  <c r="Q776" i="16"/>
  <c r="Q947" i="16"/>
  <c r="Q893" i="16"/>
  <c r="Q895" i="16" s="1"/>
  <c r="Q897" i="16" s="1"/>
  <c r="Q923" i="16" s="1"/>
  <c r="P776" i="13"/>
  <c r="P893" i="13"/>
  <c r="P947" i="13"/>
  <c r="N893" i="15"/>
  <c r="N895" i="15" s="1"/>
  <c r="N897" i="15" s="1"/>
  <c r="N923" i="15" s="1"/>
  <c r="N947" i="15"/>
  <c r="N776" i="15"/>
  <c r="P16" i="15"/>
  <c r="R776" i="13"/>
  <c r="R893" i="13"/>
  <c r="R947" i="13"/>
  <c r="K16" i="15"/>
  <c r="R776" i="15"/>
  <c r="R947" i="15"/>
  <c r="R893" i="15"/>
  <c r="R895" i="15" s="1"/>
  <c r="R897" i="15" s="1"/>
  <c r="R923" i="15" s="1"/>
  <c r="S776" i="13"/>
  <c r="S893" i="13"/>
  <c r="S947" i="13"/>
  <c r="Q16" i="15"/>
  <c r="M893" i="15"/>
  <c r="M895" i="15" s="1"/>
  <c r="M897" i="15" s="1"/>
  <c r="M923" i="15" s="1"/>
  <c r="M776" i="15"/>
  <c r="M947" i="15"/>
  <c r="M776" i="13"/>
  <c r="M947" i="13"/>
  <c r="M893" i="13"/>
  <c r="M16" i="15"/>
  <c r="H19" i="14"/>
  <c r="G21" i="7" s="1"/>
  <c r="I45" i="1" s="1"/>
  <c r="J893" i="15"/>
  <c r="U1368" i="15"/>
  <c r="J776" i="15"/>
  <c r="J947" i="15"/>
  <c r="S947" i="16"/>
  <c r="S893" i="16"/>
  <c r="S895" i="16" s="1"/>
  <c r="S897" i="16" s="1"/>
  <c r="S923" i="16" s="1"/>
  <c r="S776" i="16"/>
  <c r="N776" i="13"/>
  <c r="N947" i="13"/>
  <c r="N893" i="13"/>
  <c r="P1369" i="16"/>
  <c r="P727" i="16" s="1"/>
  <c r="P729" i="16" s="1"/>
  <c r="L776" i="16"/>
  <c r="L776" i="18" s="1"/>
  <c r="L947" i="16"/>
  <c r="L947" i="18" s="1"/>
  <c r="L893" i="16"/>
  <c r="L895" i="16" s="1"/>
  <c r="L897" i="16" s="1"/>
  <c r="L923" i="16" s="1"/>
  <c r="O776" i="15"/>
  <c r="O893" i="15"/>
  <c r="O895" i="15" s="1"/>
  <c r="O897" i="15" s="1"/>
  <c r="O923" i="15" s="1"/>
  <c r="O947" i="15"/>
  <c r="N1369" i="13"/>
  <c r="N727" i="13" s="1"/>
  <c r="O893" i="16"/>
  <c r="O895" i="16" s="1"/>
  <c r="O897" i="16" s="1"/>
  <c r="O923" i="16" s="1"/>
  <c r="O947" i="16"/>
  <c r="O776" i="16"/>
  <c r="U1369" i="15"/>
  <c r="J727" i="15"/>
  <c r="S947" i="15"/>
  <c r="S776" i="15"/>
  <c r="S893" i="15"/>
  <c r="S895" i="15" s="1"/>
  <c r="S897" i="15" s="1"/>
  <c r="S923" i="15" s="1"/>
  <c r="O776" i="13"/>
  <c r="O893" i="13"/>
  <c r="O947" i="13"/>
  <c r="N1369" i="16"/>
  <c r="N727" i="16" s="1"/>
  <c r="N729" i="16" s="1"/>
  <c r="P947" i="18" l="1"/>
  <c r="U947" i="16"/>
  <c r="W947" i="16" s="1"/>
  <c r="M947" i="18"/>
  <c r="R947" i="18"/>
  <c r="K947" i="18"/>
  <c r="L19" i="14"/>
  <c r="K21" i="7" s="1"/>
  <c r="M45" i="1" s="1"/>
  <c r="P776" i="18"/>
  <c r="Q727" i="18"/>
  <c r="Q729" i="18" s="1"/>
  <c r="Q729" i="13"/>
  <c r="L727" i="18"/>
  <c r="L729" i="18" s="1"/>
  <c r="U727" i="15"/>
  <c r="W727" i="15" s="1"/>
  <c r="J729" i="15"/>
  <c r="U776" i="15"/>
  <c r="W776" i="15" s="1"/>
  <c r="R893" i="18"/>
  <c r="R895" i="18" s="1"/>
  <c r="R897" i="18" s="1"/>
  <c r="R923" i="18" s="1"/>
  <c r="R895" i="13"/>
  <c r="R897" i="13" s="1"/>
  <c r="R923" i="13" s="1"/>
  <c r="M727" i="18"/>
  <c r="M729" i="18" s="1"/>
  <c r="M729" i="13"/>
  <c r="F19" i="14"/>
  <c r="E21" i="7" s="1"/>
  <c r="G45" i="1" s="1"/>
  <c r="U776" i="13"/>
  <c r="X776" i="13" s="1"/>
  <c r="J776" i="18"/>
  <c r="M893" i="18"/>
  <c r="M895" i="18" s="1"/>
  <c r="M897" i="18" s="1"/>
  <c r="M923" i="18" s="1"/>
  <c r="M895" i="13"/>
  <c r="M897" i="13" s="1"/>
  <c r="M923" i="13" s="1"/>
  <c r="L16" i="16"/>
  <c r="U947" i="13"/>
  <c r="X947" i="13" s="1"/>
  <c r="J947" i="18"/>
  <c r="P16" i="16"/>
  <c r="O727" i="18"/>
  <c r="O729" i="18" s="1"/>
  <c r="O729" i="13"/>
  <c r="O893" i="18"/>
  <c r="O895" i="18" s="1"/>
  <c r="O897" i="18" s="1"/>
  <c r="O923" i="18" s="1"/>
  <c r="O895" i="13"/>
  <c r="O897" i="13" s="1"/>
  <c r="O923" i="13" s="1"/>
  <c r="P727" i="18"/>
  <c r="P729" i="18" s="1"/>
  <c r="P729" i="13"/>
  <c r="N776" i="18"/>
  <c r="U776" i="16"/>
  <c r="W776" i="16" s="1"/>
  <c r="I19" i="14"/>
  <c r="H21" i="7" s="1"/>
  <c r="J45" i="1" s="1"/>
  <c r="M776" i="18"/>
  <c r="U893" i="16"/>
  <c r="W893" i="16" s="1"/>
  <c r="J895" i="16"/>
  <c r="U893" i="13"/>
  <c r="X893" i="13" s="1"/>
  <c r="J893" i="18"/>
  <c r="J895" i="13"/>
  <c r="N19" i="14"/>
  <c r="M21" i="7" s="1"/>
  <c r="O45" i="1" s="1"/>
  <c r="R776" i="18"/>
  <c r="K893" i="18"/>
  <c r="K895" i="18" s="1"/>
  <c r="K897" i="18" s="1"/>
  <c r="K923" i="18" s="1"/>
  <c r="K895" i="13"/>
  <c r="K897" i="13" s="1"/>
  <c r="K923" i="13" s="1"/>
  <c r="G19" i="14"/>
  <c r="F21" i="7" s="1"/>
  <c r="H45" i="1" s="1"/>
  <c r="K776" i="18"/>
  <c r="Q947" i="18"/>
  <c r="J19" i="14"/>
  <c r="I21" i="7" s="1"/>
  <c r="K45" i="1" s="1"/>
  <c r="Q16" i="16"/>
  <c r="K19" i="14"/>
  <c r="J21" i="7" s="1"/>
  <c r="L45" i="1" s="1"/>
  <c r="O776" i="18"/>
  <c r="K16" i="16"/>
  <c r="K727" i="18"/>
  <c r="K729" i="18" s="1"/>
  <c r="K729" i="13"/>
  <c r="Q893" i="18"/>
  <c r="Q895" i="18" s="1"/>
  <c r="Q897" i="18" s="1"/>
  <c r="Q923" i="18" s="1"/>
  <c r="Q895" i="13"/>
  <c r="Q897" i="13" s="1"/>
  <c r="Q923" i="13" s="1"/>
  <c r="O16" i="16"/>
  <c r="O19" i="14"/>
  <c r="N21" i="7" s="1"/>
  <c r="P45" i="1" s="1"/>
  <c r="S776" i="18"/>
  <c r="J727" i="16"/>
  <c r="U1369" i="16"/>
  <c r="L16" i="13"/>
  <c r="U1369" i="13"/>
  <c r="J727" i="13"/>
  <c r="U947" i="15"/>
  <c r="W947" i="15" s="1"/>
  <c r="P893" i="18"/>
  <c r="P895" i="18" s="1"/>
  <c r="P897" i="18" s="1"/>
  <c r="P923" i="18" s="1"/>
  <c r="P895" i="13"/>
  <c r="P897" i="13" s="1"/>
  <c r="P923" i="13" s="1"/>
  <c r="U893" i="15"/>
  <c r="W893" i="15" s="1"/>
  <c r="J895" i="15"/>
  <c r="N16" i="16"/>
  <c r="N727" i="18"/>
  <c r="N729" i="18" s="1"/>
  <c r="N729" i="13"/>
  <c r="N893" i="18"/>
  <c r="N895" i="18" s="1"/>
  <c r="N897" i="18" s="1"/>
  <c r="N923" i="18" s="1"/>
  <c r="N895" i="13"/>
  <c r="N897" i="13" s="1"/>
  <c r="N923" i="13" s="1"/>
  <c r="S947" i="18"/>
  <c r="M19" i="14"/>
  <c r="L21" i="7" s="1"/>
  <c r="N45" i="1" s="1"/>
  <c r="Q776" i="18"/>
  <c r="O947" i="18"/>
  <c r="N947" i="18"/>
  <c r="H117" i="14"/>
  <c r="S893" i="18"/>
  <c r="S895" i="18" s="1"/>
  <c r="S897" i="18" s="1"/>
  <c r="S923" i="18" s="1"/>
  <c r="S895" i="13"/>
  <c r="S897" i="13" s="1"/>
  <c r="S923" i="13" s="1"/>
  <c r="M16" i="16"/>
  <c r="L893" i="18"/>
  <c r="L895" i="18" s="1"/>
  <c r="L897" i="18" s="1"/>
  <c r="L923" i="18" s="1"/>
  <c r="F45" i="1" l="1"/>
  <c r="U947" i="18"/>
  <c r="X947" i="18" s="1"/>
  <c r="U776" i="18"/>
  <c r="X776" i="18" s="1"/>
  <c r="K16" i="13"/>
  <c r="L16" i="18"/>
  <c r="U895" i="15"/>
  <c r="W895" i="15" s="1"/>
  <c r="J897" i="15"/>
  <c r="N117" i="14"/>
  <c r="J117" i="14"/>
  <c r="F117" i="14"/>
  <c r="D19" i="14"/>
  <c r="N16" i="18"/>
  <c r="M16" i="13"/>
  <c r="M16" i="18"/>
  <c r="I36" i="1"/>
  <c r="K117" i="14"/>
  <c r="U727" i="16"/>
  <c r="W727" i="16" s="1"/>
  <c r="J729" i="16"/>
  <c r="P16" i="18"/>
  <c r="M117" i="14"/>
  <c r="K16" i="18"/>
  <c r="U895" i="13"/>
  <c r="X895" i="13" s="1"/>
  <c r="J897" i="13"/>
  <c r="U893" i="18"/>
  <c r="X893" i="18" s="1"/>
  <c r="J895" i="18"/>
  <c r="J897" i="16"/>
  <c r="U895" i="16"/>
  <c r="W895" i="16" s="1"/>
  <c r="N16" i="13"/>
  <c r="O117" i="14"/>
  <c r="G117" i="14"/>
  <c r="Q16" i="13"/>
  <c r="U727" i="13"/>
  <c r="X727" i="13" s="1"/>
  <c r="J727" i="18"/>
  <c r="J729" i="13"/>
  <c r="Q16" i="18"/>
  <c r="I117" i="14"/>
  <c r="O16" i="13"/>
  <c r="P16" i="13"/>
  <c r="O16" i="18"/>
  <c r="J16" i="15"/>
  <c r="U729" i="15"/>
  <c r="W729" i="15" s="1"/>
  <c r="L117" i="14"/>
  <c r="J16" i="13" l="1"/>
  <c r="U729" i="13"/>
  <c r="X729" i="13" s="1"/>
  <c r="K36" i="1"/>
  <c r="J36" i="1"/>
  <c r="M36" i="1"/>
  <c r="H36" i="1"/>
  <c r="L36" i="1"/>
  <c r="N36" i="1"/>
  <c r="D117" i="14"/>
  <c r="S117" i="14" s="1"/>
  <c r="U897" i="15"/>
  <c r="W897" i="15" s="1"/>
  <c r="J923" i="15"/>
  <c r="U727" i="18"/>
  <c r="X727" i="18" s="1"/>
  <c r="J729" i="18"/>
  <c r="U16" i="15"/>
  <c r="W16" i="15" s="1"/>
  <c r="J923" i="13"/>
  <c r="U897" i="13"/>
  <c r="X897" i="13" s="1"/>
  <c r="J923" i="16"/>
  <c r="U897" i="16"/>
  <c r="W897" i="16" s="1"/>
  <c r="J16" i="16"/>
  <c r="U729" i="16"/>
  <c r="W729" i="16" s="1"/>
  <c r="U895" i="18"/>
  <c r="J897" i="18"/>
  <c r="X895" i="18" l="1"/>
  <c r="W895" i="18"/>
  <c r="J16" i="18"/>
  <c r="U729" i="18"/>
  <c r="U923" i="16"/>
  <c r="W923" i="16" s="1"/>
  <c r="U16" i="16"/>
  <c r="W16" i="16" s="1"/>
  <c r="U923" i="15"/>
  <c r="W923" i="15" s="1"/>
  <c r="U923" i="13"/>
  <c r="X923" i="13" s="1"/>
  <c r="G36" i="1"/>
  <c r="F36" i="1" s="1"/>
  <c r="U16" i="13"/>
  <c r="X16" i="13" s="1"/>
  <c r="U897" i="18"/>
  <c r="J923" i="18"/>
  <c r="U16" i="18" l="1"/>
  <c r="X16" i="18" s="1"/>
  <c r="W729" i="18"/>
  <c r="X729" i="18"/>
  <c r="U923" i="18"/>
  <c r="X897" i="18"/>
  <c r="W897" i="18"/>
  <c r="X923" i="18" l="1"/>
  <c r="W923" i="18"/>
  <c r="J1127" i="15" l="1"/>
  <c r="L1127" i="15" l="1"/>
  <c r="S1127" i="15"/>
  <c r="N1127" i="15"/>
  <c r="P1127" i="15"/>
  <c r="J1127" i="13"/>
  <c r="Q1127" i="15"/>
  <c r="K1127" i="15"/>
  <c r="O1127" i="15"/>
  <c r="M1127" i="15"/>
  <c r="R1127" i="15"/>
  <c r="U1127" i="15" l="1"/>
  <c r="W1127" i="15" s="1"/>
  <c r="J498" i="16"/>
  <c r="J497" i="16"/>
  <c r="L1127" i="13"/>
  <c r="S1127" i="13"/>
  <c r="K1127" i="13"/>
  <c r="N1127" i="13"/>
  <c r="M1127" i="13"/>
  <c r="Q1127" i="13"/>
  <c r="P1127" i="13"/>
  <c r="R1127" i="13"/>
  <c r="O1127" i="13"/>
  <c r="N497" i="16" l="1"/>
  <c r="N498" i="16"/>
  <c r="M497" i="16"/>
  <c r="M498" i="16"/>
  <c r="R498" i="16"/>
  <c r="R497" i="16"/>
  <c r="L497" i="16"/>
  <c r="L498" i="16"/>
  <c r="J499" i="16"/>
  <c r="K497" i="16"/>
  <c r="K498" i="16"/>
  <c r="P497" i="16"/>
  <c r="P498" i="16"/>
  <c r="S497" i="16"/>
  <c r="S498" i="16"/>
  <c r="Q497" i="16"/>
  <c r="Q498" i="16"/>
  <c r="U1127" i="13"/>
  <c r="X1127" i="13" s="1"/>
  <c r="O497" i="16"/>
  <c r="O498" i="16"/>
  <c r="L499" i="16" l="1"/>
  <c r="L74" i="16" s="1"/>
  <c r="N499" i="16"/>
  <c r="N74" i="16" s="1"/>
  <c r="O499" i="16"/>
  <c r="O74" i="16" s="1"/>
  <c r="J74" i="16"/>
  <c r="P499" i="16"/>
  <c r="P74" i="16" s="1"/>
  <c r="U497" i="16"/>
  <c r="R499" i="16"/>
  <c r="R74" i="16" s="1"/>
  <c r="S499" i="16"/>
  <c r="S74" i="16" s="1"/>
  <c r="U498" i="16"/>
  <c r="K499" i="16"/>
  <c r="K74" i="16" s="1"/>
  <c r="M499" i="16"/>
  <c r="M74" i="16" s="1"/>
  <c r="Q499" i="16"/>
  <c r="Q74" i="16" s="1"/>
  <c r="U499" i="16" l="1"/>
  <c r="W499" i="16" s="1"/>
  <c r="U74" i="16"/>
  <c r="W74" i="16" s="1"/>
  <c r="J1127" i="16" l="1"/>
  <c r="R1127" i="16" l="1"/>
  <c r="R1127" i="18" s="1"/>
  <c r="P1127" i="16"/>
  <c r="P1127" i="18" s="1"/>
  <c r="N1127" i="16"/>
  <c r="N1127" i="18" s="1"/>
  <c r="J1127" i="18"/>
  <c r="K1127" i="16"/>
  <c r="K1127" i="18" s="1"/>
  <c r="L1127" i="16"/>
  <c r="L1127" i="18" s="1"/>
  <c r="S1127" i="16"/>
  <c r="S1127" i="18" s="1"/>
  <c r="M1127" i="16"/>
  <c r="M1127" i="18" s="1"/>
  <c r="O1127" i="16"/>
  <c r="O1127" i="18" s="1"/>
  <c r="Q1127" i="16"/>
  <c r="Q1127" i="18" s="1"/>
  <c r="U1127" i="18" l="1"/>
  <c r="X1127" i="18" s="1"/>
  <c r="U1127" i="16"/>
  <c r="W1127" i="16" s="1"/>
  <c r="J499" i="13" l="1"/>
  <c r="K499" i="13"/>
  <c r="K74" i="13" s="1"/>
  <c r="L499" i="13"/>
  <c r="L74" i="13" s="1"/>
  <c r="M499" i="13"/>
  <c r="M74" i="13" s="1"/>
  <c r="N499" i="13"/>
  <c r="N74" i="13" s="1"/>
  <c r="O499" i="13"/>
  <c r="O74" i="13" s="1"/>
  <c r="P499" i="13"/>
  <c r="P74" i="13" s="1"/>
  <c r="Q499" i="13"/>
  <c r="Q74" i="13" s="1"/>
  <c r="R499" i="13"/>
  <c r="R74" i="13" s="1"/>
  <c r="S499" i="13"/>
  <c r="S74" i="13" s="1"/>
  <c r="J497" i="18"/>
  <c r="K497" i="18"/>
  <c r="L497" i="18"/>
  <c r="M497" i="18"/>
  <c r="N497" i="18"/>
  <c r="O497" i="18"/>
  <c r="P497" i="18"/>
  <c r="Q497" i="18"/>
  <c r="R497" i="18"/>
  <c r="S497" i="18"/>
  <c r="J498" i="18"/>
  <c r="K498" i="18"/>
  <c r="L498" i="18"/>
  <c r="M498" i="18"/>
  <c r="N498" i="18"/>
  <c r="O498" i="18"/>
  <c r="P498" i="18"/>
  <c r="Q498" i="18"/>
  <c r="R498" i="18"/>
  <c r="S498" i="18"/>
  <c r="J499" i="18" l="1"/>
  <c r="J74" i="18" s="1"/>
  <c r="F81" i="14" s="1"/>
  <c r="M499" i="18"/>
  <c r="M74" i="18" s="1"/>
  <c r="I81" i="14" s="1"/>
  <c r="S499" i="18"/>
  <c r="S74" i="18" s="1"/>
  <c r="O81" i="14" s="1"/>
  <c r="P499" i="18"/>
  <c r="P74" i="18" s="1"/>
  <c r="L81" i="14" s="1"/>
  <c r="Q499" i="18"/>
  <c r="Q74" i="18" s="1"/>
  <c r="M81" i="14" s="1"/>
  <c r="O499" i="18"/>
  <c r="O74" i="18" s="1"/>
  <c r="K81" i="14" s="1"/>
  <c r="N499" i="18"/>
  <c r="N74" i="18" s="1"/>
  <c r="J81" i="14" s="1"/>
  <c r="R499" i="18"/>
  <c r="R74" i="18" s="1"/>
  <c r="N81" i="14" s="1"/>
  <c r="U497" i="18"/>
  <c r="K499" i="18"/>
  <c r="U498" i="18"/>
  <c r="L499" i="18"/>
  <c r="J74" i="13"/>
  <c r="U74" i="13" s="1"/>
  <c r="X74" i="13" s="1"/>
  <c r="U499" i="13"/>
  <c r="X499" i="13" s="1"/>
  <c r="L74" i="18" l="1"/>
  <c r="H81" i="14" s="1"/>
  <c r="K74" i="18"/>
  <c r="U499" i="18"/>
  <c r="X499" i="18" s="1"/>
  <c r="G81" i="14" l="1"/>
  <c r="U74" i="18"/>
  <c r="X74" i="18" s="1"/>
  <c r="D81" i="14" l="1"/>
  <c r="Q81" i="14" s="1"/>
  <c r="S81" i="14" l="1"/>
  <c r="S103" i="14" l="1"/>
  <c r="S32" i="14" l="1"/>
  <c r="S33" i="14" l="1"/>
  <c r="S34" i="14" l="1"/>
  <c r="X35" i="18" l="1"/>
  <c r="F89" i="18"/>
  <c r="W89" i="18" s="1"/>
  <c r="X35" i="13"/>
  <c r="X85" i="13"/>
  <c r="X85" i="18" l="1"/>
  <c r="F39" i="13"/>
  <c r="F89" i="13"/>
  <c r="P21" i="7" l="1"/>
  <c r="F1222" i="18" l="1"/>
  <c r="F31" i="18" s="1"/>
  <c r="F1230" i="18"/>
  <c r="F1226" i="18" l="1"/>
  <c r="W31" i="18"/>
  <c r="F33" i="18"/>
  <c r="F37" i="18" s="1"/>
  <c r="F39" i="18" l="1"/>
  <c r="F25" i="20"/>
  <c r="W33" i="18"/>
  <c r="H1153" i="44" l="1"/>
  <c r="L1153" i="44" s="1"/>
  <c r="N1153" i="44" s="1"/>
  <c r="K1216" i="13"/>
  <c r="L1216" i="13"/>
  <c r="M1216" i="13"/>
  <c r="N1216" i="13"/>
  <c r="O1216" i="13"/>
  <c r="P1216" i="13"/>
  <c r="Q1216" i="13"/>
  <c r="R1216" i="13"/>
  <c r="S1216" i="13"/>
  <c r="R1205" i="15"/>
  <c r="Q1205" i="15"/>
  <c r="Q1205" i="18" s="1"/>
  <c r="P1205" i="15"/>
  <c r="O1205" i="15"/>
  <c r="N1205" i="15"/>
  <c r="M1205" i="15"/>
  <c r="L1205" i="15"/>
  <c r="K1205" i="15"/>
  <c r="S1205" i="15"/>
  <c r="O1216" i="15"/>
  <c r="K1216" i="15"/>
  <c r="L1216" i="15"/>
  <c r="M1216" i="15"/>
  <c r="N1216" i="15"/>
  <c r="P1216" i="15"/>
  <c r="Q1216" i="15"/>
  <c r="R1216" i="15"/>
  <c r="S1216" i="15"/>
  <c r="P1205" i="16"/>
  <c r="O1205" i="16"/>
  <c r="Q1205" i="16"/>
  <c r="J1205" i="16"/>
  <c r="J1205" i="18" s="1"/>
  <c r="K1205" i="16"/>
  <c r="L1205" i="16"/>
  <c r="M1205" i="16"/>
  <c r="N1205" i="16"/>
  <c r="R1205" i="16"/>
  <c r="S1205" i="16"/>
  <c r="N1215" i="16"/>
  <c r="N1215" i="18" s="1"/>
  <c r="R1215" i="16"/>
  <c r="R1215" i="18" s="1"/>
  <c r="Q1215" i="16"/>
  <c r="Q1215" i="18" s="1"/>
  <c r="O1215" i="16"/>
  <c r="P1215" i="16"/>
  <c r="K1215" i="16"/>
  <c r="L1215" i="16"/>
  <c r="M1215" i="16"/>
  <c r="M1215" i="18" s="1"/>
  <c r="S1215" i="16"/>
  <c r="S1215" i="18" s="1"/>
  <c r="R1205" i="18" l="1"/>
  <c r="O1205" i="18"/>
  <c r="P1205" i="18"/>
  <c r="P1216" i="18"/>
  <c r="U1216" i="13"/>
  <c r="X1216" i="13" s="1"/>
  <c r="L1205" i="18"/>
  <c r="U1216" i="15"/>
  <c r="W1216" i="15" s="1"/>
  <c r="P1215" i="18"/>
  <c r="U1205" i="15"/>
  <c r="W1205" i="15" s="1"/>
  <c r="M1205" i="18"/>
  <c r="N1205" i="18"/>
  <c r="S1205" i="18"/>
  <c r="N1216" i="18"/>
  <c r="O1216" i="18"/>
  <c r="M1216" i="18"/>
  <c r="K1205" i="18"/>
  <c r="Q1216" i="18"/>
  <c r="S1216" i="18"/>
  <c r="L1216" i="18"/>
  <c r="K1216" i="18"/>
  <c r="R1216" i="18"/>
  <c r="U1205" i="16"/>
  <c r="W1205" i="16" s="1"/>
  <c r="O1215" i="18"/>
  <c r="L1215" i="18"/>
  <c r="K1215" i="18"/>
  <c r="U1215" i="16"/>
  <c r="W1215" i="16" s="1"/>
  <c r="U1205" i="18" l="1"/>
  <c r="X1205" i="18" s="1"/>
  <c r="U1216" i="18"/>
  <c r="X1216" i="18" s="1"/>
  <c r="U1215" i="18"/>
  <c r="J109" i="15"/>
  <c r="K109" i="15"/>
  <c r="K109" i="18" s="1"/>
  <c r="L109" i="15"/>
  <c r="L109" i="18" s="1"/>
  <c r="M109" i="15"/>
  <c r="M109" i="18" s="1"/>
  <c r="N109" i="15"/>
  <c r="N109" i="18" s="1"/>
  <c r="O109" i="15"/>
  <c r="O109" i="18" s="1"/>
  <c r="P109" i="15"/>
  <c r="P109" i="18" s="1"/>
  <c r="Q109" i="15"/>
  <c r="Q109" i="18" s="1"/>
  <c r="R109" i="15"/>
  <c r="R109" i="18" s="1"/>
  <c r="S109" i="15"/>
  <c r="S109" i="18" s="1"/>
  <c r="U109" i="15" l="1"/>
  <c r="W109" i="15" s="1"/>
  <c r="J109" i="18"/>
  <c r="U109" i="18" s="1"/>
  <c r="X109" i="18" s="1"/>
  <c r="D17" i="14"/>
  <c r="F17" i="14"/>
  <c r="G17" i="14"/>
  <c r="H17" i="14"/>
  <c r="I17" i="14"/>
  <c r="J17" i="14"/>
  <c r="K17" i="14"/>
  <c r="L17" i="14"/>
  <c r="M17" i="14"/>
  <c r="N17" i="14"/>
  <c r="O17" i="14"/>
  <c r="Q17" i="14"/>
  <c r="S17" i="14"/>
  <c r="D20" i="14"/>
  <c r="F20" i="14"/>
  <c r="G20" i="14"/>
  <c r="H20" i="14"/>
  <c r="I20" i="14"/>
  <c r="J20" i="14"/>
  <c r="K20" i="14"/>
  <c r="L20" i="14"/>
  <c r="M20" i="14"/>
  <c r="N20" i="14"/>
  <c r="O20" i="14"/>
  <c r="Q20" i="14"/>
  <c r="S20" i="14"/>
  <c r="D21" i="14"/>
  <c r="F21" i="14"/>
  <c r="G21" i="14"/>
  <c r="H21" i="14"/>
  <c r="I21" i="14"/>
  <c r="J21" i="14"/>
  <c r="K21" i="14"/>
  <c r="L21" i="14"/>
  <c r="M21" i="14"/>
  <c r="N21" i="14"/>
  <c r="O21" i="14"/>
  <c r="Q21" i="14"/>
  <c r="S21" i="14"/>
  <c r="D22" i="14"/>
  <c r="F22" i="14"/>
  <c r="G22" i="14"/>
  <c r="H22" i="14"/>
  <c r="I22" i="14"/>
  <c r="J22" i="14"/>
  <c r="K22" i="14"/>
  <c r="L22" i="14"/>
  <c r="M22" i="14"/>
  <c r="N22" i="14"/>
  <c r="O22" i="14"/>
  <c r="Q22" i="14"/>
  <c r="S22" i="14"/>
  <c r="D23" i="14"/>
  <c r="F23" i="14"/>
  <c r="G23" i="14"/>
  <c r="H23" i="14"/>
  <c r="I23" i="14"/>
  <c r="J23" i="14"/>
  <c r="K23" i="14"/>
  <c r="L23" i="14"/>
  <c r="M23" i="14"/>
  <c r="N23" i="14"/>
  <c r="O23" i="14"/>
  <c r="S23" i="14"/>
  <c r="D24" i="14"/>
  <c r="F24" i="14"/>
  <c r="G24" i="14"/>
  <c r="H24" i="14"/>
  <c r="I24" i="14"/>
  <c r="J24" i="14"/>
  <c r="K24" i="14"/>
  <c r="L24" i="14"/>
  <c r="M24" i="14"/>
  <c r="N24" i="14"/>
  <c r="O24" i="14"/>
  <c r="Q24" i="14"/>
  <c r="S24" i="14"/>
  <c r="D25" i="14"/>
  <c r="F25" i="14"/>
  <c r="G25" i="14"/>
  <c r="H25" i="14"/>
  <c r="I25" i="14"/>
  <c r="J25" i="14"/>
  <c r="K25" i="14"/>
  <c r="L25" i="14"/>
  <c r="M25" i="14"/>
  <c r="N25" i="14"/>
  <c r="O25" i="14"/>
  <c r="Q25" i="14"/>
  <c r="S25" i="14"/>
  <c r="D26" i="14"/>
  <c r="F26" i="14"/>
  <c r="G26" i="14"/>
  <c r="H26" i="14"/>
  <c r="I26" i="14"/>
  <c r="J26" i="14"/>
  <c r="K26" i="14"/>
  <c r="L26" i="14"/>
  <c r="M26" i="14"/>
  <c r="N26" i="14"/>
  <c r="O26" i="14"/>
  <c r="Q26" i="14"/>
  <c r="S26" i="14"/>
  <c r="D28" i="14"/>
  <c r="F28" i="14"/>
  <c r="G28" i="14"/>
  <c r="H28" i="14"/>
  <c r="I28" i="14"/>
  <c r="J28" i="14"/>
  <c r="K28" i="14"/>
  <c r="L28" i="14"/>
  <c r="M28" i="14"/>
  <c r="N28" i="14"/>
  <c r="O28" i="14"/>
  <c r="Q28" i="14"/>
  <c r="S28" i="14"/>
  <c r="D30" i="14"/>
  <c r="F30" i="14"/>
  <c r="G30" i="14"/>
  <c r="H30" i="14"/>
  <c r="I30" i="14"/>
  <c r="J30" i="14"/>
  <c r="K30" i="14"/>
  <c r="L30" i="14"/>
  <c r="M30" i="14"/>
  <c r="N30" i="14"/>
  <c r="O30" i="14"/>
  <c r="Q30" i="14"/>
  <c r="S30" i="14"/>
  <c r="D36" i="14"/>
  <c r="F36" i="14"/>
  <c r="G36" i="14"/>
  <c r="H36" i="14"/>
  <c r="I36" i="14"/>
  <c r="J36" i="14"/>
  <c r="K36" i="14"/>
  <c r="L36" i="14"/>
  <c r="M36" i="14"/>
  <c r="N36" i="14"/>
  <c r="O36" i="14"/>
  <c r="Q36" i="14"/>
  <c r="S36" i="14"/>
  <c r="D40" i="14"/>
  <c r="F40" i="14"/>
  <c r="G40" i="14"/>
  <c r="H40" i="14"/>
  <c r="I40" i="14"/>
  <c r="J40" i="14"/>
  <c r="K40" i="14"/>
  <c r="L40" i="14"/>
  <c r="M40" i="14"/>
  <c r="N40" i="14"/>
  <c r="O40" i="14"/>
  <c r="S40" i="14"/>
  <c r="D41" i="14"/>
  <c r="F41" i="14"/>
  <c r="G41" i="14"/>
  <c r="H41" i="14"/>
  <c r="I41" i="14"/>
  <c r="J41" i="14"/>
  <c r="K41" i="14"/>
  <c r="L41" i="14"/>
  <c r="M41" i="14"/>
  <c r="N41" i="14"/>
  <c r="O41" i="14"/>
  <c r="S41" i="14"/>
  <c r="D42" i="14"/>
  <c r="F42" i="14"/>
  <c r="G42" i="14"/>
  <c r="H42" i="14"/>
  <c r="I42" i="14"/>
  <c r="J42" i="14"/>
  <c r="K42" i="14"/>
  <c r="L42" i="14"/>
  <c r="M42" i="14"/>
  <c r="N42" i="14"/>
  <c r="O42" i="14"/>
  <c r="S42" i="14"/>
  <c r="D44" i="14"/>
  <c r="F44" i="14"/>
  <c r="G44" i="14"/>
  <c r="H44" i="14"/>
  <c r="I44" i="14"/>
  <c r="J44" i="14"/>
  <c r="K44" i="14"/>
  <c r="L44" i="14"/>
  <c r="M44" i="14"/>
  <c r="N44" i="14"/>
  <c r="O44" i="14"/>
  <c r="S44" i="14"/>
  <c r="D45" i="14"/>
  <c r="F45" i="14"/>
  <c r="G45" i="14"/>
  <c r="H45" i="14"/>
  <c r="I45" i="14"/>
  <c r="J45" i="14"/>
  <c r="K45" i="14"/>
  <c r="L45" i="14"/>
  <c r="M45" i="14"/>
  <c r="N45" i="14"/>
  <c r="O45" i="14"/>
  <c r="S45" i="14"/>
  <c r="D46" i="14"/>
  <c r="F46" i="14"/>
  <c r="G46" i="14"/>
  <c r="H46" i="14"/>
  <c r="I46" i="14"/>
  <c r="J46" i="14"/>
  <c r="K46" i="14"/>
  <c r="L46" i="14"/>
  <c r="M46" i="14"/>
  <c r="N46" i="14"/>
  <c r="O46" i="14"/>
  <c r="S46" i="14"/>
  <c r="D48" i="14"/>
  <c r="F48" i="14"/>
  <c r="G48" i="14"/>
  <c r="H48" i="14"/>
  <c r="I48" i="14"/>
  <c r="J48" i="14"/>
  <c r="K48" i="14"/>
  <c r="L48" i="14"/>
  <c r="M48" i="14"/>
  <c r="N48" i="14"/>
  <c r="O48" i="14"/>
  <c r="Q48" i="14"/>
  <c r="S48" i="14"/>
  <c r="D50" i="14"/>
  <c r="F50" i="14"/>
  <c r="G50" i="14"/>
  <c r="H50" i="14"/>
  <c r="I50" i="14"/>
  <c r="J50" i="14"/>
  <c r="K50" i="14"/>
  <c r="L50" i="14"/>
  <c r="M50" i="14"/>
  <c r="N50" i="14"/>
  <c r="O50" i="14"/>
  <c r="S50" i="14"/>
  <c r="D51" i="14"/>
  <c r="F51" i="14"/>
  <c r="G51" i="14"/>
  <c r="H51" i="14"/>
  <c r="I51" i="14"/>
  <c r="J51" i="14"/>
  <c r="K51" i="14"/>
  <c r="L51" i="14"/>
  <c r="M51" i="14"/>
  <c r="N51" i="14"/>
  <c r="O51" i="14"/>
  <c r="S51" i="14"/>
  <c r="D52" i="14"/>
  <c r="F52" i="14"/>
  <c r="G52" i="14"/>
  <c r="H52" i="14"/>
  <c r="I52" i="14"/>
  <c r="J52" i="14"/>
  <c r="K52" i="14"/>
  <c r="L52" i="14"/>
  <c r="M52" i="14"/>
  <c r="N52" i="14"/>
  <c r="O52" i="14"/>
  <c r="S52" i="14"/>
  <c r="D54" i="14"/>
  <c r="F54" i="14"/>
  <c r="G54" i="14"/>
  <c r="H54" i="14"/>
  <c r="I54" i="14"/>
  <c r="J54" i="14"/>
  <c r="K54" i="14"/>
  <c r="L54" i="14"/>
  <c r="M54" i="14"/>
  <c r="N54" i="14"/>
  <c r="O54" i="14"/>
  <c r="Q54" i="14"/>
  <c r="S54" i="14"/>
  <c r="D55" i="14"/>
  <c r="F55" i="14"/>
  <c r="G55" i="14"/>
  <c r="H55" i="14"/>
  <c r="I55" i="14"/>
  <c r="J55" i="14"/>
  <c r="K55" i="14"/>
  <c r="L55" i="14"/>
  <c r="M55" i="14"/>
  <c r="N55" i="14"/>
  <c r="O55" i="14"/>
  <c r="S55" i="14"/>
  <c r="D56" i="14"/>
  <c r="F56" i="14"/>
  <c r="G56" i="14"/>
  <c r="H56" i="14"/>
  <c r="I56" i="14"/>
  <c r="J56" i="14"/>
  <c r="K56" i="14"/>
  <c r="L56" i="14"/>
  <c r="M56" i="14"/>
  <c r="N56" i="14"/>
  <c r="O56" i="14"/>
  <c r="S56" i="14"/>
  <c r="D58" i="14"/>
  <c r="F58" i="14"/>
  <c r="G58" i="14"/>
  <c r="H58" i="14"/>
  <c r="I58" i="14"/>
  <c r="J58" i="14"/>
  <c r="K58" i="14"/>
  <c r="L58" i="14"/>
  <c r="M58" i="14"/>
  <c r="N58" i="14"/>
  <c r="O58" i="14"/>
  <c r="Q58" i="14"/>
  <c r="S58" i="14"/>
  <c r="D59" i="14"/>
  <c r="F59" i="14"/>
  <c r="G59" i="14"/>
  <c r="H59" i="14"/>
  <c r="I59" i="14"/>
  <c r="J59" i="14"/>
  <c r="K59" i="14"/>
  <c r="L59" i="14"/>
  <c r="M59" i="14"/>
  <c r="N59" i="14"/>
  <c r="O59" i="14"/>
  <c r="S59" i="14"/>
  <c r="D60" i="14"/>
  <c r="F60" i="14"/>
  <c r="G60" i="14"/>
  <c r="H60" i="14"/>
  <c r="I60" i="14"/>
  <c r="J60" i="14"/>
  <c r="K60" i="14"/>
  <c r="L60" i="14"/>
  <c r="M60" i="14"/>
  <c r="N60" i="14"/>
  <c r="O60" i="14"/>
  <c r="S60" i="14"/>
  <c r="D61" i="14"/>
  <c r="F61" i="14"/>
  <c r="G61" i="14"/>
  <c r="H61" i="14"/>
  <c r="I61" i="14"/>
  <c r="J61" i="14"/>
  <c r="K61" i="14"/>
  <c r="L61" i="14"/>
  <c r="M61" i="14"/>
  <c r="N61" i="14"/>
  <c r="O61" i="14"/>
  <c r="S61" i="14"/>
  <c r="D65" i="14"/>
  <c r="F65" i="14"/>
  <c r="G65" i="14"/>
  <c r="H65" i="14"/>
  <c r="I65" i="14"/>
  <c r="J65" i="14"/>
  <c r="K65" i="14"/>
  <c r="L65" i="14"/>
  <c r="M65" i="14"/>
  <c r="N65" i="14"/>
  <c r="O65" i="14"/>
  <c r="Q65" i="14"/>
  <c r="S65" i="14"/>
  <c r="D66" i="14"/>
  <c r="F66" i="14"/>
  <c r="G66" i="14"/>
  <c r="H66" i="14"/>
  <c r="I66" i="14"/>
  <c r="J66" i="14"/>
  <c r="K66" i="14"/>
  <c r="L66" i="14"/>
  <c r="M66" i="14"/>
  <c r="N66" i="14"/>
  <c r="O66" i="14"/>
  <c r="Q66" i="14"/>
  <c r="S66" i="14"/>
  <c r="D67" i="14"/>
  <c r="F67" i="14"/>
  <c r="G67" i="14"/>
  <c r="H67" i="14"/>
  <c r="I67" i="14"/>
  <c r="J67" i="14"/>
  <c r="K67" i="14"/>
  <c r="L67" i="14"/>
  <c r="M67" i="14"/>
  <c r="N67" i="14"/>
  <c r="O67" i="14"/>
  <c r="Q67" i="14"/>
  <c r="S67" i="14"/>
  <c r="D68" i="14"/>
  <c r="F68" i="14"/>
  <c r="G68" i="14"/>
  <c r="H68" i="14"/>
  <c r="I68" i="14"/>
  <c r="J68" i="14"/>
  <c r="K68" i="14"/>
  <c r="L68" i="14"/>
  <c r="M68" i="14"/>
  <c r="N68" i="14"/>
  <c r="O68" i="14"/>
  <c r="S68" i="14"/>
  <c r="D70" i="14"/>
  <c r="F70" i="14"/>
  <c r="G70" i="14"/>
  <c r="H70" i="14"/>
  <c r="I70" i="14"/>
  <c r="J70" i="14"/>
  <c r="K70" i="14"/>
  <c r="L70" i="14"/>
  <c r="M70" i="14"/>
  <c r="N70" i="14"/>
  <c r="O70" i="14"/>
  <c r="Q70" i="14"/>
  <c r="S70" i="14"/>
  <c r="D72" i="14"/>
  <c r="F72" i="14"/>
  <c r="G72" i="14"/>
  <c r="H72" i="14"/>
  <c r="I72" i="14"/>
  <c r="J72" i="14"/>
  <c r="K72" i="14"/>
  <c r="L72" i="14"/>
  <c r="M72" i="14"/>
  <c r="N72" i="14"/>
  <c r="O72" i="14"/>
  <c r="S72" i="14"/>
  <c r="D78" i="14"/>
  <c r="F78" i="14"/>
  <c r="G78" i="14"/>
  <c r="H78" i="14"/>
  <c r="I78" i="14"/>
  <c r="J78" i="14"/>
  <c r="K78" i="14"/>
  <c r="L78" i="14"/>
  <c r="M78" i="14"/>
  <c r="N78" i="14"/>
  <c r="O78" i="14"/>
  <c r="Q78" i="14"/>
  <c r="S78" i="14"/>
  <c r="D79" i="14"/>
  <c r="F79" i="14"/>
  <c r="G79" i="14"/>
  <c r="H79" i="14"/>
  <c r="I79" i="14"/>
  <c r="J79" i="14"/>
  <c r="K79" i="14"/>
  <c r="L79" i="14"/>
  <c r="M79" i="14"/>
  <c r="N79" i="14"/>
  <c r="O79" i="14"/>
  <c r="Q79" i="14"/>
  <c r="S79" i="14"/>
  <c r="D82" i="14"/>
  <c r="F82" i="14"/>
  <c r="G82" i="14"/>
  <c r="H82" i="14"/>
  <c r="I82" i="14"/>
  <c r="J82" i="14"/>
  <c r="K82" i="14"/>
  <c r="L82" i="14"/>
  <c r="M82" i="14"/>
  <c r="N82" i="14"/>
  <c r="O82" i="14"/>
  <c r="Q82" i="14"/>
  <c r="S82" i="14"/>
  <c r="D83" i="14"/>
  <c r="F83" i="14"/>
  <c r="G83" i="14"/>
  <c r="H83" i="14"/>
  <c r="I83" i="14"/>
  <c r="J83" i="14"/>
  <c r="K83" i="14"/>
  <c r="L83" i="14"/>
  <c r="M83" i="14"/>
  <c r="N83" i="14"/>
  <c r="O83" i="14"/>
  <c r="Q83" i="14"/>
  <c r="S83" i="14"/>
  <c r="D85" i="14"/>
  <c r="F85" i="14"/>
  <c r="G85" i="14"/>
  <c r="H85" i="14"/>
  <c r="I85" i="14"/>
  <c r="J85" i="14"/>
  <c r="K85" i="14"/>
  <c r="L85" i="14"/>
  <c r="M85" i="14"/>
  <c r="N85" i="14"/>
  <c r="O85" i="14"/>
  <c r="S85" i="14"/>
  <c r="D87" i="14"/>
  <c r="F87" i="14"/>
  <c r="G87" i="14"/>
  <c r="H87" i="14"/>
  <c r="I87" i="14"/>
  <c r="J87" i="14"/>
  <c r="K87" i="14"/>
  <c r="L87" i="14"/>
  <c r="M87" i="14"/>
  <c r="N87" i="14"/>
  <c r="O87" i="14"/>
  <c r="Q87" i="14"/>
  <c r="S87" i="14"/>
  <c r="D94" i="14"/>
  <c r="F94" i="14"/>
  <c r="G94" i="14"/>
  <c r="H94" i="14"/>
  <c r="I94" i="14"/>
  <c r="J94" i="14"/>
  <c r="K94" i="14"/>
  <c r="L94" i="14"/>
  <c r="M94" i="14"/>
  <c r="N94" i="14"/>
  <c r="O94" i="14"/>
  <c r="Q94" i="14"/>
  <c r="S94" i="14"/>
  <c r="D99" i="14"/>
  <c r="F99" i="14"/>
  <c r="G99" i="14"/>
  <c r="H99" i="14"/>
  <c r="I99" i="14"/>
  <c r="J99" i="14"/>
  <c r="K99" i="14"/>
  <c r="L99" i="14"/>
  <c r="M99" i="14"/>
  <c r="N99" i="14"/>
  <c r="O99" i="14"/>
  <c r="S99" i="14"/>
  <c r="D101" i="14"/>
  <c r="F101" i="14"/>
  <c r="G101" i="14"/>
  <c r="H101" i="14"/>
  <c r="I101" i="14"/>
  <c r="J101" i="14"/>
  <c r="K101" i="14"/>
  <c r="L101" i="14"/>
  <c r="M101" i="14"/>
  <c r="N101" i="14"/>
  <c r="O101" i="14"/>
  <c r="Q101" i="14"/>
  <c r="S101" i="14"/>
  <c r="D118" i="14"/>
  <c r="F118" i="14"/>
  <c r="G118" i="14"/>
  <c r="H118" i="14"/>
  <c r="I118" i="14"/>
  <c r="J118" i="14"/>
  <c r="K118" i="14"/>
  <c r="L118" i="14"/>
  <c r="M118" i="14"/>
  <c r="N118" i="14"/>
  <c r="O118" i="14"/>
  <c r="Q118" i="14"/>
  <c r="S118" i="14"/>
  <c r="D120" i="14"/>
  <c r="F120" i="14"/>
  <c r="G120" i="14"/>
  <c r="H120" i="14"/>
  <c r="I120" i="14"/>
  <c r="J120" i="14"/>
  <c r="K120" i="14"/>
  <c r="L120" i="14"/>
  <c r="M120" i="14"/>
  <c r="N120" i="14"/>
  <c r="O120" i="14"/>
  <c r="Q120" i="14"/>
  <c r="S120" i="14"/>
  <c r="D121" i="14"/>
  <c r="F121" i="14"/>
  <c r="G121" i="14"/>
  <c r="H121" i="14"/>
  <c r="I121" i="14"/>
  <c r="J121" i="14"/>
  <c r="K121" i="14"/>
  <c r="L121" i="14"/>
  <c r="M121" i="14"/>
  <c r="N121" i="14"/>
  <c r="O121" i="14"/>
  <c r="Q121" i="14"/>
  <c r="S121" i="14"/>
  <c r="D122" i="14"/>
  <c r="F122" i="14"/>
  <c r="G122" i="14"/>
  <c r="H122" i="14"/>
  <c r="I122" i="14"/>
  <c r="J122" i="14"/>
  <c r="K122" i="14"/>
  <c r="L122" i="14"/>
  <c r="M122" i="14"/>
  <c r="N122" i="14"/>
  <c r="O122" i="14"/>
  <c r="S122" i="14"/>
  <c r="D124" i="14"/>
  <c r="F124" i="14"/>
  <c r="G124" i="14"/>
  <c r="H124" i="14"/>
  <c r="I124" i="14"/>
  <c r="J124" i="14"/>
  <c r="K124" i="14"/>
  <c r="L124" i="14"/>
  <c r="M124" i="14"/>
  <c r="N124" i="14"/>
  <c r="O124" i="14"/>
  <c r="S124" i="14"/>
  <c r="D125" i="14"/>
  <c r="F125" i="14"/>
  <c r="G125" i="14"/>
  <c r="H125" i="14"/>
  <c r="I125" i="14"/>
  <c r="J125" i="14"/>
  <c r="K125" i="14"/>
  <c r="L125" i="14"/>
  <c r="M125" i="14"/>
  <c r="N125" i="14"/>
  <c r="O125" i="14"/>
  <c r="Q125" i="14"/>
  <c r="S125" i="14"/>
  <c r="D126" i="14"/>
  <c r="F126" i="14"/>
  <c r="G126" i="14"/>
  <c r="H126" i="14"/>
  <c r="I126" i="14"/>
  <c r="J126" i="14"/>
  <c r="K126" i="14"/>
  <c r="L126" i="14"/>
  <c r="M126" i="14"/>
  <c r="N126" i="14"/>
  <c r="O126" i="14"/>
  <c r="Q126" i="14"/>
  <c r="S126" i="14"/>
  <c r="D127" i="14"/>
  <c r="F127" i="14"/>
  <c r="G127" i="14"/>
  <c r="H127" i="14"/>
  <c r="I127" i="14"/>
  <c r="J127" i="14"/>
  <c r="K127" i="14"/>
  <c r="L127" i="14"/>
  <c r="M127" i="14"/>
  <c r="N127" i="14"/>
  <c r="O127" i="14"/>
  <c r="S127" i="14"/>
  <c r="D130" i="14"/>
  <c r="F130" i="14"/>
  <c r="G130" i="14"/>
  <c r="H130" i="14"/>
  <c r="I130" i="14"/>
  <c r="J130" i="14"/>
  <c r="K130" i="14"/>
  <c r="L130" i="14"/>
  <c r="M130" i="14"/>
  <c r="N130" i="14"/>
  <c r="O130" i="14"/>
  <c r="S130" i="14"/>
  <c r="D131" i="14"/>
  <c r="F131" i="14"/>
  <c r="G131" i="14"/>
  <c r="H131" i="14"/>
  <c r="I131" i="14"/>
  <c r="J131" i="14"/>
  <c r="K131" i="14"/>
  <c r="L131" i="14"/>
  <c r="M131" i="14"/>
  <c r="N131" i="14"/>
  <c r="O131" i="14"/>
  <c r="Q131" i="14"/>
  <c r="S131" i="14"/>
  <c r="D132" i="14"/>
  <c r="F132" i="14"/>
  <c r="G132" i="14"/>
  <c r="H132" i="14"/>
  <c r="I132" i="14"/>
  <c r="J132" i="14"/>
  <c r="K132" i="14"/>
  <c r="L132" i="14"/>
  <c r="M132" i="14"/>
  <c r="N132" i="14"/>
  <c r="O132" i="14"/>
  <c r="Q132" i="14"/>
  <c r="S132" i="14"/>
  <c r="D133" i="14"/>
  <c r="F133" i="14"/>
  <c r="G133" i="14"/>
  <c r="H133" i="14"/>
  <c r="I133" i="14"/>
  <c r="J133" i="14"/>
  <c r="K133" i="14"/>
  <c r="L133" i="14"/>
  <c r="M133" i="14"/>
  <c r="N133" i="14"/>
  <c r="O133" i="14"/>
  <c r="S133" i="14"/>
  <c r="D135" i="14"/>
  <c r="F135" i="14"/>
  <c r="G135" i="14"/>
  <c r="H135" i="14"/>
  <c r="I135" i="14"/>
  <c r="J135" i="14"/>
  <c r="K135" i="14"/>
  <c r="L135" i="14"/>
  <c r="M135" i="14"/>
  <c r="N135" i="14"/>
  <c r="O135" i="14"/>
  <c r="S135" i="14"/>
  <c r="D136" i="14"/>
  <c r="F136" i="14"/>
  <c r="G136" i="14"/>
  <c r="H136" i="14"/>
  <c r="I136" i="14"/>
  <c r="J136" i="14"/>
  <c r="K136" i="14"/>
  <c r="L136" i="14"/>
  <c r="M136" i="14"/>
  <c r="N136" i="14"/>
  <c r="O136" i="14"/>
  <c r="Q136" i="14"/>
  <c r="S136" i="14"/>
  <c r="D137" i="14"/>
  <c r="F137" i="14"/>
  <c r="G137" i="14"/>
  <c r="H137" i="14"/>
  <c r="I137" i="14"/>
  <c r="J137" i="14"/>
  <c r="K137" i="14"/>
  <c r="L137" i="14"/>
  <c r="M137" i="14"/>
  <c r="N137" i="14"/>
  <c r="O137" i="14"/>
  <c r="S137" i="14"/>
  <c r="D138" i="14"/>
  <c r="F138" i="14"/>
  <c r="G138" i="14"/>
  <c r="H138" i="14"/>
  <c r="I138" i="14"/>
  <c r="J138" i="14"/>
  <c r="K138" i="14"/>
  <c r="L138" i="14"/>
  <c r="M138" i="14"/>
  <c r="N138" i="14"/>
  <c r="O138" i="14"/>
  <c r="S138" i="14"/>
  <c r="H16" i="20"/>
  <c r="I16" i="20"/>
  <c r="J16" i="20"/>
  <c r="K16" i="20"/>
  <c r="L16" i="20"/>
  <c r="M16" i="20"/>
  <c r="N16" i="20"/>
  <c r="O16" i="20"/>
  <c r="P16" i="20"/>
  <c r="Q16" i="20"/>
  <c r="R16" i="20"/>
  <c r="T16" i="20"/>
  <c r="H17" i="20"/>
  <c r="I17" i="20"/>
  <c r="J17" i="20"/>
  <c r="K17" i="20"/>
  <c r="L17" i="20"/>
  <c r="M17" i="20"/>
  <c r="N17" i="20"/>
  <c r="O17" i="20"/>
  <c r="P17" i="20"/>
  <c r="Q17" i="20"/>
  <c r="R17" i="20"/>
  <c r="T17" i="20"/>
  <c r="H18" i="20"/>
  <c r="I18" i="20"/>
  <c r="J18" i="20"/>
  <c r="K18" i="20"/>
  <c r="L18" i="20"/>
  <c r="M18" i="20"/>
  <c r="N18" i="20"/>
  <c r="O18" i="20"/>
  <c r="P18" i="20"/>
  <c r="Q18" i="20"/>
  <c r="R18" i="20"/>
  <c r="T18" i="20"/>
  <c r="H19" i="20"/>
  <c r="I19" i="20"/>
  <c r="J19" i="20"/>
  <c r="K19" i="20"/>
  <c r="L19" i="20"/>
  <c r="M19" i="20"/>
  <c r="N19" i="20"/>
  <c r="O19" i="20"/>
  <c r="P19" i="20"/>
  <c r="Q19" i="20"/>
  <c r="R19" i="20"/>
  <c r="T19" i="20"/>
  <c r="H25" i="20"/>
  <c r="I25" i="20"/>
  <c r="J25" i="20"/>
  <c r="K25" i="20"/>
  <c r="L25" i="20"/>
  <c r="M25" i="20"/>
  <c r="N25" i="20"/>
  <c r="O25" i="20"/>
  <c r="P25" i="20"/>
  <c r="Q25" i="20"/>
  <c r="R25" i="20"/>
  <c r="N199" i="44"/>
  <c r="N214" i="44"/>
  <c r="N215" i="44"/>
  <c r="N216" i="44"/>
  <c r="J15" i="13"/>
  <c r="K15" i="13"/>
  <c r="L15" i="13"/>
  <c r="M15" i="13"/>
  <c r="N15" i="13"/>
  <c r="O15" i="13"/>
  <c r="P15" i="13"/>
  <c r="Q15" i="13"/>
  <c r="R15" i="13"/>
  <c r="S15" i="13"/>
  <c r="U15" i="13"/>
  <c r="X15" i="13"/>
  <c r="J17" i="13"/>
  <c r="K17" i="13"/>
  <c r="L17" i="13"/>
  <c r="M17" i="13"/>
  <c r="N17" i="13"/>
  <c r="O17" i="13"/>
  <c r="P17" i="13"/>
  <c r="Q17" i="13"/>
  <c r="R17" i="13"/>
  <c r="S17" i="13"/>
  <c r="U17" i="13"/>
  <c r="X17" i="13"/>
  <c r="J18" i="13"/>
  <c r="K18" i="13"/>
  <c r="L18" i="13"/>
  <c r="M18" i="13"/>
  <c r="N18" i="13"/>
  <c r="O18" i="13"/>
  <c r="P18" i="13"/>
  <c r="Q18" i="13"/>
  <c r="R18" i="13"/>
  <c r="S18" i="13"/>
  <c r="U18" i="13"/>
  <c r="X18" i="13"/>
  <c r="Y18" i="13"/>
  <c r="J20" i="13"/>
  <c r="K20" i="13"/>
  <c r="L20" i="13"/>
  <c r="M20" i="13"/>
  <c r="N20" i="13"/>
  <c r="O20" i="13"/>
  <c r="P20" i="13"/>
  <c r="Q20" i="13"/>
  <c r="R20" i="13"/>
  <c r="S20" i="13"/>
  <c r="U20" i="13"/>
  <c r="X20" i="13"/>
  <c r="J21" i="13"/>
  <c r="K21" i="13"/>
  <c r="L21" i="13"/>
  <c r="M21" i="13"/>
  <c r="N21" i="13"/>
  <c r="O21" i="13"/>
  <c r="P21" i="13"/>
  <c r="Q21" i="13"/>
  <c r="R21" i="13"/>
  <c r="S21" i="13"/>
  <c r="U21" i="13"/>
  <c r="X21" i="13"/>
  <c r="J22" i="13"/>
  <c r="K22" i="13"/>
  <c r="L22" i="13"/>
  <c r="M22" i="13"/>
  <c r="N22" i="13"/>
  <c r="O22" i="13"/>
  <c r="P22" i="13"/>
  <c r="Q22" i="13"/>
  <c r="R22" i="13"/>
  <c r="S22" i="13"/>
  <c r="U22" i="13"/>
  <c r="X22" i="13"/>
  <c r="Y22" i="13"/>
  <c r="J24" i="13"/>
  <c r="K24" i="13"/>
  <c r="L24" i="13"/>
  <c r="M24" i="13"/>
  <c r="N24" i="13"/>
  <c r="O24" i="13"/>
  <c r="P24" i="13"/>
  <c r="Q24" i="13"/>
  <c r="R24" i="13"/>
  <c r="S24" i="13"/>
  <c r="U24" i="13"/>
  <c r="X24" i="13"/>
  <c r="Y24" i="13"/>
  <c r="J25" i="13"/>
  <c r="K25" i="13"/>
  <c r="L25" i="13"/>
  <c r="M25" i="13"/>
  <c r="N25" i="13"/>
  <c r="O25" i="13"/>
  <c r="P25" i="13"/>
  <c r="Q25" i="13"/>
  <c r="R25" i="13"/>
  <c r="S25" i="13"/>
  <c r="U25" i="13"/>
  <c r="X25" i="13"/>
  <c r="Y25" i="13"/>
  <c r="J27" i="13"/>
  <c r="K27" i="13"/>
  <c r="L27" i="13"/>
  <c r="M27" i="13"/>
  <c r="N27" i="13"/>
  <c r="O27" i="13"/>
  <c r="P27" i="13"/>
  <c r="Q27" i="13"/>
  <c r="R27" i="13"/>
  <c r="S27" i="13"/>
  <c r="U27" i="13"/>
  <c r="X27" i="13"/>
  <c r="Y27" i="13"/>
  <c r="J29" i="13"/>
  <c r="K29" i="13"/>
  <c r="L29" i="13"/>
  <c r="M29" i="13"/>
  <c r="N29" i="13"/>
  <c r="O29" i="13"/>
  <c r="P29" i="13"/>
  <c r="Q29" i="13"/>
  <c r="R29" i="13"/>
  <c r="S29" i="13"/>
  <c r="U29" i="13"/>
  <c r="X29" i="13"/>
  <c r="Y29" i="13"/>
  <c r="J31" i="13"/>
  <c r="K31" i="13"/>
  <c r="L31" i="13"/>
  <c r="M31" i="13"/>
  <c r="N31" i="13"/>
  <c r="O31" i="13"/>
  <c r="P31" i="13"/>
  <c r="Q31" i="13"/>
  <c r="R31" i="13"/>
  <c r="S31" i="13"/>
  <c r="U31" i="13"/>
  <c r="X31" i="13"/>
  <c r="Y31" i="13"/>
  <c r="J33" i="13"/>
  <c r="K33" i="13"/>
  <c r="L33" i="13"/>
  <c r="M33" i="13"/>
  <c r="N33" i="13"/>
  <c r="O33" i="13"/>
  <c r="P33" i="13"/>
  <c r="Q33" i="13"/>
  <c r="R33" i="13"/>
  <c r="S33" i="13"/>
  <c r="U33" i="13"/>
  <c r="W33" i="13"/>
  <c r="X33" i="13"/>
  <c r="Y33" i="13"/>
  <c r="J37" i="13"/>
  <c r="K37" i="13"/>
  <c r="L37" i="13"/>
  <c r="M37" i="13"/>
  <c r="N37" i="13"/>
  <c r="O37" i="13"/>
  <c r="P37" i="13"/>
  <c r="Q37" i="13"/>
  <c r="R37" i="13"/>
  <c r="S37" i="13"/>
  <c r="U37" i="13"/>
  <c r="X37" i="13"/>
  <c r="J39" i="13"/>
  <c r="K39" i="13"/>
  <c r="L39" i="13"/>
  <c r="M39" i="13"/>
  <c r="N39" i="13"/>
  <c r="O39" i="13"/>
  <c r="P39" i="13"/>
  <c r="Q39" i="13"/>
  <c r="R39" i="13"/>
  <c r="S39" i="13"/>
  <c r="U39" i="13"/>
  <c r="X39" i="13"/>
  <c r="Y39" i="13"/>
  <c r="W40" i="13"/>
  <c r="J53" i="13"/>
  <c r="K53" i="13"/>
  <c r="L53" i="13"/>
  <c r="M53" i="13"/>
  <c r="N53" i="13"/>
  <c r="O53" i="13"/>
  <c r="P53" i="13"/>
  <c r="Q53" i="13"/>
  <c r="R53" i="13"/>
  <c r="S53" i="13"/>
  <c r="U53" i="13"/>
  <c r="X53" i="13"/>
  <c r="J54" i="13"/>
  <c r="K54" i="13"/>
  <c r="L54" i="13"/>
  <c r="M54" i="13"/>
  <c r="N54" i="13"/>
  <c r="O54" i="13"/>
  <c r="P54" i="13"/>
  <c r="Q54" i="13"/>
  <c r="R54" i="13"/>
  <c r="S54" i="13"/>
  <c r="U54" i="13"/>
  <c r="X54" i="13"/>
  <c r="J55" i="13"/>
  <c r="K55" i="13"/>
  <c r="L55" i="13"/>
  <c r="M55" i="13"/>
  <c r="N55" i="13"/>
  <c r="O55" i="13"/>
  <c r="P55" i="13"/>
  <c r="Q55" i="13"/>
  <c r="R55" i="13"/>
  <c r="S55" i="13"/>
  <c r="U55" i="13"/>
  <c r="X55" i="13"/>
  <c r="J56" i="13"/>
  <c r="K56" i="13"/>
  <c r="L56" i="13"/>
  <c r="M56" i="13"/>
  <c r="N56" i="13"/>
  <c r="O56" i="13"/>
  <c r="P56" i="13"/>
  <c r="Q56" i="13"/>
  <c r="R56" i="13"/>
  <c r="S56" i="13"/>
  <c r="U56" i="13"/>
  <c r="X56" i="13"/>
  <c r="J58" i="13"/>
  <c r="K58" i="13"/>
  <c r="L58" i="13"/>
  <c r="M58" i="13"/>
  <c r="N58" i="13"/>
  <c r="O58" i="13"/>
  <c r="P58" i="13"/>
  <c r="Q58" i="13"/>
  <c r="R58" i="13"/>
  <c r="S58" i="13"/>
  <c r="U58" i="13"/>
  <c r="X58" i="13"/>
  <c r="J59" i="13"/>
  <c r="K59" i="13"/>
  <c r="L59" i="13"/>
  <c r="M59" i="13"/>
  <c r="N59" i="13"/>
  <c r="O59" i="13"/>
  <c r="P59" i="13"/>
  <c r="Q59" i="13"/>
  <c r="R59" i="13"/>
  <c r="S59" i="13"/>
  <c r="U59" i="13"/>
  <c r="X59" i="13"/>
  <c r="J60" i="13"/>
  <c r="K60" i="13"/>
  <c r="L60" i="13"/>
  <c r="M60" i="13"/>
  <c r="N60" i="13"/>
  <c r="O60" i="13"/>
  <c r="P60" i="13"/>
  <c r="Q60" i="13"/>
  <c r="R60" i="13"/>
  <c r="S60" i="13"/>
  <c r="U60" i="13"/>
  <c r="X60" i="13"/>
  <c r="J62" i="13"/>
  <c r="K62" i="13"/>
  <c r="L62" i="13"/>
  <c r="M62" i="13"/>
  <c r="N62" i="13"/>
  <c r="O62" i="13"/>
  <c r="P62" i="13"/>
  <c r="Q62" i="13"/>
  <c r="R62" i="13"/>
  <c r="S62" i="13"/>
  <c r="U62" i="13"/>
  <c r="X62" i="13"/>
  <c r="J64" i="13"/>
  <c r="K64" i="13"/>
  <c r="L64" i="13"/>
  <c r="M64" i="13"/>
  <c r="N64" i="13"/>
  <c r="O64" i="13"/>
  <c r="P64" i="13"/>
  <c r="Q64" i="13"/>
  <c r="R64" i="13"/>
  <c r="S64" i="13"/>
  <c r="U64" i="13"/>
  <c r="X64" i="13"/>
  <c r="J71" i="13"/>
  <c r="K71" i="13"/>
  <c r="L71" i="13"/>
  <c r="M71" i="13"/>
  <c r="N71" i="13"/>
  <c r="O71" i="13"/>
  <c r="P71" i="13"/>
  <c r="Q71" i="13"/>
  <c r="R71" i="13"/>
  <c r="S71" i="13"/>
  <c r="U71" i="13"/>
  <c r="X71" i="13"/>
  <c r="J72" i="13"/>
  <c r="K72" i="13"/>
  <c r="L72" i="13"/>
  <c r="M72" i="13"/>
  <c r="N72" i="13"/>
  <c r="O72" i="13"/>
  <c r="P72" i="13"/>
  <c r="Q72" i="13"/>
  <c r="R72" i="13"/>
  <c r="S72" i="13"/>
  <c r="U72" i="13"/>
  <c r="X72" i="13"/>
  <c r="J75" i="13"/>
  <c r="K75" i="13"/>
  <c r="L75" i="13"/>
  <c r="M75" i="13"/>
  <c r="N75" i="13"/>
  <c r="O75" i="13"/>
  <c r="P75" i="13"/>
  <c r="Q75" i="13"/>
  <c r="R75" i="13"/>
  <c r="S75" i="13"/>
  <c r="U75" i="13"/>
  <c r="X75" i="13"/>
  <c r="J76" i="13"/>
  <c r="K76" i="13"/>
  <c r="L76" i="13"/>
  <c r="M76" i="13"/>
  <c r="N76" i="13"/>
  <c r="O76" i="13"/>
  <c r="P76" i="13"/>
  <c r="Q76" i="13"/>
  <c r="R76" i="13"/>
  <c r="S76" i="13"/>
  <c r="U76" i="13"/>
  <c r="X76" i="13"/>
  <c r="J77" i="13"/>
  <c r="K77" i="13"/>
  <c r="L77" i="13"/>
  <c r="M77" i="13"/>
  <c r="N77" i="13"/>
  <c r="O77" i="13"/>
  <c r="P77" i="13"/>
  <c r="Q77" i="13"/>
  <c r="R77" i="13"/>
  <c r="S77" i="13"/>
  <c r="U77" i="13"/>
  <c r="X77" i="13"/>
  <c r="J79" i="13"/>
  <c r="K79" i="13"/>
  <c r="L79" i="13"/>
  <c r="M79" i="13"/>
  <c r="N79" i="13"/>
  <c r="O79" i="13"/>
  <c r="P79" i="13"/>
  <c r="Q79" i="13"/>
  <c r="R79" i="13"/>
  <c r="S79" i="13"/>
  <c r="U79" i="13"/>
  <c r="X79" i="13"/>
  <c r="U81" i="13"/>
  <c r="X81" i="13"/>
  <c r="J83" i="13"/>
  <c r="K83" i="13"/>
  <c r="L83" i="13"/>
  <c r="M83" i="13"/>
  <c r="N83" i="13"/>
  <c r="O83" i="13"/>
  <c r="P83" i="13"/>
  <c r="Q83" i="13"/>
  <c r="R83" i="13"/>
  <c r="S83" i="13"/>
  <c r="U83" i="13"/>
  <c r="X83" i="13"/>
  <c r="J87" i="13"/>
  <c r="K87" i="13"/>
  <c r="L87" i="13"/>
  <c r="M87" i="13"/>
  <c r="N87" i="13"/>
  <c r="O87" i="13"/>
  <c r="P87" i="13"/>
  <c r="Q87" i="13"/>
  <c r="R87" i="13"/>
  <c r="S87" i="13"/>
  <c r="U87" i="13"/>
  <c r="X87" i="13"/>
  <c r="J89" i="13"/>
  <c r="K89" i="13"/>
  <c r="L89" i="13"/>
  <c r="M89" i="13"/>
  <c r="N89" i="13"/>
  <c r="O89" i="13"/>
  <c r="P89" i="13"/>
  <c r="Q89" i="13"/>
  <c r="R89" i="13"/>
  <c r="S89" i="13"/>
  <c r="U89" i="13"/>
  <c r="X89" i="13"/>
  <c r="J103" i="13"/>
  <c r="K103" i="13"/>
  <c r="L103" i="13"/>
  <c r="M103" i="13"/>
  <c r="N103" i="13"/>
  <c r="O103" i="13"/>
  <c r="P103" i="13"/>
  <c r="Q103" i="13"/>
  <c r="R103" i="13"/>
  <c r="S103" i="13"/>
  <c r="U103" i="13"/>
  <c r="X103" i="13"/>
  <c r="J104" i="13"/>
  <c r="K104" i="13"/>
  <c r="L104" i="13"/>
  <c r="M104" i="13"/>
  <c r="N104" i="13"/>
  <c r="O104" i="13"/>
  <c r="P104" i="13"/>
  <c r="Q104" i="13"/>
  <c r="R104" i="13"/>
  <c r="S104" i="13"/>
  <c r="U104" i="13"/>
  <c r="X104" i="13"/>
  <c r="J105" i="13"/>
  <c r="K105" i="13"/>
  <c r="L105" i="13"/>
  <c r="M105" i="13"/>
  <c r="N105" i="13"/>
  <c r="O105" i="13"/>
  <c r="P105" i="13"/>
  <c r="Q105" i="13"/>
  <c r="R105" i="13"/>
  <c r="S105" i="13"/>
  <c r="U105" i="13"/>
  <c r="X105" i="13"/>
  <c r="J106" i="13"/>
  <c r="K106" i="13"/>
  <c r="L106" i="13"/>
  <c r="M106" i="13"/>
  <c r="N106" i="13"/>
  <c r="O106" i="13"/>
  <c r="P106" i="13"/>
  <c r="Q106" i="13"/>
  <c r="R106" i="13"/>
  <c r="S106" i="13"/>
  <c r="U106" i="13"/>
  <c r="X106" i="13"/>
  <c r="J110" i="13"/>
  <c r="K110" i="13"/>
  <c r="L110" i="13"/>
  <c r="M110" i="13"/>
  <c r="N110" i="13"/>
  <c r="O110" i="13"/>
  <c r="P110" i="13"/>
  <c r="Q110" i="13"/>
  <c r="R110" i="13"/>
  <c r="S110" i="13"/>
  <c r="U110" i="13"/>
  <c r="X110" i="13"/>
  <c r="J111" i="13"/>
  <c r="K111" i="13"/>
  <c r="L111" i="13"/>
  <c r="M111" i="13"/>
  <c r="N111" i="13"/>
  <c r="O111" i="13"/>
  <c r="P111" i="13"/>
  <c r="Q111" i="13"/>
  <c r="R111" i="13"/>
  <c r="S111" i="13"/>
  <c r="U111" i="13"/>
  <c r="X111" i="13"/>
  <c r="J112" i="13"/>
  <c r="K112" i="13"/>
  <c r="L112" i="13"/>
  <c r="M112" i="13"/>
  <c r="N112" i="13"/>
  <c r="O112" i="13"/>
  <c r="P112" i="13"/>
  <c r="Q112" i="13"/>
  <c r="R112" i="13"/>
  <c r="S112" i="13"/>
  <c r="U112" i="13"/>
  <c r="X112" i="13"/>
  <c r="J121" i="13"/>
  <c r="K121" i="13"/>
  <c r="L121" i="13"/>
  <c r="M121" i="13"/>
  <c r="N121" i="13"/>
  <c r="O121" i="13"/>
  <c r="P121" i="13"/>
  <c r="Q121" i="13"/>
  <c r="R121" i="13"/>
  <c r="S121" i="13"/>
  <c r="U121" i="13"/>
  <c r="X121" i="13"/>
  <c r="J136" i="13"/>
  <c r="K136" i="13"/>
  <c r="L136" i="13"/>
  <c r="M136" i="13"/>
  <c r="N136" i="13"/>
  <c r="O136" i="13"/>
  <c r="P136" i="13"/>
  <c r="Q136" i="13"/>
  <c r="R136" i="13"/>
  <c r="S136" i="13"/>
  <c r="U136" i="13"/>
  <c r="X136" i="13"/>
  <c r="J137" i="13"/>
  <c r="K137" i="13"/>
  <c r="L137" i="13"/>
  <c r="M137" i="13"/>
  <c r="N137" i="13"/>
  <c r="O137" i="13"/>
  <c r="P137" i="13"/>
  <c r="Q137" i="13"/>
  <c r="R137" i="13"/>
  <c r="S137" i="13"/>
  <c r="U137" i="13"/>
  <c r="X137" i="13"/>
  <c r="J139" i="13"/>
  <c r="K139" i="13"/>
  <c r="L139" i="13"/>
  <c r="M139" i="13"/>
  <c r="N139" i="13"/>
  <c r="O139" i="13"/>
  <c r="P139" i="13"/>
  <c r="Q139" i="13"/>
  <c r="R139" i="13"/>
  <c r="S139" i="13"/>
  <c r="U139" i="13"/>
  <c r="X139" i="13"/>
  <c r="J140" i="13"/>
  <c r="K140" i="13"/>
  <c r="L140" i="13"/>
  <c r="M140" i="13"/>
  <c r="N140" i="13"/>
  <c r="O140" i="13"/>
  <c r="P140" i="13"/>
  <c r="Q140" i="13"/>
  <c r="R140" i="13"/>
  <c r="S140" i="13"/>
  <c r="U140" i="13"/>
  <c r="X140" i="13"/>
  <c r="J141" i="13"/>
  <c r="K141" i="13"/>
  <c r="L141" i="13"/>
  <c r="M141" i="13"/>
  <c r="N141" i="13"/>
  <c r="O141" i="13"/>
  <c r="P141" i="13"/>
  <c r="Q141" i="13"/>
  <c r="R141" i="13"/>
  <c r="S141" i="13"/>
  <c r="U141" i="13"/>
  <c r="X141" i="13"/>
  <c r="J158" i="13"/>
  <c r="K158" i="13"/>
  <c r="L158" i="13"/>
  <c r="M158" i="13"/>
  <c r="N158" i="13"/>
  <c r="O158" i="13"/>
  <c r="P158" i="13"/>
  <c r="Q158" i="13"/>
  <c r="R158" i="13"/>
  <c r="S158" i="13"/>
  <c r="U158" i="13"/>
  <c r="X158" i="13"/>
  <c r="J159" i="13"/>
  <c r="K159" i="13"/>
  <c r="L159" i="13"/>
  <c r="M159" i="13"/>
  <c r="N159" i="13"/>
  <c r="O159" i="13"/>
  <c r="P159" i="13"/>
  <c r="Q159" i="13"/>
  <c r="R159" i="13"/>
  <c r="S159" i="13"/>
  <c r="U159" i="13"/>
  <c r="X159" i="13"/>
  <c r="J167" i="13"/>
  <c r="K167" i="13"/>
  <c r="L167" i="13"/>
  <c r="M167" i="13"/>
  <c r="N167" i="13"/>
  <c r="O167" i="13"/>
  <c r="P167" i="13"/>
  <c r="Q167" i="13"/>
  <c r="R167" i="13"/>
  <c r="S167" i="13"/>
  <c r="U167" i="13"/>
  <c r="X167" i="13"/>
  <c r="J168" i="13"/>
  <c r="K168" i="13"/>
  <c r="L168" i="13"/>
  <c r="M168" i="13"/>
  <c r="N168" i="13"/>
  <c r="O168" i="13"/>
  <c r="P168" i="13"/>
  <c r="Q168" i="13"/>
  <c r="R168" i="13"/>
  <c r="S168" i="13"/>
  <c r="U168" i="13"/>
  <c r="X168" i="13"/>
  <c r="J184" i="13"/>
  <c r="K184" i="13"/>
  <c r="L184" i="13"/>
  <c r="M184" i="13"/>
  <c r="N184" i="13"/>
  <c r="O184" i="13"/>
  <c r="P184" i="13"/>
  <c r="Q184" i="13"/>
  <c r="R184" i="13"/>
  <c r="S184" i="13"/>
  <c r="U184" i="13"/>
  <c r="X184" i="13"/>
  <c r="J185" i="13"/>
  <c r="K185" i="13"/>
  <c r="L185" i="13"/>
  <c r="M185" i="13"/>
  <c r="N185" i="13"/>
  <c r="O185" i="13"/>
  <c r="P185" i="13"/>
  <c r="Q185" i="13"/>
  <c r="R185" i="13"/>
  <c r="S185" i="13"/>
  <c r="U185" i="13"/>
  <c r="X185" i="13"/>
  <c r="J186" i="13"/>
  <c r="K186" i="13"/>
  <c r="L186" i="13"/>
  <c r="M186" i="13"/>
  <c r="N186" i="13"/>
  <c r="O186" i="13"/>
  <c r="P186" i="13"/>
  <c r="Q186" i="13"/>
  <c r="R186" i="13"/>
  <c r="S186" i="13"/>
  <c r="U186" i="13"/>
  <c r="X186" i="13"/>
  <c r="J187" i="13"/>
  <c r="K187" i="13"/>
  <c r="L187" i="13"/>
  <c r="M187" i="13"/>
  <c r="N187" i="13"/>
  <c r="O187" i="13"/>
  <c r="P187" i="13"/>
  <c r="Q187" i="13"/>
  <c r="R187" i="13"/>
  <c r="S187" i="13"/>
  <c r="U187" i="13"/>
  <c r="X187" i="13"/>
  <c r="J188" i="13"/>
  <c r="K188" i="13"/>
  <c r="L188" i="13"/>
  <c r="M188" i="13"/>
  <c r="N188" i="13"/>
  <c r="O188" i="13"/>
  <c r="P188" i="13"/>
  <c r="Q188" i="13"/>
  <c r="R188" i="13"/>
  <c r="S188" i="13"/>
  <c r="U188" i="13"/>
  <c r="X188" i="13"/>
  <c r="J189" i="13"/>
  <c r="K189" i="13"/>
  <c r="L189" i="13"/>
  <c r="M189" i="13"/>
  <c r="N189" i="13"/>
  <c r="O189" i="13"/>
  <c r="P189" i="13"/>
  <c r="Q189" i="13"/>
  <c r="R189" i="13"/>
  <c r="S189" i="13"/>
  <c r="U189" i="13"/>
  <c r="X189" i="13"/>
  <c r="J190" i="13"/>
  <c r="K190" i="13"/>
  <c r="L190" i="13"/>
  <c r="M190" i="13"/>
  <c r="N190" i="13"/>
  <c r="O190" i="13"/>
  <c r="P190" i="13"/>
  <c r="Q190" i="13"/>
  <c r="R190" i="13"/>
  <c r="S190" i="13"/>
  <c r="U190" i="13"/>
  <c r="X190" i="13"/>
  <c r="J191" i="13"/>
  <c r="K191" i="13"/>
  <c r="L191" i="13"/>
  <c r="M191" i="13"/>
  <c r="N191" i="13"/>
  <c r="O191" i="13"/>
  <c r="P191" i="13"/>
  <c r="Q191" i="13"/>
  <c r="R191" i="13"/>
  <c r="S191" i="13"/>
  <c r="U191" i="13"/>
  <c r="X191" i="13"/>
  <c r="J192" i="13"/>
  <c r="K192" i="13"/>
  <c r="L192" i="13"/>
  <c r="M192" i="13"/>
  <c r="N192" i="13"/>
  <c r="O192" i="13"/>
  <c r="P192" i="13"/>
  <c r="Q192" i="13"/>
  <c r="R192" i="13"/>
  <c r="S192" i="13"/>
  <c r="U192" i="13"/>
  <c r="X192" i="13"/>
  <c r="J193" i="13"/>
  <c r="K193" i="13"/>
  <c r="L193" i="13"/>
  <c r="M193" i="13"/>
  <c r="N193" i="13"/>
  <c r="O193" i="13"/>
  <c r="P193" i="13"/>
  <c r="Q193" i="13"/>
  <c r="R193" i="13"/>
  <c r="S193" i="13"/>
  <c r="U193" i="13"/>
  <c r="X193" i="13"/>
  <c r="J195" i="13"/>
  <c r="K195" i="13"/>
  <c r="L195" i="13"/>
  <c r="M195" i="13"/>
  <c r="N195" i="13"/>
  <c r="O195" i="13"/>
  <c r="P195" i="13"/>
  <c r="Q195" i="13"/>
  <c r="R195" i="13"/>
  <c r="S195" i="13"/>
  <c r="U195" i="13"/>
  <c r="X195" i="13"/>
  <c r="J196" i="13"/>
  <c r="K196" i="13"/>
  <c r="L196" i="13"/>
  <c r="M196" i="13"/>
  <c r="N196" i="13"/>
  <c r="O196" i="13"/>
  <c r="P196" i="13"/>
  <c r="Q196" i="13"/>
  <c r="R196" i="13"/>
  <c r="S196" i="13"/>
  <c r="U196" i="13"/>
  <c r="X196" i="13"/>
  <c r="J197" i="13"/>
  <c r="K197" i="13"/>
  <c r="L197" i="13"/>
  <c r="M197" i="13"/>
  <c r="N197" i="13"/>
  <c r="O197" i="13"/>
  <c r="P197" i="13"/>
  <c r="Q197" i="13"/>
  <c r="R197" i="13"/>
  <c r="S197" i="13"/>
  <c r="U197" i="13"/>
  <c r="X197" i="13"/>
  <c r="J199" i="13"/>
  <c r="K199" i="13"/>
  <c r="L199" i="13"/>
  <c r="M199" i="13"/>
  <c r="N199" i="13"/>
  <c r="O199" i="13"/>
  <c r="P199" i="13"/>
  <c r="Q199" i="13"/>
  <c r="R199" i="13"/>
  <c r="S199" i="13"/>
  <c r="U199" i="13"/>
  <c r="X199" i="13"/>
  <c r="J214" i="13"/>
  <c r="K214" i="13"/>
  <c r="L214" i="13"/>
  <c r="M214" i="13"/>
  <c r="N214" i="13"/>
  <c r="O214" i="13"/>
  <c r="P214" i="13"/>
  <c r="Q214" i="13"/>
  <c r="R214" i="13"/>
  <c r="S214" i="13"/>
  <c r="U214" i="13"/>
  <c r="J215" i="13"/>
  <c r="K215" i="13"/>
  <c r="L215" i="13"/>
  <c r="M215" i="13"/>
  <c r="N215" i="13"/>
  <c r="O215" i="13"/>
  <c r="P215" i="13"/>
  <c r="Q215" i="13"/>
  <c r="R215" i="13"/>
  <c r="S215" i="13"/>
  <c r="U215" i="13"/>
  <c r="J216" i="13"/>
  <c r="K216" i="13"/>
  <c r="L216" i="13"/>
  <c r="M216" i="13"/>
  <c r="N216" i="13"/>
  <c r="O216" i="13"/>
  <c r="P216" i="13"/>
  <c r="Q216" i="13"/>
  <c r="R216" i="13"/>
  <c r="S216" i="13"/>
  <c r="U216" i="13"/>
  <c r="X216" i="13"/>
  <c r="J217" i="13"/>
  <c r="K217" i="13"/>
  <c r="L217" i="13"/>
  <c r="M217" i="13"/>
  <c r="N217" i="13"/>
  <c r="O217" i="13"/>
  <c r="P217" i="13"/>
  <c r="Q217" i="13"/>
  <c r="R217" i="13"/>
  <c r="S217" i="13"/>
  <c r="U217" i="13"/>
  <c r="X217" i="13"/>
  <c r="J219" i="13"/>
  <c r="K219" i="13"/>
  <c r="L219" i="13"/>
  <c r="M219" i="13"/>
  <c r="N219" i="13"/>
  <c r="O219" i="13"/>
  <c r="P219" i="13"/>
  <c r="Q219" i="13"/>
  <c r="R219" i="13"/>
  <c r="S219" i="13"/>
  <c r="U219" i="13"/>
  <c r="X219" i="13"/>
  <c r="J221" i="13"/>
  <c r="K221" i="13"/>
  <c r="L221" i="13"/>
  <c r="M221" i="13"/>
  <c r="N221" i="13"/>
  <c r="O221" i="13"/>
  <c r="P221" i="13"/>
  <c r="Q221" i="13"/>
  <c r="R221" i="13"/>
  <c r="S221" i="13"/>
  <c r="U221" i="13"/>
  <c r="X221" i="13"/>
  <c r="J223" i="13"/>
  <c r="K223" i="13"/>
  <c r="L223" i="13"/>
  <c r="M223" i="13"/>
  <c r="N223" i="13"/>
  <c r="O223" i="13"/>
  <c r="P223" i="13"/>
  <c r="Q223" i="13"/>
  <c r="R223" i="13"/>
  <c r="S223" i="13"/>
  <c r="U223" i="13"/>
  <c r="X223" i="13"/>
  <c r="J225" i="13"/>
  <c r="K225" i="13"/>
  <c r="L225" i="13"/>
  <c r="M225" i="13"/>
  <c r="N225" i="13"/>
  <c r="O225" i="13"/>
  <c r="P225" i="13"/>
  <c r="Q225" i="13"/>
  <c r="R225" i="13"/>
  <c r="S225" i="13"/>
  <c r="U225" i="13"/>
  <c r="X225" i="13"/>
  <c r="J258" i="13"/>
  <c r="K258" i="13"/>
  <c r="L258" i="13"/>
  <c r="M258" i="13"/>
  <c r="N258" i="13"/>
  <c r="O258" i="13"/>
  <c r="P258" i="13"/>
  <c r="Q258" i="13"/>
  <c r="R258" i="13"/>
  <c r="S258" i="13"/>
  <c r="U258" i="13"/>
  <c r="X258" i="13"/>
  <c r="J259" i="13"/>
  <c r="K259" i="13"/>
  <c r="L259" i="13"/>
  <c r="M259" i="13"/>
  <c r="N259" i="13"/>
  <c r="O259" i="13"/>
  <c r="P259" i="13"/>
  <c r="Q259" i="13"/>
  <c r="R259" i="13"/>
  <c r="S259" i="13"/>
  <c r="U259" i="13"/>
  <c r="X259" i="13"/>
  <c r="J260" i="13"/>
  <c r="K260" i="13"/>
  <c r="L260" i="13"/>
  <c r="M260" i="13"/>
  <c r="N260" i="13"/>
  <c r="O260" i="13"/>
  <c r="P260" i="13"/>
  <c r="Q260" i="13"/>
  <c r="R260" i="13"/>
  <c r="S260" i="13"/>
  <c r="U260" i="13"/>
  <c r="X260" i="13"/>
  <c r="J261" i="13"/>
  <c r="K261" i="13"/>
  <c r="L261" i="13"/>
  <c r="M261" i="13"/>
  <c r="N261" i="13"/>
  <c r="O261" i="13"/>
  <c r="P261" i="13"/>
  <c r="Q261" i="13"/>
  <c r="R261" i="13"/>
  <c r="S261" i="13"/>
  <c r="U261" i="13"/>
  <c r="X261" i="13"/>
  <c r="J265" i="13"/>
  <c r="K265" i="13"/>
  <c r="L265" i="13"/>
  <c r="M265" i="13"/>
  <c r="N265" i="13"/>
  <c r="O265" i="13"/>
  <c r="P265" i="13"/>
  <c r="Q265" i="13"/>
  <c r="R265" i="13"/>
  <c r="S265" i="13"/>
  <c r="U265" i="13"/>
  <c r="J266" i="13"/>
  <c r="K266" i="13"/>
  <c r="L266" i="13"/>
  <c r="M266" i="13"/>
  <c r="N266" i="13"/>
  <c r="O266" i="13"/>
  <c r="P266" i="13"/>
  <c r="Q266" i="13"/>
  <c r="R266" i="13"/>
  <c r="S266" i="13"/>
  <c r="U266" i="13"/>
  <c r="J267" i="13"/>
  <c r="K267" i="13"/>
  <c r="L267" i="13"/>
  <c r="M267" i="13"/>
  <c r="N267" i="13"/>
  <c r="O267" i="13"/>
  <c r="P267" i="13"/>
  <c r="Q267" i="13"/>
  <c r="R267" i="13"/>
  <c r="S267" i="13"/>
  <c r="U267" i="13"/>
  <c r="J276" i="13"/>
  <c r="K276" i="13"/>
  <c r="L276" i="13"/>
  <c r="M276" i="13"/>
  <c r="N276" i="13"/>
  <c r="O276" i="13"/>
  <c r="P276" i="13"/>
  <c r="Q276" i="13"/>
  <c r="R276" i="13"/>
  <c r="S276" i="13"/>
  <c r="U276" i="13"/>
  <c r="X276" i="13"/>
  <c r="J290" i="13"/>
  <c r="K290" i="13"/>
  <c r="L290" i="13"/>
  <c r="M290" i="13"/>
  <c r="N290" i="13"/>
  <c r="O290" i="13"/>
  <c r="P290" i="13"/>
  <c r="Q290" i="13"/>
  <c r="R290" i="13"/>
  <c r="S290" i="13"/>
  <c r="U290" i="13"/>
  <c r="X290" i="13"/>
  <c r="J291" i="13"/>
  <c r="K291" i="13"/>
  <c r="L291" i="13"/>
  <c r="M291" i="13"/>
  <c r="N291" i="13"/>
  <c r="O291" i="13"/>
  <c r="P291" i="13"/>
  <c r="Q291" i="13"/>
  <c r="R291" i="13"/>
  <c r="S291" i="13"/>
  <c r="U291" i="13"/>
  <c r="X291" i="13"/>
  <c r="J293" i="13"/>
  <c r="K293" i="13"/>
  <c r="L293" i="13"/>
  <c r="M293" i="13"/>
  <c r="N293" i="13"/>
  <c r="O293" i="13"/>
  <c r="P293" i="13"/>
  <c r="Q293" i="13"/>
  <c r="R293" i="13"/>
  <c r="S293" i="13"/>
  <c r="U293" i="13"/>
  <c r="J294" i="13"/>
  <c r="K294" i="13"/>
  <c r="L294" i="13"/>
  <c r="M294" i="13"/>
  <c r="N294" i="13"/>
  <c r="O294" i="13"/>
  <c r="P294" i="13"/>
  <c r="Q294" i="13"/>
  <c r="R294" i="13"/>
  <c r="S294" i="13"/>
  <c r="U294" i="13"/>
  <c r="J295" i="13"/>
  <c r="K295" i="13"/>
  <c r="L295" i="13"/>
  <c r="M295" i="13"/>
  <c r="N295" i="13"/>
  <c r="O295" i="13"/>
  <c r="P295" i="13"/>
  <c r="Q295" i="13"/>
  <c r="R295" i="13"/>
  <c r="S295" i="13"/>
  <c r="U295" i="13"/>
  <c r="X295" i="13"/>
  <c r="J312" i="13"/>
  <c r="K312" i="13"/>
  <c r="L312" i="13"/>
  <c r="M312" i="13"/>
  <c r="N312" i="13"/>
  <c r="O312" i="13"/>
  <c r="P312" i="13"/>
  <c r="Q312" i="13"/>
  <c r="R312" i="13"/>
  <c r="S312" i="13"/>
  <c r="U312" i="13"/>
  <c r="X312" i="13"/>
  <c r="J320" i="13"/>
  <c r="K320" i="13"/>
  <c r="L320" i="13"/>
  <c r="M320" i="13"/>
  <c r="N320" i="13"/>
  <c r="O320" i="13"/>
  <c r="P320" i="13"/>
  <c r="Q320" i="13"/>
  <c r="R320" i="13"/>
  <c r="S320" i="13"/>
  <c r="U320" i="13"/>
  <c r="X320" i="13"/>
  <c r="J321" i="13"/>
  <c r="K321" i="13"/>
  <c r="L321" i="13"/>
  <c r="M321" i="13"/>
  <c r="N321" i="13"/>
  <c r="O321" i="13"/>
  <c r="P321" i="13"/>
  <c r="Q321" i="13"/>
  <c r="R321" i="13"/>
  <c r="S321" i="13"/>
  <c r="U321" i="13"/>
  <c r="X321" i="13"/>
  <c r="J323" i="13"/>
  <c r="K323" i="13"/>
  <c r="L323" i="13"/>
  <c r="M323" i="13"/>
  <c r="N323" i="13"/>
  <c r="O323" i="13"/>
  <c r="P323" i="13"/>
  <c r="Q323" i="13"/>
  <c r="R323" i="13"/>
  <c r="S323" i="13"/>
  <c r="U323" i="13"/>
  <c r="X323" i="13"/>
  <c r="J324" i="13"/>
  <c r="K324" i="13"/>
  <c r="L324" i="13"/>
  <c r="M324" i="13"/>
  <c r="N324" i="13"/>
  <c r="O324" i="13"/>
  <c r="P324" i="13"/>
  <c r="Q324" i="13"/>
  <c r="R324" i="13"/>
  <c r="S324" i="13"/>
  <c r="U324" i="13"/>
  <c r="X324" i="13"/>
  <c r="J325" i="13"/>
  <c r="K325" i="13"/>
  <c r="L325" i="13"/>
  <c r="M325" i="13"/>
  <c r="N325" i="13"/>
  <c r="O325" i="13"/>
  <c r="P325" i="13"/>
  <c r="Q325" i="13"/>
  <c r="R325" i="13"/>
  <c r="S325" i="13"/>
  <c r="U325" i="13"/>
  <c r="X325" i="13"/>
  <c r="J326" i="13"/>
  <c r="K326" i="13"/>
  <c r="L326" i="13"/>
  <c r="M326" i="13"/>
  <c r="N326" i="13"/>
  <c r="O326" i="13"/>
  <c r="P326" i="13"/>
  <c r="Q326" i="13"/>
  <c r="R326" i="13"/>
  <c r="S326" i="13"/>
  <c r="U326" i="13"/>
  <c r="X326" i="13"/>
  <c r="J327" i="13"/>
  <c r="K327" i="13"/>
  <c r="L327" i="13"/>
  <c r="M327" i="13"/>
  <c r="N327" i="13"/>
  <c r="O327" i="13"/>
  <c r="P327" i="13"/>
  <c r="Q327" i="13"/>
  <c r="R327" i="13"/>
  <c r="S327" i="13"/>
  <c r="U327" i="13"/>
  <c r="X327" i="13"/>
  <c r="J345" i="13"/>
  <c r="K345" i="13"/>
  <c r="L345" i="13"/>
  <c r="M345" i="13"/>
  <c r="N345" i="13"/>
  <c r="O345" i="13"/>
  <c r="P345" i="13"/>
  <c r="Q345" i="13"/>
  <c r="R345" i="13"/>
  <c r="S345" i="13"/>
  <c r="U345" i="13"/>
  <c r="X345" i="13"/>
  <c r="J346" i="13"/>
  <c r="K346" i="13"/>
  <c r="L346" i="13"/>
  <c r="M346" i="13"/>
  <c r="N346" i="13"/>
  <c r="O346" i="13"/>
  <c r="P346" i="13"/>
  <c r="Q346" i="13"/>
  <c r="R346" i="13"/>
  <c r="S346" i="13"/>
  <c r="U346" i="13"/>
  <c r="X346" i="13"/>
  <c r="J347" i="13"/>
  <c r="K347" i="13"/>
  <c r="L347" i="13"/>
  <c r="M347" i="13"/>
  <c r="N347" i="13"/>
  <c r="O347" i="13"/>
  <c r="P347" i="13"/>
  <c r="Q347" i="13"/>
  <c r="R347" i="13"/>
  <c r="S347" i="13"/>
  <c r="U347" i="13"/>
  <c r="X347" i="13"/>
  <c r="J348" i="13"/>
  <c r="K348" i="13"/>
  <c r="L348" i="13"/>
  <c r="M348" i="13"/>
  <c r="N348" i="13"/>
  <c r="O348" i="13"/>
  <c r="P348" i="13"/>
  <c r="Q348" i="13"/>
  <c r="R348" i="13"/>
  <c r="S348" i="13"/>
  <c r="U348" i="13"/>
  <c r="X348" i="13"/>
  <c r="J349" i="13"/>
  <c r="K349" i="13"/>
  <c r="L349" i="13"/>
  <c r="M349" i="13"/>
  <c r="N349" i="13"/>
  <c r="O349" i="13"/>
  <c r="P349" i="13"/>
  <c r="Q349" i="13"/>
  <c r="R349" i="13"/>
  <c r="S349" i="13"/>
  <c r="U349" i="13"/>
  <c r="X349" i="13"/>
  <c r="J350" i="13"/>
  <c r="K350" i="13"/>
  <c r="L350" i="13"/>
  <c r="M350" i="13"/>
  <c r="N350" i="13"/>
  <c r="O350" i="13"/>
  <c r="P350" i="13"/>
  <c r="Q350" i="13"/>
  <c r="R350" i="13"/>
  <c r="S350" i="13"/>
  <c r="U350" i="13"/>
  <c r="X350" i="13"/>
  <c r="J351" i="13"/>
  <c r="K351" i="13"/>
  <c r="L351" i="13"/>
  <c r="M351" i="13"/>
  <c r="N351" i="13"/>
  <c r="O351" i="13"/>
  <c r="P351" i="13"/>
  <c r="Q351" i="13"/>
  <c r="R351" i="13"/>
  <c r="S351" i="13"/>
  <c r="U351" i="13"/>
  <c r="X351" i="13"/>
  <c r="J352" i="13"/>
  <c r="K352" i="13"/>
  <c r="L352" i="13"/>
  <c r="M352" i="13"/>
  <c r="N352" i="13"/>
  <c r="O352" i="13"/>
  <c r="P352" i="13"/>
  <c r="Q352" i="13"/>
  <c r="R352" i="13"/>
  <c r="S352" i="13"/>
  <c r="U352" i="13"/>
  <c r="X352" i="13"/>
  <c r="J353" i="13"/>
  <c r="K353" i="13"/>
  <c r="L353" i="13"/>
  <c r="M353" i="13"/>
  <c r="N353" i="13"/>
  <c r="O353" i="13"/>
  <c r="P353" i="13"/>
  <c r="Q353" i="13"/>
  <c r="R353" i="13"/>
  <c r="S353" i="13"/>
  <c r="U353" i="13"/>
  <c r="X353" i="13"/>
  <c r="J354" i="13"/>
  <c r="K354" i="13"/>
  <c r="L354" i="13"/>
  <c r="M354" i="13"/>
  <c r="N354" i="13"/>
  <c r="O354" i="13"/>
  <c r="P354" i="13"/>
  <c r="Q354" i="13"/>
  <c r="R354" i="13"/>
  <c r="S354" i="13"/>
  <c r="U354" i="13"/>
  <c r="X354" i="13"/>
  <c r="J356" i="13"/>
  <c r="K356" i="13"/>
  <c r="L356" i="13"/>
  <c r="M356" i="13"/>
  <c r="N356" i="13"/>
  <c r="O356" i="13"/>
  <c r="P356" i="13"/>
  <c r="Q356" i="13"/>
  <c r="R356" i="13"/>
  <c r="S356" i="13"/>
  <c r="U356" i="13"/>
  <c r="J357" i="13"/>
  <c r="K357" i="13"/>
  <c r="L357" i="13"/>
  <c r="M357" i="13"/>
  <c r="N357" i="13"/>
  <c r="O357" i="13"/>
  <c r="P357" i="13"/>
  <c r="Q357" i="13"/>
  <c r="R357" i="13"/>
  <c r="S357" i="13"/>
  <c r="U357" i="13"/>
  <c r="J358" i="13"/>
  <c r="K358" i="13"/>
  <c r="L358" i="13"/>
  <c r="M358" i="13"/>
  <c r="N358" i="13"/>
  <c r="O358" i="13"/>
  <c r="P358" i="13"/>
  <c r="Q358" i="13"/>
  <c r="R358" i="13"/>
  <c r="S358" i="13"/>
  <c r="U358" i="13"/>
  <c r="X358" i="13"/>
  <c r="J359" i="13"/>
  <c r="K359" i="13"/>
  <c r="L359" i="13"/>
  <c r="M359" i="13"/>
  <c r="N359" i="13"/>
  <c r="O359" i="13"/>
  <c r="P359" i="13"/>
  <c r="Q359" i="13"/>
  <c r="R359" i="13"/>
  <c r="S359" i="13"/>
  <c r="U359" i="13"/>
  <c r="X359" i="13"/>
  <c r="J360" i="13"/>
  <c r="K360" i="13"/>
  <c r="L360" i="13"/>
  <c r="M360" i="13"/>
  <c r="N360" i="13"/>
  <c r="O360" i="13"/>
  <c r="P360" i="13"/>
  <c r="Q360" i="13"/>
  <c r="R360" i="13"/>
  <c r="S360" i="13"/>
  <c r="U360" i="13"/>
  <c r="X360" i="13"/>
  <c r="J361" i="13"/>
  <c r="K361" i="13"/>
  <c r="L361" i="13"/>
  <c r="M361" i="13"/>
  <c r="N361" i="13"/>
  <c r="O361" i="13"/>
  <c r="P361" i="13"/>
  <c r="Q361" i="13"/>
  <c r="R361" i="13"/>
  <c r="S361" i="13"/>
  <c r="U361" i="13"/>
  <c r="X361" i="13"/>
  <c r="J363" i="13"/>
  <c r="K363" i="13"/>
  <c r="L363" i="13"/>
  <c r="M363" i="13"/>
  <c r="N363" i="13"/>
  <c r="O363" i="13"/>
  <c r="P363" i="13"/>
  <c r="Q363" i="13"/>
  <c r="R363" i="13"/>
  <c r="S363" i="13"/>
  <c r="U363" i="13"/>
  <c r="X363" i="13"/>
  <c r="J364" i="13"/>
  <c r="K364" i="13"/>
  <c r="L364" i="13"/>
  <c r="M364" i="13"/>
  <c r="N364" i="13"/>
  <c r="O364" i="13"/>
  <c r="P364" i="13"/>
  <c r="Q364" i="13"/>
  <c r="R364" i="13"/>
  <c r="S364" i="13"/>
  <c r="U364" i="13"/>
  <c r="X364" i="13"/>
  <c r="J366" i="13"/>
  <c r="K366" i="13"/>
  <c r="L366" i="13"/>
  <c r="M366" i="13"/>
  <c r="N366" i="13"/>
  <c r="O366" i="13"/>
  <c r="P366" i="13"/>
  <c r="Q366" i="13"/>
  <c r="R366" i="13"/>
  <c r="S366" i="13"/>
  <c r="U366" i="13"/>
  <c r="X366" i="13"/>
  <c r="J368" i="13"/>
  <c r="K368" i="13"/>
  <c r="L368" i="13"/>
  <c r="M368" i="13"/>
  <c r="N368" i="13"/>
  <c r="O368" i="13"/>
  <c r="P368" i="13"/>
  <c r="Q368" i="13"/>
  <c r="R368" i="13"/>
  <c r="S368" i="13"/>
  <c r="U368" i="13"/>
  <c r="X368" i="13"/>
  <c r="J411" i="13"/>
  <c r="K411" i="13"/>
  <c r="L411" i="13"/>
  <c r="M411" i="13"/>
  <c r="N411" i="13"/>
  <c r="O411" i="13"/>
  <c r="P411" i="13"/>
  <c r="Q411" i="13"/>
  <c r="R411" i="13"/>
  <c r="S411" i="13"/>
  <c r="U411" i="13"/>
  <c r="X411" i="13"/>
  <c r="J413" i="13"/>
  <c r="K413" i="13"/>
  <c r="L413" i="13"/>
  <c r="M413" i="13"/>
  <c r="N413" i="13"/>
  <c r="O413" i="13"/>
  <c r="P413" i="13"/>
  <c r="Q413" i="13"/>
  <c r="R413" i="13"/>
  <c r="S413" i="13"/>
  <c r="U413" i="13"/>
  <c r="X413" i="13"/>
  <c r="J431" i="13"/>
  <c r="K431" i="13"/>
  <c r="L431" i="13"/>
  <c r="M431" i="13"/>
  <c r="N431" i="13"/>
  <c r="O431" i="13"/>
  <c r="P431" i="13"/>
  <c r="Q431" i="13"/>
  <c r="R431" i="13"/>
  <c r="S431" i="13"/>
  <c r="U431" i="13"/>
  <c r="X431" i="13"/>
  <c r="J432" i="13"/>
  <c r="K432" i="13"/>
  <c r="L432" i="13"/>
  <c r="M432" i="13"/>
  <c r="N432" i="13"/>
  <c r="O432" i="13"/>
  <c r="P432" i="13"/>
  <c r="Q432" i="13"/>
  <c r="R432" i="13"/>
  <c r="S432" i="13"/>
  <c r="U432" i="13"/>
  <c r="X432" i="13"/>
  <c r="J433" i="13"/>
  <c r="K433" i="13"/>
  <c r="L433" i="13"/>
  <c r="M433" i="13"/>
  <c r="N433" i="13"/>
  <c r="O433" i="13"/>
  <c r="P433" i="13"/>
  <c r="Q433" i="13"/>
  <c r="R433" i="13"/>
  <c r="S433" i="13"/>
  <c r="U433" i="13"/>
  <c r="X433" i="13"/>
  <c r="J435" i="13"/>
  <c r="K435" i="13"/>
  <c r="L435" i="13"/>
  <c r="M435" i="13"/>
  <c r="N435" i="13"/>
  <c r="O435" i="13"/>
  <c r="P435" i="13"/>
  <c r="Q435" i="13"/>
  <c r="R435" i="13"/>
  <c r="S435" i="13"/>
  <c r="U435" i="13"/>
  <c r="X435" i="13"/>
  <c r="J452" i="13"/>
  <c r="K452" i="13"/>
  <c r="L452" i="13"/>
  <c r="M452" i="13"/>
  <c r="N452" i="13"/>
  <c r="O452" i="13"/>
  <c r="P452" i="13"/>
  <c r="Q452" i="13"/>
  <c r="R452" i="13"/>
  <c r="S452" i="13"/>
  <c r="U452" i="13"/>
  <c r="X452" i="13"/>
  <c r="J453" i="13"/>
  <c r="K453" i="13"/>
  <c r="L453" i="13"/>
  <c r="M453" i="13"/>
  <c r="N453" i="13"/>
  <c r="O453" i="13"/>
  <c r="P453" i="13"/>
  <c r="Q453" i="13"/>
  <c r="R453" i="13"/>
  <c r="S453" i="13"/>
  <c r="U453" i="13"/>
  <c r="X453" i="13"/>
  <c r="J455" i="13"/>
  <c r="K455" i="13"/>
  <c r="L455" i="13"/>
  <c r="M455" i="13"/>
  <c r="N455" i="13"/>
  <c r="O455" i="13"/>
  <c r="P455" i="13"/>
  <c r="Q455" i="13"/>
  <c r="R455" i="13"/>
  <c r="S455" i="13"/>
  <c r="U455" i="13"/>
  <c r="X455" i="13"/>
  <c r="J478" i="13"/>
  <c r="K478" i="13"/>
  <c r="L478" i="13"/>
  <c r="M478" i="13"/>
  <c r="N478" i="13"/>
  <c r="O478" i="13"/>
  <c r="P478" i="13"/>
  <c r="Q478" i="13"/>
  <c r="R478" i="13"/>
  <c r="S478" i="13"/>
  <c r="U478" i="13"/>
  <c r="X478" i="13"/>
  <c r="J501" i="13"/>
  <c r="K501" i="13"/>
  <c r="L501" i="13"/>
  <c r="M501" i="13"/>
  <c r="N501" i="13"/>
  <c r="O501" i="13"/>
  <c r="P501" i="13"/>
  <c r="Q501" i="13"/>
  <c r="R501" i="13"/>
  <c r="S501" i="13"/>
  <c r="U501" i="13"/>
  <c r="X501" i="13"/>
  <c r="J519" i="13"/>
  <c r="K519" i="13"/>
  <c r="L519" i="13"/>
  <c r="M519" i="13"/>
  <c r="N519" i="13"/>
  <c r="O519" i="13"/>
  <c r="P519" i="13"/>
  <c r="Q519" i="13"/>
  <c r="R519" i="13"/>
  <c r="S519" i="13"/>
  <c r="U519" i="13"/>
  <c r="X519" i="13"/>
  <c r="J520" i="13"/>
  <c r="K520" i="13"/>
  <c r="L520" i="13"/>
  <c r="M520" i="13"/>
  <c r="N520" i="13"/>
  <c r="O520" i="13"/>
  <c r="P520" i="13"/>
  <c r="Q520" i="13"/>
  <c r="R520" i="13"/>
  <c r="S520" i="13"/>
  <c r="U520" i="13"/>
  <c r="X520" i="13"/>
  <c r="J521" i="13"/>
  <c r="K521" i="13"/>
  <c r="L521" i="13"/>
  <c r="M521" i="13"/>
  <c r="N521" i="13"/>
  <c r="O521" i="13"/>
  <c r="P521" i="13"/>
  <c r="Q521" i="13"/>
  <c r="R521" i="13"/>
  <c r="S521" i="13"/>
  <c r="U521" i="13"/>
  <c r="X521" i="13"/>
  <c r="J522" i="13"/>
  <c r="K522" i="13"/>
  <c r="L522" i="13"/>
  <c r="M522" i="13"/>
  <c r="N522" i="13"/>
  <c r="O522" i="13"/>
  <c r="P522" i="13"/>
  <c r="Q522" i="13"/>
  <c r="R522" i="13"/>
  <c r="S522" i="13"/>
  <c r="U522" i="13"/>
  <c r="X522" i="13"/>
  <c r="J523" i="13"/>
  <c r="K523" i="13"/>
  <c r="L523" i="13"/>
  <c r="M523" i="13"/>
  <c r="N523" i="13"/>
  <c r="O523" i="13"/>
  <c r="P523" i="13"/>
  <c r="Q523" i="13"/>
  <c r="R523" i="13"/>
  <c r="S523" i="13"/>
  <c r="U523" i="13"/>
  <c r="X523" i="13"/>
  <c r="J524" i="13"/>
  <c r="K524" i="13"/>
  <c r="L524" i="13"/>
  <c r="M524" i="13"/>
  <c r="N524" i="13"/>
  <c r="O524" i="13"/>
  <c r="P524" i="13"/>
  <c r="Q524" i="13"/>
  <c r="R524" i="13"/>
  <c r="S524" i="13"/>
  <c r="U524" i="13"/>
  <c r="X524" i="13"/>
  <c r="J525" i="13"/>
  <c r="K525" i="13"/>
  <c r="L525" i="13"/>
  <c r="M525" i="13"/>
  <c r="N525" i="13"/>
  <c r="O525" i="13"/>
  <c r="P525" i="13"/>
  <c r="Q525" i="13"/>
  <c r="R525" i="13"/>
  <c r="S525" i="13"/>
  <c r="U525" i="13"/>
  <c r="X525" i="13"/>
  <c r="J526" i="13"/>
  <c r="K526" i="13"/>
  <c r="L526" i="13"/>
  <c r="M526" i="13"/>
  <c r="N526" i="13"/>
  <c r="O526" i="13"/>
  <c r="P526" i="13"/>
  <c r="Q526" i="13"/>
  <c r="R526" i="13"/>
  <c r="S526" i="13"/>
  <c r="U526" i="13"/>
  <c r="X526" i="13"/>
  <c r="J527" i="13"/>
  <c r="K527" i="13"/>
  <c r="L527" i="13"/>
  <c r="M527" i="13"/>
  <c r="N527" i="13"/>
  <c r="O527" i="13"/>
  <c r="P527" i="13"/>
  <c r="Q527" i="13"/>
  <c r="R527" i="13"/>
  <c r="S527" i="13"/>
  <c r="U527" i="13"/>
  <c r="X527" i="13"/>
  <c r="J528" i="13"/>
  <c r="K528" i="13"/>
  <c r="L528" i="13"/>
  <c r="M528" i="13"/>
  <c r="N528" i="13"/>
  <c r="O528" i="13"/>
  <c r="P528" i="13"/>
  <c r="Q528" i="13"/>
  <c r="R528" i="13"/>
  <c r="S528" i="13"/>
  <c r="U528" i="13"/>
  <c r="X528" i="13"/>
  <c r="J529" i="13"/>
  <c r="K529" i="13"/>
  <c r="L529" i="13"/>
  <c r="M529" i="13"/>
  <c r="N529" i="13"/>
  <c r="O529" i="13"/>
  <c r="P529" i="13"/>
  <c r="Q529" i="13"/>
  <c r="R529" i="13"/>
  <c r="S529" i="13"/>
  <c r="U529" i="13"/>
  <c r="X529" i="13"/>
  <c r="J530" i="13"/>
  <c r="K530" i="13"/>
  <c r="L530" i="13"/>
  <c r="M530" i="13"/>
  <c r="N530" i="13"/>
  <c r="O530" i="13"/>
  <c r="P530" i="13"/>
  <c r="Q530" i="13"/>
  <c r="R530" i="13"/>
  <c r="S530" i="13"/>
  <c r="U530" i="13"/>
  <c r="X530" i="13"/>
  <c r="J531" i="13"/>
  <c r="K531" i="13"/>
  <c r="L531" i="13"/>
  <c r="M531" i="13"/>
  <c r="N531" i="13"/>
  <c r="O531" i="13"/>
  <c r="P531" i="13"/>
  <c r="Q531" i="13"/>
  <c r="R531" i="13"/>
  <c r="S531" i="13"/>
  <c r="U531" i="13"/>
  <c r="X531" i="13"/>
  <c r="J532" i="13"/>
  <c r="K532" i="13"/>
  <c r="L532" i="13"/>
  <c r="M532" i="13"/>
  <c r="N532" i="13"/>
  <c r="O532" i="13"/>
  <c r="P532" i="13"/>
  <c r="Q532" i="13"/>
  <c r="R532" i="13"/>
  <c r="S532" i="13"/>
  <c r="U532" i="13"/>
  <c r="X532" i="13"/>
  <c r="J533" i="13"/>
  <c r="K533" i="13"/>
  <c r="L533" i="13"/>
  <c r="M533" i="13"/>
  <c r="N533" i="13"/>
  <c r="O533" i="13"/>
  <c r="P533" i="13"/>
  <c r="Q533" i="13"/>
  <c r="R533" i="13"/>
  <c r="S533" i="13"/>
  <c r="U533" i="13"/>
  <c r="X533" i="13"/>
  <c r="J534" i="13"/>
  <c r="K534" i="13"/>
  <c r="L534" i="13"/>
  <c r="M534" i="13"/>
  <c r="N534" i="13"/>
  <c r="O534" i="13"/>
  <c r="P534" i="13"/>
  <c r="Q534" i="13"/>
  <c r="R534" i="13"/>
  <c r="S534" i="13"/>
  <c r="U534" i="13"/>
  <c r="X534" i="13"/>
  <c r="J536" i="13"/>
  <c r="K536" i="13"/>
  <c r="L536" i="13"/>
  <c r="M536" i="13"/>
  <c r="N536" i="13"/>
  <c r="O536" i="13"/>
  <c r="P536" i="13"/>
  <c r="Q536" i="13"/>
  <c r="R536" i="13"/>
  <c r="S536" i="13"/>
  <c r="U536" i="13"/>
  <c r="X536" i="13"/>
  <c r="J537" i="13"/>
  <c r="K537" i="13"/>
  <c r="L537" i="13"/>
  <c r="M537" i="13"/>
  <c r="N537" i="13"/>
  <c r="O537" i="13"/>
  <c r="P537" i="13"/>
  <c r="Q537" i="13"/>
  <c r="R537" i="13"/>
  <c r="S537" i="13"/>
  <c r="U537" i="13"/>
  <c r="X537" i="13"/>
  <c r="J538" i="13"/>
  <c r="K538" i="13"/>
  <c r="L538" i="13"/>
  <c r="M538" i="13"/>
  <c r="N538" i="13"/>
  <c r="O538" i="13"/>
  <c r="P538" i="13"/>
  <c r="Q538" i="13"/>
  <c r="R538" i="13"/>
  <c r="S538" i="13"/>
  <c r="U538" i="13"/>
  <c r="X538" i="13"/>
  <c r="J539" i="13"/>
  <c r="K539" i="13"/>
  <c r="L539" i="13"/>
  <c r="M539" i="13"/>
  <c r="N539" i="13"/>
  <c r="O539" i="13"/>
  <c r="P539" i="13"/>
  <c r="Q539" i="13"/>
  <c r="R539" i="13"/>
  <c r="S539" i="13"/>
  <c r="U539" i="13"/>
  <c r="J540" i="13"/>
  <c r="K540" i="13"/>
  <c r="L540" i="13"/>
  <c r="M540" i="13"/>
  <c r="N540" i="13"/>
  <c r="O540" i="13"/>
  <c r="P540" i="13"/>
  <c r="Q540" i="13"/>
  <c r="R540" i="13"/>
  <c r="S540" i="13"/>
  <c r="U540" i="13"/>
  <c r="J541" i="13"/>
  <c r="K541" i="13"/>
  <c r="L541" i="13"/>
  <c r="M541" i="13"/>
  <c r="N541" i="13"/>
  <c r="O541" i="13"/>
  <c r="P541" i="13"/>
  <c r="Q541" i="13"/>
  <c r="R541" i="13"/>
  <c r="S541" i="13"/>
  <c r="U541" i="13"/>
  <c r="J542" i="13"/>
  <c r="K542" i="13"/>
  <c r="L542" i="13"/>
  <c r="M542" i="13"/>
  <c r="N542" i="13"/>
  <c r="O542" i="13"/>
  <c r="P542" i="13"/>
  <c r="Q542" i="13"/>
  <c r="R542" i="13"/>
  <c r="S542" i="13"/>
  <c r="U542" i="13"/>
  <c r="J543" i="13"/>
  <c r="K543" i="13"/>
  <c r="L543" i="13"/>
  <c r="M543" i="13"/>
  <c r="N543" i="13"/>
  <c r="O543" i="13"/>
  <c r="P543" i="13"/>
  <c r="Q543" i="13"/>
  <c r="R543" i="13"/>
  <c r="S543" i="13"/>
  <c r="U543" i="13"/>
  <c r="J544" i="13"/>
  <c r="K544" i="13"/>
  <c r="L544" i="13"/>
  <c r="M544" i="13"/>
  <c r="N544" i="13"/>
  <c r="O544" i="13"/>
  <c r="P544" i="13"/>
  <c r="Q544" i="13"/>
  <c r="R544" i="13"/>
  <c r="S544" i="13"/>
  <c r="U544" i="13"/>
  <c r="J546" i="13"/>
  <c r="K546" i="13"/>
  <c r="L546" i="13"/>
  <c r="M546" i="13"/>
  <c r="N546" i="13"/>
  <c r="O546" i="13"/>
  <c r="P546" i="13"/>
  <c r="Q546" i="13"/>
  <c r="R546" i="13"/>
  <c r="S546" i="13"/>
  <c r="U546" i="13"/>
  <c r="J547" i="13"/>
  <c r="K547" i="13"/>
  <c r="L547" i="13"/>
  <c r="M547" i="13"/>
  <c r="N547" i="13"/>
  <c r="O547" i="13"/>
  <c r="P547" i="13"/>
  <c r="Q547" i="13"/>
  <c r="R547" i="13"/>
  <c r="S547" i="13"/>
  <c r="U547" i="13"/>
  <c r="J548" i="13"/>
  <c r="K548" i="13"/>
  <c r="L548" i="13"/>
  <c r="M548" i="13"/>
  <c r="N548" i="13"/>
  <c r="O548" i="13"/>
  <c r="P548" i="13"/>
  <c r="Q548" i="13"/>
  <c r="R548" i="13"/>
  <c r="S548" i="13"/>
  <c r="U548" i="13"/>
  <c r="J549" i="13"/>
  <c r="K549" i="13"/>
  <c r="L549" i="13"/>
  <c r="M549" i="13"/>
  <c r="N549" i="13"/>
  <c r="O549" i="13"/>
  <c r="P549" i="13"/>
  <c r="Q549" i="13"/>
  <c r="R549" i="13"/>
  <c r="S549" i="13"/>
  <c r="U549" i="13"/>
  <c r="J550" i="13"/>
  <c r="K550" i="13"/>
  <c r="L550" i="13"/>
  <c r="M550" i="13"/>
  <c r="N550" i="13"/>
  <c r="O550" i="13"/>
  <c r="P550" i="13"/>
  <c r="Q550" i="13"/>
  <c r="R550" i="13"/>
  <c r="S550" i="13"/>
  <c r="U550" i="13"/>
  <c r="J551" i="13"/>
  <c r="K551" i="13"/>
  <c r="L551" i="13"/>
  <c r="M551" i="13"/>
  <c r="N551" i="13"/>
  <c r="O551" i="13"/>
  <c r="P551" i="13"/>
  <c r="Q551" i="13"/>
  <c r="R551" i="13"/>
  <c r="S551" i="13"/>
  <c r="U551" i="13"/>
  <c r="J552" i="13"/>
  <c r="K552" i="13"/>
  <c r="L552" i="13"/>
  <c r="M552" i="13"/>
  <c r="N552" i="13"/>
  <c r="O552" i="13"/>
  <c r="P552" i="13"/>
  <c r="Q552" i="13"/>
  <c r="R552" i="13"/>
  <c r="S552" i="13"/>
  <c r="U552" i="13"/>
  <c r="J553" i="13"/>
  <c r="K553" i="13"/>
  <c r="L553" i="13"/>
  <c r="M553" i="13"/>
  <c r="N553" i="13"/>
  <c r="O553" i="13"/>
  <c r="P553" i="13"/>
  <c r="Q553" i="13"/>
  <c r="R553" i="13"/>
  <c r="S553" i="13"/>
  <c r="U553" i="13"/>
  <c r="J554" i="13"/>
  <c r="K554" i="13"/>
  <c r="L554" i="13"/>
  <c r="M554" i="13"/>
  <c r="N554" i="13"/>
  <c r="O554" i="13"/>
  <c r="P554" i="13"/>
  <c r="Q554" i="13"/>
  <c r="R554" i="13"/>
  <c r="S554" i="13"/>
  <c r="U554" i="13"/>
  <c r="X554" i="13"/>
  <c r="J555" i="13"/>
  <c r="K555" i="13"/>
  <c r="L555" i="13"/>
  <c r="M555" i="13"/>
  <c r="N555" i="13"/>
  <c r="O555" i="13"/>
  <c r="P555" i="13"/>
  <c r="Q555" i="13"/>
  <c r="R555" i="13"/>
  <c r="S555" i="13"/>
  <c r="U555" i="13"/>
  <c r="X555" i="13"/>
  <c r="J556" i="13"/>
  <c r="K556" i="13"/>
  <c r="L556" i="13"/>
  <c r="M556" i="13"/>
  <c r="N556" i="13"/>
  <c r="O556" i="13"/>
  <c r="P556" i="13"/>
  <c r="Q556" i="13"/>
  <c r="R556" i="13"/>
  <c r="S556" i="13"/>
  <c r="U556" i="13"/>
  <c r="X556" i="13"/>
  <c r="J559" i="13"/>
  <c r="K559" i="13"/>
  <c r="L559" i="13"/>
  <c r="M559" i="13"/>
  <c r="N559" i="13"/>
  <c r="O559" i="13"/>
  <c r="P559" i="13"/>
  <c r="Q559" i="13"/>
  <c r="R559" i="13"/>
  <c r="S559" i="13"/>
  <c r="U559" i="13"/>
  <c r="X559" i="13"/>
  <c r="J560" i="13"/>
  <c r="K560" i="13"/>
  <c r="L560" i="13"/>
  <c r="M560" i="13"/>
  <c r="N560" i="13"/>
  <c r="O560" i="13"/>
  <c r="P560" i="13"/>
  <c r="Q560" i="13"/>
  <c r="R560" i="13"/>
  <c r="S560" i="13"/>
  <c r="U560" i="13"/>
  <c r="X560" i="13"/>
  <c r="J561" i="13"/>
  <c r="K561" i="13"/>
  <c r="L561" i="13"/>
  <c r="M561" i="13"/>
  <c r="N561" i="13"/>
  <c r="O561" i="13"/>
  <c r="P561" i="13"/>
  <c r="Q561" i="13"/>
  <c r="R561" i="13"/>
  <c r="S561" i="13"/>
  <c r="U561" i="13"/>
  <c r="X561" i="13"/>
  <c r="J562" i="13"/>
  <c r="K562" i="13"/>
  <c r="L562" i="13"/>
  <c r="M562" i="13"/>
  <c r="N562" i="13"/>
  <c r="O562" i="13"/>
  <c r="P562" i="13"/>
  <c r="Q562" i="13"/>
  <c r="R562" i="13"/>
  <c r="S562" i="13"/>
  <c r="U562" i="13"/>
  <c r="X562" i="13"/>
  <c r="J563" i="13"/>
  <c r="K563" i="13"/>
  <c r="L563" i="13"/>
  <c r="M563" i="13"/>
  <c r="N563" i="13"/>
  <c r="O563" i="13"/>
  <c r="P563" i="13"/>
  <c r="Q563" i="13"/>
  <c r="R563" i="13"/>
  <c r="S563" i="13"/>
  <c r="U563" i="13"/>
  <c r="X563" i="13"/>
  <c r="J565" i="13"/>
  <c r="K565" i="13"/>
  <c r="L565" i="13"/>
  <c r="M565" i="13"/>
  <c r="N565" i="13"/>
  <c r="O565" i="13"/>
  <c r="P565" i="13"/>
  <c r="Q565" i="13"/>
  <c r="R565" i="13"/>
  <c r="S565" i="13"/>
  <c r="U565" i="13"/>
  <c r="X565" i="13"/>
  <c r="J566" i="13"/>
  <c r="K566" i="13"/>
  <c r="L566" i="13"/>
  <c r="M566" i="13"/>
  <c r="N566" i="13"/>
  <c r="O566" i="13"/>
  <c r="P566" i="13"/>
  <c r="Q566" i="13"/>
  <c r="R566" i="13"/>
  <c r="S566" i="13"/>
  <c r="U566" i="13"/>
  <c r="X566" i="13"/>
  <c r="J567" i="13"/>
  <c r="K567" i="13"/>
  <c r="L567" i="13"/>
  <c r="M567" i="13"/>
  <c r="N567" i="13"/>
  <c r="O567" i="13"/>
  <c r="P567" i="13"/>
  <c r="Q567" i="13"/>
  <c r="R567" i="13"/>
  <c r="S567" i="13"/>
  <c r="U567" i="13"/>
  <c r="X567" i="13"/>
  <c r="J568" i="13"/>
  <c r="K568" i="13"/>
  <c r="L568" i="13"/>
  <c r="M568" i="13"/>
  <c r="N568" i="13"/>
  <c r="O568" i="13"/>
  <c r="P568" i="13"/>
  <c r="Q568" i="13"/>
  <c r="R568" i="13"/>
  <c r="S568" i="13"/>
  <c r="U568" i="13"/>
  <c r="X568" i="13"/>
  <c r="J569" i="13"/>
  <c r="K569" i="13"/>
  <c r="L569" i="13"/>
  <c r="M569" i="13"/>
  <c r="N569" i="13"/>
  <c r="O569" i="13"/>
  <c r="P569" i="13"/>
  <c r="Q569" i="13"/>
  <c r="R569" i="13"/>
  <c r="S569" i="13"/>
  <c r="U569" i="13"/>
  <c r="X569" i="13"/>
  <c r="J570" i="13"/>
  <c r="K570" i="13"/>
  <c r="L570" i="13"/>
  <c r="M570" i="13"/>
  <c r="N570" i="13"/>
  <c r="O570" i="13"/>
  <c r="P570" i="13"/>
  <c r="Q570" i="13"/>
  <c r="R570" i="13"/>
  <c r="S570" i="13"/>
  <c r="U570" i="13"/>
  <c r="X570" i="13"/>
  <c r="J571" i="13"/>
  <c r="K571" i="13"/>
  <c r="L571" i="13"/>
  <c r="M571" i="13"/>
  <c r="N571" i="13"/>
  <c r="O571" i="13"/>
  <c r="P571" i="13"/>
  <c r="Q571" i="13"/>
  <c r="R571" i="13"/>
  <c r="S571" i="13"/>
  <c r="U571" i="13"/>
  <c r="X571" i="13"/>
  <c r="J572" i="13"/>
  <c r="K572" i="13"/>
  <c r="L572" i="13"/>
  <c r="M572" i="13"/>
  <c r="N572" i="13"/>
  <c r="O572" i="13"/>
  <c r="P572" i="13"/>
  <c r="Q572" i="13"/>
  <c r="R572" i="13"/>
  <c r="S572" i="13"/>
  <c r="U572" i="13"/>
  <c r="X572" i="13"/>
  <c r="J573" i="13"/>
  <c r="K573" i="13"/>
  <c r="L573" i="13"/>
  <c r="M573" i="13"/>
  <c r="N573" i="13"/>
  <c r="O573" i="13"/>
  <c r="P573" i="13"/>
  <c r="Q573" i="13"/>
  <c r="R573" i="13"/>
  <c r="S573" i="13"/>
  <c r="U573" i="13"/>
  <c r="X573" i="13"/>
  <c r="J575" i="13"/>
  <c r="K575" i="13"/>
  <c r="L575" i="13"/>
  <c r="M575" i="13"/>
  <c r="N575" i="13"/>
  <c r="O575" i="13"/>
  <c r="P575" i="13"/>
  <c r="Q575" i="13"/>
  <c r="R575" i="13"/>
  <c r="S575" i="13"/>
  <c r="U575" i="13"/>
  <c r="X575" i="13"/>
  <c r="J591" i="13"/>
  <c r="K591" i="13"/>
  <c r="L591" i="13"/>
  <c r="M591" i="13"/>
  <c r="N591" i="13"/>
  <c r="O591" i="13"/>
  <c r="P591" i="13"/>
  <c r="Q591" i="13"/>
  <c r="R591" i="13"/>
  <c r="S591" i="13"/>
  <c r="U591" i="13"/>
  <c r="X591" i="13"/>
  <c r="J592" i="13"/>
  <c r="K592" i="13"/>
  <c r="L592" i="13"/>
  <c r="M592" i="13"/>
  <c r="N592" i="13"/>
  <c r="O592" i="13"/>
  <c r="P592" i="13"/>
  <c r="Q592" i="13"/>
  <c r="R592" i="13"/>
  <c r="S592" i="13"/>
  <c r="U592" i="13"/>
  <c r="X592" i="13"/>
  <c r="J593" i="13"/>
  <c r="K593" i="13"/>
  <c r="L593" i="13"/>
  <c r="M593" i="13"/>
  <c r="N593" i="13"/>
  <c r="O593" i="13"/>
  <c r="P593" i="13"/>
  <c r="Q593" i="13"/>
  <c r="R593" i="13"/>
  <c r="S593" i="13"/>
  <c r="U593" i="13"/>
  <c r="X593" i="13"/>
  <c r="J594" i="13"/>
  <c r="K594" i="13"/>
  <c r="L594" i="13"/>
  <c r="M594" i="13"/>
  <c r="N594" i="13"/>
  <c r="O594" i="13"/>
  <c r="P594" i="13"/>
  <c r="Q594" i="13"/>
  <c r="R594" i="13"/>
  <c r="S594" i="13"/>
  <c r="U594" i="13"/>
  <c r="X594" i="13"/>
  <c r="J595" i="13"/>
  <c r="K595" i="13"/>
  <c r="L595" i="13"/>
  <c r="M595" i="13"/>
  <c r="N595" i="13"/>
  <c r="O595" i="13"/>
  <c r="P595" i="13"/>
  <c r="Q595" i="13"/>
  <c r="R595" i="13"/>
  <c r="S595" i="13"/>
  <c r="U595" i="13"/>
  <c r="X595" i="13"/>
  <c r="J596" i="13"/>
  <c r="K596" i="13"/>
  <c r="L596" i="13"/>
  <c r="M596" i="13"/>
  <c r="N596" i="13"/>
  <c r="O596" i="13"/>
  <c r="P596" i="13"/>
  <c r="Q596" i="13"/>
  <c r="R596" i="13"/>
  <c r="S596" i="13"/>
  <c r="U596" i="13"/>
  <c r="X596" i="13"/>
  <c r="J597" i="13"/>
  <c r="K597" i="13"/>
  <c r="L597" i="13"/>
  <c r="M597" i="13"/>
  <c r="N597" i="13"/>
  <c r="O597" i="13"/>
  <c r="P597" i="13"/>
  <c r="Q597" i="13"/>
  <c r="R597" i="13"/>
  <c r="S597" i="13"/>
  <c r="U597" i="13"/>
  <c r="X597" i="13"/>
  <c r="J600" i="13"/>
  <c r="K600" i="13"/>
  <c r="L600" i="13"/>
  <c r="M600" i="13"/>
  <c r="N600" i="13"/>
  <c r="O600" i="13"/>
  <c r="P600" i="13"/>
  <c r="Q600" i="13"/>
  <c r="R600" i="13"/>
  <c r="S600" i="13"/>
  <c r="U600" i="13"/>
  <c r="X600" i="13"/>
  <c r="J601" i="13"/>
  <c r="K601" i="13"/>
  <c r="L601" i="13"/>
  <c r="M601" i="13"/>
  <c r="N601" i="13"/>
  <c r="O601" i="13"/>
  <c r="P601" i="13"/>
  <c r="Q601" i="13"/>
  <c r="R601" i="13"/>
  <c r="S601" i="13"/>
  <c r="U601" i="13"/>
  <c r="X601" i="13"/>
  <c r="J602" i="13"/>
  <c r="K602" i="13"/>
  <c r="L602" i="13"/>
  <c r="M602" i="13"/>
  <c r="N602" i="13"/>
  <c r="O602" i="13"/>
  <c r="P602" i="13"/>
  <c r="Q602" i="13"/>
  <c r="R602" i="13"/>
  <c r="S602" i="13"/>
  <c r="U602" i="13"/>
  <c r="X602" i="13"/>
  <c r="J603" i="13"/>
  <c r="K603" i="13"/>
  <c r="L603" i="13"/>
  <c r="M603" i="13"/>
  <c r="N603" i="13"/>
  <c r="O603" i="13"/>
  <c r="P603" i="13"/>
  <c r="Q603" i="13"/>
  <c r="R603" i="13"/>
  <c r="S603" i="13"/>
  <c r="U603" i="13"/>
  <c r="X603" i="13"/>
  <c r="J604" i="13"/>
  <c r="K604" i="13"/>
  <c r="L604" i="13"/>
  <c r="M604" i="13"/>
  <c r="N604" i="13"/>
  <c r="O604" i="13"/>
  <c r="P604" i="13"/>
  <c r="Q604" i="13"/>
  <c r="R604" i="13"/>
  <c r="S604" i="13"/>
  <c r="U604" i="13"/>
  <c r="X604" i="13"/>
  <c r="J605" i="13"/>
  <c r="K605" i="13"/>
  <c r="L605" i="13"/>
  <c r="M605" i="13"/>
  <c r="N605" i="13"/>
  <c r="O605" i="13"/>
  <c r="P605" i="13"/>
  <c r="Q605" i="13"/>
  <c r="R605" i="13"/>
  <c r="S605" i="13"/>
  <c r="U605" i="13"/>
  <c r="X605" i="13"/>
  <c r="J606" i="13"/>
  <c r="K606" i="13"/>
  <c r="L606" i="13"/>
  <c r="M606" i="13"/>
  <c r="N606" i="13"/>
  <c r="O606" i="13"/>
  <c r="P606" i="13"/>
  <c r="Q606" i="13"/>
  <c r="R606" i="13"/>
  <c r="S606" i="13"/>
  <c r="U606" i="13"/>
  <c r="X606" i="13"/>
  <c r="J607" i="13"/>
  <c r="K607" i="13"/>
  <c r="L607" i="13"/>
  <c r="M607" i="13"/>
  <c r="N607" i="13"/>
  <c r="O607" i="13"/>
  <c r="P607" i="13"/>
  <c r="Q607" i="13"/>
  <c r="R607" i="13"/>
  <c r="S607" i="13"/>
  <c r="U607" i="13"/>
  <c r="X607" i="13"/>
  <c r="J608" i="13"/>
  <c r="K608" i="13"/>
  <c r="L608" i="13"/>
  <c r="M608" i="13"/>
  <c r="N608" i="13"/>
  <c r="O608" i="13"/>
  <c r="P608" i="13"/>
  <c r="Q608" i="13"/>
  <c r="R608" i="13"/>
  <c r="S608" i="13"/>
  <c r="U608" i="13"/>
  <c r="X608" i="13"/>
  <c r="J609" i="13"/>
  <c r="K609" i="13"/>
  <c r="L609" i="13"/>
  <c r="M609" i="13"/>
  <c r="N609" i="13"/>
  <c r="O609" i="13"/>
  <c r="P609" i="13"/>
  <c r="Q609" i="13"/>
  <c r="R609" i="13"/>
  <c r="S609" i="13"/>
  <c r="U609" i="13"/>
  <c r="X609" i="13"/>
  <c r="J610" i="13"/>
  <c r="K610" i="13"/>
  <c r="L610" i="13"/>
  <c r="M610" i="13"/>
  <c r="N610" i="13"/>
  <c r="O610" i="13"/>
  <c r="P610" i="13"/>
  <c r="Q610" i="13"/>
  <c r="R610" i="13"/>
  <c r="S610" i="13"/>
  <c r="U610" i="13"/>
  <c r="X610" i="13"/>
  <c r="J612" i="13"/>
  <c r="K612" i="13"/>
  <c r="L612" i="13"/>
  <c r="M612" i="13"/>
  <c r="N612" i="13"/>
  <c r="O612" i="13"/>
  <c r="P612" i="13"/>
  <c r="Q612" i="13"/>
  <c r="R612" i="13"/>
  <c r="S612" i="13"/>
  <c r="U612" i="13"/>
  <c r="X612" i="13"/>
  <c r="J614" i="13"/>
  <c r="K614" i="13"/>
  <c r="L614" i="13"/>
  <c r="M614" i="13"/>
  <c r="N614" i="13"/>
  <c r="O614" i="13"/>
  <c r="P614" i="13"/>
  <c r="Q614" i="13"/>
  <c r="R614" i="13"/>
  <c r="S614" i="13"/>
  <c r="U614" i="13"/>
  <c r="X614" i="13"/>
  <c r="J616" i="13"/>
  <c r="K616" i="13"/>
  <c r="L616" i="13"/>
  <c r="M616" i="13"/>
  <c r="N616" i="13"/>
  <c r="O616" i="13"/>
  <c r="P616" i="13"/>
  <c r="Q616" i="13"/>
  <c r="R616" i="13"/>
  <c r="S616" i="13"/>
  <c r="U616" i="13"/>
  <c r="X616" i="13"/>
  <c r="J618" i="13"/>
  <c r="K618" i="13"/>
  <c r="L618" i="13"/>
  <c r="M618" i="13"/>
  <c r="N618" i="13"/>
  <c r="O618" i="13"/>
  <c r="P618" i="13"/>
  <c r="Q618" i="13"/>
  <c r="R618" i="13"/>
  <c r="S618" i="13"/>
  <c r="U618" i="13"/>
  <c r="X618" i="13"/>
  <c r="U620" i="13"/>
  <c r="X620" i="13"/>
  <c r="J622" i="13"/>
  <c r="K622" i="13"/>
  <c r="L622" i="13"/>
  <c r="M622" i="13"/>
  <c r="N622" i="13"/>
  <c r="O622" i="13"/>
  <c r="P622" i="13"/>
  <c r="Q622" i="13"/>
  <c r="R622" i="13"/>
  <c r="S622" i="13"/>
  <c r="U622" i="13"/>
  <c r="X622" i="13"/>
  <c r="J696" i="13"/>
  <c r="K696" i="13"/>
  <c r="L696" i="13"/>
  <c r="M696" i="13"/>
  <c r="N696" i="13"/>
  <c r="O696" i="13"/>
  <c r="P696" i="13"/>
  <c r="Q696" i="13"/>
  <c r="R696" i="13"/>
  <c r="S696" i="13"/>
  <c r="U696" i="13"/>
  <c r="X696" i="13"/>
  <c r="J697" i="13"/>
  <c r="K697" i="13"/>
  <c r="L697" i="13"/>
  <c r="M697" i="13"/>
  <c r="N697" i="13"/>
  <c r="O697" i="13"/>
  <c r="P697" i="13"/>
  <c r="Q697" i="13"/>
  <c r="R697" i="13"/>
  <c r="S697" i="13"/>
  <c r="U697" i="13"/>
  <c r="X697" i="13"/>
  <c r="J704" i="13"/>
  <c r="K704" i="13"/>
  <c r="L704" i="13"/>
  <c r="M704" i="13"/>
  <c r="N704" i="13"/>
  <c r="O704" i="13"/>
  <c r="P704" i="13"/>
  <c r="Q704" i="13"/>
  <c r="R704" i="13"/>
  <c r="S704" i="13"/>
  <c r="U704" i="13"/>
  <c r="X704" i="13"/>
  <c r="J705" i="13"/>
  <c r="K705" i="13"/>
  <c r="L705" i="13"/>
  <c r="M705" i="13"/>
  <c r="N705" i="13"/>
  <c r="O705" i="13"/>
  <c r="P705" i="13"/>
  <c r="Q705" i="13"/>
  <c r="R705" i="13"/>
  <c r="S705" i="13"/>
  <c r="U705" i="13"/>
  <c r="X705" i="13"/>
  <c r="J707" i="13"/>
  <c r="K707" i="13"/>
  <c r="L707" i="13"/>
  <c r="M707" i="13"/>
  <c r="N707" i="13"/>
  <c r="O707" i="13"/>
  <c r="P707" i="13"/>
  <c r="Q707" i="13"/>
  <c r="R707" i="13"/>
  <c r="S707" i="13"/>
  <c r="U707" i="13"/>
  <c r="X707" i="13"/>
  <c r="J709" i="13"/>
  <c r="K709" i="13"/>
  <c r="L709" i="13"/>
  <c r="M709" i="13"/>
  <c r="N709" i="13"/>
  <c r="O709" i="13"/>
  <c r="P709" i="13"/>
  <c r="Q709" i="13"/>
  <c r="R709" i="13"/>
  <c r="S709" i="13"/>
  <c r="U709" i="13"/>
  <c r="X709" i="13"/>
  <c r="J753" i="13"/>
  <c r="K753" i="13"/>
  <c r="L753" i="13"/>
  <c r="M753" i="13"/>
  <c r="N753" i="13"/>
  <c r="O753" i="13"/>
  <c r="P753" i="13"/>
  <c r="Q753" i="13"/>
  <c r="R753" i="13"/>
  <c r="S753" i="13"/>
  <c r="U753" i="13"/>
  <c r="X753" i="13"/>
  <c r="J754" i="13"/>
  <c r="K754" i="13"/>
  <c r="L754" i="13"/>
  <c r="M754" i="13"/>
  <c r="N754" i="13"/>
  <c r="O754" i="13"/>
  <c r="P754" i="13"/>
  <c r="Q754" i="13"/>
  <c r="R754" i="13"/>
  <c r="S754" i="13"/>
  <c r="U754" i="13"/>
  <c r="X754" i="13"/>
  <c r="J769" i="13"/>
  <c r="K769" i="13"/>
  <c r="L769" i="13"/>
  <c r="M769" i="13"/>
  <c r="N769" i="13"/>
  <c r="O769" i="13"/>
  <c r="P769" i="13"/>
  <c r="Q769" i="13"/>
  <c r="R769" i="13"/>
  <c r="S769" i="13"/>
  <c r="U769" i="13"/>
  <c r="X769" i="13"/>
  <c r="J770" i="13"/>
  <c r="K770" i="13"/>
  <c r="L770" i="13"/>
  <c r="M770" i="13"/>
  <c r="N770" i="13"/>
  <c r="O770" i="13"/>
  <c r="P770" i="13"/>
  <c r="Q770" i="13"/>
  <c r="R770" i="13"/>
  <c r="S770" i="13"/>
  <c r="U770" i="13"/>
  <c r="X770" i="13"/>
  <c r="J771" i="13"/>
  <c r="K771" i="13"/>
  <c r="L771" i="13"/>
  <c r="M771" i="13"/>
  <c r="N771" i="13"/>
  <c r="O771" i="13"/>
  <c r="P771" i="13"/>
  <c r="Q771" i="13"/>
  <c r="R771" i="13"/>
  <c r="S771" i="13"/>
  <c r="U771" i="13"/>
  <c r="X771" i="13"/>
  <c r="J772" i="13"/>
  <c r="K772" i="13"/>
  <c r="L772" i="13"/>
  <c r="M772" i="13"/>
  <c r="N772" i="13"/>
  <c r="O772" i="13"/>
  <c r="P772" i="13"/>
  <c r="Q772" i="13"/>
  <c r="R772" i="13"/>
  <c r="S772" i="13"/>
  <c r="U772" i="13"/>
  <c r="X772" i="13"/>
  <c r="J773" i="13"/>
  <c r="K773" i="13"/>
  <c r="L773" i="13"/>
  <c r="M773" i="13"/>
  <c r="N773" i="13"/>
  <c r="O773" i="13"/>
  <c r="P773" i="13"/>
  <c r="Q773" i="13"/>
  <c r="R773" i="13"/>
  <c r="S773" i="13"/>
  <c r="U773" i="13"/>
  <c r="X773" i="13"/>
  <c r="J774" i="13"/>
  <c r="K774" i="13"/>
  <c r="L774" i="13"/>
  <c r="M774" i="13"/>
  <c r="N774" i="13"/>
  <c r="O774" i="13"/>
  <c r="P774" i="13"/>
  <c r="Q774" i="13"/>
  <c r="R774" i="13"/>
  <c r="S774" i="13"/>
  <c r="U774" i="13"/>
  <c r="X774" i="13"/>
  <c r="J775" i="13"/>
  <c r="K775" i="13"/>
  <c r="L775" i="13"/>
  <c r="M775" i="13"/>
  <c r="N775" i="13"/>
  <c r="O775" i="13"/>
  <c r="P775" i="13"/>
  <c r="Q775" i="13"/>
  <c r="R775" i="13"/>
  <c r="S775" i="13"/>
  <c r="U775" i="13"/>
  <c r="X775" i="13"/>
  <c r="J778" i="13"/>
  <c r="K778" i="13"/>
  <c r="L778" i="13"/>
  <c r="M778" i="13"/>
  <c r="N778" i="13"/>
  <c r="O778" i="13"/>
  <c r="P778" i="13"/>
  <c r="Q778" i="13"/>
  <c r="R778" i="13"/>
  <c r="S778" i="13"/>
  <c r="U778" i="13"/>
  <c r="X778" i="13"/>
  <c r="J779" i="13"/>
  <c r="K779" i="13"/>
  <c r="L779" i="13"/>
  <c r="M779" i="13"/>
  <c r="N779" i="13"/>
  <c r="O779" i="13"/>
  <c r="P779" i="13"/>
  <c r="Q779" i="13"/>
  <c r="R779" i="13"/>
  <c r="S779" i="13"/>
  <c r="U779" i="13"/>
  <c r="X779" i="13"/>
  <c r="J780" i="13"/>
  <c r="K780" i="13"/>
  <c r="L780" i="13"/>
  <c r="M780" i="13"/>
  <c r="N780" i="13"/>
  <c r="O780" i="13"/>
  <c r="P780" i="13"/>
  <c r="Q780" i="13"/>
  <c r="R780" i="13"/>
  <c r="S780" i="13"/>
  <c r="U780" i="13"/>
  <c r="X780" i="13"/>
  <c r="J781" i="13"/>
  <c r="K781" i="13"/>
  <c r="L781" i="13"/>
  <c r="M781" i="13"/>
  <c r="N781" i="13"/>
  <c r="O781" i="13"/>
  <c r="P781" i="13"/>
  <c r="Q781" i="13"/>
  <c r="R781" i="13"/>
  <c r="S781" i="13"/>
  <c r="U781" i="13"/>
  <c r="X781" i="13"/>
  <c r="J783" i="13"/>
  <c r="K783" i="13"/>
  <c r="L783" i="13"/>
  <c r="M783" i="13"/>
  <c r="N783" i="13"/>
  <c r="O783" i="13"/>
  <c r="P783" i="13"/>
  <c r="Q783" i="13"/>
  <c r="R783" i="13"/>
  <c r="S783" i="13"/>
  <c r="U783" i="13"/>
  <c r="X783" i="13"/>
  <c r="J784" i="13"/>
  <c r="K784" i="13"/>
  <c r="L784" i="13"/>
  <c r="M784" i="13"/>
  <c r="N784" i="13"/>
  <c r="O784" i="13"/>
  <c r="P784" i="13"/>
  <c r="Q784" i="13"/>
  <c r="R784" i="13"/>
  <c r="S784" i="13"/>
  <c r="U784" i="13"/>
  <c r="X784" i="13"/>
  <c r="J785" i="13"/>
  <c r="K785" i="13"/>
  <c r="L785" i="13"/>
  <c r="M785" i="13"/>
  <c r="N785" i="13"/>
  <c r="O785" i="13"/>
  <c r="P785" i="13"/>
  <c r="Q785" i="13"/>
  <c r="R785" i="13"/>
  <c r="S785" i="13"/>
  <c r="U785" i="13"/>
  <c r="X785" i="13"/>
  <c r="J787" i="13"/>
  <c r="K787" i="13"/>
  <c r="L787" i="13"/>
  <c r="M787" i="13"/>
  <c r="N787" i="13"/>
  <c r="O787" i="13"/>
  <c r="P787" i="13"/>
  <c r="Q787" i="13"/>
  <c r="R787" i="13"/>
  <c r="S787" i="13"/>
  <c r="U787" i="13"/>
  <c r="X787" i="13"/>
  <c r="J860" i="13"/>
  <c r="K860" i="13"/>
  <c r="L860" i="13"/>
  <c r="M860" i="13"/>
  <c r="N860" i="13"/>
  <c r="O860" i="13"/>
  <c r="P860" i="13"/>
  <c r="Q860" i="13"/>
  <c r="R860" i="13"/>
  <c r="S860" i="13"/>
  <c r="U860" i="13"/>
  <c r="X860" i="13"/>
  <c r="J867" i="13"/>
  <c r="K867" i="13"/>
  <c r="L867" i="13"/>
  <c r="M867" i="13"/>
  <c r="N867" i="13"/>
  <c r="O867" i="13"/>
  <c r="P867" i="13"/>
  <c r="Q867" i="13"/>
  <c r="R867" i="13"/>
  <c r="S867" i="13"/>
  <c r="U867" i="13"/>
  <c r="X867" i="13"/>
  <c r="J868" i="13"/>
  <c r="K868" i="13"/>
  <c r="L868" i="13"/>
  <c r="M868" i="13"/>
  <c r="N868" i="13"/>
  <c r="O868" i="13"/>
  <c r="P868" i="13"/>
  <c r="Q868" i="13"/>
  <c r="R868" i="13"/>
  <c r="S868" i="13"/>
  <c r="U868" i="13"/>
  <c r="X868" i="13"/>
  <c r="J870" i="13"/>
  <c r="K870" i="13"/>
  <c r="L870" i="13"/>
  <c r="M870" i="13"/>
  <c r="N870" i="13"/>
  <c r="O870" i="13"/>
  <c r="P870" i="13"/>
  <c r="Q870" i="13"/>
  <c r="R870" i="13"/>
  <c r="S870" i="13"/>
  <c r="U870" i="13"/>
  <c r="X870" i="13"/>
  <c r="J872" i="13"/>
  <c r="K872" i="13"/>
  <c r="L872" i="13"/>
  <c r="M872" i="13"/>
  <c r="N872" i="13"/>
  <c r="O872" i="13"/>
  <c r="P872" i="13"/>
  <c r="Q872" i="13"/>
  <c r="R872" i="13"/>
  <c r="S872" i="13"/>
  <c r="U872" i="13"/>
  <c r="X872" i="13"/>
  <c r="J874" i="13"/>
  <c r="K874" i="13"/>
  <c r="L874" i="13"/>
  <c r="M874" i="13"/>
  <c r="N874" i="13"/>
  <c r="O874" i="13"/>
  <c r="P874" i="13"/>
  <c r="Q874" i="13"/>
  <c r="R874" i="13"/>
  <c r="S874" i="13"/>
  <c r="U874" i="13"/>
  <c r="X874" i="13"/>
  <c r="J925" i="13"/>
  <c r="K925" i="13"/>
  <c r="L925" i="13"/>
  <c r="M925" i="13"/>
  <c r="N925" i="13"/>
  <c r="O925" i="13"/>
  <c r="P925" i="13"/>
  <c r="Q925" i="13"/>
  <c r="R925" i="13"/>
  <c r="S925" i="13"/>
  <c r="U925" i="13"/>
  <c r="X925" i="13"/>
  <c r="J940" i="13"/>
  <c r="K940" i="13"/>
  <c r="L940" i="13"/>
  <c r="M940" i="13"/>
  <c r="N940" i="13"/>
  <c r="O940" i="13"/>
  <c r="P940" i="13"/>
  <c r="Q940" i="13"/>
  <c r="R940" i="13"/>
  <c r="S940" i="13"/>
  <c r="U940" i="13"/>
  <c r="X940" i="13"/>
  <c r="J941" i="13"/>
  <c r="K941" i="13"/>
  <c r="L941" i="13"/>
  <c r="M941" i="13"/>
  <c r="N941" i="13"/>
  <c r="O941" i="13"/>
  <c r="P941" i="13"/>
  <c r="Q941" i="13"/>
  <c r="R941" i="13"/>
  <c r="S941" i="13"/>
  <c r="U941" i="13"/>
  <c r="X941" i="13"/>
  <c r="J942" i="13"/>
  <c r="K942" i="13"/>
  <c r="L942" i="13"/>
  <c r="M942" i="13"/>
  <c r="N942" i="13"/>
  <c r="O942" i="13"/>
  <c r="P942" i="13"/>
  <c r="Q942" i="13"/>
  <c r="R942" i="13"/>
  <c r="S942" i="13"/>
  <c r="U942" i="13"/>
  <c r="X942" i="13"/>
  <c r="J943" i="13"/>
  <c r="K943" i="13"/>
  <c r="L943" i="13"/>
  <c r="M943" i="13"/>
  <c r="N943" i="13"/>
  <c r="O943" i="13"/>
  <c r="P943" i="13"/>
  <c r="Q943" i="13"/>
  <c r="R943" i="13"/>
  <c r="S943" i="13"/>
  <c r="U943" i="13"/>
  <c r="X943" i="13"/>
  <c r="J944" i="13"/>
  <c r="K944" i="13"/>
  <c r="L944" i="13"/>
  <c r="M944" i="13"/>
  <c r="N944" i="13"/>
  <c r="O944" i="13"/>
  <c r="P944" i="13"/>
  <c r="Q944" i="13"/>
  <c r="R944" i="13"/>
  <c r="S944" i="13"/>
  <c r="U944" i="13"/>
  <c r="X944" i="13"/>
  <c r="J945" i="13"/>
  <c r="K945" i="13"/>
  <c r="L945" i="13"/>
  <c r="M945" i="13"/>
  <c r="N945" i="13"/>
  <c r="O945" i="13"/>
  <c r="P945" i="13"/>
  <c r="Q945" i="13"/>
  <c r="R945" i="13"/>
  <c r="S945" i="13"/>
  <c r="U945" i="13"/>
  <c r="X945" i="13"/>
  <c r="J946" i="13"/>
  <c r="K946" i="13"/>
  <c r="L946" i="13"/>
  <c r="M946" i="13"/>
  <c r="N946" i="13"/>
  <c r="O946" i="13"/>
  <c r="P946" i="13"/>
  <c r="Q946" i="13"/>
  <c r="R946" i="13"/>
  <c r="S946" i="13"/>
  <c r="U946" i="13"/>
  <c r="X946" i="13"/>
  <c r="J948" i="13"/>
  <c r="K948" i="13"/>
  <c r="L948" i="13"/>
  <c r="M948" i="13"/>
  <c r="N948" i="13"/>
  <c r="O948" i="13"/>
  <c r="P948" i="13"/>
  <c r="Q948" i="13"/>
  <c r="R948" i="13"/>
  <c r="S948" i="13"/>
  <c r="U948" i="13"/>
  <c r="X948" i="13"/>
  <c r="J949" i="13"/>
  <c r="K949" i="13"/>
  <c r="L949" i="13"/>
  <c r="M949" i="13"/>
  <c r="N949" i="13"/>
  <c r="O949" i="13"/>
  <c r="P949" i="13"/>
  <c r="Q949" i="13"/>
  <c r="R949" i="13"/>
  <c r="S949" i="13"/>
  <c r="U949" i="13"/>
  <c r="X949" i="13"/>
  <c r="J950" i="13"/>
  <c r="K950" i="13"/>
  <c r="L950" i="13"/>
  <c r="M950" i="13"/>
  <c r="N950" i="13"/>
  <c r="O950" i="13"/>
  <c r="P950" i="13"/>
  <c r="Q950" i="13"/>
  <c r="R950" i="13"/>
  <c r="S950" i="13"/>
  <c r="U950" i="13"/>
  <c r="X950" i="13"/>
  <c r="J951" i="13"/>
  <c r="K951" i="13"/>
  <c r="L951" i="13"/>
  <c r="M951" i="13"/>
  <c r="N951" i="13"/>
  <c r="O951" i="13"/>
  <c r="P951" i="13"/>
  <c r="Q951" i="13"/>
  <c r="R951" i="13"/>
  <c r="S951" i="13"/>
  <c r="U951" i="13"/>
  <c r="X951" i="13"/>
  <c r="J952" i="13"/>
  <c r="K952" i="13"/>
  <c r="L952" i="13"/>
  <c r="M952" i="13"/>
  <c r="N952" i="13"/>
  <c r="O952" i="13"/>
  <c r="P952" i="13"/>
  <c r="Q952" i="13"/>
  <c r="R952" i="13"/>
  <c r="S952" i="13"/>
  <c r="U952" i="13"/>
  <c r="X952" i="13"/>
  <c r="J953" i="13"/>
  <c r="K953" i="13"/>
  <c r="L953" i="13"/>
  <c r="M953" i="13"/>
  <c r="N953" i="13"/>
  <c r="O953" i="13"/>
  <c r="P953" i="13"/>
  <c r="Q953" i="13"/>
  <c r="R953" i="13"/>
  <c r="S953" i="13"/>
  <c r="U953" i="13"/>
  <c r="X953" i="13"/>
  <c r="J955" i="13"/>
  <c r="K955" i="13"/>
  <c r="L955" i="13"/>
  <c r="M955" i="13"/>
  <c r="N955" i="13"/>
  <c r="O955" i="13"/>
  <c r="P955" i="13"/>
  <c r="Q955" i="13"/>
  <c r="R955" i="13"/>
  <c r="S955" i="13"/>
  <c r="U955" i="13"/>
  <c r="X955" i="13"/>
  <c r="J957" i="13"/>
  <c r="K957" i="13"/>
  <c r="L957" i="13"/>
  <c r="M957" i="13"/>
  <c r="N957" i="13"/>
  <c r="O957" i="13"/>
  <c r="P957" i="13"/>
  <c r="Q957" i="13"/>
  <c r="R957" i="13"/>
  <c r="S957" i="13"/>
  <c r="U957" i="13"/>
  <c r="X957" i="13"/>
  <c r="J995" i="13"/>
  <c r="K995" i="13"/>
  <c r="L995" i="13"/>
  <c r="M995" i="13"/>
  <c r="N995" i="13"/>
  <c r="O995" i="13"/>
  <c r="P995" i="13"/>
  <c r="Q995" i="13"/>
  <c r="R995" i="13"/>
  <c r="S995" i="13"/>
  <c r="U995" i="13"/>
  <c r="X995" i="13"/>
  <c r="J996" i="13"/>
  <c r="K996" i="13"/>
  <c r="L996" i="13"/>
  <c r="M996" i="13"/>
  <c r="N996" i="13"/>
  <c r="O996" i="13"/>
  <c r="P996" i="13"/>
  <c r="Q996" i="13"/>
  <c r="R996" i="13"/>
  <c r="S996" i="13"/>
  <c r="U996" i="13"/>
  <c r="X996" i="13"/>
  <c r="J997" i="13"/>
  <c r="K997" i="13"/>
  <c r="L997" i="13"/>
  <c r="M997" i="13"/>
  <c r="N997" i="13"/>
  <c r="O997" i="13"/>
  <c r="P997" i="13"/>
  <c r="Q997" i="13"/>
  <c r="R997" i="13"/>
  <c r="S997" i="13"/>
  <c r="U997" i="13"/>
  <c r="X997" i="13"/>
  <c r="J998" i="13"/>
  <c r="K998" i="13"/>
  <c r="L998" i="13"/>
  <c r="M998" i="13"/>
  <c r="N998" i="13"/>
  <c r="O998" i="13"/>
  <c r="P998" i="13"/>
  <c r="Q998" i="13"/>
  <c r="R998" i="13"/>
  <c r="S998" i="13"/>
  <c r="U998" i="13"/>
  <c r="X998" i="13"/>
  <c r="J1001" i="13"/>
  <c r="K1001" i="13"/>
  <c r="L1001" i="13"/>
  <c r="M1001" i="13"/>
  <c r="N1001" i="13"/>
  <c r="O1001" i="13"/>
  <c r="P1001" i="13"/>
  <c r="Q1001" i="13"/>
  <c r="R1001" i="13"/>
  <c r="S1001" i="13"/>
  <c r="U1001" i="13"/>
  <c r="X1001" i="13"/>
  <c r="J1002" i="13"/>
  <c r="K1002" i="13"/>
  <c r="L1002" i="13"/>
  <c r="M1002" i="13"/>
  <c r="N1002" i="13"/>
  <c r="O1002" i="13"/>
  <c r="P1002" i="13"/>
  <c r="Q1002" i="13"/>
  <c r="R1002" i="13"/>
  <c r="S1002" i="13"/>
  <c r="U1002" i="13"/>
  <c r="J1003" i="13"/>
  <c r="K1003" i="13"/>
  <c r="L1003" i="13"/>
  <c r="M1003" i="13"/>
  <c r="N1003" i="13"/>
  <c r="O1003" i="13"/>
  <c r="P1003" i="13"/>
  <c r="Q1003" i="13"/>
  <c r="R1003" i="13"/>
  <c r="S1003" i="13"/>
  <c r="U1003" i="13"/>
  <c r="J1004" i="13"/>
  <c r="K1004" i="13"/>
  <c r="L1004" i="13"/>
  <c r="M1004" i="13"/>
  <c r="N1004" i="13"/>
  <c r="O1004" i="13"/>
  <c r="P1004" i="13"/>
  <c r="Q1004" i="13"/>
  <c r="R1004" i="13"/>
  <c r="S1004" i="13"/>
  <c r="U1004" i="13"/>
  <c r="J1005" i="13"/>
  <c r="K1005" i="13"/>
  <c r="L1005" i="13"/>
  <c r="M1005" i="13"/>
  <c r="N1005" i="13"/>
  <c r="O1005" i="13"/>
  <c r="P1005" i="13"/>
  <c r="Q1005" i="13"/>
  <c r="R1005" i="13"/>
  <c r="S1005" i="13"/>
  <c r="U1005" i="13"/>
  <c r="X1005" i="13"/>
  <c r="J1007" i="13"/>
  <c r="K1007" i="13"/>
  <c r="L1007" i="13"/>
  <c r="M1007" i="13"/>
  <c r="N1007" i="13"/>
  <c r="O1007" i="13"/>
  <c r="P1007" i="13"/>
  <c r="Q1007" i="13"/>
  <c r="R1007" i="13"/>
  <c r="S1007" i="13"/>
  <c r="U1007" i="13"/>
  <c r="X1007" i="13"/>
  <c r="J1008" i="13"/>
  <c r="K1008" i="13"/>
  <c r="L1008" i="13"/>
  <c r="M1008" i="13"/>
  <c r="N1008" i="13"/>
  <c r="O1008" i="13"/>
  <c r="P1008" i="13"/>
  <c r="Q1008" i="13"/>
  <c r="R1008" i="13"/>
  <c r="S1008" i="13"/>
  <c r="U1008" i="13"/>
  <c r="X1008" i="13"/>
  <c r="J1009" i="13"/>
  <c r="K1009" i="13"/>
  <c r="L1009" i="13"/>
  <c r="M1009" i="13"/>
  <c r="N1009" i="13"/>
  <c r="O1009" i="13"/>
  <c r="P1009" i="13"/>
  <c r="Q1009" i="13"/>
  <c r="R1009" i="13"/>
  <c r="S1009" i="13"/>
  <c r="U1009" i="13"/>
  <c r="X1009" i="13"/>
  <c r="J1010" i="13"/>
  <c r="K1010" i="13"/>
  <c r="L1010" i="13"/>
  <c r="M1010" i="13"/>
  <c r="N1010" i="13"/>
  <c r="O1010" i="13"/>
  <c r="P1010" i="13"/>
  <c r="Q1010" i="13"/>
  <c r="R1010" i="13"/>
  <c r="S1010" i="13"/>
  <c r="U1010" i="13"/>
  <c r="X1010" i="13"/>
  <c r="J1011" i="13"/>
  <c r="K1011" i="13"/>
  <c r="L1011" i="13"/>
  <c r="M1011" i="13"/>
  <c r="N1011" i="13"/>
  <c r="O1011" i="13"/>
  <c r="P1011" i="13"/>
  <c r="Q1011" i="13"/>
  <c r="R1011" i="13"/>
  <c r="S1011" i="13"/>
  <c r="U1011" i="13"/>
  <c r="X1011" i="13"/>
  <c r="J1012" i="13"/>
  <c r="K1012" i="13"/>
  <c r="L1012" i="13"/>
  <c r="M1012" i="13"/>
  <c r="N1012" i="13"/>
  <c r="O1012" i="13"/>
  <c r="P1012" i="13"/>
  <c r="Q1012" i="13"/>
  <c r="R1012" i="13"/>
  <c r="S1012" i="13"/>
  <c r="U1012" i="13"/>
  <c r="X1012" i="13"/>
  <c r="J1013" i="13"/>
  <c r="K1013" i="13"/>
  <c r="L1013" i="13"/>
  <c r="M1013" i="13"/>
  <c r="N1013" i="13"/>
  <c r="O1013" i="13"/>
  <c r="P1013" i="13"/>
  <c r="Q1013" i="13"/>
  <c r="R1013" i="13"/>
  <c r="S1013" i="13"/>
  <c r="U1013" i="13"/>
  <c r="X1013" i="13"/>
  <c r="J1016" i="13"/>
  <c r="K1016" i="13"/>
  <c r="L1016" i="13"/>
  <c r="M1016" i="13"/>
  <c r="N1016" i="13"/>
  <c r="O1016" i="13"/>
  <c r="P1016" i="13"/>
  <c r="Q1016" i="13"/>
  <c r="R1016" i="13"/>
  <c r="S1016" i="13"/>
  <c r="U1016" i="13"/>
  <c r="X1016" i="13"/>
  <c r="J1017" i="13"/>
  <c r="K1017" i="13"/>
  <c r="L1017" i="13"/>
  <c r="M1017" i="13"/>
  <c r="N1017" i="13"/>
  <c r="O1017" i="13"/>
  <c r="P1017" i="13"/>
  <c r="Q1017" i="13"/>
  <c r="R1017" i="13"/>
  <c r="S1017" i="13"/>
  <c r="U1017" i="13"/>
  <c r="X1017" i="13"/>
  <c r="J1019" i="13"/>
  <c r="K1019" i="13"/>
  <c r="L1019" i="13"/>
  <c r="M1019" i="13"/>
  <c r="N1019" i="13"/>
  <c r="O1019" i="13"/>
  <c r="P1019" i="13"/>
  <c r="Q1019" i="13"/>
  <c r="R1019" i="13"/>
  <c r="S1019" i="13"/>
  <c r="U1019" i="13"/>
  <c r="X1019" i="13"/>
  <c r="J1020" i="13"/>
  <c r="K1020" i="13"/>
  <c r="L1020" i="13"/>
  <c r="M1020" i="13"/>
  <c r="N1020" i="13"/>
  <c r="O1020" i="13"/>
  <c r="P1020" i="13"/>
  <c r="Q1020" i="13"/>
  <c r="R1020" i="13"/>
  <c r="S1020" i="13"/>
  <c r="U1020" i="13"/>
  <c r="X1020" i="13"/>
  <c r="J1021" i="13"/>
  <c r="K1021" i="13"/>
  <c r="L1021" i="13"/>
  <c r="M1021" i="13"/>
  <c r="N1021" i="13"/>
  <c r="O1021" i="13"/>
  <c r="P1021" i="13"/>
  <c r="Q1021" i="13"/>
  <c r="R1021" i="13"/>
  <c r="S1021" i="13"/>
  <c r="U1021" i="13"/>
  <c r="X1021" i="13"/>
  <c r="J1032" i="13"/>
  <c r="K1032" i="13"/>
  <c r="L1032" i="13"/>
  <c r="M1032" i="13"/>
  <c r="N1032" i="13"/>
  <c r="O1032" i="13"/>
  <c r="P1032" i="13"/>
  <c r="Q1032" i="13"/>
  <c r="R1032" i="13"/>
  <c r="S1032" i="13"/>
  <c r="U1032" i="13"/>
  <c r="X1032" i="13"/>
  <c r="J1049" i="13"/>
  <c r="K1049" i="13"/>
  <c r="L1049" i="13"/>
  <c r="M1049" i="13"/>
  <c r="N1049" i="13"/>
  <c r="O1049" i="13"/>
  <c r="P1049" i="13"/>
  <c r="Q1049" i="13"/>
  <c r="R1049" i="13"/>
  <c r="S1049" i="13"/>
  <c r="U1049" i="13"/>
  <c r="X1049" i="13"/>
  <c r="J1050" i="13"/>
  <c r="K1050" i="13"/>
  <c r="L1050" i="13"/>
  <c r="M1050" i="13"/>
  <c r="N1050" i="13"/>
  <c r="O1050" i="13"/>
  <c r="P1050" i="13"/>
  <c r="Q1050" i="13"/>
  <c r="R1050" i="13"/>
  <c r="S1050" i="13"/>
  <c r="U1050" i="13"/>
  <c r="X1050" i="13"/>
  <c r="J1051" i="13"/>
  <c r="K1051" i="13"/>
  <c r="L1051" i="13"/>
  <c r="M1051" i="13"/>
  <c r="N1051" i="13"/>
  <c r="O1051" i="13"/>
  <c r="P1051" i="13"/>
  <c r="Q1051" i="13"/>
  <c r="R1051" i="13"/>
  <c r="S1051" i="13"/>
  <c r="U1051" i="13"/>
  <c r="X1051" i="13"/>
  <c r="J1052" i="13"/>
  <c r="K1052" i="13"/>
  <c r="L1052" i="13"/>
  <c r="M1052" i="13"/>
  <c r="N1052" i="13"/>
  <c r="O1052" i="13"/>
  <c r="P1052" i="13"/>
  <c r="Q1052" i="13"/>
  <c r="R1052" i="13"/>
  <c r="S1052" i="13"/>
  <c r="U1052" i="13"/>
  <c r="X1052" i="13"/>
  <c r="J1053" i="13"/>
  <c r="K1053" i="13"/>
  <c r="L1053" i="13"/>
  <c r="M1053" i="13"/>
  <c r="N1053" i="13"/>
  <c r="O1053" i="13"/>
  <c r="P1053" i="13"/>
  <c r="Q1053" i="13"/>
  <c r="R1053" i="13"/>
  <c r="S1053" i="13"/>
  <c r="U1053" i="13"/>
  <c r="X1053" i="13"/>
  <c r="J1054" i="13"/>
  <c r="K1054" i="13"/>
  <c r="L1054" i="13"/>
  <c r="M1054" i="13"/>
  <c r="N1054" i="13"/>
  <c r="O1054" i="13"/>
  <c r="P1054" i="13"/>
  <c r="Q1054" i="13"/>
  <c r="R1054" i="13"/>
  <c r="S1054" i="13"/>
  <c r="U1054" i="13"/>
  <c r="X1054" i="13"/>
  <c r="J1055" i="13"/>
  <c r="K1055" i="13"/>
  <c r="L1055" i="13"/>
  <c r="M1055" i="13"/>
  <c r="N1055" i="13"/>
  <c r="O1055" i="13"/>
  <c r="P1055" i="13"/>
  <c r="Q1055" i="13"/>
  <c r="R1055" i="13"/>
  <c r="S1055" i="13"/>
  <c r="U1055" i="13"/>
  <c r="X1055" i="13"/>
  <c r="J1056" i="13"/>
  <c r="K1056" i="13"/>
  <c r="L1056" i="13"/>
  <c r="M1056" i="13"/>
  <c r="N1056" i="13"/>
  <c r="O1056" i="13"/>
  <c r="P1056" i="13"/>
  <c r="Q1056" i="13"/>
  <c r="R1056" i="13"/>
  <c r="S1056" i="13"/>
  <c r="U1056" i="13"/>
  <c r="X1056" i="13"/>
  <c r="J1057" i="13"/>
  <c r="K1057" i="13"/>
  <c r="L1057" i="13"/>
  <c r="M1057" i="13"/>
  <c r="N1057" i="13"/>
  <c r="O1057" i="13"/>
  <c r="P1057" i="13"/>
  <c r="Q1057" i="13"/>
  <c r="R1057" i="13"/>
  <c r="S1057" i="13"/>
  <c r="U1057" i="13"/>
  <c r="J1058" i="13"/>
  <c r="K1058" i="13"/>
  <c r="L1058" i="13"/>
  <c r="M1058" i="13"/>
  <c r="N1058" i="13"/>
  <c r="O1058" i="13"/>
  <c r="P1058" i="13"/>
  <c r="Q1058" i="13"/>
  <c r="R1058" i="13"/>
  <c r="S1058" i="13"/>
  <c r="U1058" i="13"/>
  <c r="J1059" i="13"/>
  <c r="K1059" i="13"/>
  <c r="L1059" i="13"/>
  <c r="M1059" i="13"/>
  <c r="N1059" i="13"/>
  <c r="O1059" i="13"/>
  <c r="P1059" i="13"/>
  <c r="Q1059" i="13"/>
  <c r="R1059" i="13"/>
  <c r="S1059" i="13"/>
  <c r="U1059" i="13"/>
  <c r="X1059" i="13"/>
  <c r="J1060" i="13"/>
  <c r="K1060" i="13"/>
  <c r="L1060" i="13"/>
  <c r="M1060" i="13"/>
  <c r="N1060" i="13"/>
  <c r="O1060" i="13"/>
  <c r="P1060" i="13"/>
  <c r="Q1060" i="13"/>
  <c r="R1060" i="13"/>
  <c r="S1060" i="13"/>
  <c r="U1060" i="13"/>
  <c r="X1060" i="13"/>
  <c r="J1061" i="13"/>
  <c r="K1061" i="13"/>
  <c r="L1061" i="13"/>
  <c r="M1061" i="13"/>
  <c r="N1061" i="13"/>
  <c r="O1061" i="13"/>
  <c r="P1061" i="13"/>
  <c r="Q1061" i="13"/>
  <c r="R1061" i="13"/>
  <c r="S1061" i="13"/>
  <c r="U1061" i="13"/>
  <c r="X1061" i="13"/>
  <c r="J1062" i="13"/>
  <c r="K1062" i="13"/>
  <c r="L1062" i="13"/>
  <c r="M1062" i="13"/>
  <c r="N1062" i="13"/>
  <c r="O1062" i="13"/>
  <c r="P1062" i="13"/>
  <c r="Q1062" i="13"/>
  <c r="R1062" i="13"/>
  <c r="S1062" i="13"/>
  <c r="U1062" i="13"/>
  <c r="X1062" i="13"/>
  <c r="J1063" i="13"/>
  <c r="K1063" i="13"/>
  <c r="L1063" i="13"/>
  <c r="M1063" i="13"/>
  <c r="N1063" i="13"/>
  <c r="O1063" i="13"/>
  <c r="P1063" i="13"/>
  <c r="Q1063" i="13"/>
  <c r="R1063" i="13"/>
  <c r="S1063" i="13"/>
  <c r="U1063" i="13"/>
  <c r="X1063" i="13"/>
  <c r="J1065" i="13"/>
  <c r="K1065" i="13"/>
  <c r="L1065" i="13"/>
  <c r="M1065" i="13"/>
  <c r="N1065" i="13"/>
  <c r="O1065" i="13"/>
  <c r="P1065" i="13"/>
  <c r="Q1065" i="13"/>
  <c r="R1065" i="13"/>
  <c r="S1065" i="13"/>
  <c r="U1065" i="13"/>
  <c r="X1065" i="13"/>
  <c r="J1067" i="13"/>
  <c r="K1067" i="13"/>
  <c r="L1067" i="13"/>
  <c r="M1067" i="13"/>
  <c r="N1067" i="13"/>
  <c r="O1067" i="13"/>
  <c r="P1067" i="13"/>
  <c r="Q1067" i="13"/>
  <c r="R1067" i="13"/>
  <c r="S1067" i="13"/>
  <c r="U1067" i="13"/>
  <c r="X1067" i="13"/>
  <c r="J1068" i="13"/>
  <c r="K1068" i="13"/>
  <c r="L1068" i="13"/>
  <c r="M1068" i="13"/>
  <c r="N1068" i="13"/>
  <c r="O1068" i="13"/>
  <c r="P1068" i="13"/>
  <c r="Q1068" i="13"/>
  <c r="R1068" i="13"/>
  <c r="S1068" i="13"/>
  <c r="U1068" i="13"/>
  <c r="X1068" i="13"/>
  <c r="J1070" i="13"/>
  <c r="K1070" i="13"/>
  <c r="L1070" i="13"/>
  <c r="M1070" i="13"/>
  <c r="N1070" i="13"/>
  <c r="O1070" i="13"/>
  <c r="P1070" i="13"/>
  <c r="Q1070" i="13"/>
  <c r="R1070" i="13"/>
  <c r="S1070" i="13"/>
  <c r="U1070" i="13"/>
  <c r="X1070" i="13"/>
  <c r="J1088" i="13"/>
  <c r="K1088" i="13"/>
  <c r="L1088" i="13"/>
  <c r="M1088" i="13"/>
  <c r="N1088" i="13"/>
  <c r="O1088" i="13"/>
  <c r="P1088" i="13"/>
  <c r="Q1088" i="13"/>
  <c r="R1088" i="13"/>
  <c r="S1088" i="13"/>
  <c r="U1088" i="13"/>
  <c r="X1088" i="13"/>
  <c r="J1089" i="13"/>
  <c r="K1089" i="13"/>
  <c r="L1089" i="13"/>
  <c r="M1089" i="13"/>
  <c r="N1089" i="13"/>
  <c r="O1089" i="13"/>
  <c r="P1089" i="13"/>
  <c r="Q1089" i="13"/>
  <c r="R1089" i="13"/>
  <c r="S1089" i="13"/>
  <c r="U1089" i="13"/>
  <c r="X1089" i="13"/>
  <c r="J1090" i="13"/>
  <c r="K1090" i="13"/>
  <c r="L1090" i="13"/>
  <c r="M1090" i="13"/>
  <c r="N1090" i="13"/>
  <c r="O1090" i="13"/>
  <c r="P1090" i="13"/>
  <c r="Q1090" i="13"/>
  <c r="R1090" i="13"/>
  <c r="S1090" i="13"/>
  <c r="U1090" i="13"/>
  <c r="X1090" i="13"/>
  <c r="J1091" i="13"/>
  <c r="K1091" i="13"/>
  <c r="L1091" i="13"/>
  <c r="M1091" i="13"/>
  <c r="N1091" i="13"/>
  <c r="O1091" i="13"/>
  <c r="P1091" i="13"/>
  <c r="Q1091" i="13"/>
  <c r="R1091" i="13"/>
  <c r="S1091" i="13"/>
  <c r="U1091" i="13"/>
  <c r="X1091" i="13"/>
  <c r="J1094" i="13"/>
  <c r="K1094" i="13"/>
  <c r="L1094" i="13"/>
  <c r="M1094" i="13"/>
  <c r="N1094" i="13"/>
  <c r="O1094" i="13"/>
  <c r="P1094" i="13"/>
  <c r="Q1094" i="13"/>
  <c r="R1094" i="13"/>
  <c r="S1094" i="13"/>
  <c r="U1094" i="13"/>
  <c r="X1094" i="13"/>
  <c r="J1095" i="13"/>
  <c r="K1095" i="13"/>
  <c r="L1095" i="13"/>
  <c r="M1095" i="13"/>
  <c r="N1095" i="13"/>
  <c r="O1095" i="13"/>
  <c r="P1095" i="13"/>
  <c r="Q1095" i="13"/>
  <c r="R1095" i="13"/>
  <c r="S1095" i="13"/>
  <c r="U1095" i="13"/>
  <c r="X1095" i="13"/>
  <c r="J1098" i="13"/>
  <c r="K1098" i="13"/>
  <c r="L1098" i="13"/>
  <c r="M1098" i="13"/>
  <c r="N1098" i="13"/>
  <c r="O1098" i="13"/>
  <c r="P1098" i="13"/>
  <c r="Q1098" i="13"/>
  <c r="R1098" i="13"/>
  <c r="S1098" i="13"/>
  <c r="U1098" i="13"/>
  <c r="X1098" i="13"/>
  <c r="J1101" i="13"/>
  <c r="K1101" i="13"/>
  <c r="L1101" i="13"/>
  <c r="M1101" i="13"/>
  <c r="N1101" i="13"/>
  <c r="O1101" i="13"/>
  <c r="P1101" i="13"/>
  <c r="Q1101" i="13"/>
  <c r="R1101" i="13"/>
  <c r="S1101" i="13"/>
  <c r="U1101" i="13"/>
  <c r="X1101" i="13"/>
  <c r="J1103" i="13"/>
  <c r="K1103" i="13"/>
  <c r="L1103" i="13"/>
  <c r="M1103" i="13"/>
  <c r="N1103" i="13"/>
  <c r="O1103" i="13"/>
  <c r="P1103" i="13"/>
  <c r="Q1103" i="13"/>
  <c r="R1103" i="13"/>
  <c r="S1103" i="13"/>
  <c r="U1103" i="13"/>
  <c r="X1103" i="13"/>
  <c r="J1118" i="13"/>
  <c r="K1118" i="13"/>
  <c r="L1118" i="13"/>
  <c r="M1118" i="13"/>
  <c r="N1118" i="13"/>
  <c r="O1118" i="13"/>
  <c r="P1118" i="13"/>
  <c r="Q1118" i="13"/>
  <c r="R1118" i="13"/>
  <c r="S1118" i="13"/>
  <c r="U1118" i="13"/>
  <c r="X1118" i="13"/>
  <c r="J1121" i="13"/>
  <c r="K1121" i="13"/>
  <c r="L1121" i="13"/>
  <c r="M1121" i="13"/>
  <c r="N1121" i="13"/>
  <c r="O1121" i="13"/>
  <c r="P1121" i="13"/>
  <c r="Q1121" i="13"/>
  <c r="R1121" i="13"/>
  <c r="S1121" i="13"/>
  <c r="U1121" i="13"/>
  <c r="X1121" i="13"/>
  <c r="J1122" i="13"/>
  <c r="K1122" i="13"/>
  <c r="L1122" i="13"/>
  <c r="M1122" i="13"/>
  <c r="N1122" i="13"/>
  <c r="O1122" i="13"/>
  <c r="P1122" i="13"/>
  <c r="Q1122" i="13"/>
  <c r="R1122" i="13"/>
  <c r="S1122" i="13"/>
  <c r="U1122" i="13"/>
  <c r="X1122" i="13"/>
  <c r="J1123" i="13"/>
  <c r="K1123" i="13"/>
  <c r="L1123" i="13"/>
  <c r="M1123" i="13"/>
  <c r="N1123" i="13"/>
  <c r="O1123" i="13"/>
  <c r="P1123" i="13"/>
  <c r="Q1123" i="13"/>
  <c r="R1123" i="13"/>
  <c r="S1123" i="13"/>
  <c r="U1123" i="13"/>
  <c r="X1123" i="13"/>
  <c r="J1124" i="13"/>
  <c r="K1124" i="13"/>
  <c r="L1124" i="13"/>
  <c r="M1124" i="13"/>
  <c r="N1124" i="13"/>
  <c r="O1124" i="13"/>
  <c r="P1124" i="13"/>
  <c r="Q1124" i="13"/>
  <c r="R1124" i="13"/>
  <c r="S1124" i="13"/>
  <c r="U1124" i="13"/>
  <c r="X1124" i="13"/>
  <c r="J1125" i="13"/>
  <c r="K1125" i="13"/>
  <c r="L1125" i="13"/>
  <c r="M1125" i="13"/>
  <c r="N1125" i="13"/>
  <c r="O1125" i="13"/>
  <c r="P1125" i="13"/>
  <c r="Q1125" i="13"/>
  <c r="R1125" i="13"/>
  <c r="S1125" i="13"/>
  <c r="U1125" i="13"/>
  <c r="X1125" i="13"/>
  <c r="J1126" i="13"/>
  <c r="K1126" i="13"/>
  <c r="L1126" i="13"/>
  <c r="M1126" i="13"/>
  <c r="N1126" i="13"/>
  <c r="O1126" i="13"/>
  <c r="P1126" i="13"/>
  <c r="Q1126" i="13"/>
  <c r="R1126" i="13"/>
  <c r="S1126" i="13"/>
  <c r="U1126" i="13"/>
  <c r="X1126" i="13"/>
  <c r="J1130" i="13"/>
  <c r="K1130" i="13"/>
  <c r="L1130" i="13"/>
  <c r="M1130" i="13"/>
  <c r="N1130" i="13"/>
  <c r="O1130" i="13"/>
  <c r="P1130" i="13"/>
  <c r="Q1130" i="13"/>
  <c r="R1130" i="13"/>
  <c r="S1130" i="13"/>
  <c r="U1130" i="13"/>
  <c r="X1130" i="13"/>
  <c r="J1133" i="13"/>
  <c r="K1133" i="13"/>
  <c r="L1133" i="13"/>
  <c r="M1133" i="13"/>
  <c r="N1133" i="13"/>
  <c r="O1133" i="13"/>
  <c r="P1133" i="13"/>
  <c r="Q1133" i="13"/>
  <c r="R1133" i="13"/>
  <c r="S1133" i="13"/>
  <c r="U1133" i="13"/>
  <c r="X1133" i="13"/>
  <c r="J1134" i="13"/>
  <c r="K1134" i="13"/>
  <c r="L1134" i="13"/>
  <c r="M1134" i="13"/>
  <c r="N1134" i="13"/>
  <c r="O1134" i="13"/>
  <c r="P1134" i="13"/>
  <c r="Q1134" i="13"/>
  <c r="R1134" i="13"/>
  <c r="S1134" i="13"/>
  <c r="U1134" i="13"/>
  <c r="X1134" i="13"/>
  <c r="J1135" i="13"/>
  <c r="K1135" i="13"/>
  <c r="L1135" i="13"/>
  <c r="M1135" i="13"/>
  <c r="N1135" i="13"/>
  <c r="O1135" i="13"/>
  <c r="P1135" i="13"/>
  <c r="Q1135" i="13"/>
  <c r="R1135" i="13"/>
  <c r="S1135" i="13"/>
  <c r="U1135" i="13"/>
  <c r="X1135" i="13"/>
  <c r="J1136" i="13"/>
  <c r="K1136" i="13"/>
  <c r="L1136" i="13"/>
  <c r="M1136" i="13"/>
  <c r="N1136" i="13"/>
  <c r="O1136" i="13"/>
  <c r="P1136" i="13"/>
  <c r="Q1136" i="13"/>
  <c r="R1136" i="13"/>
  <c r="S1136" i="13"/>
  <c r="U1136" i="13"/>
  <c r="X1136" i="13"/>
  <c r="J1137" i="13"/>
  <c r="K1137" i="13"/>
  <c r="L1137" i="13"/>
  <c r="M1137" i="13"/>
  <c r="N1137" i="13"/>
  <c r="O1137" i="13"/>
  <c r="P1137" i="13"/>
  <c r="Q1137" i="13"/>
  <c r="R1137" i="13"/>
  <c r="S1137" i="13"/>
  <c r="U1137" i="13"/>
  <c r="X1137" i="13"/>
  <c r="J1138" i="13"/>
  <c r="K1138" i="13"/>
  <c r="L1138" i="13"/>
  <c r="M1138" i="13"/>
  <c r="N1138" i="13"/>
  <c r="O1138" i="13"/>
  <c r="P1138" i="13"/>
  <c r="Q1138" i="13"/>
  <c r="R1138" i="13"/>
  <c r="S1138" i="13"/>
  <c r="U1138" i="13"/>
  <c r="X1138" i="13"/>
  <c r="J1139" i="13"/>
  <c r="K1139" i="13"/>
  <c r="L1139" i="13"/>
  <c r="M1139" i="13"/>
  <c r="N1139" i="13"/>
  <c r="O1139" i="13"/>
  <c r="P1139" i="13"/>
  <c r="Q1139" i="13"/>
  <c r="R1139" i="13"/>
  <c r="S1139" i="13"/>
  <c r="U1139" i="13"/>
  <c r="J1140" i="13"/>
  <c r="K1140" i="13"/>
  <c r="L1140" i="13"/>
  <c r="M1140" i="13"/>
  <c r="N1140" i="13"/>
  <c r="O1140" i="13"/>
  <c r="P1140" i="13"/>
  <c r="Q1140" i="13"/>
  <c r="R1140" i="13"/>
  <c r="S1140" i="13"/>
  <c r="U1140" i="13"/>
  <c r="X1140" i="13"/>
  <c r="J1142" i="13"/>
  <c r="K1142" i="13"/>
  <c r="L1142" i="13"/>
  <c r="M1142" i="13"/>
  <c r="N1142" i="13"/>
  <c r="O1142" i="13"/>
  <c r="P1142" i="13"/>
  <c r="Q1142" i="13"/>
  <c r="R1142" i="13"/>
  <c r="S1142" i="13"/>
  <c r="U1142" i="13"/>
  <c r="X1142" i="13"/>
  <c r="U1143" i="13"/>
  <c r="X1143" i="13"/>
  <c r="J1145" i="13"/>
  <c r="K1145" i="13"/>
  <c r="L1145" i="13"/>
  <c r="M1145" i="13"/>
  <c r="N1145" i="13"/>
  <c r="O1145" i="13"/>
  <c r="P1145" i="13"/>
  <c r="Q1145" i="13"/>
  <c r="R1145" i="13"/>
  <c r="S1145" i="13"/>
  <c r="U1145" i="13"/>
  <c r="X1145" i="13"/>
  <c r="J1148" i="13"/>
  <c r="K1148" i="13"/>
  <c r="L1148" i="13"/>
  <c r="M1148" i="13"/>
  <c r="N1148" i="13"/>
  <c r="O1148" i="13"/>
  <c r="P1148" i="13"/>
  <c r="Q1148" i="13"/>
  <c r="R1148" i="13"/>
  <c r="S1148" i="13"/>
  <c r="U1148" i="13"/>
  <c r="X1148" i="13"/>
  <c r="J1149" i="13"/>
  <c r="K1149" i="13"/>
  <c r="L1149" i="13"/>
  <c r="M1149" i="13"/>
  <c r="N1149" i="13"/>
  <c r="O1149" i="13"/>
  <c r="P1149" i="13"/>
  <c r="Q1149" i="13"/>
  <c r="R1149" i="13"/>
  <c r="S1149" i="13"/>
  <c r="U1149" i="13"/>
  <c r="X1149" i="13"/>
  <c r="J1150" i="13"/>
  <c r="K1150" i="13"/>
  <c r="L1150" i="13"/>
  <c r="M1150" i="13"/>
  <c r="N1150" i="13"/>
  <c r="O1150" i="13"/>
  <c r="P1150" i="13"/>
  <c r="Q1150" i="13"/>
  <c r="R1150" i="13"/>
  <c r="S1150" i="13"/>
  <c r="U1150" i="13"/>
  <c r="X1150" i="13"/>
  <c r="J1151" i="13"/>
  <c r="K1151" i="13"/>
  <c r="L1151" i="13"/>
  <c r="M1151" i="13"/>
  <c r="N1151" i="13"/>
  <c r="O1151" i="13"/>
  <c r="P1151" i="13"/>
  <c r="Q1151" i="13"/>
  <c r="R1151" i="13"/>
  <c r="S1151" i="13"/>
  <c r="U1151" i="13"/>
  <c r="X1151" i="13"/>
  <c r="J1152" i="13"/>
  <c r="K1152" i="13"/>
  <c r="L1152" i="13"/>
  <c r="M1152" i="13"/>
  <c r="N1152" i="13"/>
  <c r="O1152" i="13"/>
  <c r="P1152" i="13"/>
  <c r="Q1152" i="13"/>
  <c r="R1152" i="13"/>
  <c r="S1152" i="13"/>
  <c r="U1152" i="13"/>
  <c r="X1152" i="13"/>
  <c r="J1153" i="13"/>
  <c r="K1153" i="13"/>
  <c r="L1153" i="13"/>
  <c r="M1153" i="13"/>
  <c r="N1153" i="13"/>
  <c r="O1153" i="13"/>
  <c r="P1153" i="13"/>
  <c r="Q1153" i="13"/>
  <c r="R1153" i="13"/>
  <c r="S1153" i="13"/>
  <c r="U1153" i="13"/>
  <c r="X1153" i="13"/>
  <c r="J1156" i="13"/>
  <c r="K1156" i="13"/>
  <c r="L1156" i="13"/>
  <c r="M1156" i="13"/>
  <c r="N1156" i="13"/>
  <c r="O1156" i="13"/>
  <c r="P1156" i="13"/>
  <c r="Q1156" i="13"/>
  <c r="R1156" i="13"/>
  <c r="S1156" i="13"/>
  <c r="U1156" i="13"/>
  <c r="X1156" i="13"/>
  <c r="J1157" i="13"/>
  <c r="K1157" i="13"/>
  <c r="L1157" i="13"/>
  <c r="M1157" i="13"/>
  <c r="N1157" i="13"/>
  <c r="O1157" i="13"/>
  <c r="P1157" i="13"/>
  <c r="Q1157" i="13"/>
  <c r="R1157" i="13"/>
  <c r="S1157" i="13"/>
  <c r="U1157" i="13"/>
  <c r="X1157" i="13"/>
  <c r="J1158" i="13"/>
  <c r="K1158" i="13"/>
  <c r="L1158" i="13"/>
  <c r="M1158" i="13"/>
  <c r="N1158" i="13"/>
  <c r="O1158" i="13"/>
  <c r="P1158" i="13"/>
  <c r="Q1158" i="13"/>
  <c r="R1158" i="13"/>
  <c r="S1158" i="13"/>
  <c r="U1158" i="13"/>
  <c r="X1158" i="13"/>
  <c r="J1160" i="13"/>
  <c r="K1160" i="13"/>
  <c r="L1160" i="13"/>
  <c r="M1160" i="13"/>
  <c r="N1160" i="13"/>
  <c r="O1160" i="13"/>
  <c r="P1160" i="13"/>
  <c r="Q1160" i="13"/>
  <c r="R1160" i="13"/>
  <c r="S1160" i="13"/>
  <c r="U1160" i="13"/>
  <c r="X1160" i="13"/>
  <c r="J1162" i="13"/>
  <c r="K1162" i="13"/>
  <c r="L1162" i="13"/>
  <c r="M1162" i="13"/>
  <c r="N1162" i="13"/>
  <c r="O1162" i="13"/>
  <c r="P1162" i="13"/>
  <c r="Q1162" i="13"/>
  <c r="R1162" i="13"/>
  <c r="S1162" i="13"/>
  <c r="U1162" i="13"/>
  <c r="X1162" i="13"/>
  <c r="J1182" i="13"/>
  <c r="K1182" i="13"/>
  <c r="L1182" i="13"/>
  <c r="M1182" i="13"/>
  <c r="N1182" i="13"/>
  <c r="O1182" i="13"/>
  <c r="P1182" i="13"/>
  <c r="Q1182" i="13"/>
  <c r="R1182" i="13"/>
  <c r="S1182" i="13"/>
  <c r="U1182" i="13"/>
  <c r="X1182" i="13"/>
  <c r="J1184" i="13"/>
  <c r="K1184" i="13"/>
  <c r="L1184" i="13"/>
  <c r="M1184" i="13"/>
  <c r="N1184" i="13"/>
  <c r="O1184" i="13"/>
  <c r="P1184" i="13"/>
  <c r="Q1184" i="13"/>
  <c r="R1184" i="13"/>
  <c r="S1184" i="13"/>
  <c r="U1184" i="13"/>
  <c r="X1184" i="13"/>
  <c r="J1186" i="13"/>
  <c r="K1186" i="13"/>
  <c r="L1186" i="13"/>
  <c r="M1186" i="13"/>
  <c r="N1186" i="13"/>
  <c r="O1186" i="13"/>
  <c r="P1186" i="13"/>
  <c r="Q1186" i="13"/>
  <c r="R1186" i="13"/>
  <c r="S1186" i="13"/>
  <c r="U1186" i="13"/>
  <c r="X1186" i="13"/>
  <c r="J1188" i="13"/>
  <c r="K1188" i="13"/>
  <c r="L1188" i="13"/>
  <c r="M1188" i="13"/>
  <c r="N1188" i="13"/>
  <c r="O1188" i="13"/>
  <c r="P1188" i="13"/>
  <c r="Q1188" i="13"/>
  <c r="R1188" i="13"/>
  <c r="S1188" i="13"/>
  <c r="U1188" i="13"/>
  <c r="X1188" i="13"/>
  <c r="J1206" i="13"/>
  <c r="K1206" i="13"/>
  <c r="L1206" i="13"/>
  <c r="M1206" i="13"/>
  <c r="N1206" i="13"/>
  <c r="O1206" i="13"/>
  <c r="P1206" i="13"/>
  <c r="Q1206" i="13"/>
  <c r="U1206" i="13"/>
  <c r="X1206" i="13"/>
  <c r="J1209" i="13"/>
  <c r="K1209" i="13"/>
  <c r="L1209" i="13"/>
  <c r="M1209" i="13"/>
  <c r="N1209" i="13"/>
  <c r="O1209" i="13"/>
  <c r="P1209" i="13"/>
  <c r="Q1209" i="13"/>
  <c r="R1209" i="13"/>
  <c r="S1209" i="13"/>
  <c r="U1209" i="13"/>
  <c r="X1209" i="13"/>
  <c r="J1214" i="13"/>
  <c r="K1214" i="13"/>
  <c r="L1214" i="13"/>
  <c r="M1214" i="13"/>
  <c r="N1214" i="13"/>
  <c r="O1214" i="13"/>
  <c r="P1214" i="13"/>
  <c r="Q1214" i="13"/>
  <c r="R1214" i="13"/>
  <c r="S1214" i="13"/>
  <c r="U1214" i="13"/>
  <c r="X1214" i="13"/>
  <c r="J1217" i="13"/>
  <c r="K1217" i="13"/>
  <c r="L1217" i="13"/>
  <c r="M1217" i="13"/>
  <c r="N1217" i="13"/>
  <c r="O1217" i="13"/>
  <c r="P1217" i="13"/>
  <c r="Q1217" i="13"/>
  <c r="R1217" i="13"/>
  <c r="S1217" i="13"/>
  <c r="U1217" i="13"/>
  <c r="X1217" i="13"/>
  <c r="J1220" i="13"/>
  <c r="K1220" i="13"/>
  <c r="L1220" i="13"/>
  <c r="M1220" i="13"/>
  <c r="N1220" i="13"/>
  <c r="O1220" i="13"/>
  <c r="P1220" i="13"/>
  <c r="Q1220" i="13"/>
  <c r="R1220" i="13"/>
  <c r="S1220" i="13"/>
  <c r="U1220" i="13"/>
  <c r="X1220" i="13"/>
  <c r="J1222" i="13"/>
  <c r="K1222" i="13"/>
  <c r="L1222" i="13"/>
  <c r="M1222" i="13"/>
  <c r="N1222" i="13"/>
  <c r="O1222" i="13"/>
  <c r="P1222" i="13"/>
  <c r="Q1222" i="13"/>
  <c r="R1222" i="13"/>
  <c r="S1222" i="13"/>
  <c r="U1222" i="13"/>
  <c r="X1222" i="13"/>
  <c r="J1224" i="13"/>
  <c r="K1224" i="13"/>
  <c r="L1224" i="13"/>
  <c r="M1224" i="13"/>
  <c r="N1224" i="13"/>
  <c r="O1224" i="13"/>
  <c r="P1224" i="13"/>
  <c r="Q1224" i="13"/>
  <c r="R1224" i="13"/>
  <c r="S1224" i="13"/>
  <c r="U1224" i="13"/>
  <c r="X1224" i="13"/>
  <c r="J1226" i="13"/>
  <c r="K1226" i="13"/>
  <c r="L1226" i="13"/>
  <c r="M1226" i="13"/>
  <c r="N1226" i="13"/>
  <c r="O1226" i="13"/>
  <c r="P1226" i="13"/>
  <c r="Q1226" i="13"/>
  <c r="R1226" i="13"/>
  <c r="S1226" i="13"/>
  <c r="U1226" i="13"/>
  <c r="X1226" i="13"/>
  <c r="J1228" i="13"/>
  <c r="K1228" i="13"/>
  <c r="L1228" i="13"/>
  <c r="M1228" i="13"/>
  <c r="N1228" i="13"/>
  <c r="O1228" i="13"/>
  <c r="P1228" i="13"/>
  <c r="Q1228" i="13"/>
  <c r="R1228" i="13"/>
  <c r="S1228" i="13"/>
  <c r="U1228" i="13"/>
  <c r="X1228" i="13"/>
  <c r="J1230" i="13"/>
  <c r="K1230" i="13"/>
  <c r="L1230" i="13"/>
  <c r="M1230" i="13"/>
  <c r="N1230" i="13"/>
  <c r="O1230" i="13"/>
  <c r="P1230" i="13"/>
  <c r="Q1230" i="13"/>
  <c r="R1230" i="13"/>
  <c r="S1230" i="13"/>
  <c r="U1230" i="13"/>
  <c r="X1230" i="13"/>
  <c r="J1283" i="13"/>
  <c r="K1283" i="13"/>
  <c r="L1283" i="13"/>
  <c r="M1283" i="13"/>
  <c r="N1283" i="13"/>
  <c r="O1283" i="13"/>
  <c r="P1283" i="13"/>
  <c r="Q1283" i="13"/>
  <c r="R1283" i="13"/>
  <c r="S1283" i="13"/>
  <c r="U1283" i="13"/>
  <c r="J1284" i="13"/>
  <c r="K1284" i="13"/>
  <c r="L1284" i="13"/>
  <c r="M1284" i="13"/>
  <c r="N1284" i="13"/>
  <c r="O1284" i="13"/>
  <c r="P1284" i="13"/>
  <c r="Q1284" i="13"/>
  <c r="R1284" i="13"/>
  <c r="S1284" i="13"/>
  <c r="U1284" i="13"/>
  <c r="J1287" i="13"/>
  <c r="K1287" i="13"/>
  <c r="L1287" i="13"/>
  <c r="M1287" i="13"/>
  <c r="N1287" i="13"/>
  <c r="O1287" i="13"/>
  <c r="P1287" i="13"/>
  <c r="Q1287" i="13"/>
  <c r="R1287" i="13"/>
  <c r="S1287" i="13"/>
  <c r="U1287" i="13"/>
  <c r="J1290" i="13"/>
  <c r="K1290" i="13"/>
  <c r="L1290" i="13"/>
  <c r="M1290" i="13"/>
  <c r="N1290" i="13"/>
  <c r="O1290" i="13"/>
  <c r="P1290" i="13"/>
  <c r="Q1290" i="13"/>
  <c r="R1290" i="13"/>
  <c r="S1290" i="13"/>
  <c r="U1290" i="13"/>
  <c r="J1301" i="13"/>
  <c r="K1301" i="13"/>
  <c r="L1301" i="13"/>
  <c r="M1301" i="13"/>
  <c r="N1301" i="13"/>
  <c r="O1301" i="13"/>
  <c r="P1301" i="13"/>
  <c r="Q1301" i="13"/>
  <c r="R1301" i="13"/>
  <c r="S1301" i="13"/>
  <c r="U1301" i="13"/>
  <c r="J1303" i="13"/>
  <c r="K1303" i="13"/>
  <c r="L1303" i="13"/>
  <c r="M1303" i="13"/>
  <c r="N1303" i="13"/>
  <c r="O1303" i="13"/>
  <c r="P1303" i="13"/>
  <c r="Q1303" i="13"/>
  <c r="R1303" i="13"/>
  <c r="S1303" i="13"/>
  <c r="U1303" i="13"/>
  <c r="J1304" i="13"/>
  <c r="K1304" i="13"/>
  <c r="L1304" i="13"/>
  <c r="M1304" i="13"/>
  <c r="N1304" i="13"/>
  <c r="O1304" i="13"/>
  <c r="P1304" i="13"/>
  <c r="Q1304" i="13"/>
  <c r="U1304" i="13"/>
  <c r="J1305" i="13"/>
  <c r="K1305" i="13"/>
  <c r="L1305" i="13"/>
  <c r="M1305" i="13"/>
  <c r="N1305" i="13"/>
  <c r="O1305" i="13"/>
  <c r="P1305" i="13"/>
  <c r="Q1305" i="13"/>
  <c r="R1305" i="13"/>
  <c r="S1305" i="13"/>
  <c r="U1305" i="13"/>
  <c r="J1306" i="13"/>
  <c r="K1306" i="13"/>
  <c r="L1306" i="13"/>
  <c r="M1306" i="13"/>
  <c r="N1306" i="13"/>
  <c r="O1306" i="13"/>
  <c r="P1306" i="13"/>
  <c r="Q1306" i="13"/>
  <c r="R1306" i="13"/>
  <c r="S1306" i="13"/>
  <c r="U1306" i="13"/>
  <c r="J1307" i="13"/>
  <c r="K1307" i="13"/>
  <c r="L1307" i="13"/>
  <c r="M1307" i="13"/>
  <c r="N1307" i="13"/>
  <c r="O1307" i="13"/>
  <c r="P1307" i="13"/>
  <c r="Q1307" i="13"/>
  <c r="R1307" i="13"/>
  <c r="S1307" i="13"/>
  <c r="U1307" i="13"/>
  <c r="J1308" i="13"/>
  <c r="K1308" i="13"/>
  <c r="L1308" i="13"/>
  <c r="M1308" i="13"/>
  <c r="N1308" i="13"/>
  <c r="O1308" i="13"/>
  <c r="P1308" i="13"/>
  <c r="Q1308" i="13"/>
  <c r="R1308" i="13"/>
  <c r="S1308" i="13"/>
  <c r="U1308" i="13"/>
  <c r="J1309" i="13"/>
  <c r="K1309" i="13"/>
  <c r="L1309" i="13"/>
  <c r="M1309" i="13"/>
  <c r="N1309" i="13"/>
  <c r="O1309" i="13"/>
  <c r="P1309" i="13"/>
  <c r="Q1309" i="13"/>
  <c r="R1309" i="13"/>
  <c r="S1309" i="13"/>
  <c r="U1309" i="13"/>
  <c r="J1310" i="13"/>
  <c r="K1310" i="13"/>
  <c r="L1310" i="13"/>
  <c r="M1310" i="13"/>
  <c r="N1310" i="13"/>
  <c r="O1310" i="13"/>
  <c r="P1310" i="13"/>
  <c r="Q1310" i="13"/>
  <c r="R1310" i="13"/>
  <c r="S1310" i="13"/>
  <c r="U1310" i="13"/>
  <c r="J1311" i="13"/>
  <c r="K1311" i="13"/>
  <c r="L1311" i="13"/>
  <c r="M1311" i="13"/>
  <c r="N1311" i="13"/>
  <c r="O1311" i="13"/>
  <c r="P1311" i="13"/>
  <c r="Q1311" i="13"/>
  <c r="R1311" i="13"/>
  <c r="S1311" i="13"/>
  <c r="U1311" i="13"/>
  <c r="J1312" i="13"/>
  <c r="K1312" i="13"/>
  <c r="L1312" i="13"/>
  <c r="M1312" i="13"/>
  <c r="N1312" i="13"/>
  <c r="O1312" i="13"/>
  <c r="P1312" i="13"/>
  <c r="Q1312" i="13"/>
  <c r="R1312" i="13"/>
  <c r="S1312" i="13"/>
  <c r="U1312" i="13"/>
  <c r="J1313" i="13"/>
  <c r="K1313" i="13"/>
  <c r="L1313" i="13"/>
  <c r="M1313" i="13"/>
  <c r="N1313" i="13"/>
  <c r="O1313" i="13"/>
  <c r="P1313" i="13"/>
  <c r="Q1313" i="13"/>
  <c r="R1313" i="13"/>
  <c r="S1313" i="13"/>
  <c r="U1313" i="13"/>
  <c r="J1314" i="13"/>
  <c r="K1314" i="13"/>
  <c r="L1314" i="13"/>
  <c r="M1314" i="13"/>
  <c r="N1314" i="13"/>
  <c r="O1314" i="13"/>
  <c r="P1314" i="13"/>
  <c r="Q1314" i="13"/>
  <c r="R1314" i="13"/>
  <c r="S1314" i="13"/>
  <c r="U1314" i="13"/>
  <c r="J1315" i="13"/>
  <c r="K1315" i="13"/>
  <c r="L1315" i="13"/>
  <c r="M1315" i="13"/>
  <c r="N1315" i="13"/>
  <c r="O1315" i="13"/>
  <c r="P1315" i="13"/>
  <c r="Q1315" i="13"/>
  <c r="R1315" i="13"/>
  <c r="S1315" i="13"/>
  <c r="U1315" i="13"/>
  <c r="J1316" i="13"/>
  <c r="K1316" i="13"/>
  <c r="L1316" i="13"/>
  <c r="M1316" i="13"/>
  <c r="N1316" i="13"/>
  <c r="O1316" i="13"/>
  <c r="P1316" i="13"/>
  <c r="Q1316" i="13"/>
  <c r="U1316" i="13"/>
  <c r="J1319" i="13"/>
  <c r="K1319" i="13"/>
  <c r="L1319" i="13"/>
  <c r="M1319" i="13"/>
  <c r="N1319" i="13"/>
  <c r="O1319" i="13"/>
  <c r="P1319" i="13"/>
  <c r="Q1319" i="13"/>
  <c r="R1319" i="13"/>
  <c r="S1319" i="13"/>
  <c r="U1319" i="13"/>
  <c r="J1323" i="13"/>
  <c r="K1323" i="13"/>
  <c r="L1323" i="13"/>
  <c r="M1323" i="13"/>
  <c r="N1323" i="13"/>
  <c r="O1323" i="13"/>
  <c r="P1323" i="13"/>
  <c r="Q1323" i="13"/>
  <c r="R1323" i="13"/>
  <c r="S1323" i="13"/>
  <c r="U1323" i="13"/>
  <c r="J1324" i="13"/>
  <c r="K1324" i="13"/>
  <c r="L1324" i="13"/>
  <c r="M1324" i="13"/>
  <c r="N1324" i="13"/>
  <c r="O1324" i="13"/>
  <c r="P1324" i="13"/>
  <c r="Q1324" i="13"/>
  <c r="R1324" i="13"/>
  <c r="S1324" i="13"/>
  <c r="U1324" i="13"/>
  <c r="J1330" i="13"/>
  <c r="K1330" i="13"/>
  <c r="L1330" i="13"/>
  <c r="M1330" i="13"/>
  <c r="N1330" i="13"/>
  <c r="O1330" i="13"/>
  <c r="P1330" i="13"/>
  <c r="Q1330" i="13"/>
  <c r="R1330" i="13"/>
  <c r="S1330" i="13"/>
  <c r="U1330" i="13"/>
  <c r="J1334" i="13"/>
  <c r="K1334" i="13"/>
  <c r="L1334" i="13"/>
  <c r="M1334" i="13"/>
  <c r="N1334" i="13"/>
  <c r="O1334" i="13"/>
  <c r="P1334" i="13"/>
  <c r="Q1334" i="13"/>
  <c r="R1334" i="13"/>
  <c r="S1334" i="13"/>
  <c r="U1334" i="13"/>
  <c r="J1335" i="13"/>
  <c r="K1335" i="13"/>
  <c r="L1335" i="13"/>
  <c r="M1335" i="13"/>
  <c r="N1335" i="13"/>
  <c r="O1335" i="13"/>
  <c r="P1335" i="13"/>
  <c r="Q1335" i="13"/>
  <c r="R1335" i="13"/>
  <c r="S1335" i="13"/>
  <c r="U1335" i="13"/>
  <c r="J1338" i="13"/>
  <c r="K1338" i="13"/>
  <c r="L1338" i="13"/>
  <c r="M1338" i="13"/>
  <c r="N1338" i="13"/>
  <c r="O1338" i="13"/>
  <c r="P1338" i="13"/>
  <c r="Q1338" i="13"/>
  <c r="R1338" i="13"/>
  <c r="S1338" i="13"/>
  <c r="U1338" i="13"/>
  <c r="J1339" i="13"/>
  <c r="K1339" i="13"/>
  <c r="L1339" i="13"/>
  <c r="M1339" i="13"/>
  <c r="N1339" i="13"/>
  <c r="O1339" i="13"/>
  <c r="P1339" i="13"/>
  <c r="Q1339" i="13"/>
  <c r="U1339" i="13"/>
  <c r="J1390" i="13"/>
  <c r="K1390" i="13"/>
  <c r="L1390" i="13"/>
  <c r="M1390" i="13"/>
  <c r="N1390" i="13"/>
  <c r="O1390" i="13"/>
  <c r="P1390" i="13"/>
  <c r="Q1390" i="13"/>
  <c r="R1390" i="13"/>
  <c r="S1390" i="13"/>
  <c r="U1390" i="13"/>
  <c r="J1391" i="13"/>
  <c r="K1391" i="13"/>
  <c r="L1391" i="13"/>
  <c r="M1391" i="13"/>
  <c r="N1391" i="13"/>
  <c r="O1391" i="13"/>
  <c r="P1391" i="13"/>
  <c r="Q1391" i="13"/>
  <c r="R1391" i="13"/>
  <c r="S1391" i="13"/>
  <c r="U1391" i="13"/>
  <c r="J1394" i="13"/>
  <c r="K1394" i="13"/>
  <c r="L1394" i="13"/>
  <c r="M1394" i="13"/>
  <c r="N1394" i="13"/>
  <c r="O1394" i="13"/>
  <c r="P1394" i="13"/>
  <c r="Q1394" i="13"/>
  <c r="R1394" i="13"/>
  <c r="S1394" i="13"/>
  <c r="U1394" i="13"/>
  <c r="J1397" i="13"/>
  <c r="K1397" i="13"/>
  <c r="L1397" i="13"/>
  <c r="M1397" i="13"/>
  <c r="N1397" i="13"/>
  <c r="O1397" i="13"/>
  <c r="P1397" i="13"/>
  <c r="Q1397" i="13"/>
  <c r="R1397" i="13"/>
  <c r="S1397" i="13"/>
  <c r="U1397" i="13"/>
  <c r="J1408" i="13"/>
  <c r="K1408" i="13"/>
  <c r="L1408" i="13"/>
  <c r="M1408" i="13"/>
  <c r="N1408" i="13"/>
  <c r="O1408" i="13"/>
  <c r="P1408" i="13"/>
  <c r="Q1408" i="13"/>
  <c r="R1408" i="13"/>
  <c r="S1408" i="13"/>
  <c r="U1408" i="13"/>
  <c r="J1410" i="13"/>
  <c r="K1410" i="13"/>
  <c r="L1410" i="13"/>
  <c r="M1410" i="13"/>
  <c r="N1410" i="13"/>
  <c r="O1410" i="13"/>
  <c r="P1410" i="13"/>
  <c r="Q1410" i="13"/>
  <c r="R1410" i="13"/>
  <c r="S1410" i="13"/>
  <c r="J1411" i="13"/>
  <c r="K1411" i="13"/>
  <c r="L1411" i="13"/>
  <c r="M1411" i="13"/>
  <c r="N1411" i="13"/>
  <c r="O1411" i="13"/>
  <c r="P1411" i="13"/>
  <c r="Q1411" i="13"/>
  <c r="R1411" i="13"/>
  <c r="S1411" i="13"/>
  <c r="U1411" i="13"/>
  <c r="J1412" i="13"/>
  <c r="K1412" i="13"/>
  <c r="L1412" i="13"/>
  <c r="M1412" i="13"/>
  <c r="N1412" i="13"/>
  <c r="O1412" i="13"/>
  <c r="P1412" i="13"/>
  <c r="Q1412" i="13"/>
  <c r="R1412" i="13"/>
  <c r="S1412" i="13"/>
  <c r="U1412" i="13"/>
  <c r="J1413" i="13"/>
  <c r="K1413" i="13"/>
  <c r="L1413" i="13"/>
  <c r="M1413" i="13"/>
  <c r="N1413" i="13"/>
  <c r="O1413" i="13"/>
  <c r="P1413" i="13"/>
  <c r="Q1413" i="13"/>
  <c r="R1413" i="13"/>
  <c r="S1413" i="13"/>
  <c r="U1413" i="13"/>
  <c r="J1414" i="13"/>
  <c r="K1414" i="13"/>
  <c r="L1414" i="13"/>
  <c r="M1414" i="13"/>
  <c r="N1414" i="13"/>
  <c r="O1414" i="13"/>
  <c r="P1414" i="13"/>
  <c r="Q1414" i="13"/>
  <c r="R1414" i="13"/>
  <c r="S1414" i="13"/>
  <c r="U1414" i="13"/>
  <c r="J1415" i="13"/>
  <c r="K1415" i="13"/>
  <c r="L1415" i="13"/>
  <c r="M1415" i="13"/>
  <c r="N1415" i="13"/>
  <c r="O1415" i="13"/>
  <c r="P1415" i="13"/>
  <c r="Q1415" i="13"/>
  <c r="R1415" i="13"/>
  <c r="S1415" i="13"/>
  <c r="U1415" i="13"/>
  <c r="J1416" i="13"/>
  <c r="K1416" i="13"/>
  <c r="L1416" i="13"/>
  <c r="M1416" i="13"/>
  <c r="N1416" i="13"/>
  <c r="O1416" i="13"/>
  <c r="P1416" i="13"/>
  <c r="Q1416" i="13"/>
  <c r="R1416" i="13"/>
  <c r="S1416" i="13"/>
  <c r="U1416" i="13"/>
  <c r="J1417" i="13"/>
  <c r="K1417" i="13"/>
  <c r="L1417" i="13"/>
  <c r="M1417" i="13"/>
  <c r="N1417" i="13"/>
  <c r="O1417" i="13"/>
  <c r="P1417" i="13"/>
  <c r="Q1417" i="13"/>
  <c r="R1417" i="13"/>
  <c r="S1417" i="13"/>
  <c r="U1417" i="13"/>
  <c r="J1418" i="13"/>
  <c r="K1418" i="13"/>
  <c r="L1418" i="13"/>
  <c r="M1418" i="13"/>
  <c r="N1418" i="13"/>
  <c r="O1418" i="13"/>
  <c r="P1418" i="13"/>
  <c r="Q1418" i="13"/>
  <c r="R1418" i="13"/>
  <c r="S1418" i="13"/>
  <c r="U1418" i="13"/>
  <c r="J1419" i="13"/>
  <c r="K1419" i="13"/>
  <c r="L1419" i="13"/>
  <c r="M1419" i="13"/>
  <c r="N1419" i="13"/>
  <c r="O1419" i="13"/>
  <c r="P1419" i="13"/>
  <c r="Q1419" i="13"/>
  <c r="R1419" i="13"/>
  <c r="S1419" i="13"/>
  <c r="U1419" i="13"/>
  <c r="J1420" i="13"/>
  <c r="K1420" i="13"/>
  <c r="L1420" i="13"/>
  <c r="M1420" i="13"/>
  <c r="N1420" i="13"/>
  <c r="O1420" i="13"/>
  <c r="P1420" i="13"/>
  <c r="Q1420" i="13"/>
  <c r="R1420" i="13"/>
  <c r="S1420" i="13"/>
  <c r="U1420" i="13"/>
  <c r="J1421" i="13"/>
  <c r="K1421" i="13"/>
  <c r="L1421" i="13"/>
  <c r="M1421" i="13"/>
  <c r="N1421" i="13"/>
  <c r="O1421" i="13"/>
  <c r="P1421" i="13"/>
  <c r="Q1421" i="13"/>
  <c r="R1421" i="13"/>
  <c r="S1421" i="13"/>
  <c r="U1421" i="13"/>
  <c r="J1422" i="13"/>
  <c r="K1422" i="13"/>
  <c r="L1422" i="13"/>
  <c r="M1422" i="13"/>
  <c r="N1422" i="13"/>
  <c r="O1422" i="13"/>
  <c r="P1422" i="13"/>
  <c r="Q1422" i="13"/>
  <c r="R1422" i="13"/>
  <c r="S1422" i="13"/>
  <c r="U1422" i="13"/>
  <c r="J1423" i="13"/>
  <c r="K1423" i="13"/>
  <c r="L1423" i="13"/>
  <c r="M1423" i="13"/>
  <c r="N1423" i="13"/>
  <c r="O1423" i="13"/>
  <c r="P1423" i="13"/>
  <c r="Q1423" i="13"/>
  <c r="R1423" i="13"/>
  <c r="S1423" i="13"/>
  <c r="U1423" i="13"/>
  <c r="J1426" i="13"/>
  <c r="K1426" i="13"/>
  <c r="L1426" i="13"/>
  <c r="M1426" i="13"/>
  <c r="N1426" i="13"/>
  <c r="O1426" i="13"/>
  <c r="P1426" i="13"/>
  <c r="Q1426" i="13"/>
  <c r="R1426" i="13"/>
  <c r="S1426" i="13"/>
  <c r="U1426" i="13"/>
  <c r="J1430" i="13"/>
  <c r="K1430" i="13"/>
  <c r="L1430" i="13"/>
  <c r="M1430" i="13"/>
  <c r="N1430" i="13"/>
  <c r="O1430" i="13"/>
  <c r="P1430" i="13"/>
  <c r="Q1430" i="13"/>
  <c r="R1430" i="13"/>
  <c r="S1430" i="13"/>
  <c r="U1430" i="13"/>
  <c r="J1431" i="13"/>
  <c r="K1431" i="13"/>
  <c r="L1431" i="13"/>
  <c r="M1431" i="13"/>
  <c r="N1431" i="13"/>
  <c r="O1431" i="13"/>
  <c r="P1431" i="13"/>
  <c r="Q1431" i="13"/>
  <c r="R1431" i="13"/>
  <c r="S1431" i="13"/>
  <c r="U1431" i="13"/>
  <c r="J1437" i="13"/>
  <c r="K1437" i="13"/>
  <c r="L1437" i="13"/>
  <c r="M1437" i="13"/>
  <c r="N1437" i="13"/>
  <c r="O1437" i="13"/>
  <c r="P1437" i="13"/>
  <c r="Q1437" i="13"/>
  <c r="R1437" i="13"/>
  <c r="S1437" i="13"/>
  <c r="U1437" i="13"/>
  <c r="J1441" i="13"/>
  <c r="K1441" i="13"/>
  <c r="L1441" i="13"/>
  <c r="M1441" i="13"/>
  <c r="N1441" i="13"/>
  <c r="O1441" i="13"/>
  <c r="P1441" i="13"/>
  <c r="Q1441" i="13"/>
  <c r="R1441" i="13"/>
  <c r="S1441" i="13"/>
  <c r="U1441" i="13"/>
  <c r="J1442" i="13"/>
  <c r="K1442" i="13"/>
  <c r="L1442" i="13"/>
  <c r="M1442" i="13"/>
  <c r="N1442" i="13"/>
  <c r="O1442" i="13"/>
  <c r="P1442" i="13"/>
  <c r="Q1442" i="13"/>
  <c r="R1442" i="13"/>
  <c r="S1442" i="13"/>
  <c r="U1442" i="13"/>
  <c r="J1445" i="13"/>
  <c r="K1445" i="13"/>
  <c r="L1445" i="13"/>
  <c r="M1445" i="13"/>
  <c r="N1445" i="13"/>
  <c r="O1445" i="13"/>
  <c r="P1445" i="13"/>
  <c r="Q1445" i="13"/>
  <c r="R1445" i="13"/>
  <c r="S1445" i="13"/>
  <c r="U1445" i="13"/>
  <c r="J1446" i="13"/>
  <c r="K1446" i="13"/>
  <c r="L1446" i="13"/>
  <c r="M1446" i="13"/>
  <c r="N1446" i="13"/>
  <c r="O1446" i="13"/>
  <c r="P1446" i="13"/>
  <c r="Q1446" i="13"/>
  <c r="U1446" i="13"/>
  <c r="J15" i="15"/>
  <c r="K15" i="15"/>
  <c r="L15" i="15"/>
  <c r="M15" i="15"/>
  <c r="N15" i="15"/>
  <c r="O15" i="15"/>
  <c r="P15" i="15"/>
  <c r="Q15" i="15"/>
  <c r="R15" i="15"/>
  <c r="S15" i="15"/>
  <c r="U15" i="15"/>
  <c r="W15" i="15"/>
  <c r="J17" i="15"/>
  <c r="K17" i="15"/>
  <c r="L17" i="15"/>
  <c r="M17" i="15"/>
  <c r="N17" i="15"/>
  <c r="O17" i="15"/>
  <c r="P17" i="15"/>
  <c r="Q17" i="15"/>
  <c r="R17" i="15"/>
  <c r="S17" i="15"/>
  <c r="U17" i="15"/>
  <c r="W17" i="15"/>
  <c r="J18" i="15"/>
  <c r="K18" i="15"/>
  <c r="L18" i="15"/>
  <c r="M18" i="15"/>
  <c r="N18" i="15"/>
  <c r="O18" i="15"/>
  <c r="P18" i="15"/>
  <c r="Q18" i="15"/>
  <c r="R18" i="15"/>
  <c r="S18" i="15"/>
  <c r="U18" i="15"/>
  <c r="W18" i="15"/>
  <c r="X18" i="15"/>
  <c r="J20" i="15"/>
  <c r="K20" i="15"/>
  <c r="L20" i="15"/>
  <c r="M20" i="15"/>
  <c r="N20" i="15"/>
  <c r="O20" i="15"/>
  <c r="P20" i="15"/>
  <c r="Q20" i="15"/>
  <c r="R20" i="15"/>
  <c r="S20" i="15"/>
  <c r="U20" i="15"/>
  <c r="W20" i="15"/>
  <c r="J21" i="15"/>
  <c r="K21" i="15"/>
  <c r="L21" i="15"/>
  <c r="M21" i="15"/>
  <c r="N21" i="15"/>
  <c r="O21" i="15"/>
  <c r="P21" i="15"/>
  <c r="Q21" i="15"/>
  <c r="R21" i="15"/>
  <c r="S21" i="15"/>
  <c r="U21" i="15"/>
  <c r="W21" i="15"/>
  <c r="J22" i="15"/>
  <c r="K22" i="15"/>
  <c r="L22" i="15"/>
  <c r="M22" i="15"/>
  <c r="N22" i="15"/>
  <c r="O22" i="15"/>
  <c r="P22" i="15"/>
  <c r="Q22" i="15"/>
  <c r="R22" i="15"/>
  <c r="S22" i="15"/>
  <c r="U22" i="15"/>
  <c r="W22" i="15"/>
  <c r="X22" i="15"/>
  <c r="J24" i="15"/>
  <c r="K24" i="15"/>
  <c r="L24" i="15"/>
  <c r="M24" i="15"/>
  <c r="N24" i="15"/>
  <c r="O24" i="15"/>
  <c r="P24" i="15"/>
  <c r="Q24" i="15"/>
  <c r="R24" i="15"/>
  <c r="S24" i="15"/>
  <c r="U24" i="15"/>
  <c r="W24" i="15"/>
  <c r="X24" i="15"/>
  <c r="J25" i="15"/>
  <c r="K25" i="15"/>
  <c r="L25" i="15"/>
  <c r="M25" i="15"/>
  <c r="N25" i="15"/>
  <c r="O25" i="15"/>
  <c r="P25" i="15"/>
  <c r="Q25" i="15"/>
  <c r="R25" i="15"/>
  <c r="S25" i="15"/>
  <c r="U25" i="15"/>
  <c r="W25" i="15"/>
  <c r="X25" i="15"/>
  <c r="J27" i="15"/>
  <c r="K27" i="15"/>
  <c r="L27" i="15"/>
  <c r="M27" i="15"/>
  <c r="N27" i="15"/>
  <c r="O27" i="15"/>
  <c r="P27" i="15"/>
  <c r="Q27" i="15"/>
  <c r="R27" i="15"/>
  <c r="S27" i="15"/>
  <c r="U27" i="15"/>
  <c r="W27" i="15"/>
  <c r="X27" i="15"/>
  <c r="J29" i="15"/>
  <c r="K29" i="15"/>
  <c r="L29" i="15"/>
  <c r="M29" i="15"/>
  <c r="N29" i="15"/>
  <c r="O29" i="15"/>
  <c r="P29" i="15"/>
  <c r="Q29" i="15"/>
  <c r="R29" i="15"/>
  <c r="S29" i="15"/>
  <c r="U29" i="15"/>
  <c r="W29" i="15"/>
  <c r="X29" i="15"/>
  <c r="J31" i="15"/>
  <c r="K31" i="15"/>
  <c r="L31" i="15"/>
  <c r="M31" i="15"/>
  <c r="N31" i="15"/>
  <c r="O31" i="15"/>
  <c r="P31" i="15"/>
  <c r="Q31" i="15"/>
  <c r="R31" i="15"/>
  <c r="S31" i="15"/>
  <c r="U31" i="15"/>
  <c r="X31" i="15"/>
  <c r="J33" i="15"/>
  <c r="K33" i="15"/>
  <c r="L33" i="15"/>
  <c r="M33" i="15"/>
  <c r="N33" i="15"/>
  <c r="O33" i="15"/>
  <c r="P33" i="15"/>
  <c r="Q33" i="15"/>
  <c r="R33" i="15"/>
  <c r="S33" i="15"/>
  <c r="U33" i="15"/>
  <c r="W33" i="15"/>
  <c r="X33" i="15"/>
  <c r="J53" i="15"/>
  <c r="K53" i="15"/>
  <c r="L53" i="15"/>
  <c r="M53" i="15"/>
  <c r="N53" i="15"/>
  <c r="O53" i="15"/>
  <c r="P53" i="15"/>
  <c r="Q53" i="15"/>
  <c r="R53" i="15"/>
  <c r="S53" i="15"/>
  <c r="U53" i="15"/>
  <c r="W53" i="15"/>
  <c r="J54" i="15"/>
  <c r="K54" i="15"/>
  <c r="L54" i="15"/>
  <c r="M54" i="15"/>
  <c r="N54" i="15"/>
  <c r="O54" i="15"/>
  <c r="P54" i="15"/>
  <c r="Q54" i="15"/>
  <c r="R54" i="15"/>
  <c r="S54" i="15"/>
  <c r="U54" i="15"/>
  <c r="W54" i="15"/>
  <c r="J55" i="15"/>
  <c r="K55" i="15"/>
  <c r="L55" i="15"/>
  <c r="M55" i="15"/>
  <c r="N55" i="15"/>
  <c r="O55" i="15"/>
  <c r="P55" i="15"/>
  <c r="Q55" i="15"/>
  <c r="R55" i="15"/>
  <c r="S55" i="15"/>
  <c r="U55" i="15"/>
  <c r="W55" i="15"/>
  <c r="J56" i="15"/>
  <c r="K56" i="15"/>
  <c r="L56" i="15"/>
  <c r="M56" i="15"/>
  <c r="N56" i="15"/>
  <c r="O56" i="15"/>
  <c r="P56" i="15"/>
  <c r="Q56" i="15"/>
  <c r="R56" i="15"/>
  <c r="S56" i="15"/>
  <c r="U56" i="15"/>
  <c r="W56" i="15"/>
  <c r="J58" i="15"/>
  <c r="K58" i="15"/>
  <c r="L58" i="15"/>
  <c r="M58" i="15"/>
  <c r="N58" i="15"/>
  <c r="O58" i="15"/>
  <c r="P58" i="15"/>
  <c r="Q58" i="15"/>
  <c r="R58" i="15"/>
  <c r="S58" i="15"/>
  <c r="U58" i="15"/>
  <c r="W58" i="15"/>
  <c r="J59" i="15"/>
  <c r="K59" i="15"/>
  <c r="L59" i="15"/>
  <c r="M59" i="15"/>
  <c r="N59" i="15"/>
  <c r="O59" i="15"/>
  <c r="P59" i="15"/>
  <c r="Q59" i="15"/>
  <c r="R59" i="15"/>
  <c r="S59" i="15"/>
  <c r="U59" i="15"/>
  <c r="W59" i="15"/>
  <c r="J60" i="15"/>
  <c r="K60" i="15"/>
  <c r="L60" i="15"/>
  <c r="M60" i="15"/>
  <c r="N60" i="15"/>
  <c r="O60" i="15"/>
  <c r="P60" i="15"/>
  <c r="Q60" i="15"/>
  <c r="R60" i="15"/>
  <c r="S60" i="15"/>
  <c r="U60" i="15"/>
  <c r="W60" i="15"/>
  <c r="J62" i="15"/>
  <c r="K62" i="15"/>
  <c r="L62" i="15"/>
  <c r="M62" i="15"/>
  <c r="N62" i="15"/>
  <c r="O62" i="15"/>
  <c r="P62" i="15"/>
  <c r="Q62" i="15"/>
  <c r="R62" i="15"/>
  <c r="S62" i="15"/>
  <c r="U62" i="15"/>
  <c r="W62" i="15"/>
  <c r="J64" i="15"/>
  <c r="K64" i="15"/>
  <c r="L64" i="15"/>
  <c r="M64" i="15"/>
  <c r="N64" i="15"/>
  <c r="O64" i="15"/>
  <c r="P64" i="15"/>
  <c r="Q64" i="15"/>
  <c r="R64" i="15"/>
  <c r="S64" i="15"/>
  <c r="U64" i="15"/>
  <c r="W64" i="15"/>
  <c r="J71" i="15"/>
  <c r="K71" i="15"/>
  <c r="L71" i="15"/>
  <c r="M71" i="15"/>
  <c r="N71" i="15"/>
  <c r="O71" i="15"/>
  <c r="P71" i="15"/>
  <c r="Q71" i="15"/>
  <c r="R71" i="15"/>
  <c r="S71" i="15"/>
  <c r="U71" i="15"/>
  <c r="W71" i="15"/>
  <c r="J72" i="15"/>
  <c r="K72" i="15"/>
  <c r="L72" i="15"/>
  <c r="M72" i="15"/>
  <c r="N72" i="15"/>
  <c r="O72" i="15"/>
  <c r="P72" i="15"/>
  <c r="Q72" i="15"/>
  <c r="R72" i="15"/>
  <c r="S72" i="15"/>
  <c r="U72" i="15"/>
  <c r="W72" i="15"/>
  <c r="J75" i="15"/>
  <c r="K75" i="15"/>
  <c r="L75" i="15"/>
  <c r="M75" i="15"/>
  <c r="N75" i="15"/>
  <c r="O75" i="15"/>
  <c r="P75" i="15"/>
  <c r="Q75" i="15"/>
  <c r="R75" i="15"/>
  <c r="S75" i="15"/>
  <c r="U75" i="15"/>
  <c r="W75" i="15"/>
  <c r="J76" i="15"/>
  <c r="K76" i="15"/>
  <c r="L76" i="15"/>
  <c r="M76" i="15"/>
  <c r="N76" i="15"/>
  <c r="O76" i="15"/>
  <c r="P76" i="15"/>
  <c r="Q76" i="15"/>
  <c r="R76" i="15"/>
  <c r="S76" i="15"/>
  <c r="U76" i="15"/>
  <c r="W76" i="15"/>
  <c r="J77" i="15"/>
  <c r="K77" i="15"/>
  <c r="L77" i="15"/>
  <c r="M77" i="15"/>
  <c r="N77" i="15"/>
  <c r="O77" i="15"/>
  <c r="P77" i="15"/>
  <c r="Q77" i="15"/>
  <c r="R77" i="15"/>
  <c r="S77" i="15"/>
  <c r="U77" i="15"/>
  <c r="W77" i="15"/>
  <c r="J79" i="15"/>
  <c r="K79" i="15"/>
  <c r="L79" i="15"/>
  <c r="M79" i="15"/>
  <c r="N79" i="15"/>
  <c r="O79" i="15"/>
  <c r="P79" i="15"/>
  <c r="Q79" i="15"/>
  <c r="R79" i="15"/>
  <c r="S79" i="15"/>
  <c r="U79" i="15"/>
  <c r="W79" i="15"/>
  <c r="U81" i="15"/>
  <c r="W81" i="15"/>
  <c r="J83" i="15"/>
  <c r="K83" i="15"/>
  <c r="L83" i="15"/>
  <c r="M83" i="15"/>
  <c r="N83" i="15"/>
  <c r="O83" i="15"/>
  <c r="P83" i="15"/>
  <c r="Q83" i="15"/>
  <c r="R83" i="15"/>
  <c r="S83" i="15"/>
  <c r="U83" i="15"/>
  <c r="W83" i="15"/>
  <c r="J103" i="15"/>
  <c r="K103" i="15"/>
  <c r="L103" i="15"/>
  <c r="M103" i="15"/>
  <c r="N103" i="15"/>
  <c r="O103" i="15"/>
  <c r="P103" i="15"/>
  <c r="Q103" i="15"/>
  <c r="R103" i="15"/>
  <c r="S103" i="15"/>
  <c r="U103" i="15"/>
  <c r="W103" i="15"/>
  <c r="J104" i="15"/>
  <c r="K104" i="15"/>
  <c r="L104" i="15"/>
  <c r="M104" i="15"/>
  <c r="N104" i="15"/>
  <c r="O104" i="15"/>
  <c r="P104" i="15"/>
  <c r="Q104" i="15"/>
  <c r="R104" i="15"/>
  <c r="S104" i="15"/>
  <c r="U104" i="15"/>
  <c r="W104" i="15"/>
  <c r="J105" i="15"/>
  <c r="K105" i="15"/>
  <c r="L105" i="15"/>
  <c r="M105" i="15"/>
  <c r="N105" i="15"/>
  <c r="O105" i="15"/>
  <c r="P105" i="15"/>
  <c r="Q105" i="15"/>
  <c r="R105" i="15"/>
  <c r="S105" i="15"/>
  <c r="U105" i="15"/>
  <c r="W105" i="15"/>
  <c r="J106" i="15"/>
  <c r="K106" i="15"/>
  <c r="L106" i="15"/>
  <c r="M106" i="15"/>
  <c r="N106" i="15"/>
  <c r="O106" i="15"/>
  <c r="P106" i="15"/>
  <c r="Q106" i="15"/>
  <c r="R106" i="15"/>
  <c r="S106" i="15"/>
  <c r="U106" i="15"/>
  <c r="W106" i="15"/>
  <c r="J110" i="15"/>
  <c r="K110" i="15"/>
  <c r="L110" i="15"/>
  <c r="M110" i="15"/>
  <c r="N110" i="15"/>
  <c r="O110" i="15"/>
  <c r="P110" i="15"/>
  <c r="Q110" i="15"/>
  <c r="R110" i="15"/>
  <c r="S110" i="15"/>
  <c r="U110" i="15"/>
  <c r="J111" i="15"/>
  <c r="K111" i="15"/>
  <c r="L111" i="15"/>
  <c r="M111" i="15"/>
  <c r="N111" i="15"/>
  <c r="O111" i="15"/>
  <c r="P111" i="15"/>
  <c r="Q111" i="15"/>
  <c r="R111" i="15"/>
  <c r="S111" i="15"/>
  <c r="U111" i="15"/>
  <c r="J112" i="15"/>
  <c r="K112" i="15"/>
  <c r="L112" i="15"/>
  <c r="M112" i="15"/>
  <c r="N112" i="15"/>
  <c r="O112" i="15"/>
  <c r="P112" i="15"/>
  <c r="Q112" i="15"/>
  <c r="R112" i="15"/>
  <c r="S112" i="15"/>
  <c r="U112" i="15"/>
  <c r="J121" i="15"/>
  <c r="K121" i="15"/>
  <c r="L121" i="15"/>
  <c r="M121" i="15"/>
  <c r="N121" i="15"/>
  <c r="O121" i="15"/>
  <c r="P121" i="15"/>
  <c r="Q121" i="15"/>
  <c r="R121" i="15"/>
  <c r="S121" i="15"/>
  <c r="U121" i="15"/>
  <c r="W121" i="15"/>
  <c r="J136" i="15"/>
  <c r="K136" i="15"/>
  <c r="L136" i="15"/>
  <c r="M136" i="15"/>
  <c r="N136" i="15"/>
  <c r="O136" i="15"/>
  <c r="P136" i="15"/>
  <c r="Q136" i="15"/>
  <c r="R136" i="15"/>
  <c r="S136" i="15"/>
  <c r="U136" i="15"/>
  <c r="W136" i="15"/>
  <c r="J137" i="15"/>
  <c r="K137" i="15"/>
  <c r="L137" i="15"/>
  <c r="M137" i="15"/>
  <c r="N137" i="15"/>
  <c r="O137" i="15"/>
  <c r="P137" i="15"/>
  <c r="Q137" i="15"/>
  <c r="R137" i="15"/>
  <c r="S137" i="15"/>
  <c r="U137" i="15"/>
  <c r="W137" i="15"/>
  <c r="J139" i="15"/>
  <c r="K139" i="15"/>
  <c r="L139" i="15"/>
  <c r="M139" i="15"/>
  <c r="N139" i="15"/>
  <c r="O139" i="15"/>
  <c r="P139" i="15"/>
  <c r="Q139" i="15"/>
  <c r="R139" i="15"/>
  <c r="S139" i="15"/>
  <c r="U139" i="15"/>
  <c r="W139" i="15"/>
  <c r="J140" i="15"/>
  <c r="K140" i="15"/>
  <c r="L140" i="15"/>
  <c r="M140" i="15"/>
  <c r="N140" i="15"/>
  <c r="O140" i="15"/>
  <c r="P140" i="15"/>
  <c r="Q140" i="15"/>
  <c r="R140" i="15"/>
  <c r="S140" i="15"/>
  <c r="U140" i="15"/>
  <c r="W140" i="15"/>
  <c r="J141" i="15"/>
  <c r="K141" i="15"/>
  <c r="L141" i="15"/>
  <c r="M141" i="15"/>
  <c r="N141" i="15"/>
  <c r="O141" i="15"/>
  <c r="P141" i="15"/>
  <c r="Q141" i="15"/>
  <c r="R141" i="15"/>
  <c r="S141" i="15"/>
  <c r="U141" i="15"/>
  <c r="W141" i="15"/>
  <c r="J158" i="15"/>
  <c r="K158" i="15"/>
  <c r="L158" i="15"/>
  <c r="M158" i="15"/>
  <c r="N158" i="15"/>
  <c r="O158" i="15"/>
  <c r="P158" i="15"/>
  <c r="Q158" i="15"/>
  <c r="R158" i="15"/>
  <c r="S158" i="15"/>
  <c r="U158" i="15"/>
  <c r="W158" i="15"/>
  <c r="J159" i="15"/>
  <c r="K159" i="15"/>
  <c r="L159" i="15"/>
  <c r="M159" i="15"/>
  <c r="N159" i="15"/>
  <c r="O159" i="15"/>
  <c r="P159" i="15"/>
  <c r="Q159" i="15"/>
  <c r="R159" i="15"/>
  <c r="S159" i="15"/>
  <c r="U159" i="15"/>
  <c r="W159" i="15"/>
  <c r="J167" i="15"/>
  <c r="K167" i="15"/>
  <c r="L167" i="15"/>
  <c r="M167" i="15"/>
  <c r="N167" i="15"/>
  <c r="O167" i="15"/>
  <c r="P167" i="15"/>
  <c r="Q167" i="15"/>
  <c r="R167" i="15"/>
  <c r="S167" i="15"/>
  <c r="U167" i="15"/>
  <c r="J168" i="15"/>
  <c r="K168" i="15"/>
  <c r="L168" i="15"/>
  <c r="M168" i="15"/>
  <c r="N168" i="15"/>
  <c r="O168" i="15"/>
  <c r="P168" i="15"/>
  <c r="Q168" i="15"/>
  <c r="R168" i="15"/>
  <c r="S168" i="15"/>
  <c r="U168" i="15"/>
  <c r="J184" i="15"/>
  <c r="K184" i="15"/>
  <c r="L184" i="15"/>
  <c r="M184" i="15"/>
  <c r="N184" i="15"/>
  <c r="O184" i="15"/>
  <c r="P184" i="15"/>
  <c r="Q184" i="15"/>
  <c r="R184" i="15"/>
  <c r="S184" i="15"/>
  <c r="U184" i="15"/>
  <c r="W184" i="15"/>
  <c r="J185" i="15"/>
  <c r="K185" i="15"/>
  <c r="L185" i="15"/>
  <c r="M185" i="15"/>
  <c r="N185" i="15"/>
  <c r="O185" i="15"/>
  <c r="P185" i="15"/>
  <c r="Q185" i="15"/>
  <c r="R185" i="15"/>
  <c r="S185" i="15"/>
  <c r="U185" i="15"/>
  <c r="W185" i="15"/>
  <c r="J186" i="15"/>
  <c r="K186" i="15"/>
  <c r="L186" i="15"/>
  <c r="M186" i="15"/>
  <c r="N186" i="15"/>
  <c r="O186" i="15"/>
  <c r="P186" i="15"/>
  <c r="Q186" i="15"/>
  <c r="R186" i="15"/>
  <c r="S186" i="15"/>
  <c r="U186" i="15"/>
  <c r="W186" i="15"/>
  <c r="J187" i="15"/>
  <c r="K187" i="15"/>
  <c r="L187" i="15"/>
  <c r="M187" i="15"/>
  <c r="N187" i="15"/>
  <c r="O187" i="15"/>
  <c r="P187" i="15"/>
  <c r="Q187" i="15"/>
  <c r="R187" i="15"/>
  <c r="S187" i="15"/>
  <c r="U187" i="15"/>
  <c r="W187" i="15"/>
  <c r="J188" i="15"/>
  <c r="K188" i="15"/>
  <c r="L188" i="15"/>
  <c r="M188" i="15"/>
  <c r="N188" i="15"/>
  <c r="O188" i="15"/>
  <c r="P188" i="15"/>
  <c r="Q188" i="15"/>
  <c r="R188" i="15"/>
  <c r="S188" i="15"/>
  <c r="U188" i="15"/>
  <c r="W188" i="15"/>
  <c r="J189" i="15"/>
  <c r="K189" i="15"/>
  <c r="L189" i="15"/>
  <c r="M189" i="15"/>
  <c r="N189" i="15"/>
  <c r="O189" i="15"/>
  <c r="P189" i="15"/>
  <c r="Q189" i="15"/>
  <c r="R189" i="15"/>
  <c r="S189" i="15"/>
  <c r="U189" i="15"/>
  <c r="W189" i="15"/>
  <c r="J190" i="15"/>
  <c r="K190" i="15"/>
  <c r="L190" i="15"/>
  <c r="M190" i="15"/>
  <c r="N190" i="15"/>
  <c r="O190" i="15"/>
  <c r="P190" i="15"/>
  <c r="Q190" i="15"/>
  <c r="R190" i="15"/>
  <c r="S190" i="15"/>
  <c r="U190" i="15"/>
  <c r="W190" i="15"/>
  <c r="J191" i="15"/>
  <c r="K191" i="15"/>
  <c r="L191" i="15"/>
  <c r="M191" i="15"/>
  <c r="N191" i="15"/>
  <c r="O191" i="15"/>
  <c r="P191" i="15"/>
  <c r="Q191" i="15"/>
  <c r="R191" i="15"/>
  <c r="S191" i="15"/>
  <c r="U191" i="15"/>
  <c r="W191" i="15"/>
  <c r="J192" i="15"/>
  <c r="K192" i="15"/>
  <c r="L192" i="15"/>
  <c r="M192" i="15"/>
  <c r="N192" i="15"/>
  <c r="O192" i="15"/>
  <c r="P192" i="15"/>
  <c r="Q192" i="15"/>
  <c r="R192" i="15"/>
  <c r="S192" i="15"/>
  <c r="U192" i="15"/>
  <c r="W192" i="15"/>
  <c r="J193" i="15"/>
  <c r="K193" i="15"/>
  <c r="L193" i="15"/>
  <c r="M193" i="15"/>
  <c r="N193" i="15"/>
  <c r="O193" i="15"/>
  <c r="P193" i="15"/>
  <c r="Q193" i="15"/>
  <c r="R193" i="15"/>
  <c r="S193" i="15"/>
  <c r="U193" i="15"/>
  <c r="W193" i="15"/>
  <c r="J195" i="15"/>
  <c r="K195" i="15"/>
  <c r="L195" i="15"/>
  <c r="M195" i="15"/>
  <c r="N195" i="15"/>
  <c r="O195" i="15"/>
  <c r="P195" i="15"/>
  <c r="Q195" i="15"/>
  <c r="R195" i="15"/>
  <c r="S195" i="15"/>
  <c r="U195" i="15"/>
  <c r="W195" i="15"/>
  <c r="J196" i="15"/>
  <c r="K196" i="15"/>
  <c r="L196" i="15"/>
  <c r="M196" i="15"/>
  <c r="N196" i="15"/>
  <c r="O196" i="15"/>
  <c r="P196" i="15"/>
  <c r="Q196" i="15"/>
  <c r="R196" i="15"/>
  <c r="S196" i="15"/>
  <c r="U196" i="15"/>
  <c r="W196" i="15"/>
  <c r="J197" i="15"/>
  <c r="K197" i="15"/>
  <c r="L197" i="15"/>
  <c r="M197" i="15"/>
  <c r="N197" i="15"/>
  <c r="O197" i="15"/>
  <c r="P197" i="15"/>
  <c r="Q197" i="15"/>
  <c r="R197" i="15"/>
  <c r="S197" i="15"/>
  <c r="U197" i="15"/>
  <c r="W197" i="15"/>
  <c r="J199" i="15"/>
  <c r="K199" i="15"/>
  <c r="L199" i="15"/>
  <c r="M199" i="15"/>
  <c r="N199" i="15"/>
  <c r="O199" i="15"/>
  <c r="P199" i="15"/>
  <c r="Q199" i="15"/>
  <c r="R199" i="15"/>
  <c r="S199" i="15"/>
  <c r="U199" i="15"/>
  <c r="W199" i="15"/>
  <c r="J214" i="15"/>
  <c r="K214" i="15"/>
  <c r="L214" i="15"/>
  <c r="M214" i="15"/>
  <c r="N214" i="15"/>
  <c r="O214" i="15"/>
  <c r="P214" i="15"/>
  <c r="Q214" i="15"/>
  <c r="R214" i="15"/>
  <c r="S214" i="15"/>
  <c r="U214" i="15"/>
  <c r="J215" i="15"/>
  <c r="K215" i="15"/>
  <c r="L215" i="15"/>
  <c r="M215" i="15"/>
  <c r="N215" i="15"/>
  <c r="O215" i="15"/>
  <c r="P215" i="15"/>
  <c r="Q215" i="15"/>
  <c r="R215" i="15"/>
  <c r="S215" i="15"/>
  <c r="U215" i="15"/>
  <c r="J216" i="15"/>
  <c r="K216" i="15"/>
  <c r="L216" i="15"/>
  <c r="M216" i="15"/>
  <c r="N216" i="15"/>
  <c r="O216" i="15"/>
  <c r="P216" i="15"/>
  <c r="Q216" i="15"/>
  <c r="R216" i="15"/>
  <c r="S216" i="15"/>
  <c r="U216" i="15"/>
  <c r="W216" i="15"/>
  <c r="J217" i="15"/>
  <c r="K217" i="15"/>
  <c r="L217" i="15"/>
  <c r="M217" i="15"/>
  <c r="N217" i="15"/>
  <c r="O217" i="15"/>
  <c r="P217" i="15"/>
  <c r="Q217" i="15"/>
  <c r="R217" i="15"/>
  <c r="S217" i="15"/>
  <c r="U217" i="15"/>
  <c r="W217" i="15"/>
  <c r="J219" i="15"/>
  <c r="K219" i="15"/>
  <c r="L219" i="15"/>
  <c r="M219" i="15"/>
  <c r="N219" i="15"/>
  <c r="O219" i="15"/>
  <c r="P219" i="15"/>
  <c r="Q219" i="15"/>
  <c r="R219" i="15"/>
  <c r="S219" i="15"/>
  <c r="U219" i="15"/>
  <c r="W219" i="15"/>
  <c r="J221" i="15"/>
  <c r="K221" i="15"/>
  <c r="L221" i="15"/>
  <c r="M221" i="15"/>
  <c r="N221" i="15"/>
  <c r="O221" i="15"/>
  <c r="P221" i="15"/>
  <c r="Q221" i="15"/>
  <c r="R221" i="15"/>
  <c r="S221" i="15"/>
  <c r="U221" i="15"/>
  <c r="W221" i="15"/>
  <c r="J223" i="15"/>
  <c r="K223" i="15"/>
  <c r="L223" i="15"/>
  <c r="M223" i="15"/>
  <c r="N223" i="15"/>
  <c r="O223" i="15"/>
  <c r="P223" i="15"/>
  <c r="Q223" i="15"/>
  <c r="R223" i="15"/>
  <c r="S223" i="15"/>
  <c r="U223" i="15"/>
  <c r="W223" i="15"/>
  <c r="J225" i="15"/>
  <c r="K225" i="15"/>
  <c r="L225" i="15"/>
  <c r="M225" i="15"/>
  <c r="N225" i="15"/>
  <c r="O225" i="15"/>
  <c r="P225" i="15"/>
  <c r="Q225" i="15"/>
  <c r="R225" i="15"/>
  <c r="S225" i="15"/>
  <c r="U225" i="15"/>
  <c r="W225" i="15"/>
  <c r="J258" i="15"/>
  <c r="K258" i="15"/>
  <c r="L258" i="15"/>
  <c r="M258" i="15"/>
  <c r="N258" i="15"/>
  <c r="O258" i="15"/>
  <c r="P258" i="15"/>
  <c r="Q258" i="15"/>
  <c r="R258" i="15"/>
  <c r="S258" i="15"/>
  <c r="U258" i="15"/>
  <c r="W258" i="15"/>
  <c r="J259" i="15"/>
  <c r="K259" i="15"/>
  <c r="L259" i="15"/>
  <c r="M259" i="15"/>
  <c r="N259" i="15"/>
  <c r="O259" i="15"/>
  <c r="P259" i="15"/>
  <c r="Q259" i="15"/>
  <c r="R259" i="15"/>
  <c r="S259" i="15"/>
  <c r="U259" i="15"/>
  <c r="W259" i="15"/>
  <c r="J260" i="15"/>
  <c r="K260" i="15"/>
  <c r="L260" i="15"/>
  <c r="M260" i="15"/>
  <c r="N260" i="15"/>
  <c r="O260" i="15"/>
  <c r="P260" i="15"/>
  <c r="Q260" i="15"/>
  <c r="R260" i="15"/>
  <c r="S260" i="15"/>
  <c r="U260" i="15"/>
  <c r="W260" i="15"/>
  <c r="J261" i="15"/>
  <c r="K261" i="15"/>
  <c r="L261" i="15"/>
  <c r="M261" i="15"/>
  <c r="N261" i="15"/>
  <c r="O261" i="15"/>
  <c r="P261" i="15"/>
  <c r="Q261" i="15"/>
  <c r="R261" i="15"/>
  <c r="S261" i="15"/>
  <c r="U261" i="15"/>
  <c r="W261" i="15"/>
  <c r="J265" i="15"/>
  <c r="K265" i="15"/>
  <c r="L265" i="15"/>
  <c r="M265" i="15"/>
  <c r="N265" i="15"/>
  <c r="O265" i="15"/>
  <c r="P265" i="15"/>
  <c r="Q265" i="15"/>
  <c r="R265" i="15"/>
  <c r="S265" i="15"/>
  <c r="U265" i="15"/>
  <c r="J266" i="15"/>
  <c r="K266" i="15"/>
  <c r="L266" i="15"/>
  <c r="M266" i="15"/>
  <c r="N266" i="15"/>
  <c r="O266" i="15"/>
  <c r="P266" i="15"/>
  <c r="Q266" i="15"/>
  <c r="R266" i="15"/>
  <c r="S266" i="15"/>
  <c r="U266" i="15"/>
  <c r="J267" i="15"/>
  <c r="K267" i="15"/>
  <c r="L267" i="15"/>
  <c r="M267" i="15"/>
  <c r="N267" i="15"/>
  <c r="O267" i="15"/>
  <c r="P267" i="15"/>
  <c r="Q267" i="15"/>
  <c r="R267" i="15"/>
  <c r="S267" i="15"/>
  <c r="U267" i="15"/>
  <c r="J276" i="15"/>
  <c r="K276" i="15"/>
  <c r="L276" i="15"/>
  <c r="M276" i="15"/>
  <c r="N276" i="15"/>
  <c r="O276" i="15"/>
  <c r="P276" i="15"/>
  <c r="Q276" i="15"/>
  <c r="R276" i="15"/>
  <c r="S276" i="15"/>
  <c r="U276" i="15"/>
  <c r="W276" i="15"/>
  <c r="J290" i="15"/>
  <c r="K290" i="15"/>
  <c r="L290" i="15"/>
  <c r="M290" i="15"/>
  <c r="N290" i="15"/>
  <c r="O290" i="15"/>
  <c r="P290" i="15"/>
  <c r="Q290" i="15"/>
  <c r="R290" i="15"/>
  <c r="S290" i="15"/>
  <c r="U290" i="15"/>
  <c r="W290" i="15"/>
  <c r="J291" i="15"/>
  <c r="K291" i="15"/>
  <c r="L291" i="15"/>
  <c r="M291" i="15"/>
  <c r="N291" i="15"/>
  <c r="O291" i="15"/>
  <c r="P291" i="15"/>
  <c r="Q291" i="15"/>
  <c r="R291" i="15"/>
  <c r="S291" i="15"/>
  <c r="U291" i="15"/>
  <c r="W291" i="15"/>
  <c r="J293" i="15"/>
  <c r="K293" i="15"/>
  <c r="L293" i="15"/>
  <c r="M293" i="15"/>
  <c r="N293" i="15"/>
  <c r="O293" i="15"/>
  <c r="P293" i="15"/>
  <c r="Q293" i="15"/>
  <c r="R293" i="15"/>
  <c r="S293" i="15"/>
  <c r="U293" i="15"/>
  <c r="J294" i="15"/>
  <c r="K294" i="15"/>
  <c r="L294" i="15"/>
  <c r="M294" i="15"/>
  <c r="N294" i="15"/>
  <c r="O294" i="15"/>
  <c r="P294" i="15"/>
  <c r="Q294" i="15"/>
  <c r="R294" i="15"/>
  <c r="S294" i="15"/>
  <c r="U294" i="15"/>
  <c r="J295" i="15"/>
  <c r="K295" i="15"/>
  <c r="L295" i="15"/>
  <c r="M295" i="15"/>
  <c r="N295" i="15"/>
  <c r="O295" i="15"/>
  <c r="P295" i="15"/>
  <c r="Q295" i="15"/>
  <c r="R295" i="15"/>
  <c r="S295" i="15"/>
  <c r="U295" i="15"/>
  <c r="W295" i="15"/>
  <c r="J312" i="15"/>
  <c r="K312" i="15"/>
  <c r="L312" i="15"/>
  <c r="M312" i="15"/>
  <c r="N312" i="15"/>
  <c r="O312" i="15"/>
  <c r="P312" i="15"/>
  <c r="Q312" i="15"/>
  <c r="R312" i="15"/>
  <c r="S312" i="15"/>
  <c r="U312" i="15"/>
  <c r="W312" i="15"/>
  <c r="J320" i="15"/>
  <c r="K320" i="15"/>
  <c r="L320" i="15"/>
  <c r="M320" i="15"/>
  <c r="N320" i="15"/>
  <c r="O320" i="15"/>
  <c r="P320" i="15"/>
  <c r="Q320" i="15"/>
  <c r="R320" i="15"/>
  <c r="S320" i="15"/>
  <c r="U320" i="15"/>
  <c r="W320" i="15"/>
  <c r="J321" i="15"/>
  <c r="K321" i="15"/>
  <c r="L321" i="15"/>
  <c r="M321" i="15"/>
  <c r="N321" i="15"/>
  <c r="O321" i="15"/>
  <c r="P321" i="15"/>
  <c r="Q321" i="15"/>
  <c r="R321" i="15"/>
  <c r="S321" i="15"/>
  <c r="U321" i="15"/>
  <c r="W321" i="15"/>
  <c r="J323" i="15"/>
  <c r="K323" i="15"/>
  <c r="L323" i="15"/>
  <c r="M323" i="15"/>
  <c r="N323" i="15"/>
  <c r="O323" i="15"/>
  <c r="P323" i="15"/>
  <c r="Q323" i="15"/>
  <c r="R323" i="15"/>
  <c r="S323" i="15"/>
  <c r="U323" i="15"/>
  <c r="W323" i="15"/>
  <c r="J324" i="15"/>
  <c r="K324" i="15"/>
  <c r="L324" i="15"/>
  <c r="M324" i="15"/>
  <c r="N324" i="15"/>
  <c r="O324" i="15"/>
  <c r="P324" i="15"/>
  <c r="Q324" i="15"/>
  <c r="R324" i="15"/>
  <c r="S324" i="15"/>
  <c r="U324" i="15"/>
  <c r="W324" i="15"/>
  <c r="J325" i="15"/>
  <c r="K325" i="15"/>
  <c r="L325" i="15"/>
  <c r="M325" i="15"/>
  <c r="N325" i="15"/>
  <c r="O325" i="15"/>
  <c r="P325" i="15"/>
  <c r="Q325" i="15"/>
  <c r="R325" i="15"/>
  <c r="S325" i="15"/>
  <c r="U325" i="15"/>
  <c r="W325" i="15"/>
  <c r="J326" i="15"/>
  <c r="K326" i="15"/>
  <c r="L326" i="15"/>
  <c r="M326" i="15"/>
  <c r="N326" i="15"/>
  <c r="O326" i="15"/>
  <c r="P326" i="15"/>
  <c r="Q326" i="15"/>
  <c r="R326" i="15"/>
  <c r="S326" i="15"/>
  <c r="U326" i="15"/>
  <c r="W326" i="15"/>
  <c r="J327" i="15"/>
  <c r="K327" i="15"/>
  <c r="L327" i="15"/>
  <c r="M327" i="15"/>
  <c r="N327" i="15"/>
  <c r="O327" i="15"/>
  <c r="P327" i="15"/>
  <c r="Q327" i="15"/>
  <c r="R327" i="15"/>
  <c r="S327" i="15"/>
  <c r="U327" i="15"/>
  <c r="W327" i="15"/>
  <c r="J345" i="15"/>
  <c r="K345" i="15"/>
  <c r="L345" i="15"/>
  <c r="M345" i="15"/>
  <c r="N345" i="15"/>
  <c r="O345" i="15"/>
  <c r="P345" i="15"/>
  <c r="Q345" i="15"/>
  <c r="R345" i="15"/>
  <c r="S345" i="15"/>
  <c r="U345" i="15"/>
  <c r="W345" i="15"/>
  <c r="J346" i="15"/>
  <c r="K346" i="15"/>
  <c r="L346" i="15"/>
  <c r="M346" i="15"/>
  <c r="N346" i="15"/>
  <c r="O346" i="15"/>
  <c r="P346" i="15"/>
  <c r="Q346" i="15"/>
  <c r="R346" i="15"/>
  <c r="S346" i="15"/>
  <c r="U346" i="15"/>
  <c r="W346" i="15"/>
  <c r="J347" i="15"/>
  <c r="K347" i="15"/>
  <c r="L347" i="15"/>
  <c r="M347" i="15"/>
  <c r="N347" i="15"/>
  <c r="O347" i="15"/>
  <c r="P347" i="15"/>
  <c r="Q347" i="15"/>
  <c r="R347" i="15"/>
  <c r="S347" i="15"/>
  <c r="U347" i="15"/>
  <c r="W347" i="15"/>
  <c r="J348" i="15"/>
  <c r="K348" i="15"/>
  <c r="L348" i="15"/>
  <c r="M348" i="15"/>
  <c r="N348" i="15"/>
  <c r="O348" i="15"/>
  <c r="P348" i="15"/>
  <c r="Q348" i="15"/>
  <c r="R348" i="15"/>
  <c r="S348" i="15"/>
  <c r="U348" i="15"/>
  <c r="W348" i="15"/>
  <c r="J349" i="15"/>
  <c r="K349" i="15"/>
  <c r="L349" i="15"/>
  <c r="M349" i="15"/>
  <c r="N349" i="15"/>
  <c r="O349" i="15"/>
  <c r="P349" i="15"/>
  <c r="Q349" i="15"/>
  <c r="R349" i="15"/>
  <c r="S349" i="15"/>
  <c r="U349" i="15"/>
  <c r="W349" i="15"/>
  <c r="J350" i="15"/>
  <c r="K350" i="15"/>
  <c r="L350" i="15"/>
  <c r="M350" i="15"/>
  <c r="N350" i="15"/>
  <c r="O350" i="15"/>
  <c r="P350" i="15"/>
  <c r="Q350" i="15"/>
  <c r="R350" i="15"/>
  <c r="S350" i="15"/>
  <c r="U350" i="15"/>
  <c r="W350" i="15"/>
  <c r="J351" i="15"/>
  <c r="K351" i="15"/>
  <c r="L351" i="15"/>
  <c r="M351" i="15"/>
  <c r="N351" i="15"/>
  <c r="O351" i="15"/>
  <c r="P351" i="15"/>
  <c r="Q351" i="15"/>
  <c r="R351" i="15"/>
  <c r="S351" i="15"/>
  <c r="U351" i="15"/>
  <c r="W351" i="15"/>
  <c r="J352" i="15"/>
  <c r="K352" i="15"/>
  <c r="L352" i="15"/>
  <c r="M352" i="15"/>
  <c r="N352" i="15"/>
  <c r="O352" i="15"/>
  <c r="P352" i="15"/>
  <c r="Q352" i="15"/>
  <c r="R352" i="15"/>
  <c r="S352" i="15"/>
  <c r="U352" i="15"/>
  <c r="W352" i="15"/>
  <c r="J353" i="15"/>
  <c r="K353" i="15"/>
  <c r="L353" i="15"/>
  <c r="M353" i="15"/>
  <c r="N353" i="15"/>
  <c r="O353" i="15"/>
  <c r="P353" i="15"/>
  <c r="Q353" i="15"/>
  <c r="R353" i="15"/>
  <c r="S353" i="15"/>
  <c r="U353" i="15"/>
  <c r="W353" i="15"/>
  <c r="J354" i="15"/>
  <c r="K354" i="15"/>
  <c r="L354" i="15"/>
  <c r="M354" i="15"/>
  <c r="N354" i="15"/>
  <c r="O354" i="15"/>
  <c r="P354" i="15"/>
  <c r="Q354" i="15"/>
  <c r="R354" i="15"/>
  <c r="S354" i="15"/>
  <c r="U354" i="15"/>
  <c r="W354" i="15"/>
  <c r="J356" i="15"/>
  <c r="K356" i="15"/>
  <c r="L356" i="15"/>
  <c r="M356" i="15"/>
  <c r="N356" i="15"/>
  <c r="O356" i="15"/>
  <c r="P356" i="15"/>
  <c r="Q356" i="15"/>
  <c r="R356" i="15"/>
  <c r="S356" i="15"/>
  <c r="U356" i="15"/>
  <c r="J357" i="15"/>
  <c r="K357" i="15"/>
  <c r="L357" i="15"/>
  <c r="M357" i="15"/>
  <c r="N357" i="15"/>
  <c r="O357" i="15"/>
  <c r="P357" i="15"/>
  <c r="Q357" i="15"/>
  <c r="R357" i="15"/>
  <c r="S357" i="15"/>
  <c r="U357" i="15"/>
  <c r="J358" i="15"/>
  <c r="K358" i="15"/>
  <c r="L358" i="15"/>
  <c r="M358" i="15"/>
  <c r="N358" i="15"/>
  <c r="O358" i="15"/>
  <c r="P358" i="15"/>
  <c r="Q358" i="15"/>
  <c r="R358" i="15"/>
  <c r="S358" i="15"/>
  <c r="U358" i="15"/>
  <c r="W358" i="15"/>
  <c r="J359" i="15"/>
  <c r="K359" i="15"/>
  <c r="L359" i="15"/>
  <c r="M359" i="15"/>
  <c r="N359" i="15"/>
  <c r="O359" i="15"/>
  <c r="P359" i="15"/>
  <c r="Q359" i="15"/>
  <c r="R359" i="15"/>
  <c r="S359" i="15"/>
  <c r="U359" i="15"/>
  <c r="W359" i="15"/>
  <c r="J360" i="15"/>
  <c r="K360" i="15"/>
  <c r="L360" i="15"/>
  <c r="M360" i="15"/>
  <c r="N360" i="15"/>
  <c r="O360" i="15"/>
  <c r="P360" i="15"/>
  <c r="Q360" i="15"/>
  <c r="R360" i="15"/>
  <c r="S360" i="15"/>
  <c r="U360" i="15"/>
  <c r="W360" i="15"/>
  <c r="J361" i="15"/>
  <c r="K361" i="15"/>
  <c r="L361" i="15"/>
  <c r="M361" i="15"/>
  <c r="N361" i="15"/>
  <c r="O361" i="15"/>
  <c r="P361" i="15"/>
  <c r="Q361" i="15"/>
  <c r="R361" i="15"/>
  <c r="S361" i="15"/>
  <c r="U361" i="15"/>
  <c r="W361" i="15"/>
  <c r="J363" i="15"/>
  <c r="K363" i="15"/>
  <c r="L363" i="15"/>
  <c r="M363" i="15"/>
  <c r="N363" i="15"/>
  <c r="O363" i="15"/>
  <c r="P363" i="15"/>
  <c r="Q363" i="15"/>
  <c r="R363" i="15"/>
  <c r="S363" i="15"/>
  <c r="U363" i="15"/>
  <c r="W363" i="15"/>
  <c r="J364" i="15"/>
  <c r="K364" i="15"/>
  <c r="L364" i="15"/>
  <c r="M364" i="15"/>
  <c r="N364" i="15"/>
  <c r="O364" i="15"/>
  <c r="P364" i="15"/>
  <c r="Q364" i="15"/>
  <c r="R364" i="15"/>
  <c r="S364" i="15"/>
  <c r="U364" i="15"/>
  <c r="W364" i="15"/>
  <c r="J366" i="15"/>
  <c r="K366" i="15"/>
  <c r="L366" i="15"/>
  <c r="M366" i="15"/>
  <c r="N366" i="15"/>
  <c r="O366" i="15"/>
  <c r="P366" i="15"/>
  <c r="Q366" i="15"/>
  <c r="R366" i="15"/>
  <c r="S366" i="15"/>
  <c r="U366" i="15"/>
  <c r="W366" i="15"/>
  <c r="J368" i="15"/>
  <c r="K368" i="15"/>
  <c r="L368" i="15"/>
  <c r="M368" i="15"/>
  <c r="N368" i="15"/>
  <c r="O368" i="15"/>
  <c r="P368" i="15"/>
  <c r="Q368" i="15"/>
  <c r="R368" i="15"/>
  <c r="S368" i="15"/>
  <c r="U368" i="15"/>
  <c r="W368" i="15"/>
  <c r="J411" i="15"/>
  <c r="K411" i="15"/>
  <c r="L411" i="15"/>
  <c r="M411" i="15"/>
  <c r="N411" i="15"/>
  <c r="O411" i="15"/>
  <c r="P411" i="15"/>
  <c r="Q411" i="15"/>
  <c r="R411" i="15"/>
  <c r="S411" i="15"/>
  <c r="U411" i="15"/>
  <c r="W411" i="15"/>
  <c r="J413" i="15"/>
  <c r="K413" i="15"/>
  <c r="L413" i="15"/>
  <c r="M413" i="15"/>
  <c r="N413" i="15"/>
  <c r="O413" i="15"/>
  <c r="P413" i="15"/>
  <c r="Q413" i="15"/>
  <c r="R413" i="15"/>
  <c r="S413" i="15"/>
  <c r="U413" i="15"/>
  <c r="W413" i="15"/>
  <c r="J431" i="15"/>
  <c r="K431" i="15"/>
  <c r="L431" i="15"/>
  <c r="M431" i="15"/>
  <c r="N431" i="15"/>
  <c r="O431" i="15"/>
  <c r="P431" i="15"/>
  <c r="Q431" i="15"/>
  <c r="R431" i="15"/>
  <c r="S431" i="15"/>
  <c r="U431" i="15"/>
  <c r="W431" i="15"/>
  <c r="J432" i="15"/>
  <c r="K432" i="15"/>
  <c r="L432" i="15"/>
  <c r="M432" i="15"/>
  <c r="N432" i="15"/>
  <c r="O432" i="15"/>
  <c r="P432" i="15"/>
  <c r="Q432" i="15"/>
  <c r="R432" i="15"/>
  <c r="S432" i="15"/>
  <c r="U432" i="15"/>
  <c r="W432" i="15"/>
  <c r="J433" i="15"/>
  <c r="K433" i="15"/>
  <c r="L433" i="15"/>
  <c r="M433" i="15"/>
  <c r="N433" i="15"/>
  <c r="O433" i="15"/>
  <c r="P433" i="15"/>
  <c r="Q433" i="15"/>
  <c r="R433" i="15"/>
  <c r="S433" i="15"/>
  <c r="U433" i="15"/>
  <c r="W433" i="15"/>
  <c r="J435" i="15"/>
  <c r="K435" i="15"/>
  <c r="L435" i="15"/>
  <c r="M435" i="15"/>
  <c r="N435" i="15"/>
  <c r="O435" i="15"/>
  <c r="P435" i="15"/>
  <c r="Q435" i="15"/>
  <c r="R435" i="15"/>
  <c r="S435" i="15"/>
  <c r="U435" i="15"/>
  <c r="W435" i="15"/>
  <c r="J452" i="15"/>
  <c r="K452" i="15"/>
  <c r="L452" i="15"/>
  <c r="M452" i="15"/>
  <c r="N452" i="15"/>
  <c r="O452" i="15"/>
  <c r="P452" i="15"/>
  <c r="Q452" i="15"/>
  <c r="R452" i="15"/>
  <c r="S452" i="15"/>
  <c r="U452" i="15"/>
  <c r="W452" i="15"/>
  <c r="J453" i="15"/>
  <c r="K453" i="15"/>
  <c r="L453" i="15"/>
  <c r="M453" i="15"/>
  <c r="N453" i="15"/>
  <c r="O453" i="15"/>
  <c r="P453" i="15"/>
  <c r="Q453" i="15"/>
  <c r="R453" i="15"/>
  <c r="S453" i="15"/>
  <c r="U453" i="15"/>
  <c r="W453" i="15"/>
  <c r="J455" i="15"/>
  <c r="K455" i="15"/>
  <c r="L455" i="15"/>
  <c r="M455" i="15"/>
  <c r="N455" i="15"/>
  <c r="O455" i="15"/>
  <c r="P455" i="15"/>
  <c r="Q455" i="15"/>
  <c r="R455" i="15"/>
  <c r="S455" i="15"/>
  <c r="U455" i="15"/>
  <c r="W455" i="15"/>
  <c r="J478" i="15"/>
  <c r="K478" i="15"/>
  <c r="L478" i="15"/>
  <c r="M478" i="15"/>
  <c r="N478" i="15"/>
  <c r="O478" i="15"/>
  <c r="P478" i="15"/>
  <c r="Q478" i="15"/>
  <c r="R478" i="15"/>
  <c r="S478" i="15"/>
  <c r="U478" i="15"/>
  <c r="W478" i="15"/>
  <c r="J501" i="15"/>
  <c r="K501" i="15"/>
  <c r="L501" i="15"/>
  <c r="M501" i="15"/>
  <c r="N501" i="15"/>
  <c r="O501" i="15"/>
  <c r="P501" i="15"/>
  <c r="Q501" i="15"/>
  <c r="R501" i="15"/>
  <c r="S501" i="15"/>
  <c r="U501" i="15"/>
  <c r="W501" i="15"/>
  <c r="J519" i="15"/>
  <c r="K519" i="15"/>
  <c r="L519" i="15"/>
  <c r="M519" i="15"/>
  <c r="N519" i="15"/>
  <c r="O519" i="15"/>
  <c r="P519" i="15"/>
  <c r="Q519" i="15"/>
  <c r="R519" i="15"/>
  <c r="S519" i="15"/>
  <c r="U519" i="15"/>
  <c r="W519" i="15"/>
  <c r="J520" i="15"/>
  <c r="K520" i="15"/>
  <c r="L520" i="15"/>
  <c r="M520" i="15"/>
  <c r="N520" i="15"/>
  <c r="O520" i="15"/>
  <c r="P520" i="15"/>
  <c r="Q520" i="15"/>
  <c r="R520" i="15"/>
  <c r="S520" i="15"/>
  <c r="U520" i="15"/>
  <c r="W520" i="15"/>
  <c r="J521" i="15"/>
  <c r="K521" i="15"/>
  <c r="L521" i="15"/>
  <c r="M521" i="15"/>
  <c r="N521" i="15"/>
  <c r="O521" i="15"/>
  <c r="P521" i="15"/>
  <c r="Q521" i="15"/>
  <c r="R521" i="15"/>
  <c r="S521" i="15"/>
  <c r="U521" i="15"/>
  <c r="W521" i="15"/>
  <c r="J522" i="15"/>
  <c r="K522" i="15"/>
  <c r="L522" i="15"/>
  <c r="M522" i="15"/>
  <c r="N522" i="15"/>
  <c r="O522" i="15"/>
  <c r="P522" i="15"/>
  <c r="Q522" i="15"/>
  <c r="R522" i="15"/>
  <c r="S522" i="15"/>
  <c r="U522" i="15"/>
  <c r="W522" i="15"/>
  <c r="J523" i="15"/>
  <c r="K523" i="15"/>
  <c r="L523" i="15"/>
  <c r="M523" i="15"/>
  <c r="N523" i="15"/>
  <c r="O523" i="15"/>
  <c r="P523" i="15"/>
  <c r="Q523" i="15"/>
  <c r="R523" i="15"/>
  <c r="S523" i="15"/>
  <c r="U523" i="15"/>
  <c r="W523" i="15"/>
  <c r="J524" i="15"/>
  <c r="K524" i="15"/>
  <c r="L524" i="15"/>
  <c r="M524" i="15"/>
  <c r="N524" i="15"/>
  <c r="O524" i="15"/>
  <c r="P524" i="15"/>
  <c r="Q524" i="15"/>
  <c r="R524" i="15"/>
  <c r="S524" i="15"/>
  <c r="U524" i="15"/>
  <c r="W524" i="15"/>
  <c r="J525" i="15"/>
  <c r="K525" i="15"/>
  <c r="L525" i="15"/>
  <c r="M525" i="15"/>
  <c r="N525" i="15"/>
  <c r="O525" i="15"/>
  <c r="P525" i="15"/>
  <c r="Q525" i="15"/>
  <c r="R525" i="15"/>
  <c r="S525" i="15"/>
  <c r="U525" i="15"/>
  <c r="W525" i="15"/>
  <c r="J526" i="15"/>
  <c r="K526" i="15"/>
  <c r="L526" i="15"/>
  <c r="M526" i="15"/>
  <c r="N526" i="15"/>
  <c r="O526" i="15"/>
  <c r="P526" i="15"/>
  <c r="Q526" i="15"/>
  <c r="R526" i="15"/>
  <c r="S526" i="15"/>
  <c r="U526" i="15"/>
  <c r="W526" i="15"/>
  <c r="J527" i="15"/>
  <c r="K527" i="15"/>
  <c r="L527" i="15"/>
  <c r="M527" i="15"/>
  <c r="N527" i="15"/>
  <c r="O527" i="15"/>
  <c r="P527" i="15"/>
  <c r="Q527" i="15"/>
  <c r="R527" i="15"/>
  <c r="S527" i="15"/>
  <c r="U527" i="15"/>
  <c r="W527" i="15"/>
  <c r="J528" i="15"/>
  <c r="K528" i="15"/>
  <c r="L528" i="15"/>
  <c r="M528" i="15"/>
  <c r="N528" i="15"/>
  <c r="O528" i="15"/>
  <c r="P528" i="15"/>
  <c r="Q528" i="15"/>
  <c r="R528" i="15"/>
  <c r="S528" i="15"/>
  <c r="U528" i="15"/>
  <c r="W528" i="15"/>
  <c r="J529" i="15"/>
  <c r="K529" i="15"/>
  <c r="L529" i="15"/>
  <c r="M529" i="15"/>
  <c r="N529" i="15"/>
  <c r="O529" i="15"/>
  <c r="P529" i="15"/>
  <c r="Q529" i="15"/>
  <c r="R529" i="15"/>
  <c r="S529" i="15"/>
  <c r="U529" i="15"/>
  <c r="W529" i="15"/>
  <c r="J530" i="15"/>
  <c r="K530" i="15"/>
  <c r="L530" i="15"/>
  <c r="M530" i="15"/>
  <c r="N530" i="15"/>
  <c r="O530" i="15"/>
  <c r="P530" i="15"/>
  <c r="Q530" i="15"/>
  <c r="R530" i="15"/>
  <c r="S530" i="15"/>
  <c r="U530" i="15"/>
  <c r="W530" i="15"/>
  <c r="J531" i="15"/>
  <c r="K531" i="15"/>
  <c r="L531" i="15"/>
  <c r="M531" i="15"/>
  <c r="N531" i="15"/>
  <c r="O531" i="15"/>
  <c r="P531" i="15"/>
  <c r="Q531" i="15"/>
  <c r="R531" i="15"/>
  <c r="S531" i="15"/>
  <c r="U531" i="15"/>
  <c r="W531" i="15"/>
  <c r="J532" i="15"/>
  <c r="K532" i="15"/>
  <c r="L532" i="15"/>
  <c r="M532" i="15"/>
  <c r="N532" i="15"/>
  <c r="O532" i="15"/>
  <c r="P532" i="15"/>
  <c r="Q532" i="15"/>
  <c r="R532" i="15"/>
  <c r="S532" i="15"/>
  <c r="U532" i="15"/>
  <c r="W532" i="15"/>
  <c r="J533" i="15"/>
  <c r="K533" i="15"/>
  <c r="L533" i="15"/>
  <c r="M533" i="15"/>
  <c r="N533" i="15"/>
  <c r="O533" i="15"/>
  <c r="P533" i="15"/>
  <c r="Q533" i="15"/>
  <c r="R533" i="15"/>
  <c r="S533" i="15"/>
  <c r="U533" i="15"/>
  <c r="W533" i="15"/>
  <c r="J534" i="15"/>
  <c r="K534" i="15"/>
  <c r="L534" i="15"/>
  <c r="M534" i="15"/>
  <c r="N534" i="15"/>
  <c r="O534" i="15"/>
  <c r="P534" i="15"/>
  <c r="Q534" i="15"/>
  <c r="R534" i="15"/>
  <c r="S534" i="15"/>
  <c r="U534" i="15"/>
  <c r="W534" i="15"/>
  <c r="J536" i="15"/>
  <c r="K536" i="15"/>
  <c r="L536" i="15"/>
  <c r="M536" i="15"/>
  <c r="N536" i="15"/>
  <c r="O536" i="15"/>
  <c r="P536" i="15"/>
  <c r="Q536" i="15"/>
  <c r="R536" i="15"/>
  <c r="S536" i="15"/>
  <c r="U536" i="15"/>
  <c r="W536" i="15"/>
  <c r="J537" i="15"/>
  <c r="K537" i="15"/>
  <c r="L537" i="15"/>
  <c r="M537" i="15"/>
  <c r="N537" i="15"/>
  <c r="O537" i="15"/>
  <c r="P537" i="15"/>
  <c r="Q537" i="15"/>
  <c r="R537" i="15"/>
  <c r="S537" i="15"/>
  <c r="U537" i="15"/>
  <c r="W537" i="15"/>
  <c r="J538" i="15"/>
  <c r="K538" i="15"/>
  <c r="L538" i="15"/>
  <c r="M538" i="15"/>
  <c r="N538" i="15"/>
  <c r="O538" i="15"/>
  <c r="P538" i="15"/>
  <c r="Q538" i="15"/>
  <c r="R538" i="15"/>
  <c r="S538" i="15"/>
  <c r="U538" i="15"/>
  <c r="W538" i="15"/>
  <c r="J539" i="15"/>
  <c r="K539" i="15"/>
  <c r="L539" i="15"/>
  <c r="M539" i="15"/>
  <c r="N539" i="15"/>
  <c r="O539" i="15"/>
  <c r="P539" i="15"/>
  <c r="Q539" i="15"/>
  <c r="R539" i="15"/>
  <c r="S539" i="15"/>
  <c r="U539" i="15"/>
  <c r="W539" i="15"/>
  <c r="J540" i="15"/>
  <c r="K540" i="15"/>
  <c r="L540" i="15"/>
  <c r="M540" i="15"/>
  <c r="N540" i="15"/>
  <c r="O540" i="15"/>
  <c r="P540" i="15"/>
  <c r="Q540" i="15"/>
  <c r="R540" i="15"/>
  <c r="S540" i="15"/>
  <c r="U540" i="15"/>
  <c r="W540" i="15"/>
  <c r="J541" i="15"/>
  <c r="K541" i="15"/>
  <c r="L541" i="15"/>
  <c r="M541" i="15"/>
  <c r="N541" i="15"/>
  <c r="O541" i="15"/>
  <c r="P541" i="15"/>
  <c r="Q541" i="15"/>
  <c r="R541" i="15"/>
  <c r="S541" i="15"/>
  <c r="U541" i="15"/>
  <c r="W541" i="15"/>
  <c r="J542" i="15"/>
  <c r="K542" i="15"/>
  <c r="L542" i="15"/>
  <c r="M542" i="15"/>
  <c r="N542" i="15"/>
  <c r="O542" i="15"/>
  <c r="P542" i="15"/>
  <c r="Q542" i="15"/>
  <c r="R542" i="15"/>
  <c r="S542" i="15"/>
  <c r="U542" i="15"/>
  <c r="W542" i="15"/>
  <c r="J543" i="15"/>
  <c r="K543" i="15"/>
  <c r="L543" i="15"/>
  <c r="M543" i="15"/>
  <c r="N543" i="15"/>
  <c r="O543" i="15"/>
  <c r="P543" i="15"/>
  <c r="Q543" i="15"/>
  <c r="R543" i="15"/>
  <c r="S543" i="15"/>
  <c r="U543" i="15"/>
  <c r="W543" i="15"/>
  <c r="J544" i="15"/>
  <c r="K544" i="15"/>
  <c r="L544" i="15"/>
  <c r="M544" i="15"/>
  <c r="N544" i="15"/>
  <c r="O544" i="15"/>
  <c r="P544" i="15"/>
  <c r="Q544" i="15"/>
  <c r="R544" i="15"/>
  <c r="S544" i="15"/>
  <c r="U544" i="15"/>
  <c r="W544" i="15"/>
  <c r="J546" i="15"/>
  <c r="K546" i="15"/>
  <c r="L546" i="15"/>
  <c r="M546" i="15"/>
  <c r="N546" i="15"/>
  <c r="O546" i="15"/>
  <c r="P546" i="15"/>
  <c r="Q546" i="15"/>
  <c r="R546" i="15"/>
  <c r="S546" i="15"/>
  <c r="U546" i="15"/>
  <c r="W546" i="15"/>
  <c r="J547" i="15"/>
  <c r="K547" i="15"/>
  <c r="L547" i="15"/>
  <c r="M547" i="15"/>
  <c r="N547" i="15"/>
  <c r="O547" i="15"/>
  <c r="P547" i="15"/>
  <c r="Q547" i="15"/>
  <c r="R547" i="15"/>
  <c r="S547" i="15"/>
  <c r="U547" i="15"/>
  <c r="W547" i="15"/>
  <c r="J548" i="15"/>
  <c r="K548" i="15"/>
  <c r="L548" i="15"/>
  <c r="M548" i="15"/>
  <c r="N548" i="15"/>
  <c r="O548" i="15"/>
  <c r="P548" i="15"/>
  <c r="Q548" i="15"/>
  <c r="R548" i="15"/>
  <c r="S548" i="15"/>
  <c r="U548" i="15"/>
  <c r="W548" i="15"/>
  <c r="J549" i="15"/>
  <c r="K549" i="15"/>
  <c r="L549" i="15"/>
  <c r="M549" i="15"/>
  <c r="N549" i="15"/>
  <c r="O549" i="15"/>
  <c r="P549" i="15"/>
  <c r="Q549" i="15"/>
  <c r="R549" i="15"/>
  <c r="S549" i="15"/>
  <c r="U549" i="15"/>
  <c r="W549" i="15"/>
  <c r="J550" i="15"/>
  <c r="K550" i="15"/>
  <c r="L550" i="15"/>
  <c r="M550" i="15"/>
  <c r="N550" i="15"/>
  <c r="O550" i="15"/>
  <c r="P550" i="15"/>
  <c r="Q550" i="15"/>
  <c r="R550" i="15"/>
  <c r="S550" i="15"/>
  <c r="U550" i="15"/>
  <c r="W550" i="15"/>
  <c r="J551" i="15"/>
  <c r="K551" i="15"/>
  <c r="L551" i="15"/>
  <c r="M551" i="15"/>
  <c r="N551" i="15"/>
  <c r="O551" i="15"/>
  <c r="P551" i="15"/>
  <c r="Q551" i="15"/>
  <c r="R551" i="15"/>
  <c r="S551" i="15"/>
  <c r="U551" i="15"/>
  <c r="W551" i="15"/>
  <c r="J552" i="15"/>
  <c r="K552" i="15"/>
  <c r="L552" i="15"/>
  <c r="M552" i="15"/>
  <c r="N552" i="15"/>
  <c r="O552" i="15"/>
  <c r="P552" i="15"/>
  <c r="Q552" i="15"/>
  <c r="R552" i="15"/>
  <c r="S552" i="15"/>
  <c r="U552" i="15"/>
  <c r="W552" i="15"/>
  <c r="J553" i="15"/>
  <c r="K553" i="15"/>
  <c r="L553" i="15"/>
  <c r="M553" i="15"/>
  <c r="N553" i="15"/>
  <c r="O553" i="15"/>
  <c r="P553" i="15"/>
  <c r="Q553" i="15"/>
  <c r="R553" i="15"/>
  <c r="S553" i="15"/>
  <c r="U553" i="15"/>
  <c r="W553" i="15"/>
  <c r="J554" i="15"/>
  <c r="K554" i="15"/>
  <c r="L554" i="15"/>
  <c r="M554" i="15"/>
  <c r="N554" i="15"/>
  <c r="O554" i="15"/>
  <c r="P554" i="15"/>
  <c r="Q554" i="15"/>
  <c r="R554" i="15"/>
  <c r="S554" i="15"/>
  <c r="U554" i="15"/>
  <c r="W554" i="15"/>
  <c r="J555" i="15"/>
  <c r="K555" i="15"/>
  <c r="L555" i="15"/>
  <c r="M555" i="15"/>
  <c r="N555" i="15"/>
  <c r="O555" i="15"/>
  <c r="P555" i="15"/>
  <c r="Q555" i="15"/>
  <c r="R555" i="15"/>
  <c r="S555" i="15"/>
  <c r="U555" i="15"/>
  <c r="W555" i="15"/>
  <c r="J556" i="15"/>
  <c r="K556" i="15"/>
  <c r="L556" i="15"/>
  <c r="M556" i="15"/>
  <c r="N556" i="15"/>
  <c r="O556" i="15"/>
  <c r="P556" i="15"/>
  <c r="Q556" i="15"/>
  <c r="R556" i="15"/>
  <c r="S556" i="15"/>
  <c r="U556" i="15"/>
  <c r="W556" i="15"/>
  <c r="J559" i="15"/>
  <c r="K559" i="15"/>
  <c r="L559" i="15"/>
  <c r="M559" i="15"/>
  <c r="N559" i="15"/>
  <c r="O559" i="15"/>
  <c r="P559" i="15"/>
  <c r="Q559" i="15"/>
  <c r="R559" i="15"/>
  <c r="S559" i="15"/>
  <c r="U559" i="15"/>
  <c r="W559" i="15"/>
  <c r="J560" i="15"/>
  <c r="K560" i="15"/>
  <c r="L560" i="15"/>
  <c r="M560" i="15"/>
  <c r="N560" i="15"/>
  <c r="O560" i="15"/>
  <c r="P560" i="15"/>
  <c r="Q560" i="15"/>
  <c r="R560" i="15"/>
  <c r="S560" i="15"/>
  <c r="U560" i="15"/>
  <c r="W560" i="15"/>
  <c r="J561" i="15"/>
  <c r="K561" i="15"/>
  <c r="L561" i="15"/>
  <c r="M561" i="15"/>
  <c r="N561" i="15"/>
  <c r="O561" i="15"/>
  <c r="P561" i="15"/>
  <c r="Q561" i="15"/>
  <c r="R561" i="15"/>
  <c r="S561" i="15"/>
  <c r="U561" i="15"/>
  <c r="W561" i="15"/>
  <c r="J562" i="15"/>
  <c r="K562" i="15"/>
  <c r="L562" i="15"/>
  <c r="M562" i="15"/>
  <c r="N562" i="15"/>
  <c r="O562" i="15"/>
  <c r="P562" i="15"/>
  <c r="Q562" i="15"/>
  <c r="R562" i="15"/>
  <c r="S562" i="15"/>
  <c r="U562" i="15"/>
  <c r="W562" i="15"/>
  <c r="J563" i="15"/>
  <c r="K563" i="15"/>
  <c r="L563" i="15"/>
  <c r="M563" i="15"/>
  <c r="N563" i="15"/>
  <c r="O563" i="15"/>
  <c r="P563" i="15"/>
  <c r="Q563" i="15"/>
  <c r="R563" i="15"/>
  <c r="S563" i="15"/>
  <c r="U563" i="15"/>
  <c r="W563" i="15"/>
  <c r="J565" i="15"/>
  <c r="K565" i="15"/>
  <c r="L565" i="15"/>
  <c r="M565" i="15"/>
  <c r="N565" i="15"/>
  <c r="O565" i="15"/>
  <c r="P565" i="15"/>
  <c r="Q565" i="15"/>
  <c r="R565" i="15"/>
  <c r="S565" i="15"/>
  <c r="U565" i="15"/>
  <c r="W565" i="15"/>
  <c r="J566" i="15"/>
  <c r="K566" i="15"/>
  <c r="L566" i="15"/>
  <c r="M566" i="15"/>
  <c r="N566" i="15"/>
  <c r="O566" i="15"/>
  <c r="P566" i="15"/>
  <c r="Q566" i="15"/>
  <c r="R566" i="15"/>
  <c r="S566" i="15"/>
  <c r="U566" i="15"/>
  <c r="W566" i="15"/>
  <c r="J567" i="15"/>
  <c r="K567" i="15"/>
  <c r="L567" i="15"/>
  <c r="M567" i="15"/>
  <c r="N567" i="15"/>
  <c r="O567" i="15"/>
  <c r="P567" i="15"/>
  <c r="Q567" i="15"/>
  <c r="R567" i="15"/>
  <c r="S567" i="15"/>
  <c r="U567" i="15"/>
  <c r="W567" i="15"/>
  <c r="J568" i="15"/>
  <c r="K568" i="15"/>
  <c r="L568" i="15"/>
  <c r="M568" i="15"/>
  <c r="N568" i="15"/>
  <c r="O568" i="15"/>
  <c r="P568" i="15"/>
  <c r="Q568" i="15"/>
  <c r="R568" i="15"/>
  <c r="S568" i="15"/>
  <c r="U568" i="15"/>
  <c r="W568" i="15"/>
  <c r="J569" i="15"/>
  <c r="K569" i="15"/>
  <c r="L569" i="15"/>
  <c r="M569" i="15"/>
  <c r="N569" i="15"/>
  <c r="O569" i="15"/>
  <c r="P569" i="15"/>
  <c r="Q569" i="15"/>
  <c r="R569" i="15"/>
  <c r="S569" i="15"/>
  <c r="U569" i="15"/>
  <c r="W569" i="15"/>
  <c r="J570" i="15"/>
  <c r="K570" i="15"/>
  <c r="L570" i="15"/>
  <c r="M570" i="15"/>
  <c r="N570" i="15"/>
  <c r="O570" i="15"/>
  <c r="P570" i="15"/>
  <c r="Q570" i="15"/>
  <c r="R570" i="15"/>
  <c r="S570" i="15"/>
  <c r="U570" i="15"/>
  <c r="W570" i="15"/>
  <c r="J571" i="15"/>
  <c r="K571" i="15"/>
  <c r="L571" i="15"/>
  <c r="M571" i="15"/>
  <c r="N571" i="15"/>
  <c r="O571" i="15"/>
  <c r="P571" i="15"/>
  <c r="Q571" i="15"/>
  <c r="R571" i="15"/>
  <c r="S571" i="15"/>
  <c r="U571" i="15"/>
  <c r="W571" i="15"/>
  <c r="J572" i="15"/>
  <c r="K572" i="15"/>
  <c r="L572" i="15"/>
  <c r="M572" i="15"/>
  <c r="N572" i="15"/>
  <c r="O572" i="15"/>
  <c r="P572" i="15"/>
  <c r="Q572" i="15"/>
  <c r="R572" i="15"/>
  <c r="S572" i="15"/>
  <c r="U572" i="15"/>
  <c r="W572" i="15"/>
  <c r="J573" i="15"/>
  <c r="K573" i="15"/>
  <c r="L573" i="15"/>
  <c r="M573" i="15"/>
  <c r="N573" i="15"/>
  <c r="O573" i="15"/>
  <c r="P573" i="15"/>
  <c r="Q573" i="15"/>
  <c r="R573" i="15"/>
  <c r="S573" i="15"/>
  <c r="U573" i="15"/>
  <c r="W573" i="15"/>
  <c r="J575" i="15"/>
  <c r="K575" i="15"/>
  <c r="L575" i="15"/>
  <c r="M575" i="15"/>
  <c r="N575" i="15"/>
  <c r="O575" i="15"/>
  <c r="P575" i="15"/>
  <c r="Q575" i="15"/>
  <c r="R575" i="15"/>
  <c r="S575" i="15"/>
  <c r="U575" i="15"/>
  <c r="W575" i="15"/>
  <c r="J591" i="15"/>
  <c r="K591" i="15"/>
  <c r="L591" i="15"/>
  <c r="M591" i="15"/>
  <c r="N591" i="15"/>
  <c r="O591" i="15"/>
  <c r="P591" i="15"/>
  <c r="Q591" i="15"/>
  <c r="R591" i="15"/>
  <c r="S591" i="15"/>
  <c r="U591" i="15"/>
  <c r="W591" i="15"/>
  <c r="J592" i="15"/>
  <c r="K592" i="15"/>
  <c r="L592" i="15"/>
  <c r="M592" i="15"/>
  <c r="N592" i="15"/>
  <c r="O592" i="15"/>
  <c r="P592" i="15"/>
  <c r="Q592" i="15"/>
  <c r="R592" i="15"/>
  <c r="S592" i="15"/>
  <c r="U592" i="15"/>
  <c r="W592" i="15"/>
  <c r="J593" i="15"/>
  <c r="K593" i="15"/>
  <c r="L593" i="15"/>
  <c r="M593" i="15"/>
  <c r="N593" i="15"/>
  <c r="O593" i="15"/>
  <c r="P593" i="15"/>
  <c r="Q593" i="15"/>
  <c r="R593" i="15"/>
  <c r="S593" i="15"/>
  <c r="U593" i="15"/>
  <c r="W593" i="15"/>
  <c r="J594" i="15"/>
  <c r="K594" i="15"/>
  <c r="L594" i="15"/>
  <c r="M594" i="15"/>
  <c r="N594" i="15"/>
  <c r="O594" i="15"/>
  <c r="P594" i="15"/>
  <c r="Q594" i="15"/>
  <c r="R594" i="15"/>
  <c r="S594" i="15"/>
  <c r="U594" i="15"/>
  <c r="W594" i="15"/>
  <c r="J595" i="15"/>
  <c r="K595" i="15"/>
  <c r="L595" i="15"/>
  <c r="M595" i="15"/>
  <c r="N595" i="15"/>
  <c r="O595" i="15"/>
  <c r="P595" i="15"/>
  <c r="Q595" i="15"/>
  <c r="R595" i="15"/>
  <c r="S595" i="15"/>
  <c r="U595" i="15"/>
  <c r="W595" i="15"/>
  <c r="J596" i="15"/>
  <c r="K596" i="15"/>
  <c r="L596" i="15"/>
  <c r="M596" i="15"/>
  <c r="N596" i="15"/>
  <c r="O596" i="15"/>
  <c r="P596" i="15"/>
  <c r="Q596" i="15"/>
  <c r="R596" i="15"/>
  <c r="S596" i="15"/>
  <c r="U596" i="15"/>
  <c r="W596" i="15"/>
  <c r="J597" i="15"/>
  <c r="K597" i="15"/>
  <c r="L597" i="15"/>
  <c r="M597" i="15"/>
  <c r="N597" i="15"/>
  <c r="O597" i="15"/>
  <c r="P597" i="15"/>
  <c r="Q597" i="15"/>
  <c r="R597" i="15"/>
  <c r="S597" i="15"/>
  <c r="U597" i="15"/>
  <c r="W597" i="15"/>
  <c r="J600" i="15"/>
  <c r="K600" i="15"/>
  <c r="L600" i="15"/>
  <c r="M600" i="15"/>
  <c r="N600" i="15"/>
  <c r="O600" i="15"/>
  <c r="P600" i="15"/>
  <c r="Q600" i="15"/>
  <c r="R600" i="15"/>
  <c r="S600" i="15"/>
  <c r="U600" i="15"/>
  <c r="W600" i="15"/>
  <c r="J601" i="15"/>
  <c r="K601" i="15"/>
  <c r="L601" i="15"/>
  <c r="M601" i="15"/>
  <c r="N601" i="15"/>
  <c r="O601" i="15"/>
  <c r="P601" i="15"/>
  <c r="Q601" i="15"/>
  <c r="R601" i="15"/>
  <c r="S601" i="15"/>
  <c r="U601" i="15"/>
  <c r="W601" i="15"/>
  <c r="J602" i="15"/>
  <c r="K602" i="15"/>
  <c r="L602" i="15"/>
  <c r="M602" i="15"/>
  <c r="N602" i="15"/>
  <c r="O602" i="15"/>
  <c r="P602" i="15"/>
  <c r="Q602" i="15"/>
  <c r="R602" i="15"/>
  <c r="S602" i="15"/>
  <c r="U602" i="15"/>
  <c r="W602" i="15"/>
  <c r="J603" i="15"/>
  <c r="K603" i="15"/>
  <c r="L603" i="15"/>
  <c r="M603" i="15"/>
  <c r="N603" i="15"/>
  <c r="O603" i="15"/>
  <c r="P603" i="15"/>
  <c r="Q603" i="15"/>
  <c r="R603" i="15"/>
  <c r="S603" i="15"/>
  <c r="U603" i="15"/>
  <c r="W603" i="15"/>
  <c r="J604" i="15"/>
  <c r="K604" i="15"/>
  <c r="L604" i="15"/>
  <c r="M604" i="15"/>
  <c r="N604" i="15"/>
  <c r="O604" i="15"/>
  <c r="P604" i="15"/>
  <c r="Q604" i="15"/>
  <c r="R604" i="15"/>
  <c r="S604" i="15"/>
  <c r="U604" i="15"/>
  <c r="W604" i="15"/>
  <c r="J605" i="15"/>
  <c r="K605" i="15"/>
  <c r="L605" i="15"/>
  <c r="M605" i="15"/>
  <c r="N605" i="15"/>
  <c r="O605" i="15"/>
  <c r="P605" i="15"/>
  <c r="Q605" i="15"/>
  <c r="R605" i="15"/>
  <c r="S605" i="15"/>
  <c r="U605" i="15"/>
  <c r="W605" i="15"/>
  <c r="J606" i="15"/>
  <c r="K606" i="15"/>
  <c r="L606" i="15"/>
  <c r="M606" i="15"/>
  <c r="N606" i="15"/>
  <c r="O606" i="15"/>
  <c r="P606" i="15"/>
  <c r="Q606" i="15"/>
  <c r="R606" i="15"/>
  <c r="S606" i="15"/>
  <c r="U606" i="15"/>
  <c r="W606" i="15"/>
  <c r="J607" i="15"/>
  <c r="K607" i="15"/>
  <c r="L607" i="15"/>
  <c r="M607" i="15"/>
  <c r="N607" i="15"/>
  <c r="O607" i="15"/>
  <c r="P607" i="15"/>
  <c r="Q607" i="15"/>
  <c r="R607" i="15"/>
  <c r="S607" i="15"/>
  <c r="U607" i="15"/>
  <c r="W607" i="15"/>
  <c r="J608" i="15"/>
  <c r="K608" i="15"/>
  <c r="L608" i="15"/>
  <c r="M608" i="15"/>
  <c r="N608" i="15"/>
  <c r="O608" i="15"/>
  <c r="P608" i="15"/>
  <c r="Q608" i="15"/>
  <c r="R608" i="15"/>
  <c r="S608" i="15"/>
  <c r="U608" i="15"/>
  <c r="W608" i="15"/>
  <c r="J609" i="15"/>
  <c r="K609" i="15"/>
  <c r="L609" i="15"/>
  <c r="M609" i="15"/>
  <c r="N609" i="15"/>
  <c r="O609" i="15"/>
  <c r="P609" i="15"/>
  <c r="Q609" i="15"/>
  <c r="R609" i="15"/>
  <c r="S609" i="15"/>
  <c r="U609" i="15"/>
  <c r="W609" i="15"/>
  <c r="J610" i="15"/>
  <c r="K610" i="15"/>
  <c r="L610" i="15"/>
  <c r="M610" i="15"/>
  <c r="N610" i="15"/>
  <c r="O610" i="15"/>
  <c r="P610" i="15"/>
  <c r="Q610" i="15"/>
  <c r="R610" i="15"/>
  <c r="S610" i="15"/>
  <c r="U610" i="15"/>
  <c r="W610" i="15"/>
  <c r="J612" i="15"/>
  <c r="K612" i="15"/>
  <c r="L612" i="15"/>
  <c r="M612" i="15"/>
  <c r="N612" i="15"/>
  <c r="O612" i="15"/>
  <c r="P612" i="15"/>
  <c r="Q612" i="15"/>
  <c r="R612" i="15"/>
  <c r="S612" i="15"/>
  <c r="U612" i="15"/>
  <c r="W612" i="15"/>
  <c r="J614" i="15"/>
  <c r="K614" i="15"/>
  <c r="L614" i="15"/>
  <c r="M614" i="15"/>
  <c r="N614" i="15"/>
  <c r="O614" i="15"/>
  <c r="P614" i="15"/>
  <c r="Q614" i="15"/>
  <c r="R614" i="15"/>
  <c r="S614" i="15"/>
  <c r="U614" i="15"/>
  <c r="W614" i="15"/>
  <c r="J616" i="15"/>
  <c r="K616" i="15"/>
  <c r="L616" i="15"/>
  <c r="M616" i="15"/>
  <c r="N616" i="15"/>
  <c r="O616" i="15"/>
  <c r="P616" i="15"/>
  <c r="Q616" i="15"/>
  <c r="R616" i="15"/>
  <c r="S616" i="15"/>
  <c r="U616" i="15"/>
  <c r="W616" i="15"/>
  <c r="J618" i="15"/>
  <c r="K618" i="15"/>
  <c r="L618" i="15"/>
  <c r="M618" i="15"/>
  <c r="N618" i="15"/>
  <c r="O618" i="15"/>
  <c r="P618" i="15"/>
  <c r="Q618" i="15"/>
  <c r="R618" i="15"/>
  <c r="S618" i="15"/>
  <c r="U618" i="15"/>
  <c r="W618" i="15"/>
  <c r="U620" i="15"/>
  <c r="W620" i="15"/>
  <c r="J622" i="15"/>
  <c r="K622" i="15"/>
  <c r="L622" i="15"/>
  <c r="M622" i="15"/>
  <c r="N622" i="15"/>
  <c r="O622" i="15"/>
  <c r="P622" i="15"/>
  <c r="Q622" i="15"/>
  <c r="R622" i="15"/>
  <c r="S622" i="15"/>
  <c r="U622" i="15"/>
  <c r="W622" i="15"/>
  <c r="J696" i="15"/>
  <c r="K696" i="15"/>
  <c r="L696" i="15"/>
  <c r="M696" i="15"/>
  <c r="N696" i="15"/>
  <c r="O696" i="15"/>
  <c r="P696" i="15"/>
  <c r="Q696" i="15"/>
  <c r="R696" i="15"/>
  <c r="S696" i="15"/>
  <c r="U696" i="15"/>
  <c r="W696" i="15"/>
  <c r="J697" i="15"/>
  <c r="K697" i="15"/>
  <c r="L697" i="15"/>
  <c r="M697" i="15"/>
  <c r="N697" i="15"/>
  <c r="O697" i="15"/>
  <c r="P697" i="15"/>
  <c r="Q697" i="15"/>
  <c r="R697" i="15"/>
  <c r="S697" i="15"/>
  <c r="U697" i="15"/>
  <c r="W697" i="15"/>
  <c r="J704" i="15"/>
  <c r="K704" i="15"/>
  <c r="L704" i="15"/>
  <c r="M704" i="15"/>
  <c r="N704" i="15"/>
  <c r="O704" i="15"/>
  <c r="P704" i="15"/>
  <c r="Q704" i="15"/>
  <c r="R704" i="15"/>
  <c r="S704" i="15"/>
  <c r="U704" i="15"/>
  <c r="W704" i="15"/>
  <c r="J705" i="15"/>
  <c r="K705" i="15"/>
  <c r="L705" i="15"/>
  <c r="M705" i="15"/>
  <c r="N705" i="15"/>
  <c r="O705" i="15"/>
  <c r="P705" i="15"/>
  <c r="Q705" i="15"/>
  <c r="R705" i="15"/>
  <c r="S705" i="15"/>
  <c r="U705" i="15"/>
  <c r="W705" i="15"/>
  <c r="J707" i="15"/>
  <c r="K707" i="15"/>
  <c r="L707" i="15"/>
  <c r="M707" i="15"/>
  <c r="N707" i="15"/>
  <c r="O707" i="15"/>
  <c r="P707" i="15"/>
  <c r="Q707" i="15"/>
  <c r="R707" i="15"/>
  <c r="S707" i="15"/>
  <c r="U707" i="15"/>
  <c r="W707" i="15"/>
  <c r="J709" i="15"/>
  <c r="K709" i="15"/>
  <c r="L709" i="15"/>
  <c r="M709" i="15"/>
  <c r="N709" i="15"/>
  <c r="O709" i="15"/>
  <c r="P709" i="15"/>
  <c r="Q709" i="15"/>
  <c r="R709" i="15"/>
  <c r="S709" i="15"/>
  <c r="U709" i="15"/>
  <c r="W709" i="15"/>
  <c r="J753" i="15"/>
  <c r="K753" i="15"/>
  <c r="L753" i="15"/>
  <c r="M753" i="15"/>
  <c r="N753" i="15"/>
  <c r="O753" i="15"/>
  <c r="P753" i="15"/>
  <c r="Q753" i="15"/>
  <c r="R753" i="15"/>
  <c r="S753" i="15"/>
  <c r="U753" i="15"/>
  <c r="W753" i="15"/>
  <c r="J754" i="15"/>
  <c r="K754" i="15"/>
  <c r="L754" i="15"/>
  <c r="M754" i="15"/>
  <c r="N754" i="15"/>
  <c r="O754" i="15"/>
  <c r="P754" i="15"/>
  <c r="Q754" i="15"/>
  <c r="R754" i="15"/>
  <c r="S754" i="15"/>
  <c r="U754" i="15"/>
  <c r="W754" i="15"/>
  <c r="J769" i="15"/>
  <c r="K769" i="15"/>
  <c r="L769" i="15"/>
  <c r="M769" i="15"/>
  <c r="N769" i="15"/>
  <c r="O769" i="15"/>
  <c r="P769" i="15"/>
  <c r="Q769" i="15"/>
  <c r="R769" i="15"/>
  <c r="S769" i="15"/>
  <c r="U769" i="15"/>
  <c r="W769" i="15"/>
  <c r="J770" i="15"/>
  <c r="K770" i="15"/>
  <c r="L770" i="15"/>
  <c r="M770" i="15"/>
  <c r="N770" i="15"/>
  <c r="O770" i="15"/>
  <c r="P770" i="15"/>
  <c r="Q770" i="15"/>
  <c r="R770" i="15"/>
  <c r="S770" i="15"/>
  <c r="U770" i="15"/>
  <c r="W770" i="15"/>
  <c r="J771" i="15"/>
  <c r="K771" i="15"/>
  <c r="L771" i="15"/>
  <c r="M771" i="15"/>
  <c r="N771" i="15"/>
  <c r="O771" i="15"/>
  <c r="P771" i="15"/>
  <c r="Q771" i="15"/>
  <c r="R771" i="15"/>
  <c r="S771" i="15"/>
  <c r="U771" i="15"/>
  <c r="W771" i="15"/>
  <c r="J772" i="15"/>
  <c r="K772" i="15"/>
  <c r="L772" i="15"/>
  <c r="M772" i="15"/>
  <c r="N772" i="15"/>
  <c r="O772" i="15"/>
  <c r="P772" i="15"/>
  <c r="Q772" i="15"/>
  <c r="R772" i="15"/>
  <c r="S772" i="15"/>
  <c r="U772" i="15"/>
  <c r="W772" i="15"/>
  <c r="J773" i="15"/>
  <c r="K773" i="15"/>
  <c r="L773" i="15"/>
  <c r="M773" i="15"/>
  <c r="N773" i="15"/>
  <c r="O773" i="15"/>
  <c r="P773" i="15"/>
  <c r="Q773" i="15"/>
  <c r="R773" i="15"/>
  <c r="S773" i="15"/>
  <c r="U773" i="15"/>
  <c r="W773" i="15"/>
  <c r="J774" i="15"/>
  <c r="K774" i="15"/>
  <c r="L774" i="15"/>
  <c r="M774" i="15"/>
  <c r="N774" i="15"/>
  <c r="O774" i="15"/>
  <c r="P774" i="15"/>
  <c r="Q774" i="15"/>
  <c r="R774" i="15"/>
  <c r="S774" i="15"/>
  <c r="U774" i="15"/>
  <c r="W774" i="15"/>
  <c r="J775" i="15"/>
  <c r="K775" i="15"/>
  <c r="L775" i="15"/>
  <c r="M775" i="15"/>
  <c r="N775" i="15"/>
  <c r="O775" i="15"/>
  <c r="P775" i="15"/>
  <c r="Q775" i="15"/>
  <c r="R775" i="15"/>
  <c r="S775" i="15"/>
  <c r="U775" i="15"/>
  <c r="W775" i="15"/>
  <c r="J778" i="15"/>
  <c r="K778" i="15"/>
  <c r="L778" i="15"/>
  <c r="M778" i="15"/>
  <c r="N778" i="15"/>
  <c r="O778" i="15"/>
  <c r="P778" i="15"/>
  <c r="Q778" i="15"/>
  <c r="R778" i="15"/>
  <c r="S778" i="15"/>
  <c r="U778" i="15"/>
  <c r="W778" i="15"/>
  <c r="J779" i="15"/>
  <c r="K779" i="15"/>
  <c r="L779" i="15"/>
  <c r="M779" i="15"/>
  <c r="N779" i="15"/>
  <c r="O779" i="15"/>
  <c r="P779" i="15"/>
  <c r="Q779" i="15"/>
  <c r="R779" i="15"/>
  <c r="S779" i="15"/>
  <c r="U779" i="15"/>
  <c r="W779" i="15"/>
  <c r="J780" i="15"/>
  <c r="K780" i="15"/>
  <c r="L780" i="15"/>
  <c r="M780" i="15"/>
  <c r="N780" i="15"/>
  <c r="O780" i="15"/>
  <c r="P780" i="15"/>
  <c r="Q780" i="15"/>
  <c r="R780" i="15"/>
  <c r="S780" i="15"/>
  <c r="U780" i="15"/>
  <c r="W780" i="15"/>
  <c r="J781" i="15"/>
  <c r="K781" i="15"/>
  <c r="L781" i="15"/>
  <c r="M781" i="15"/>
  <c r="N781" i="15"/>
  <c r="O781" i="15"/>
  <c r="P781" i="15"/>
  <c r="Q781" i="15"/>
  <c r="R781" i="15"/>
  <c r="S781" i="15"/>
  <c r="U781" i="15"/>
  <c r="W781" i="15"/>
  <c r="J783" i="15"/>
  <c r="K783" i="15"/>
  <c r="L783" i="15"/>
  <c r="M783" i="15"/>
  <c r="N783" i="15"/>
  <c r="O783" i="15"/>
  <c r="P783" i="15"/>
  <c r="Q783" i="15"/>
  <c r="R783" i="15"/>
  <c r="S783" i="15"/>
  <c r="U783" i="15"/>
  <c r="W783" i="15"/>
  <c r="J784" i="15"/>
  <c r="K784" i="15"/>
  <c r="L784" i="15"/>
  <c r="M784" i="15"/>
  <c r="N784" i="15"/>
  <c r="O784" i="15"/>
  <c r="P784" i="15"/>
  <c r="Q784" i="15"/>
  <c r="R784" i="15"/>
  <c r="S784" i="15"/>
  <c r="U784" i="15"/>
  <c r="W784" i="15"/>
  <c r="J785" i="15"/>
  <c r="K785" i="15"/>
  <c r="L785" i="15"/>
  <c r="M785" i="15"/>
  <c r="N785" i="15"/>
  <c r="O785" i="15"/>
  <c r="P785" i="15"/>
  <c r="Q785" i="15"/>
  <c r="R785" i="15"/>
  <c r="S785" i="15"/>
  <c r="U785" i="15"/>
  <c r="W785" i="15"/>
  <c r="J787" i="15"/>
  <c r="K787" i="15"/>
  <c r="L787" i="15"/>
  <c r="M787" i="15"/>
  <c r="N787" i="15"/>
  <c r="O787" i="15"/>
  <c r="P787" i="15"/>
  <c r="Q787" i="15"/>
  <c r="R787" i="15"/>
  <c r="S787" i="15"/>
  <c r="U787" i="15"/>
  <c r="W787" i="15"/>
  <c r="J860" i="15"/>
  <c r="K860" i="15"/>
  <c r="L860" i="15"/>
  <c r="M860" i="15"/>
  <c r="N860" i="15"/>
  <c r="O860" i="15"/>
  <c r="P860" i="15"/>
  <c r="Q860" i="15"/>
  <c r="R860" i="15"/>
  <c r="S860" i="15"/>
  <c r="U860" i="15"/>
  <c r="W860" i="15"/>
  <c r="J867" i="15"/>
  <c r="K867" i="15"/>
  <c r="L867" i="15"/>
  <c r="M867" i="15"/>
  <c r="N867" i="15"/>
  <c r="O867" i="15"/>
  <c r="P867" i="15"/>
  <c r="Q867" i="15"/>
  <c r="R867" i="15"/>
  <c r="S867" i="15"/>
  <c r="U867" i="15"/>
  <c r="W867" i="15"/>
  <c r="J868" i="15"/>
  <c r="K868" i="15"/>
  <c r="L868" i="15"/>
  <c r="M868" i="15"/>
  <c r="N868" i="15"/>
  <c r="O868" i="15"/>
  <c r="P868" i="15"/>
  <c r="Q868" i="15"/>
  <c r="R868" i="15"/>
  <c r="S868" i="15"/>
  <c r="U868" i="15"/>
  <c r="W868" i="15"/>
  <c r="J870" i="15"/>
  <c r="K870" i="15"/>
  <c r="L870" i="15"/>
  <c r="M870" i="15"/>
  <c r="N870" i="15"/>
  <c r="O870" i="15"/>
  <c r="P870" i="15"/>
  <c r="Q870" i="15"/>
  <c r="R870" i="15"/>
  <c r="S870" i="15"/>
  <c r="U870" i="15"/>
  <c r="W870" i="15"/>
  <c r="J872" i="15"/>
  <c r="K872" i="15"/>
  <c r="L872" i="15"/>
  <c r="M872" i="15"/>
  <c r="N872" i="15"/>
  <c r="O872" i="15"/>
  <c r="P872" i="15"/>
  <c r="Q872" i="15"/>
  <c r="R872" i="15"/>
  <c r="S872" i="15"/>
  <c r="U872" i="15"/>
  <c r="W872" i="15"/>
  <c r="J874" i="15"/>
  <c r="K874" i="15"/>
  <c r="L874" i="15"/>
  <c r="M874" i="15"/>
  <c r="N874" i="15"/>
  <c r="O874" i="15"/>
  <c r="P874" i="15"/>
  <c r="Q874" i="15"/>
  <c r="R874" i="15"/>
  <c r="S874" i="15"/>
  <c r="U874" i="15"/>
  <c r="W874" i="15"/>
  <c r="J925" i="15"/>
  <c r="K925" i="15"/>
  <c r="L925" i="15"/>
  <c r="M925" i="15"/>
  <c r="N925" i="15"/>
  <c r="O925" i="15"/>
  <c r="P925" i="15"/>
  <c r="Q925" i="15"/>
  <c r="R925" i="15"/>
  <c r="S925" i="15"/>
  <c r="U925" i="15"/>
  <c r="W925" i="15"/>
  <c r="J940" i="15"/>
  <c r="K940" i="15"/>
  <c r="L940" i="15"/>
  <c r="M940" i="15"/>
  <c r="N940" i="15"/>
  <c r="O940" i="15"/>
  <c r="P940" i="15"/>
  <c r="Q940" i="15"/>
  <c r="R940" i="15"/>
  <c r="S940" i="15"/>
  <c r="U940" i="15"/>
  <c r="W940" i="15"/>
  <c r="J941" i="15"/>
  <c r="K941" i="15"/>
  <c r="L941" i="15"/>
  <c r="M941" i="15"/>
  <c r="N941" i="15"/>
  <c r="O941" i="15"/>
  <c r="P941" i="15"/>
  <c r="Q941" i="15"/>
  <c r="R941" i="15"/>
  <c r="S941" i="15"/>
  <c r="U941" i="15"/>
  <c r="W941" i="15"/>
  <c r="J942" i="15"/>
  <c r="K942" i="15"/>
  <c r="L942" i="15"/>
  <c r="M942" i="15"/>
  <c r="N942" i="15"/>
  <c r="O942" i="15"/>
  <c r="P942" i="15"/>
  <c r="Q942" i="15"/>
  <c r="R942" i="15"/>
  <c r="S942" i="15"/>
  <c r="U942" i="15"/>
  <c r="W942" i="15"/>
  <c r="J943" i="15"/>
  <c r="K943" i="15"/>
  <c r="L943" i="15"/>
  <c r="M943" i="15"/>
  <c r="N943" i="15"/>
  <c r="O943" i="15"/>
  <c r="P943" i="15"/>
  <c r="Q943" i="15"/>
  <c r="R943" i="15"/>
  <c r="S943" i="15"/>
  <c r="U943" i="15"/>
  <c r="W943" i="15"/>
  <c r="J944" i="15"/>
  <c r="K944" i="15"/>
  <c r="L944" i="15"/>
  <c r="M944" i="15"/>
  <c r="N944" i="15"/>
  <c r="O944" i="15"/>
  <c r="P944" i="15"/>
  <c r="Q944" i="15"/>
  <c r="R944" i="15"/>
  <c r="S944" i="15"/>
  <c r="U944" i="15"/>
  <c r="W944" i="15"/>
  <c r="J945" i="15"/>
  <c r="K945" i="15"/>
  <c r="L945" i="15"/>
  <c r="M945" i="15"/>
  <c r="N945" i="15"/>
  <c r="O945" i="15"/>
  <c r="P945" i="15"/>
  <c r="Q945" i="15"/>
  <c r="R945" i="15"/>
  <c r="S945" i="15"/>
  <c r="U945" i="15"/>
  <c r="W945" i="15"/>
  <c r="J946" i="15"/>
  <c r="K946" i="15"/>
  <c r="L946" i="15"/>
  <c r="M946" i="15"/>
  <c r="N946" i="15"/>
  <c r="O946" i="15"/>
  <c r="P946" i="15"/>
  <c r="Q946" i="15"/>
  <c r="R946" i="15"/>
  <c r="S946" i="15"/>
  <c r="U946" i="15"/>
  <c r="W946" i="15"/>
  <c r="J948" i="15"/>
  <c r="K948" i="15"/>
  <c r="L948" i="15"/>
  <c r="M948" i="15"/>
  <c r="N948" i="15"/>
  <c r="O948" i="15"/>
  <c r="P948" i="15"/>
  <c r="Q948" i="15"/>
  <c r="R948" i="15"/>
  <c r="S948" i="15"/>
  <c r="U948" i="15"/>
  <c r="W948" i="15"/>
  <c r="J949" i="15"/>
  <c r="K949" i="15"/>
  <c r="L949" i="15"/>
  <c r="M949" i="15"/>
  <c r="N949" i="15"/>
  <c r="O949" i="15"/>
  <c r="P949" i="15"/>
  <c r="Q949" i="15"/>
  <c r="R949" i="15"/>
  <c r="S949" i="15"/>
  <c r="U949" i="15"/>
  <c r="W949" i="15"/>
  <c r="J950" i="15"/>
  <c r="K950" i="15"/>
  <c r="L950" i="15"/>
  <c r="M950" i="15"/>
  <c r="N950" i="15"/>
  <c r="O950" i="15"/>
  <c r="P950" i="15"/>
  <c r="Q950" i="15"/>
  <c r="R950" i="15"/>
  <c r="S950" i="15"/>
  <c r="U950" i="15"/>
  <c r="W950" i="15"/>
  <c r="J951" i="15"/>
  <c r="K951" i="15"/>
  <c r="L951" i="15"/>
  <c r="M951" i="15"/>
  <c r="N951" i="15"/>
  <c r="O951" i="15"/>
  <c r="P951" i="15"/>
  <c r="Q951" i="15"/>
  <c r="R951" i="15"/>
  <c r="S951" i="15"/>
  <c r="U951" i="15"/>
  <c r="W951" i="15"/>
  <c r="J952" i="15"/>
  <c r="K952" i="15"/>
  <c r="L952" i="15"/>
  <c r="M952" i="15"/>
  <c r="N952" i="15"/>
  <c r="O952" i="15"/>
  <c r="P952" i="15"/>
  <c r="Q952" i="15"/>
  <c r="R952" i="15"/>
  <c r="S952" i="15"/>
  <c r="U952" i="15"/>
  <c r="W952" i="15"/>
  <c r="J953" i="15"/>
  <c r="K953" i="15"/>
  <c r="L953" i="15"/>
  <c r="M953" i="15"/>
  <c r="N953" i="15"/>
  <c r="O953" i="15"/>
  <c r="P953" i="15"/>
  <c r="Q953" i="15"/>
  <c r="R953" i="15"/>
  <c r="S953" i="15"/>
  <c r="U953" i="15"/>
  <c r="W953" i="15"/>
  <c r="J955" i="15"/>
  <c r="K955" i="15"/>
  <c r="L955" i="15"/>
  <c r="M955" i="15"/>
  <c r="N955" i="15"/>
  <c r="O955" i="15"/>
  <c r="P955" i="15"/>
  <c r="Q955" i="15"/>
  <c r="R955" i="15"/>
  <c r="S955" i="15"/>
  <c r="U955" i="15"/>
  <c r="W955" i="15"/>
  <c r="J957" i="15"/>
  <c r="K957" i="15"/>
  <c r="L957" i="15"/>
  <c r="M957" i="15"/>
  <c r="N957" i="15"/>
  <c r="O957" i="15"/>
  <c r="P957" i="15"/>
  <c r="Q957" i="15"/>
  <c r="R957" i="15"/>
  <c r="S957" i="15"/>
  <c r="U957" i="15"/>
  <c r="W957" i="15"/>
  <c r="J995" i="15"/>
  <c r="K995" i="15"/>
  <c r="L995" i="15"/>
  <c r="M995" i="15"/>
  <c r="N995" i="15"/>
  <c r="O995" i="15"/>
  <c r="P995" i="15"/>
  <c r="Q995" i="15"/>
  <c r="R995" i="15"/>
  <c r="S995" i="15"/>
  <c r="U995" i="15"/>
  <c r="W995" i="15"/>
  <c r="J996" i="15"/>
  <c r="K996" i="15"/>
  <c r="L996" i="15"/>
  <c r="M996" i="15"/>
  <c r="N996" i="15"/>
  <c r="O996" i="15"/>
  <c r="P996" i="15"/>
  <c r="Q996" i="15"/>
  <c r="R996" i="15"/>
  <c r="S996" i="15"/>
  <c r="U996" i="15"/>
  <c r="W996" i="15"/>
  <c r="J997" i="15"/>
  <c r="K997" i="15"/>
  <c r="L997" i="15"/>
  <c r="M997" i="15"/>
  <c r="N997" i="15"/>
  <c r="O997" i="15"/>
  <c r="P997" i="15"/>
  <c r="Q997" i="15"/>
  <c r="R997" i="15"/>
  <c r="S997" i="15"/>
  <c r="U997" i="15"/>
  <c r="W997" i="15"/>
  <c r="J998" i="15"/>
  <c r="K998" i="15"/>
  <c r="L998" i="15"/>
  <c r="M998" i="15"/>
  <c r="N998" i="15"/>
  <c r="O998" i="15"/>
  <c r="P998" i="15"/>
  <c r="Q998" i="15"/>
  <c r="R998" i="15"/>
  <c r="S998" i="15"/>
  <c r="U998" i="15"/>
  <c r="W998" i="15"/>
  <c r="J1001" i="15"/>
  <c r="K1001" i="15"/>
  <c r="L1001" i="15"/>
  <c r="M1001" i="15"/>
  <c r="N1001" i="15"/>
  <c r="O1001" i="15"/>
  <c r="P1001" i="15"/>
  <c r="Q1001" i="15"/>
  <c r="R1001" i="15"/>
  <c r="S1001" i="15"/>
  <c r="U1001" i="15"/>
  <c r="W1001" i="15"/>
  <c r="J1002" i="15"/>
  <c r="K1002" i="15"/>
  <c r="L1002" i="15"/>
  <c r="M1002" i="15"/>
  <c r="N1002" i="15"/>
  <c r="O1002" i="15"/>
  <c r="P1002" i="15"/>
  <c r="Q1002" i="15"/>
  <c r="R1002" i="15"/>
  <c r="S1002" i="15"/>
  <c r="U1002" i="15"/>
  <c r="J1003" i="15"/>
  <c r="K1003" i="15"/>
  <c r="L1003" i="15"/>
  <c r="M1003" i="15"/>
  <c r="N1003" i="15"/>
  <c r="O1003" i="15"/>
  <c r="P1003" i="15"/>
  <c r="Q1003" i="15"/>
  <c r="R1003" i="15"/>
  <c r="S1003" i="15"/>
  <c r="U1003" i="15"/>
  <c r="J1004" i="15"/>
  <c r="K1004" i="15"/>
  <c r="L1004" i="15"/>
  <c r="M1004" i="15"/>
  <c r="N1004" i="15"/>
  <c r="O1004" i="15"/>
  <c r="P1004" i="15"/>
  <c r="Q1004" i="15"/>
  <c r="R1004" i="15"/>
  <c r="S1004" i="15"/>
  <c r="U1004" i="15"/>
  <c r="J1007" i="15"/>
  <c r="K1007" i="15"/>
  <c r="L1007" i="15"/>
  <c r="M1007" i="15"/>
  <c r="N1007" i="15"/>
  <c r="O1007" i="15"/>
  <c r="P1007" i="15"/>
  <c r="Q1007" i="15"/>
  <c r="R1007" i="15"/>
  <c r="S1007" i="15"/>
  <c r="U1007" i="15"/>
  <c r="W1007" i="15"/>
  <c r="J1008" i="15"/>
  <c r="K1008" i="15"/>
  <c r="L1008" i="15"/>
  <c r="M1008" i="15"/>
  <c r="N1008" i="15"/>
  <c r="O1008" i="15"/>
  <c r="P1008" i="15"/>
  <c r="Q1008" i="15"/>
  <c r="R1008" i="15"/>
  <c r="S1008" i="15"/>
  <c r="U1008" i="15"/>
  <c r="W1008" i="15"/>
  <c r="J1009" i="15"/>
  <c r="K1009" i="15"/>
  <c r="L1009" i="15"/>
  <c r="M1009" i="15"/>
  <c r="N1009" i="15"/>
  <c r="O1009" i="15"/>
  <c r="P1009" i="15"/>
  <c r="Q1009" i="15"/>
  <c r="R1009" i="15"/>
  <c r="S1009" i="15"/>
  <c r="U1009" i="15"/>
  <c r="W1009" i="15"/>
  <c r="J1010" i="15"/>
  <c r="K1010" i="15"/>
  <c r="L1010" i="15"/>
  <c r="M1010" i="15"/>
  <c r="N1010" i="15"/>
  <c r="O1010" i="15"/>
  <c r="P1010" i="15"/>
  <c r="Q1010" i="15"/>
  <c r="R1010" i="15"/>
  <c r="S1010" i="15"/>
  <c r="U1010" i="15"/>
  <c r="W1010" i="15"/>
  <c r="J1011" i="15"/>
  <c r="K1011" i="15"/>
  <c r="L1011" i="15"/>
  <c r="M1011" i="15"/>
  <c r="N1011" i="15"/>
  <c r="O1011" i="15"/>
  <c r="P1011" i="15"/>
  <c r="Q1011" i="15"/>
  <c r="R1011" i="15"/>
  <c r="S1011" i="15"/>
  <c r="U1011" i="15"/>
  <c r="W1011" i="15"/>
  <c r="J1012" i="15"/>
  <c r="K1012" i="15"/>
  <c r="L1012" i="15"/>
  <c r="M1012" i="15"/>
  <c r="N1012" i="15"/>
  <c r="O1012" i="15"/>
  <c r="P1012" i="15"/>
  <c r="Q1012" i="15"/>
  <c r="R1012" i="15"/>
  <c r="S1012" i="15"/>
  <c r="U1012" i="15"/>
  <c r="W1012" i="15"/>
  <c r="J1013" i="15"/>
  <c r="K1013" i="15"/>
  <c r="L1013" i="15"/>
  <c r="M1013" i="15"/>
  <c r="N1013" i="15"/>
  <c r="O1013" i="15"/>
  <c r="P1013" i="15"/>
  <c r="Q1013" i="15"/>
  <c r="R1013" i="15"/>
  <c r="S1013" i="15"/>
  <c r="U1013" i="15"/>
  <c r="W1013" i="15"/>
  <c r="J1016" i="15"/>
  <c r="K1016" i="15"/>
  <c r="L1016" i="15"/>
  <c r="M1016" i="15"/>
  <c r="N1016" i="15"/>
  <c r="O1016" i="15"/>
  <c r="P1016" i="15"/>
  <c r="Q1016" i="15"/>
  <c r="R1016" i="15"/>
  <c r="S1016" i="15"/>
  <c r="U1016" i="15"/>
  <c r="W1016" i="15"/>
  <c r="J1017" i="15"/>
  <c r="K1017" i="15"/>
  <c r="L1017" i="15"/>
  <c r="M1017" i="15"/>
  <c r="N1017" i="15"/>
  <c r="O1017" i="15"/>
  <c r="P1017" i="15"/>
  <c r="Q1017" i="15"/>
  <c r="R1017" i="15"/>
  <c r="S1017" i="15"/>
  <c r="U1017" i="15"/>
  <c r="W1017" i="15"/>
  <c r="J1019" i="15"/>
  <c r="K1019" i="15"/>
  <c r="L1019" i="15"/>
  <c r="M1019" i="15"/>
  <c r="N1019" i="15"/>
  <c r="O1019" i="15"/>
  <c r="P1019" i="15"/>
  <c r="Q1019" i="15"/>
  <c r="R1019" i="15"/>
  <c r="S1019" i="15"/>
  <c r="U1019" i="15"/>
  <c r="W1019" i="15"/>
  <c r="J1020" i="15"/>
  <c r="K1020" i="15"/>
  <c r="L1020" i="15"/>
  <c r="M1020" i="15"/>
  <c r="N1020" i="15"/>
  <c r="O1020" i="15"/>
  <c r="P1020" i="15"/>
  <c r="Q1020" i="15"/>
  <c r="R1020" i="15"/>
  <c r="S1020" i="15"/>
  <c r="U1020" i="15"/>
  <c r="W1020" i="15"/>
  <c r="J1021" i="15"/>
  <c r="K1021" i="15"/>
  <c r="L1021" i="15"/>
  <c r="M1021" i="15"/>
  <c r="N1021" i="15"/>
  <c r="O1021" i="15"/>
  <c r="P1021" i="15"/>
  <c r="Q1021" i="15"/>
  <c r="R1021" i="15"/>
  <c r="S1021" i="15"/>
  <c r="U1021" i="15"/>
  <c r="W1021" i="15"/>
  <c r="J1032" i="15"/>
  <c r="K1032" i="15"/>
  <c r="L1032" i="15"/>
  <c r="M1032" i="15"/>
  <c r="N1032" i="15"/>
  <c r="O1032" i="15"/>
  <c r="P1032" i="15"/>
  <c r="Q1032" i="15"/>
  <c r="R1032" i="15"/>
  <c r="S1032" i="15"/>
  <c r="U1032" i="15"/>
  <c r="W1032" i="15"/>
  <c r="J1049" i="15"/>
  <c r="K1049" i="15"/>
  <c r="L1049" i="15"/>
  <c r="M1049" i="15"/>
  <c r="N1049" i="15"/>
  <c r="O1049" i="15"/>
  <c r="P1049" i="15"/>
  <c r="Q1049" i="15"/>
  <c r="R1049" i="15"/>
  <c r="S1049" i="15"/>
  <c r="U1049" i="15"/>
  <c r="W1049" i="15"/>
  <c r="J1050" i="15"/>
  <c r="K1050" i="15"/>
  <c r="L1050" i="15"/>
  <c r="M1050" i="15"/>
  <c r="N1050" i="15"/>
  <c r="O1050" i="15"/>
  <c r="P1050" i="15"/>
  <c r="Q1050" i="15"/>
  <c r="R1050" i="15"/>
  <c r="S1050" i="15"/>
  <c r="U1050" i="15"/>
  <c r="W1050" i="15"/>
  <c r="J1051" i="15"/>
  <c r="K1051" i="15"/>
  <c r="L1051" i="15"/>
  <c r="M1051" i="15"/>
  <c r="N1051" i="15"/>
  <c r="O1051" i="15"/>
  <c r="P1051" i="15"/>
  <c r="Q1051" i="15"/>
  <c r="R1051" i="15"/>
  <c r="S1051" i="15"/>
  <c r="U1051" i="15"/>
  <c r="W1051" i="15"/>
  <c r="J1052" i="15"/>
  <c r="K1052" i="15"/>
  <c r="L1052" i="15"/>
  <c r="M1052" i="15"/>
  <c r="N1052" i="15"/>
  <c r="O1052" i="15"/>
  <c r="P1052" i="15"/>
  <c r="Q1052" i="15"/>
  <c r="R1052" i="15"/>
  <c r="S1052" i="15"/>
  <c r="U1052" i="15"/>
  <c r="W1052" i="15"/>
  <c r="J1053" i="15"/>
  <c r="K1053" i="15"/>
  <c r="L1053" i="15"/>
  <c r="M1053" i="15"/>
  <c r="N1053" i="15"/>
  <c r="O1053" i="15"/>
  <c r="P1053" i="15"/>
  <c r="Q1053" i="15"/>
  <c r="R1053" i="15"/>
  <c r="S1053" i="15"/>
  <c r="U1053" i="15"/>
  <c r="W1053" i="15"/>
  <c r="J1054" i="15"/>
  <c r="K1054" i="15"/>
  <c r="L1054" i="15"/>
  <c r="M1054" i="15"/>
  <c r="N1054" i="15"/>
  <c r="O1054" i="15"/>
  <c r="P1054" i="15"/>
  <c r="Q1054" i="15"/>
  <c r="R1054" i="15"/>
  <c r="S1054" i="15"/>
  <c r="U1054" i="15"/>
  <c r="W1054" i="15"/>
  <c r="J1055" i="15"/>
  <c r="K1055" i="15"/>
  <c r="L1055" i="15"/>
  <c r="M1055" i="15"/>
  <c r="N1055" i="15"/>
  <c r="O1055" i="15"/>
  <c r="P1055" i="15"/>
  <c r="Q1055" i="15"/>
  <c r="R1055" i="15"/>
  <c r="S1055" i="15"/>
  <c r="U1055" i="15"/>
  <c r="W1055" i="15"/>
  <c r="J1056" i="15"/>
  <c r="K1056" i="15"/>
  <c r="L1056" i="15"/>
  <c r="M1056" i="15"/>
  <c r="N1056" i="15"/>
  <c r="O1056" i="15"/>
  <c r="P1056" i="15"/>
  <c r="Q1056" i="15"/>
  <c r="R1056" i="15"/>
  <c r="S1056" i="15"/>
  <c r="U1056" i="15"/>
  <c r="W1056" i="15"/>
  <c r="J1057" i="15"/>
  <c r="K1057" i="15"/>
  <c r="L1057" i="15"/>
  <c r="M1057" i="15"/>
  <c r="N1057" i="15"/>
  <c r="O1057" i="15"/>
  <c r="P1057" i="15"/>
  <c r="Q1057" i="15"/>
  <c r="R1057" i="15"/>
  <c r="S1057" i="15"/>
  <c r="U1057" i="15"/>
  <c r="W1057" i="15"/>
  <c r="J1058" i="15"/>
  <c r="K1058" i="15"/>
  <c r="L1058" i="15"/>
  <c r="M1058" i="15"/>
  <c r="N1058" i="15"/>
  <c r="O1058" i="15"/>
  <c r="P1058" i="15"/>
  <c r="Q1058" i="15"/>
  <c r="R1058" i="15"/>
  <c r="S1058" i="15"/>
  <c r="U1058" i="15"/>
  <c r="W1058" i="15"/>
  <c r="J1059" i="15"/>
  <c r="K1059" i="15"/>
  <c r="L1059" i="15"/>
  <c r="M1059" i="15"/>
  <c r="N1059" i="15"/>
  <c r="O1059" i="15"/>
  <c r="P1059" i="15"/>
  <c r="Q1059" i="15"/>
  <c r="R1059" i="15"/>
  <c r="S1059" i="15"/>
  <c r="U1059" i="15"/>
  <c r="W1059" i="15"/>
  <c r="J1060" i="15"/>
  <c r="K1060" i="15"/>
  <c r="L1060" i="15"/>
  <c r="M1060" i="15"/>
  <c r="N1060" i="15"/>
  <c r="O1060" i="15"/>
  <c r="P1060" i="15"/>
  <c r="Q1060" i="15"/>
  <c r="R1060" i="15"/>
  <c r="S1060" i="15"/>
  <c r="U1060" i="15"/>
  <c r="W1060" i="15"/>
  <c r="J1061" i="15"/>
  <c r="K1061" i="15"/>
  <c r="L1061" i="15"/>
  <c r="M1061" i="15"/>
  <c r="N1061" i="15"/>
  <c r="O1061" i="15"/>
  <c r="P1061" i="15"/>
  <c r="Q1061" i="15"/>
  <c r="R1061" i="15"/>
  <c r="S1061" i="15"/>
  <c r="U1061" i="15"/>
  <c r="W1061" i="15"/>
  <c r="J1062" i="15"/>
  <c r="K1062" i="15"/>
  <c r="L1062" i="15"/>
  <c r="M1062" i="15"/>
  <c r="N1062" i="15"/>
  <c r="O1062" i="15"/>
  <c r="P1062" i="15"/>
  <c r="Q1062" i="15"/>
  <c r="R1062" i="15"/>
  <c r="S1062" i="15"/>
  <c r="U1062" i="15"/>
  <c r="W1062" i="15"/>
  <c r="J1063" i="15"/>
  <c r="K1063" i="15"/>
  <c r="L1063" i="15"/>
  <c r="M1063" i="15"/>
  <c r="N1063" i="15"/>
  <c r="O1063" i="15"/>
  <c r="P1063" i="15"/>
  <c r="Q1063" i="15"/>
  <c r="R1063" i="15"/>
  <c r="S1063" i="15"/>
  <c r="U1063" i="15"/>
  <c r="W1063" i="15"/>
  <c r="J1065" i="15"/>
  <c r="K1065" i="15"/>
  <c r="L1065" i="15"/>
  <c r="M1065" i="15"/>
  <c r="N1065" i="15"/>
  <c r="O1065" i="15"/>
  <c r="P1065" i="15"/>
  <c r="Q1065" i="15"/>
  <c r="R1065" i="15"/>
  <c r="S1065" i="15"/>
  <c r="U1065" i="15"/>
  <c r="W1065" i="15"/>
  <c r="J1068" i="15"/>
  <c r="K1068" i="15"/>
  <c r="L1068" i="15"/>
  <c r="M1068" i="15"/>
  <c r="N1068" i="15"/>
  <c r="O1068" i="15"/>
  <c r="P1068" i="15"/>
  <c r="Q1068" i="15"/>
  <c r="R1068" i="15"/>
  <c r="S1068" i="15"/>
  <c r="U1068" i="15"/>
  <c r="W1068" i="15"/>
  <c r="J1070" i="15"/>
  <c r="K1070" i="15"/>
  <c r="L1070" i="15"/>
  <c r="M1070" i="15"/>
  <c r="N1070" i="15"/>
  <c r="O1070" i="15"/>
  <c r="P1070" i="15"/>
  <c r="Q1070" i="15"/>
  <c r="R1070" i="15"/>
  <c r="S1070" i="15"/>
  <c r="U1070" i="15"/>
  <c r="W1070" i="15"/>
  <c r="J1088" i="15"/>
  <c r="K1088" i="15"/>
  <c r="L1088" i="15"/>
  <c r="M1088" i="15"/>
  <c r="N1088" i="15"/>
  <c r="O1088" i="15"/>
  <c r="P1088" i="15"/>
  <c r="Q1088" i="15"/>
  <c r="R1088" i="15"/>
  <c r="S1088" i="15"/>
  <c r="U1088" i="15"/>
  <c r="W1088" i="15"/>
  <c r="J1089" i="15"/>
  <c r="K1089" i="15"/>
  <c r="L1089" i="15"/>
  <c r="M1089" i="15"/>
  <c r="N1089" i="15"/>
  <c r="O1089" i="15"/>
  <c r="P1089" i="15"/>
  <c r="Q1089" i="15"/>
  <c r="R1089" i="15"/>
  <c r="S1089" i="15"/>
  <c r="U1089" i="15"/>
  <c r="W1089" i="15"/>
  <c r="J1090" i="15"/>
  <c r="K1090" i="15"/>
  <c r="L1090" i="15"/>
  <c r="M1090" i="15"/>
  <c r="N1090" i="15"/>
  <c r="O1090" i="15"/>
  <c r="P1090" i="15"/>
  <c r="Q1090" i="15"/>
  <c r="R1090" i="15"/>
  <c r="S1090" i="15"/>
  <c r="U1090" i="15"/>
  <c r="W1090" i="15"/>
  <c r="J1091" i="15"/>
  <c r="K1091" i="15"/>
  <c r="L1091" i="15"/>
  <c r="M1091" i="15"/>
  <c r="N1091" i="15"/>
  <c r="O1091" i="15"/>
  <c r="P1091" i="15"/>
  <c r="Q1091" i="15"/>
  <c r="R1091" i="15"/>
  <c r="S1091" i="15"/>
  <c r="U1091" i="15"/>
  <c r="W1091" i="15"/>
  <c r="J1094" i="15"/>
  <c r="K1094" i="15"/>
  <c r="L1094" i="15"/>
  <c r="M1094" i="15"/>
  <c r="N1094" i="15"/>
  <c r="O1094" i="15"/>
  <c r="P1094" i="15"/>
  <c r="Q1094" i="15"/>
  <c r="R1094" i="15"/>
  <c r="S1094" i="15"/>
  <c r="U1094" i="15"/>
  <c r="W1094" i="15"/>
  <c r="J1095" i="15"/>
  <c r="K1095" i="15"/>
  <c r="L1095" i="15"/>
  <c r="M1095" i="15"/>
  <c r="N1095" i="15"/>
  <c r="O1095" i="15"/>
  <c r="P1095" i="15"/>
  <c r="Q1095" i="15"/>
  <c r="R1095" i="15"/>
  <c r="S1095" i="15"/>
  <c r="U1095" i="15"/>
  <c r="W1095" i="15"/>
  <c r="J1098" i="15"/>
  <c r="K1098" i="15"/>
  <c r="L1098" i="15"/>
  <c r="M1098" i="15"/>
  <c r="N1098" i="15"/>
  <c r="O1098" i="15"/>
  <c r="P1098" i="15"/>
  <c r="Q1098" i="15"/>
  <c r="R1098" i="15"/>
  <c r="S1098" i="15"/>
  <c r="U1098" i="15"/>
  <c r="W1098" i="15"/>
  <c r="J1101" i="15"/>
  <c r="K1101" i="15"/>
  <c r="L1101" i="15"/>
  <c r="M1101" i="15"/>
  <c r="N1101" i="15"/>
  <c r="O1101" i="15"/>
  <c r="P1101" i="15"/>
  <c r="Q1101" i="15"/>
  <c r="R1101" i="15"/>
  <c r="S1101" i="15"/>
  <c r="U1101" i="15"/>
  <c r="W1101" i="15"/>
  <c r="J1103" i="15"/>
  <c r="K1103" i="15"/>
  <c r="L1103" i="15"/>
  <c r="M1103" i="15"/>
  <c r="N1103" i="15"/>
  <c r="O1103" i="15"/>
  <c r="P1103" i="15"/>
  <c r="Q1103" i="15"/>
  <c r="R1103" i="15"/>
  <c r="S1103" i="15"/>
  <c r="U1103" i="15"/>
  <c r="W1103" i="15"/>
  <c r="J1118" i="15"/>
  <c r="K1118" i="15"/>
  <c r="L1118" i="15"/>
  <c r="M1118" i="15"/>
  <c r="N1118" i="15"/>
  <c r="O1118" i="15"/>
  <c r="P1118" i="15"/>
  <c r="Q1118" i="15"/>
  <c r="R1118" i="15"/>
  <c r="S1118" i="15"/>
  <c r="U1118" i="15"/>
  <c r="W1118" i="15"/>
  <c r="J1121" i="15"/>
  <c r="K1121" i="15"/>
  <c r="L1121" i="15"/>
  <c r="M1121" i="15"/>
  <c r="N1121" i="15"/>
  <c r="O1121" i="15"/>
  <c r="P1121" i="15"/>
  <c r="Q1121" i="15"/>
  <c r="R1121" i="15"/>
  <c r="S1121" i="15"/>
  <c r="U1121" i="15"/>
  <c r="W1121" i="15"/>
  <c r="J1122" i="15"/>
  <c r="K1122" i="15"/>
  <c r="L1122" i="15"/>
  <c r="M1122" i="15"/>
  <c r="N1122" i="15"/>
  <c r="O1122" i="15"/>
  <c r="P1122" i="15"/>
  <c r="Q1122" i="15"/>
  <c r="R1122" i="15"/>
  <c r="S1122" i="15"/>
  <c r="U1122" i="15"/>
  <c r="W1122" i="15"/>
  <c r="J1123" i="15"/>
  <c r="K1123" i="15"/>
  <c r="L1123" i="15"/>
  <c r="M1123" i="15"/>
  <c r="N1123" i="15"/>
  <c r="O1123" i="15"/>
  <c r="P1123" i="15"/>
  <c r="Q1123" i="15"/>
  <c r="R1123" i="15"/>
  <c r="S1123" i="15"/>
  <c r="U1123" i="15"/>
  <c r="W1123" i="15"/>
  <c r="J1124" i="15"/>
  <c r="K1124" i="15"/>
  <c r="L1124" i="15"/>
  <c r="M1124" i="15"/>
  <c r="N1124" i="15"/>
  <c r="O1124" i="15"/>
  <c r="P1124" i="15"/>
  <c r="Q1124" i="15"/>
  <c r="R1124" i="15"/>
  <c r="S1124" i="15"/>
  <c r="U1124" i="15"/>
  <c r="W1124" i="15"/>
  <c r="J1125" i="15"/>
  <c r="K1125" i="15"/>
  <c r="L1125" i="15"/>
  <c r="M1125" i="15"/>
  <c r="N1125" i="15"/>
  <c r="O1125" i="15"/>
  <c r="P1125" i="15"/>
  <c r="Q1125" i="15"/>
  <c r="R1125" i="15"/>
  <c r="S1125" i="15"/>
  <c r="U1125" i="15"/>
  <c r="W1125" i="15"/>
  <c r="J1126" i="15"/>
  <c r="K1126" i="15"/>
  <c r="L1126" i="15"/>
  <c r="M1126" i="15"/>
  <c r="N1126" i="15"/>
  <c r="O1126" i="15"/>
  <c r="P1126" i="15"/>
  <c r="Q1126" i="15"/>
  <c r="R1126" i="15"/>
  <c r="S1126" i="15"/>
  <c r="U1126" i="15"/>
  <c r="W1126" i="15"/>
  <c r="J1130" i="15"/>
  <c r="K1130" i="15"/>
  <c r="L1130" i="15"/>
  <c r="M1130" i="15"/>
  <c r="N1130" i="15"/>
  <c r="O1130" i="15"/>
  <c r="P1130" i="15"/>
  <c r="Q1130" i="15"/>
  <c r="R1130" i="15"/>
  <c r="S1130" i="15"/>
  <c r="U1130" i="15"/>
  <c r="W1130" i="15"/>
  <c r="J1133" i="15"/>
  <c r="K1133" i="15"/>
  <c r="L1133" i="15"/>
  <c r="M1133" i="15"/>
  <c r="N1133" i="15"/>
  <c r="O1133" i="15"/>
  <c r="P1133" i="15"/>
  <c r="Q1133" i="15"/>
  <c r="R1133" i="15"/>
  <c r="S1133" i="15"/>
  <c r="U1133" i="15"/>
  <c r="W1133" i="15"/>
  <c r="J1134" i="15"/>
  <c r="K1134" i="15"/>
  <c r="L1134" i="15"/>
  <c r="M1134" i="15"/>
  <c r="N1134" i="15"/>
  <c r="O1134" i="15"/>
  <c r="P1134" i="15"/>
  <c r="Q1134" i="15"/>
  <c r="R1134" i="15"/>
  <c r="S1134" i="15"/>
  <c r="U1134" i="15"/>
  <c r="W1134" i="15"/>
  <c r="J1135" i="15"/>
  <c r="K1135" i="15"/>
  <c r="L1135" i="15"/>
  <c r="M1135" i="15"/>
  <c r="N1135" i="15"/>
  <c r="O1135" i="15"/>
  <c r="P1135" i="15"/>
  <c r="Q1135" i="15"/>
  <c r="R1135" i="15"/>
  <c r="S1135" i="15"/>
  <c r="U1135" i="15"/>
  <c r="W1135" i="15"/>
  <c r="J1136" i="15"/>
  <c r="K1136" i="15"/>
  <c r="L1136" i="15"/>
  <c r="M1136" i="15"/>
  <c r="N1136" i="15"/>
  <c r="O1136" i="15"/>
  <c r="P1136" i="15"/>
  <c r="Q1136" i="15"/>
  <c r="R1136" i="15"/>
  <c r="S1136" i="15"/>
  <c r="U1136" i="15"/>
  <c r="W1136" i="15"/>
  <c r="J1137" i="15"/>
  <c r="K1137" i="15"/>
  <c r="L1137" i="15"/>
  <c r="M1137" i="15"/>
  <c r="N1137" i="15"/>
  <c r="O1137" i="15"/>
  <c r="P1137" i="15"/>
  <c r="Q1137" i="15"/>
  <c r="R1137" i="15"/>
  <c r="S1137" i="15"/>
  <c r="U1137" i="15"/>
  <c r="W1137" i="15"/>
  <c r="J1138" i="15"/>
  <c r="K1138" i="15"/>
  <c r="L1138" i="15"/>
  <c r="M1138" i="15"/>
  <c r="N1138" i="15"/>
  <c r="O1138" i="15"/>
  <c r="P1138" i="15"/>
  <c r="Q1138" i="15"/>
  <c r="R1138" i="15"/>
  <c r="S1138" i="15"/>
  <c r="U1138" i="15"/>
  <c r="W1138" i="15"/>
  <c r="J1139" i="15"/>
  <c r="K1139" i="15"/>
  <c r="L1139" i="15"/>
  <c r="M1139" i="15"/>
  <c r="N1139" i="15"/>
  <c r="O1139" i="15"/>
  <c r="P1139" i="15"/>
  <c r="Q1139" i="15"/>
  <c r="R1139" i="15"/>
  <c r="S1139" i="15"/>
  <c r="U1139" i="15"/>
  <c r="W1139" i="15"/>
  <c r="J1140" i="15"/>
  <c r="K1140" i="15"/>
  <c r="L1140" i="15"/>
  <c r="M1140" i="15"/>
  <c r="N1140" i="15"/>
  <c r="O1140" i="15"/>
  <c r="P1140" i="15"/>
  <c r="Q1140" i="15"/>
  <c r="R1140" i="15"/>
  <c r="S1140" i="15"/>
  <c r="U1140" i="15"/>
  <c r="J1142" i="15"/>
  <c r="K1142" i="15"/>
  <c r="L1142" i="15"/>
  <c r="M1142" i="15"/>
  <c r="N1142" i="15"/>
  <c r="O1142" i="15"/>
  <c r="P1142" i="15"/>
  <c r="Q1142" i="15"/>
  <c r="R1142" i="15"/>
  <c r="S1142" i="15"/>
  <c r="U1142" i="15"/>
  <c r="W1142" i="15"/>
  <c r="U1143" i="15"/>
  <c r="W1143" i="15"/>
  <c r="J1145" i="15"/>
  <c r="K1145" i="15"/>
  <c r="L1145" i="15"/>
  <c r="M1145" i="15"/>
  <c r="N1145" i="15"/>
  <c r="O1145" i="15"/>
  <c r="P1145" i="15"/>
  <c r="Q1145" i="15"/>
  <c r="R1145" i="15"/>
  <c r="S1145" i="15"/>
  <c r="U1145" i="15"/>
  <c r="W1145" i="15"/>
  <c r="J1148" i="15"/>
  <c r="K1148" i="15"/>
  <c r="L1148" i="15"/>
  <c r="M1148" i="15"/>
  <c r="N1148" i="15"/>
  <c r="O1148" i="15"/>
  <c r="P1148" i="15"/>
  <c r="Q1148" i="15"/>
  <c r="R1148" i="15"/>
  <c r="S1148" i="15"/>
  <c r="U1148" i="15"/>
  <c r="W1148" i="15"/>
  <c r="J1149" i="15"/>
  <c r="K1149" i="15"/>
  <c r="L1149" i="15"/>
  <c r="M1149" i="15"/>
  <c r="N1149" i="15"/>
  <c r="O1149" i="15"/>
  <c r="P1149" i="15"/>
  <c r="Q1149" i="15"/>
  <c r="R1149" i="15"/>
  <c r="S1149" i="15"/>
  <c r="U1149" i="15"/>
  <c r="W1149" i="15"/>
  <c r="J1150" i="15"/>
  <c r="K1150" i="15"/>
  <c r="L1150" i="15"/>
  <c r="M1150" i="15"/>
  <c r="N1150" i="15"/>
  <c r="O1150" i="15"/>
  <c r="P1150" i="15"/>
  <c r="Q1150" i="15"/>
  <c r="R1150" i="15"/>
  <c r="S1150" i="15"/>
  <c r="U1150" i="15"/>
  <c r="W1150" i="15"/>
  <c r="J1151" i="15"/>
  <c r="K1151" i="15"/>
  <c r="L1151" i="15"/>
  <c r="M1151" i="15"/>
  <c r="N1151" i="15"/>
  <c r="O1151" i="15"/>
  <c r="P1151" i="15"/>
  <c r="Q1151" i="15"/>
  <c r="R1151" i="15"/>
  <c r="S1151" i="15"/>
  <c r="U1151" i="15"/>
  <c r="W1151" i="15"/>
  <c r="J1152" i="15"/>
  <c r="K1152" i="15"/>
  <c r="L1152" i="15"/>
  <c r="M1152" i="15"/>
  <c r="N1152" i="15"/>
  <c r="O1152" i="15"/>
  <c r="P1152" i="15"/>
  <c r="Q1152" i="15"/>
  <c r="R1152" i="15"/>
  <c r="S1152" i="15"/>
  <c r="U1152" i="15"/>
  <c r="W1152" i="15"/>
  <c r="J1153" i="15"/>
  <c r="K1153" i="15"/>
  <c r="L1153" i="15"/>
  <c r="M1153" i="15"/>
  <c r="N1153" i="15"/>
  <c r="O1153" i="15"/>
  <c r="P1153" i="15"/>
  <c r="Q1153" i="15"/>
  <c r="R1153" i="15"/>
  <c r="S1153" i="15"/>
  <c r="U1153" i="15"/>
  <c r="W1153" i="15"/>
  <c r="J1156" i="15"/>
  <c r="K1156" i="15"/>
  <c r="L1156" i="15"/>
  <c r="M1156" i="15"/>
  <c r="N1156" i="15"/>
  <c r="O1156" i="15"/>
  <c r="P1156" i="15"/>
  <c r="Q1156" i="15"/>
  <c r="R1156" i="15"/>
  <c r="S1156" i="15"/>
  <c r="U1156" i="15"/>
  <c r="W1156" i="15"/>
  <c r="J1157" i="15"/>
  <c r="K1157" i="15"/>
  <c r="L1157" i="15"/>
  <c r="M1157" i="15"/>
  <c r="N1157" i="15"/>
  <c r="O1157" i="15"/>
  <c r="P1157" i="15"/>
  <c r="Q1157" i="15"/>
  <c r="R1157" i="15"/>
  <c r="S1157" i="15"/>
  <c r="U1157" i="15"/>
  <c r="W1157" i="15"/>
  <c r="J1158" i="15"/>
  <c r="K1158" i="15"/>
  <c r="L1158" i="15"/>
  <c r="M1158" i="15"/>
  <c r="N1158" i="15"/>
  <c r="O1158" i="15"/>
  <c r="P1158" i="15"/>
  <c r="Q1158" i="15"/>
  <c r="R1158" i="15"/>
  <c r="S1158" i="15"/>
  <c r="U1158" i="15"/>
  <c r="W1158" i="15"/>
  <c r="J1160" i="15"/>
  <c r="K1160" i="15"/>
  <c r="L1160" i="15"/>
  <c r="M1160" i="15"/>
  <c r="N1160" i="15"/>
  <c r="O1160" i="15"/>
  <c r="P1160" i="15"/>
  <c r="Q1160" i="15"/>
  <c r="R1160" i="15"/>
  <c r="S1160" i="15"/>
  <c r="U1160" i="15"/>
  <c r="W1160" i="15"/>
  <c r="J1162" i="15"/>
  <c r="K1162" i="15"/>
  <c r="L1162" i="15"/>
  <c r="M1162" i="15"/>
  <c r="N1162" i="15"/>
  <c r="O1162" i="15"/>
  <c r="P1162" i="15"/>
  <c r="Q1162" i="15"/>
  <c r="R1162" i="15"/>
  <c r="S1162" i="15"/>
  <c r="U1162" i="15"/>
  <c r="W1162" i="15"/>
  <c r="J1182" i="15"/>
  <c r="K1182" i="15"/>
  <c r="L1182" i="15"/>
  <c r="M1182" i="15"/>
  <c r="N1182" i="15"/>
  <c r="O1182" i="15"/>
  <c r="P1182" i="15"/>
  <c r="Q1182" i="15"/>
  <c r="R1182" i="15"/>
  <c r="S1182" i="15"/>
  <c r="U1182" i="15"/>
  <c r="W1182" i="15"/>
  <c r="J1184" i="15"/>
  <c r="K1184" i="15"/>
  <c r="L1184" i="15"/>
  <c r="M1184" i="15"/>
  <c r="N1184" i="15"/>
  <c r="O1184" i="15"/>
  <c r="P1184" i="15"/>
  <c r="Q1184" i="15"/>
  <c r="R1184" i="15"/>
  <c r="S1184" i="15"/>
  <c r="U1184" i="15"/>
  <c r="W1184" i="15"/>
  <c r="J1186" i="15"/>
  <c r="K1186" i="15"/>
  <c r="L1186" i="15"/>
  <c r="M1186" i="15"/>
  <c r="N1186" i="15"/>
  <c r="O1186" i="15"/>
  <c r="P1186" i="15"/>
  <c r="Q1186" i="15"/>
  <c r="R1186" i="15"/>
  <c r="S1186" i="15"/>
  <c r="U1186" i="15"/>
  <c r="W1186" i="15"/>
  <c r="J1188" i="15"/>
  <c r="K1188" i="15"/>
  <c r="L1188" i="15"/>
  <c r="M1188" i="15"/>
  <c r="N1188" i="15"/>
  <c r="O1188" i="15"/>
  <c r="P1188" i="15"/>
  <c r="Q1188" i="15"/>
  <c r="R1188" i="15"/>
  <c r="S1188" i="15"/>
  <c r="U1188" i="15"/>
  <c r="W1188" i="15"/>
  <c r="J1206" i="15"/>
  <c r="K1206" i="15"/>
  <c r="L1206" i="15"/>
  <c r="M1206" i="15"/>
  <c r="N1206" i="15"/>
  <c r="O1206" i="15"/>
  <c r="P1206" i="15"/>
  <c r="Q1206" i="15"/>
  <c r="U1206" i="15"/>
  <c r="W1206" i="15"/>
  <c r="J1209" i="15"/>
  <c r="K1209" i="15"/>
  <c r="L1209" i="15"/>
  <c r="M1209" i="15"/>
  <c r="N1209" i="15"/>
  <c r="O1209" i="15"/>
  <c r="P1209" i="15"/>
  <c r="Q1209" i="15"/>
  <c r="R1209" i="15"/>
  <c r="S1209" i="15"/>
  <c r="U1209" i="15"/>
  <c r="W1209" i="15"/>
  <c r="J1214" i="15"/>
  <c r="K1214" i="15"/>
  <c r="L1214" i="15"/>
  <c r="M1214" i="15"/>
  <c r="N1214" i="15"/>
  <c r="O1214" i="15"/>
  <c r="P1214" i="15"/>
  <c r="Q1214" i="15"/>
  <c r="R1214" i="15"/>
  <c r="S1214" i="15"/>
  <c r="U1214" i="15"/>
  <c r="W1214" i="15"/>
  <c r="J1217" i="15"/>
  <c r="K1217" i="15"/>
  <c r="L1217" i="15"/>
  <c r="M1217" i="15"/>
  <c r="N1217" i="15"/>
  <c r="O1217" i="15"/>
  <c r="P1217" i="15"/>
  <c r="Q1217" i="15"/>
  <c r="R1217" i="15"/>
  <c r="S1217" i="15"/>
  <c r="U1217" i="15"/>
  <c r="W1217" i="15"/>
  <c r="J1220" i="15"/>
  <c r="K1220" i="15"/>
  <c r="L1220" i="15"/>
  <c r="M1220" i="15"/>
  <c r="N1220" i="15"/>
  <c r="O1220" i="15"/>
  <c r="P1220" i="15"/>
  <c r="Q1220" i="15"/>
  <c r="R1220" i="15"/>
  <c r="S1220" i="15"/>
  <c r="U1220" i="15"/>
  <c r="W1220" i="15"/>
  <c r="J1222" i="15"/>
  <c r="K1222" i="15"/>
  <c r="L1222" i="15"/>
  <c r="M1222" i="15"/>
  <c r="N1222" i="15"/>
  <c r="O1222" i="15"/>
  <c r="P1222" i="15"/>
  <c r="Q1222" i="15"/>
  <c r="R1222" i="15"/>
  <c r="S1222" i="15"/>
  <c r="U1222" i="15"/>
  <c r="W1222" i="15"/>
  <c r="J1224" i="15"/>
  <c r="K1224" i="15"/>
  <c r="L1224" i="15"/>
  <c r="M1224" i="15"/>
  <c r="N1224" i="15"/>
  <c r="O1224" i="15"/>
  <c r="P1224" i="15"/>
  <c r="Q1224" i="15"/>
  <c r="R1224" i="15"/>
  <c r="S1224" i="15"/>
  <c r="U1224" i="15"/>
  <c r="W1224" i="15"/>
  <c r="J1226" i="15"/>
  <c r="K1226" i="15"/>
  <c r="L1226" i="15"/>
  <c r="M1226" i="15"/>
  <c r="N1226" i="15"/>
  <c r="O1226" i="15"/>
  <c r="P1226" i="15"/>
  <c r="Q1226" i="15"/>
  <c r="R1226" i="15"/>
  <c r="S1226" i="15"/>
  <c r="U1226" i="15"/>
  <c r="W1226" i="15"/>
  <c r="J1228" i="15"/>
  <c r="K1228" i="15"/>
  <c r="L1228" i="15"/>
  <c r="M1228" i="15"/>
  <c r="N1228" i="15"/>
  <c r="O1228" i="15"/>
  <c r="P1228" i="15"/>
  <c r="Q1228" i="15"/>
  <c r="R1228" i="15"/>
  <c r="S1228" i="15"/>
  <c r="U1228" i="15"/>
  <c r="W1228" i="15"/>
  <c r="J1230" i="15"/>
  <c r="K1230" i="15"/>
  <c r="L1230" i="15"/>
  <c r="M1230" i="15"/>
  <c r="N1230" i="15"/>
  <c r="O1230" i="15"/>
  <c r="P1230" i="15"/>
  <c r="Q1230" i="15"/>
  <c r="R1230" i="15"/>
  <c r="S1230" i="15"/>
  <c r="U1230" i="15"/>
  <c r="W1230" i="15"/>
  <c r="J1283" i="15"/>
  <c r="K1283" i="15"/>
  <c r="L1283" i="15"/>
  <c r="M1283" i="15"/>
  <c r="N1283" i="15"/>
  <c r="O1283" i="15"/>
  <c r="P1283" i="15"/>
  <c r="Q1283" i="15"/>
  <c r="R1283" i="15"/>
  <c r="S1283" i="15"/>
  <c r="U1283" i="15"/>
  <c r="J1284" i="15"/>
  <c r="K1284" i="15"/>
  <c r="L1284" i="15"/>
  <c r="M1284" i="15"/>
  <c r="N1284" i="15"/>
  <c r="O1284" i="15"/>
  <c r="P1284" i="15"/>
  <c r="Q1284" i="15"/>
  <c r="R1284" i="15"/>
  <c r="S1284" i="15"/>
  <c r="U1284" i="15"/>
  <c r="J1287" i="15"/>
  <c r="K1287" i="15"/>
  <c r="L1287" i="15"/>
  <c r="M1287" i="15"/>
  <c r="N1287" i="15"/>
  <c r="O1287" i="15"/>
  <c r="P1287" i="15"/>
  <c r="Q1287" i="15"/>
  <c r="R1287" i="15"/>
  <c r="S1287" i="15"/>
  <c r="U1287" i="15"/>
  <c r="J1290" i="15"/>
  <c r="K1290" i="15"/>
  <c r="L1290" i="15"/>
  <c r="M1290" i="15"/>
  <c r="N1290" i="15"/>
  <c r="O1290" i="15"/>
  <c r="P1290" i="15"/>
  <c r="Q1290" i="15"/>
  <c r="R1290" i="15"/>
  <c r="S1290" i="15"/>
  <c r="U1290" i="15"/>
  <c r="J1301" i="15"/>
  <c r="K1301" i="15"/>
  <c r="L1301" i="15"/>
  <c r="M1301" i="15"/>
  <c r="N1301" i="15"/>
  <c r="O1301" i="15"/>
  <c r="P1301" i="15"/>
  <c r="Q1301" i="15"/>
  <c r="R1301" i="15"/>
  <c r="S1301" i="15"/>
  <c r="U1301" i="15"/>
  <c r="J1303" i="15"/>
  <c r="K1303" i="15"/>
  <c r="L1303" i="15"/>
  <c r="M1303" i="15"/>
  <c r="N1303" i="15"/>
  <c r="O1303" i="15"/>
  <c r="P1303" i="15"/>
  <c r="Q1303" i="15"/>
  <c r="R1303" i="15"/>
  <c r="S1303" i="15"/>
  <c r="U1303" i="15"/>
  <c r="J1304" i="15"/>
  <c r="K1304" i="15"/>
  <c r="L1304" i="15"/>
  <c r="M1304" i="15"/>
  <c r="N1304" i="15"/>
  <c r="O1304" i="15"/>
  <c r="P1304" i="15"/>
  <c r="Q1304" i="15"/>
  <c r="U1304" i="15"/>
  <c r="J1305" i="15"/>
  <c r="K1305" i="15"/>
  <c r="L1305" i="15"/>
  <c r="M1305" i="15"/>
  <c r="N1305" i="15"/>
  <c r="O1305" i="15"/>
  <c r="P1305" i="15"/>
  <c r="Q1305" i="15"/>
  <c r="R1305" i="15"/>
  <c r="S1305" i="15"/>
  <c r="U1305" i="15"/>
  <c r="J1306" i="15"/>
  <c r="K1306" i="15"/>
  <c r="L1306" i="15"/>
  <c r="M1306" i="15"/>
  <c r="N1306" i="15"/>
  <c r="O1306" i="15"/>
  <c r="P1306" i="15"/>
  <c r="Q1306" i="15"/>
  <c r="R1306" i="15"/>
  <c r="S1306" i="15"/>
  <c r="U1306" i="15"/>
  <c r="J1307" i="15"/>
  <c r="K1307" i="15"/>
  <c r="L1307" i="15"/>
  <c r="M1307" i="15"/>
  <c r="N1307" i="15"/>
  <c r="O1307" i="15"/>
  <c r="P1307" i="15"/>
  <c r="Q1307" i="15"/>
  <c r="R1307" i="15"/>
  <c r="S1307" i="15"/>
  <c r="U1307" i="15"/>
  <c r="J1308" i="15"/>
  <c r="K1308" i="15"/>
  <c r="L1308" i="15"/>
  <c r="M1308" i="15"/>
  <c r="N1308" i="15"/>
  <c r="O1308" i="15"/>
  <c r="P1308" i="15"/>
  <c r="Q1308" i="15"/>
  <c r="R1308" i="15"/>
  <c r="S1308" i="15"/>
  <c r="U1308" i="15"/>
  <c r="J1309" i="15"/>
  <c r="K1309" i="15"/>
  <c r="L1309" i="15"/>
  <c r="M1309" i="15"/>
  <c r="N1309" i="15"/>
  <c r="O1309" i="15"/>
  <c r="P1309" i="15"/>
  <c r="Q1309" i="15"/>
  <c r="R1309" i="15"/>
  <c r="S1309" i="15"/>
  <c r="U1309" i="15"/>
  <c r="J1310" i="15"/>
  <c r="K1310" i="15"/>
  <c r="L1310" i="15"/>
  <c r="M1310" i="15"/>
  <c r="N1310" i="15"/>
  <c r="O1310" i="15"/>
  <c r="P1310" i="15"/>
  <c r="Q1310" i="15"/>
  <c r="R1310" i="15"/>
  <c r="S1310" i="15"/>
  <c r="U1310" i="15"/>
  <c r="J1311" i="15"/>
  <c r="K1311" i="15"/>
  <c r="L1311" i="15"/>
  <c r="M1311" i="15"/>
  <c r="N1311" i="15"/>
  <c r="O1311" i="15"/>
  <c r="P1311" i="15"/>
  <c r="Q1311" i="15"/>
  <c r="R1311" i="15"/>
  <c r="S1311" i="15"/>
  <c r="U1311" i="15"/>
  <c r="J1312" i="15"/>
  <c r="K1312" i="15"/>
  <c r="L1312" i="15"/>
  <c r="M1312" i="15"/>
  <c r="N1312" i="15"/>
  <c r="O1312" i="15"/>
  <c r="P1312" i="15"/>
  <c r="Q1312" i="15"/>
  <c r="R1312" i="15"/>
  <c r="S1312" i="15"/>
  <c r="U1312" i="15"/>
  <c r="J1313" i="15"/>
  <c r="K1313" i="15"/>
  <c r="L1313" i="15"/>
  <c r="M1313" i="15"/>
  <c r="N1313" i="15"/>
  <c r="O1313" i="15"/>
  <c r="P1313" i="15"/>
  <c r="Q1313" i="15"/>
  <c r="R1313" i="15"/>
  <c r="S1313" i="15"/>
  <c r="U1313" i="15"/>
  <c r="J1314" i="15"/>
  <c r="K1314" i="15"/>
  <c r="L1314" i="15"/>
  <c r="M1314" i="15"/>
  <c r="N1314" i="15"/>
  <c r="O1314" i="15"/>
  <c r="P1314" i="15"/>
  <c r="Q1314" i="15"/>
  <c r="R1314" i="15"/>
  <c r="S1314" i="15"/>
  <c r="U1314" i="15"/>
  <c r="J1315" i="15"/>
  <c r="K1315" i="15"/>
  <c r="L1315" i="15"/>
  <c r="M1315" i="15"/>
  <c r="N1315" i="15"/>
  <c r="O1315" i="15"/>
  <c r="P1315" i="15"/>
  <c r="Q1315" i="15"/>
  <c r="R1315" i="15"/>
  <c r="S1315" i="15"/>
  <c r="U1315" i="15"/>
  <c r="J1316" i="15"/>
  <c r="K1316" i="15"/>
  <c r="L1316" i="15"/>
  <c r="M1316" i="15"/>
  <c r="N1316" i="15"/>
  <c r="O1316" i="15"/>
  <c r="P1316" i="15"/>
  <c r="Q1316" i="15"/>
  <c r="U1316" i="15"/>
  <c r="J1319" i="15"/>
  <c r="K1319" i="15"/>
  <c r="L1319" i="15"/>
  <c r="M1319" i="15"/>
  <c r="N1319" i="15"/>
  <c r="O1319" i="15"/>
  <c r="P1319" i="15"/>
  <c r="Q1319" i="15"/>
  <c r="R1319" i="15"/>
  <c r="S1319" i="15"/>
  <c r="U1319" i="15"/>
  <c r="J1323" i="15"/>
  <c r="K1323" i="15"/>
  <c r="L1323" i="15"/>
  <c r="M1323" i="15"/>
  <c r="N1323" i="15"/>
  <c r="O1323" i="15"/>
  <c r="P1323" i="15"/>
  <c r="Q1323" i="15"/>
  <c r="R1323" i="15"/>
  <c r="S1323" i="15"/>
  <c r="U1323" i="15"/>
  <c r="J1324" i="15"/>
  <c r="K1324" i="15"/>
  <c r="L1324" i="15"/>
  <c r="M1324" i="15"/>
  <c r="N1324" i="15"/>
  <c r="O1324" i="15"/>
  <c r="P1324" i="15"/>
  <c r="Q1324" i="15"/>
  <c r="R1324" i="15"/>
  <c r="S1324" i="15"/>
  <c r="U1324" i="15"/>
  <c r="J1330" i="15"/>
  <c r="K1330" i="15"/>
  <c r="L1330" i="15"/>
  <c r="M1330" i="15"/>
  <c r="N1330" i="15"/>
  <c r="O1330" i="15"/>
  <c r="P1330" i="15"/>
  <c r="Q1330" i="15"/>
  <c r="R1330" i="15"/>
  <c r="S1330" i="15"/>
  <c r="U1330" i="15"/>
  <c r="J1334" i="15"/>
  <c r="K1334" i="15"/>
  <c r="L1334" i="15"/>
  <c r="M1334" i="15"/>
  <c r="N1334" i="15"/>
  <c r="O1334" i="15"/>
  <c r="P1334" i="15"/>
  <c r="Q1334" i="15"/>
  <c r="R1334" i="15"/>
  <c r="S1334" i="15"/>
  <c r="U1334" i="15"/>
  <c r="J1335" i="15"/>
  <c r="K1335" i="15"/>
  <c r="L1335" i="15"/>
  <c r="M1335" i="15"/>
  <c r="N1335" i="15"/>
  <c r="O1335" i="15"/>
  <c r="P1335" i="15"/>
  <c r="Q1335" i="15"/>
  <c r="R1335" i="15"/>
  <c r="S1335" i="15"/>
  <c r="U1335" i="15"/>
  <c r="J1338" i="15"/>
  <c r="K1338" i="15"/>
  <c r="L1338" i="15"/>
  <c r="M1338" i="15"/>
  <c r="N1338" i="15"/>
  <c r="O1338" i="15"/>
  <c r="P1338" i="15"/>
  <c r="Q1338" i="15"/>
  <c r="R1338" i="15"/>
  <c r="S1338" i="15"/>
  <c r="U1338" i="15"/>
  <c r="J1339" i="15"/>
  <c r="K1339" i="15"/>
  <c r="L1339" i="15"/>
  <c r="M1339" i="15"/>
  <c r="N1339" i="15"/>
  <c r="O1339" i="15"/>
  <c r="P1339" i="15"/>
  <c r="Q1339" i="15"/>
  <c r="U1339" i="15"/>
  <c r="J1390" i="15"/>
  <c r="K1390" i="15"/>
  <c r="L1390" i="15"/>
  <c r="M1390" i="15"/>
  <c r="N1390" i="15"/>
  <c r="O1390" i="15"/>
  <c r="P1390" i="15"/>
  <c r="Q1390" i="15"/>
  <c r="R1390" i="15"/>
  <c r="S1390" i="15"/>
  <c r="U1390" i="15"/>
  <c r="J1391" i="15"/>
  <c r="K1391" i="15"/>
  <c r="L1391" i="15"/>
  <c r="M1391" i="15"/>
  <c r="N1391" i="15"/>
  <c r="O1391" i="15"/>
  <c r="P1391" i="15"/>
  <c r="Q1391" i="15"/>
  <c r="R1391" i="15"/>
  <c r="S1391" i="15"/>
  <c r="U1391" i="15"/>
  <c r="J1394" i="15"/>
  <c r="K1394" i="15"/>
  <c r="L1394" i="15"/>
  <c r="M1394" i="15"/>
  <c r="N1394" i="15"/>
  <c r="O1394" i="15"/>
  <c r="P1394" i="15"/>
  <c r="Q1394" i="15"/>
  <c r="R1394" i="15"/>
  <c r="S1394" i="15"/>
  <c r="U1394" i="15"/>
  <c r="J1397" i="15"/>
  <c r="K1397" i="15"/>
  <c r="L1397" i="15"/>
  <c r="M1397" i="15"/>
  <c r="N1397" i="15"/>
  <c r="O1397" i="15"/>
  <c r="P1397" i="15"/>
  <c r="Q1397" i="15"/>
  <c r="R1397" i="15"/>
  <c r="S1397" i="15"/>
  <c r="U1397" i="15"/>
  <c r="J1408" i="15"/>
  <c r="K1408" i="15"/>
  <c r="L1408" i="15"/>
  <c r="M1408" i="15"/>
  <c r="N1408" i="15"/>
  <c r="O1408" i="15"/>
  <c r="P1408" i="15"/>
  <c r="Q1408" i="15"/>
  <c r="R1408" i="15"/>
  <c r="S1408" i="15"/>
  <c r="U1408" i="15"/>
  <c r="J1410" i="15"/>
  <c r="K1410" i="15"/>
  <c r="L1410" i="15"/>
  <c r="M1410" i="15"/>
  <c r="N1410" i="15"/>
  <c r="O1410" i="15"/>
  <c r="P1410" i="15"/>
  <c r="Q1410" i="15"/>
  <c r="R1410" i="15"/>
  <c r="S1410" i="15"/>
  <c r="U1410" i="15"/>
  <c r="J1411" i="15"/>
  <c r="K1411" i="15"/>
  <c r="L1411" i="15"/>
  <c r="M1411" i="15"/>
  <c r="N1411" i="15"/>
  <c r="O1411" i="15"/>
  <c r="P1411" i="15"/>
  <c r="Q1411" i="15"/>
  <c r="R1411" i="15"/>
  <c r="S1411" i="15"/>
  <c r="U1411" i="15"/>
  <c r="J1412" i="15"/>
  <c r="K1412" i="15"/>
  <c r="L1412" i="15"/>
  <c r="M1412" i="15"/>
  <c r="N1412" i="15"/>
  <c r="O1412" i="15"/>
  <c r="P1412" i="15"/>
  <c r="Q1412" i="15"/>
  <c r="R1412" i="15"/>
  <c r="S1412" i="15"/>
  <c r="U1412" i="15"/>
  <c r="J1413" i="15"/>
  <c r="K1413" i="15"/>
  <c r="L1413" i="15"/>
  <c r="M1413" i="15"/>
  <c r="N1413" i="15"/>
  <c r="O1413" i="15"/>
  <c r="P1413" i="15"/>
  <c r="Q1413" i="15"/>
  <c r="R1413" i="15"/>
  <c r="S1413" i="15"/>
  <c r="U1413" i="15"/>
  <c r="J1414" i="15"/>
  <c r="K1414" i="15"/>
  <c r="L1414" i="15"/>
  <c r="M1414" i="15"/>
  <c r="N1414" i="15"/>
  <c r="O1414" i="15"/>
  <c r="P1414" i="15"/>
  <c r="Q1414" i="15"/>
  <c r="R1414" i="15"/>
  <c r="S1414" i="15"/>
  <c r="U1414" i="15"/>
  <c r="J1415" i="15"/>
  <c r="K1415" i="15"/>
  <c r="L1415" i="15"/>
  <c r="M1415" i="15"/>
  <c r="N1415" i="15"/>
  <c r="O1415" i="15"/>
  <c r="P1415" i="15"/>
  <c r="Q1415" i="15"/>
  <c r="R1415" i="15"/>
  <c r="S1415" i="15"/>
  <c r="U1415" i="15"/>
  <c r="J1416" i="15"/>
  <c r="K1416" i="15"/>
  <c r="L1416" i="15"/>
  <c r="M1416" i="15"/>
  <c r="N1416" i="15"/>
  <c r="O1416" i="15"/>
  <c r="P1416" i="15"/>
  <c r="Q1416" i="15"/>
  <c r="R1416" i="15"/>
  <c r="S1416" i="15"/>
  <c r="U1416" i="15"/>
  <c r="J1417" i="15"/>
  <c r="K1417" i="15"/>
  <c r="L1417" i="15"/>
  <c r="M1417" i="15"/>
  <c r="N1417" i="15"/>
  <c r="O1417" i="15"/>
  <c r="P1417" i="15"/>
  <c r="Q1417" i="15"/>
  <c r="R1417" i="15"/>
  <c r="S1417" i="15"/>
  <c r="U1417" i="15"/>
  <c r="J1418" i="15"/>
  <c r="K1418" i="15"/>
  <c r="L1418" i="15"/>
  <c r="M1418" i="15"/>
  <c r="N1418" i="15"/>
  <c r="O1418" i="15"/>
  <c r="P1418" i="15"/>
  <c r="Q1418" i="15"/>
  <c r="R1418" i="15"/>
  <c r="S1418" i="15"/>
  <c r="U1418" i="15"/>
  <c r="J1419" i="15"/>
  <c r="K1419" i="15"/>
  <c r="L1419" i="15"/>
  <c r="M1419" i="15"/>
  <c r="N1419" i="15"/>
  <c r="O1419" i="15"/>
  <c r="P1419" i="15"/>
  <c r="Q1419" i="15"/>
  <c r="R1419" i="15"/>
  <c r="S1419" i="15"/>
  <c r="U1419" i="15"/>
  <c r="J1420" i="15"/>
  <c r="K1420" i="15"/>
  <c r="L1420" i="15"/>
  <c r="M1420" i="15"/>
  <c r="N1420" i="15"/>
  <c r="O1420" i="15"/>
  <c r="P1420" i="15"/>
  <c r="Q1420" i="15"/>
  <c r="R1420" i="15"/>
  <c r="S1420" i="15"/>
  <c r="U1420" i="15"/>
  <c r="J1421" i="15"/>
  <c r="K1421" i="15"/>
  <c r="L1421" i="15"/>
  <c r="M1421" i="15"/>
  <c r="N1421" i="15"/>
  <c r="O1421" i="15"/>
  <c r="P1421" i="15"/>
  <c r="Q1421" i="15"/>
  <c r="R1421" i="15"/>
  <c r="S1421" i="15"/>
  <c r="U1421" i="15"/>
  <c r="J1422" i="15"/>
  <c r="K1422" i="15"/>
  <c r="L1422" i="15"/>
  <c r="M1422" i="15"/>
  <c r="N1422" i="15"/>
  <c r="O1422" i="15"/>
  <c r="P1422" i="15"/>
  <c r="Q1422" i="15"/>
  <c r="R1422" i="15"/>
  <c r="S1422" i="15"/>
  <c r="U1422" i="15"/>
  <c r="J1423" i="15"/>
  <c r="K1423" i="15"/>
  <c r="L1423" i="15"/>
  <c r="M1423" i="15"/>
  <c r="N1423" i="15"/>
  <c r="O1423" i="15"/>
  <c r="P1423" i="15"/>
  <c r="Q1423" i="15"/>
  <c r="R1423" i="15"/>
  <c r="S1423" i="15"/>
  <c r="U1423" i="15"/>
  <c r="J1426" i="15"/>
  <c r="K1426" i="15"/>
  <c r="L1426" i="15"/>
  <c r="M1426" i="15"/>
  <c r="N1426" i="15"/>
  <c r="O1426" i="15"/>
  <c r="P1426" i="15"/>
  <c r="Q1426" i="15"/>
  <c r="R1426" i="15"/>
  <c r="S1426" i="15"/>
  <c r="U1426" i="15"/>
  <c r="J1430" i="15"/>
  <c r="K1430" i="15"/>
  <c r="L1430" i="15"/>
  <c r="M1430" i="15"/>
  <c r="N1430" i="15"/>
  <c r="O1430" i="15"/>
  <c r="P1430" i="15"/>
  <c r="Q1430" i="15"/>
  <c r="R1430" i="15"/>
  <c r="S1430" i="15"/>
  <c r="U1430" i="15"/>
  <c r="J1431" i="15"/>
  <c r="K1431" i="15"/>
  <c r="L1431" i="15"/>
  <c r="M1431" i="15"/>
  <c r="N1431" i="15"/>
  <c r="O1431" i="15"/>
  <c r="P1431" i="15"/>
  <c r="Q1431" i="15"/>
  <c r="R1431" i="15"/>
  <c r="S1431" i="15"/>
  <c r="U1431" i="15"/>
  <c r="J1437" i="15"/>
  <c r="K1437" i="15"/>
  <c r="L1437" i="15"/>
  <c r="M1437" i="15"/>
  <c r="N1437" i="15"/>
  <c r="O1437" i="15"/>
  <c r="P1437" i="15"/>
  <c r="Q1437" i="15"/>
  <c r="R1437" i="15"/>
  <c r="S1437" i="15"/>
  <c r="U1437" i="15"/>
  <c r="J1441" i="15"/>
  <c r="K1441" i="15"/>
  <c r="L1441" i="15"/>
  <c r="M1441" i="15"/>
  <c r="N1441" i="15"/>
  <c r="O1441" i="15"/>
  <c r="P1441" i="15"/>
  <c r="Q1441" i="15"/>
  <c r="R1441" i="15"/>
  <c r="S1441" i="15"/>
  <c r="U1441" i="15"/>
  <c r="J1442" i="15"/>
  <c r="K1442" i="15"/>
  <c r="L1442" i="15"/>
  <c r="M1442" i="15"/>
  <c r="N1442" i="15"/>
  <c r="O1442" i="15"/>
  <c r="P1442" i="15"/>
  <c r="Q1442" i="15"/>
  <c r="R1442" i="15"/>
  <c r="S1442" i="15"/>
  <c r="U1442" i="15"/>
  <c r="J1445" i="15"/>
  <c r="K1445" i="15"/>
  <c r="L1445" i="15"/>
  <c r="M1445" i="15"/>
  <c r="N1445" i="15"/>
  <c r="O1445" i="15"/>
  <c r="P1445" i="15"/>
  <c r="Q1445" i="15"/>
  <c r="R1445" i="15"/>
  <c r="S1445" i="15"/>
  <c r="U1445" i="15"/>
  <c r="J1446" i="15"/>
  <c r="K1446" i="15"/>
  <c r="L1446" i="15"/>
  <c r="M1446" i="15"/>
  <c r="N1446" i="15"/>
  <c r="O1446" i="15"/>
  <c r="P1446" i="15"/>
  <c r="Q1446" i="15"/>
  <c r="U1446" i="15"/>
  <c r="J15" i="16"/>
  <c r="K15" i="16"/>
  <c r="L15" i="16"/>
  <c r="M15" i="16"/>
  <c r="N15" i="16"/>
  <c r="O15" i="16"/>
  <c r="P15" i="16"/>
  <c r="Q15" i="16"/>
  <c r="R15" i="16"/>
  <c r="S15" i="16"/>
  <c r="U15" i="16"/>
  <c r="W15" i="16"/>
  <c r="J17" i="16"/>
  <c r="K17" i="16"/>
  <c r="L17" i="16"/>
  <c r="M17" i="16"/>
  <c r="N17" i="16"/>
  <c r="O17" i="16"/>
  <c r="P17" i="16"/>
  <c r="Q17" i="16"/>
  <c r="R17" i="16"/>
  <c r="S17" i="16"/>
  <c r="U17" i="16"/>
  <c r="W17" i="16"/>
  <c r="J18" i="16"/>
  <c r="K18" i="16"/>
  <c r="L18" i="16"/>
  <c r="M18" i="16"/>
  <c r="N18" i="16"/>
  <c r="O18" i="16"/>
  <c r="P18" i="16"/>
  <c r="Q18" i="16"/>
  <c r="R18" i="16"/>
  <c r="S18" i="16"/>
  <c r="U18" i="16"/>
  <c r="V18" i="16"/>
  <c r="W18" i="16"/>
  <c r="J20" i="16"/>
  <c r="K20" i="16"/>
  <c r="L20" i="16"/>
  <c r="M20" i="16"/>
  <c r="N20" i="16"/>
  <c r="O20" i="16"/>
  <c r="P20" i="16"/>
  <c r="Q20" i="16"/>
  <c r="R20" i="16"/>
  <c r="S20" i="16"/>
  <c r="U20" i="16"/>
  <c r="W20" i="16"/>
  <c r="J21" i="16"/>
  <c r="K21" i="16"/>
  <c r="L21" i="16"/>
  <c r="M21" i="16"/>
  <c r="N21" i="16"/>
  <c r="O21" i="16"/>
  <c r="P21" i="16"/>
  <c r="Q21" i="16"/>
  <c r="R21" i="16"/>
  <c r="S21" i="16"/>
  <c r="U21" i="16"/>
  <c r="W21" i="16"/>
  <c r="J22" i="16"/>
  <c r="K22" i="16"/>
  <c r="L22" i="16"/>
  <c r="M22" i="16"/>
  <c r="N22" i="16"/>
  <c r="O22" i="16"/>
  <c r="P22" i="16"/>
  <c r="Q22" i="16"/>
  <c r="R22" i="16"/>
  <c r="S22" i="16"/>
  <c r="U22" i="16"/>
  <c r="V22" i="16"/>
  <c r="W22" i="16"/>
  <c r="J24" i="16"/>
  <c r="K24" i="16"/>
  <c r="L24" i="16"/>
  <c r="M24" i="16"/>
  <c r="N24" i="16"/>
  <c r="O24" i="16"/>
  <c r="P24" i="16"/>
  <c r="Q24" i="16"/>
  <c r="R24" i="16"/>
  <c r="S24" i="16"/>
  <c r="U24" i="16"/>
  <c r="V24" i="16"/>
  <c r="W24" i="16"/>
  <c r="J25" i="16"/>
  <c r="K25" i="16"/>
  <c r="L25" i="16"/>
  <c r="M25" i="16"/>
  <c r="N25" i="16"/>
  <c r="O25" i="16"/>
  <c r="P25" i="16"/>
  <c r="Q25" i="16"/>
  <c r="R25" i="16"/>
  <c r="S25" i="16"/>
  <c r="U25" i="16"/>
  <c r="V25" i="16"/>
  <c r="W25" i="16"/>
  <c r="J27" i="16"/>
  <c r="K27" i="16"/>
  <c r="L27" i="16"/>
  <c r="M27" i="16"/>
  <c r="N27" i="16"/>
  <c r="O27" i="16"/>
  <c r="P27" i="16"/>
  <c r="Q27" i="16"/>
  <c r="R27" i="16"/>
  <c r="S27" i="16"/>
  <c r="U27" i="16"/>
  <c r="V27" i="16"/>
  <c r="W27" i="16"/>
  <c r="J29" i="16"/>
  <c r="K29" i="16"/>
  <c r="L29" i="16"/>
  <c r="M29" i="16"/>
  <c r="N29" i="16"/>
  <c r="O29" i="16"/>
  <c r="P29" i="16"/>
  <c r="Q29" i="16"/>
  <c r="R29" i="16"/>
  <c r="S29" i="16"/>
  <c r="U29" i="16"/>
  <c r="V29" i="16"/>
  <c r="W29" i="16"/>
  <c r="J31" i="16"/>
  <c r="K31" i="16"/>
  <c r="L31" i="16"/>
  <c r="M31" i="16"/>
  <c r="N31" i="16"/>
  <c r="O31" i="16"/>
  <c r="P31" i="16"/>
  <c r="Q31" i="16"/>
  <c r="R31" i="16"/>
  <c r="S31" i="16"/>
  <c r="U31" i="16"/>
  <c r="V31" i="16"/>
  <c r="W31" i="16"/>
  <c r="J33" i="16"/>
  <c r="K33" i="16"/>
  <c r="L33" i="16"/>
  <c r="M33" i="16"/>
  <c r="N33" i="16"/>
  <c r="O33" i="16"/>
  <c r="P33" i="16"/>
  <c r="Q33" i="16"/>
  <c r="R33" i="16"/>
  <c r="S33" i="16"/>
  <c r="U33" i="16"/>
  <c r="V33" i="16"/>
  <c r="W33" i="16"/>
  <c r="J53" i="16"/>
  <c r="K53" i="16"/>
  <c r="L53" i="16"/>
  <c r="M53" i="16"/>
  <c r="N53" i="16"/>
  <c r="O53" i="16"/>
  <c r="P53" i="16"/>
  <c r="Q53" i="16"/>
  <c r="R53" i="16"/>
  <c r="S53" i="16"/>
  <c r="U53" i="16"/>
  <c r="W53" i="16"/>
  <c r="J54" i="16"/>
  <c r="K54" i="16"/>
  <c r="L54" i="16"/>
  <c r="M54" i="16"/>
  <c r="N54" i="16"/>
  <c r="O54" i="16"/>
  <c r="P54" i="16"/>
  <c r="Q54" i="16"/>
  <c r="R54" i="16"/>
  <c r="S54" i="16"/>
  <c r="U54" i="16"/>
  <c r="W54" i="16"/>
  <c r="J55" i="16"/>
  <c r="K55" i="16"/>
  <c r="L55" i="16"/>
  <c r="M55" i="16"/>
  <c r="N55" i="16"/>
  <c r="O55" i="16"/>
  <c r="P55" i="16"/>
  <c r="Q55" i="16"/>
  <c r="R55" i="16"/>
  <c r="S55" i="16"/>
  <c r="U55" i="16"/>
  <c r="W55" i="16"/>
  <c r="J56" i="16"/>
  <c r="K56" i="16"/>
  <c r="L56" i="16"/>
  <c r="M56" i="16"/>
  <c r="N56" i="16"/>
  <c r="O56" i="16"/>
  <c r="P56" i="16"/>
  <c r="Q56" i="16"/>
  <c r="R56" i="16"/>
  <c r="S56" i="16"/>
  <c r="U56" i="16"/>
  <c r="W56" i="16"/>
  <c r="J58" i="16"/>
  <c r="K58" i="16"/>
  <c r="L58" i="16"/>
  <c r="M58" i="16"/>
  <c r="N58" i="16"/>
  <c r="O58" i="16"/>
  <c r="P58" i="16"/>
  <c r="Q58" i="16"/>
  <c r="R58" i="16"/>
  <c r="S58" i="16"/>
  <c r="U58" i="16"/>
  <c r="W58" i="16"/>
  <c r="J59" i="16"/>
  <c r="K59" i="16"/>
  <c r="L59" i="16"/>
  <c r="M59" i="16"/>
  <c r="N59" i="16"/>
  <c r="O59" i="16"/>
  <c r="P59" i="16"/>
  <c r="Q59" i="16"/>
  <c r="R59" i="16"/>
  <c r="S59" i="16"/>
  <c r="U59" i="16"/>
  <c r="W59" i="16"/>
  <c r="J60" i="16"/>
  <c r="K60" i="16"/>
  <c r="L60" i="16"/>
  <c r="M60" i="16"/>
  <c r="N60" i="16"/>
  <c r="O60" i="16"/>
  <c r="P60" i="16"/>
  <c r="Q60" i="16"/>
  <c r="R60" i="16"/>
  <c r="S60" i="16"/>
  <c r="U60" i="16"/>
  <c r="W60" i="16"/>
  <c r="J62" i="16"/>
  <c r="K62" i="16"/>
  <c r="L62" i="16"/>
  <c r="M62" i="16"/>
  <c r="N62" i="16"/>
  <c r="O62" i="16"/>
  <c r="P62" i="16"/>
  <c r="Q62" i="16"/>
  <c r="R62" i="16"/>
  <c r="S62" i="16"/>
  <c r="U62" i="16"/>
  <c r="W62" i="16"/>
  <c r="J64" i="16"/>
  <c r="K64" i="16"/>
  <c r="L64" i="16"/>
  <c r="M64" i="16"/>
  <c r="N64" i="16"/>
  <c r="O64" i="16"/>
  <c r="P64" i="16"/>
  <c r="Q64" i="16"/>
  <c r="R64" i="16"/>
  <c r="S64" i="16"/>
  <c r="U64" i="16"/>
  <c r="W64" i="16"/>
  <c r="J71" i="16"/>
  <c r="K71" i="16"/>
  <c r="L71" i="16"/>
  <c r="M71" i="16"/>
  <c r="N71" i="16"/>
  <c r="O71" i="16"/>
  <c r="P71" i="16"/>
  <c r="Q71" i="16"/>
  <c r="R71" i="16"/>
  <c r="S71" i="16"/>
  <c r="U71" i="16"/>
  <c r="W71" i="16"/>
  <c r="J72" i="16"/>
  <c r="K72" i="16"/>
  <c r="L72" i="16"/>
  <c r="M72" i="16"/>
  <c r="N72" i="16"/>
  <c r="O72" i="16"/>
  <c r="P72" i="16"/>
  <c r="Q72" i="16"/>
  <c r="R72" i="16"/>
  <c r="S72" i="16"/>
  <c r="U72" i="16"/>
  <c r="W72" i="16"/>
  <c r="J75" i="16"/>
  <c r="K75" i="16"/>
  <c r="L75" i="16"/>
  <c r="M75" i="16"/>
  <c r="N75" i="16"/>
  <c r="O75" i="16"/>
  <c r="P75" i="16"/>
  <c r="Q75" i="16"/>
  <c r="R75" i="16"/>
  <c r="S75" i="16"/>
  <c r="U75" i="16"/>
  <c r="W75" i="16"/>
  <c r="J76" i="16"/>
  <c r="K76" i="16"/>
  <c r="L76" i="16"/>
  <c r="M76" i="16"/>
  <c r="N76" i="16"/>
  <c r="O76" i="16"/>
  <c r="P76" i="16"/>
  <c r="Q76" i="16"/>
  <c r="R76" i="16"/>
  <c r="S76" i="16"/>
  <c r="U76" i="16"/>
  <c r="W76" i="16"/>
  <c r="J77" i="16"/>
  <c r="K77" i="16"/>
  <c r="L77" i="16"/>
  <c r="M77" i="16"/>
  <c r="N77" i="16"/>
  <c r="O77" i="16"/>
  <c r="P77" i="16"/>
  <c r="Q77" i="16"/>
  <c r="R77" i="16"/>
  <c r="S77" i="16"/>
  <c r="U77" i="16"/>
  <c r="W77" i="16"/>
  <c r="J79" i="16"/>
  <c r="K79" i="16"/>
  <c r="L79" i="16"/>
  <c r="M79" i="16"/>
  <c r="N79" i="16"/>
  <c r="O79" i="16"/>
  <c r="P79" i="16"/>
  <c r="Q79" i="16"/>
  <c r="R79" i="16"/>
  <c r="S79" i="16"/>
  <c r="U79" i="16"/>
  <c r="V79" i="16"/>
  <c r="W79" i="16"/>
  <c r="U81" i="16"/>
  <c r="W81" i="16"/>
  <c r="J83" i="16"/>
  <c r="K83" i="16"/>
  <c r="L83" i="16"/>
  <c r="M83" i="16"/>
  <c r="N83" i="16"/>
  <c r="O83" i="16"/>
  <c r="P83" i="16"/>
  <c r="Q83" i="16"/>
  <c r="R83" i="16"/>
  <c r="S83" i="16"/>
  <c r="U83" i="16"/>
  <c r="V83" i="16"/>
  <c r="W83" i="16"/>
  <c r="J103" i="16"/>
  <c r="K103" i="16"/>
  <c r="L103" i="16"/>
  <c r="M103" i="16"/>
  <c r="N103" i="16"/>
  <c r="O103" i="16"/>
  <c r="P103" i="16"/>
  <c r="Q103" i="16"/>
  <c r="R103" i="16"/>
  <c r="S103" i="16"/>
  <c r="U103" i="16"/>
  <c r="W103" i="16"/>
  <c r="J104" i="16"/>
  <c r="K104" i="16"/>
  <c r="L104" i="16"/>
  <c r="M104" i="16"/>
  <c r="N104" i="16"/>
  <c r="O104" i="16"/>
  <c r="P104" i="16"/>
  <c r="Q104" i="16"/>
  <c r="R104" i="16"/>
  <c r="S104" i="16"/>
  <c r="U104" i="16"/>
  <c r="W104" i="16"/>
  <c r="J105" i="16"/>
  <c r="K105" i="16"/>
  <c r="L105" i="16"/>
  <c r="M105" i="16"/>
  <c r="N105" i="16"/>
  <c r="O105" i="16"/>
  <c r="P105" i="16"/>
  <c r="Q105" i="16"/>
  <c r="R105" i="16"/>
  <c r="S105" i="16"/>
  <c r="U105" i="16"/>
  <c r="W105" i="16"/>
  <c r="J106" i="16"/>
  <c r="K106" i="16"/>
  <c r="L106" i="16"/>
  <c r="M106" i="16"/>
  <c r="N106" i="16"/>
  <c r="O106" i="16"/>
  <c r="P106" i="16"/>
  <c r="Q106" i="16"/>
  <c r="R106" i="16"/>
  <c r="S106" i="16"/>
  <c r="U106" i="16"/>
  <c r="W106" i="16"/>
  <c r="J110" i="16"/>
  <c r="K110" i="16"/>
  <c r="L110" i="16"/>
  <c r="M110" i="16"/>
  <c r="N110" i="16"/>
  <c r="O110" i="16"/>
  <c r="P110" i="16"/>
  <c r="Q110" i="16"/>
  <c r="R110" i="16"/>
  <c r="S110" i="16"/>
  <c r="U110" i="16"/>
  <c r="J111" i="16"/>
  <c r="K111" i="16"/>
  <c r="L111" i="16"/>
  <c r="M111" i="16"/>
  <c r="N111" i="16"/>
  <c r="O111" i="16"/>
  <c r="P111" i="16"/>
  <c r="Q111" i="16"/>
  <c r="R111" i="16"/>
  <c r="S111" i="16"/>
  <c r="U111" i="16"/>
  <c r="J112" i="16"/>
  <c r="K112" i="16"/>
  <c r="L112" i="16"/>
  <c r="M112" i="16"/>
  <c r="N112" i="16"/>
  <c r="O112" i="16"/>
  <c r="P112" i="16"/>
  <c r="Q112" i="16"/>
  <c r="R112" i="16"/>
  <c r="S112" i="16"/>
  <c r="U112" i="16"/>
  <c r="J121" i="16"/>
  <c r="K121" i="16"/>
  <c r="L121" i="16"/>
  <c r="M121" i="16"/>
  <c r="N121" i="16"/>
  <c r="O121" i="16"/>
  <c r="P121" i="16"/>
  <c r="Q121" i="16"/>
  <c r="R121" i="16"/>
  <c r="S121" i="16"/>
  <c r="U121" i="16"/>
  <c r="W121" i="16"/>
  <c r="J136" i="16"/>
  <c r="K136" i="16"/>
  <c r="L136" i="16"/>
  <c r="M136" i="16"/>
  <c r="N136" i="16"/>
  <c r="O136" i="16"/>
  <c r="P136" i="16"/>
  <c r="Q136" i="16"/>
  <c r="R136" i="16"/>
  <c r="S136" i="16"/>
  <c r="U136" i="16"/>
  <c r="W136" i="16"/>
  <c r="J137" i="16"/>
  <c r="K137" i="16"/>
  <c r="L137" i="16"/>
  <c r="M137" i="16"/>
  <c r="N137" i="16"/>
  <c r="O137" i="16"/>
  <c r="P137" i="16"/>
  <c r="Q137" i="16"/>
  <c r="R137" i="16"/>
  <c r="S137" i="16"/>
  <c r="U137" i="16"/>
  <c r="W137" i="16"/>
  <c r="J139" i="16"/>
  <c r="K139" i="16"/>
  <c r="L139" i="16"/>
  <c r="M139" i="16"/>
  <c r="N139" i="16"/>
  <c r="O139" i="16"/>
  <c r="P139" i="16"/>
  <c r="Q139" i="16"/>
  <c r="R139" i="16"/>
  <c r="S139" i="16"/>
  <c r="U139" i="16"/>
  <c r="W139" i="16"/>
  <c r="J140" i="16"/>
  <c r="K140" i="16"/>
  <c r="L140" i="16"/>
  <c r="M140" i="16"/>
  <c r="N140" i="16"/>
  <c r="O140" i="16"/>
  <c r="P140" i="16"/>
  <c r="Q140" i="16"/>
  <c r="R140" i="16"/>
  <c r="S140" i="16"/>
  <c r="U140" i="16"/>
  <c r="W140" i="16"/>
  <c r="J141" i="16"/>
  <c r="K141" i="16"/>
  <c r="L141" i="16"/>
  <c r="M141" i="16"/>
  <c r="N141" i="16"/>
  <c r="O141" i="16"/>
  <c r="P141" i="16"/>
  <c r="Q141" i="16"/>
  <c r="R141" i="16"/>
  <c r="S141" i="16"/>
  <c r="U141" i="16"/>
  <c r="W141" i="16"/>
  <c r="J158" i="16"/>
  <c r="K158" i="16"/>
  <c r="L158" i="16"/>
  <c r="M158" i="16"/>
  <c r="N158" i="16"/>
  <c r="O158" i="16"/>
  <c r="P158" i="16"/>
  <c r="Q158" i="16"/>
  <c r="R158" i="16"/>
  <c r="S158" i="16"/>
  <c r="U158" i="16"/>
  <c r="W158" i="16"/>
  <c r="J159" i="16"/>
  <c r="K159" i="16"/>
  <c r="L159" i="16"/>
  <c r="M159" i="16"/>
  <c r="N159" i="16"/>
  <c r="O159" i="16"/>
  <c r="P159" i="16"/>
  <c r="Q159" i="16"/>
  <c r="R159" i="16"/>
  <c r="S159" i="16"/>
  <c r="U159" i="16"/>
  <c r="W159" i="16"/>
  <c r="J167" i="16"/>
  <c r="K167" i="16"/>
  <c r="L167" i="16"/>
  <c r="M167" i="16"/>
  <c r="N167" i="16"/>
  <c r="O167" i="16"/>
  <c r="P167" i="16"/>
  <c r="Q167" i="16"/>
  <c r="R167" i="16"/>
  <c r="S167" i="16"/>
  <c r="U167" i="16"/>
  <c r="W167" i="16"/>
  <c r="J168" i="16"/>
  <c r="K168" i="16"/>
  <c r="L168" i="16"/>
  <c r="M168" i="16"/>
  <c r="N168" i="16"/>
  <c r="O168" i="16"/>
  <c r="P168" i="16"/>
  <c r="Q168" i="16"/>
  <c r="R168" i="16"/>
  <c r="S168" i="16"/>
  <c r="U168" i="16"/>
  <c r="W168" i="16"/>
  <c r="J184" i="16"/>
  <c r="K184" i="16"/>
  <c r="L184" i="16"/>
  <c r="M184" i="16"/>
  <c r="N184" i="16"/>
  <c r="O184" i="16"/>
  <c r="P184" i="16"/>
  <c r="Q184" i="16"/>
  <c r="R184" i="16"/>
  <c r="S184" i="16"/>
  <c r="U184" i="16"/>
  <c r="W184" i="16"/>
  <c r="J185" i="16"/>
  <c r="K185" i="16"/>
  <c r="L185" i="16"/>
  <c r="M185" i="16"/>
  <c r="N185" i="16"/>
  <c r="O185" i="16"/>
  <c r="P185" i="16"/>
  <c r="Q185" i="16"/>
  <c r="R185" i="16"/>
  <c r="S185" i="16"/>
  <c r="U185" i="16"/>
  <c r="W185" i="16"/>
  <c r="J186" i="16"/>
  <c r="K186" i="16"/>
  <c r="L186" i="16"/>
  <c r="M186" i="16"/>
  <c r="N186" i="16"/>
  <c r="O186" i="16"/>
  <c r="P186" i="16"/>
  <c r="Q186" i="16"/>
  <c r="R186" i="16"/>
  <c r="S186" i="16"/>
  <c r="U186" i="16"/>
  <c r="W186" i="16"/>
  <c r="J187" i="16"/>
  <c r="K187" i="16"/>
  <c r="L187" i="16"/>
  <c r="M187" i="16"/>
  <c r="N187" i="16"/>
  <c r="O187" i="16"/>
  <c r="P187" i="16"/>
  <c r="Q187" i="16"/>
  <c r="R187" i="16"/>
  <c r="S187" i="16"/>
  <c r="U187" i="16"/>
  <c r="W187" i="16"/>
  <c r="J188" i="16"/>
  <c r="K188" i="16"/>
  <c r="L188" i="16"/>
  <c r="M188" i="16"/>
  <c r="N188" i="16"/>
  <c r="O188" i="16"/>
  <c r="P188" i="16"/>
  <c r="Q188" i="16"/>
  <c r="R188" i="16"/>
  <c r="S188" i="16"/>
  <c r="U188" i="16"/>
  <c r="W188" i="16"/>
  <c r="J189" i="16"/>
  <c r="K189" i="16"/>
  <c r="L189" i="16"/>
  <c r="M189" i="16"/>
  <c r="N189" i="16"/>
  <c r="O189" i="16"/>
  <c r="P189" i="16"/>
  <c r="Q189" i="16"/>
  <c r="R189" i="16"/>
  <c r="S189" i="16"/>
  <c r="U189" i="16"/>
  <c r="W189" i="16"/>
  <c r="J190" i="16"/>
  <c r="K190" i="16"/>
  <c r="L190" i="16"/>
  <c r="M190" i="16"/>
  <c r="N190" i="16"/>
  <c r="O190" i="16"/>
  <c r="P190" i="16"/>
  <c r="Q190" i="16"/>
  <c r="R190" i="16"/>
  <c r="S190" i="16"/>
  <c r="U190" i="16"/>
  <c r="W190" i="16"/>
  <c r="J191" i="16"/>
  <c r="K191" i="16"/>
  <c r="L191" i="16"/>
  <c r="M191" i="16"/>
  <c r="N191" i="16"/>
  <c r="O191" i="16"/>
  <c r="P191" i="16"/>
  <c r="Q191" i="16"/>
  <c r="R191" i="16"/>
  <c r="S191" i="16"/>
  <c r="U191" i="16"/>
  <c r="W191" i="16"/>
  <c r="J192" i="16"/>
  <c r="K192" i="16"/>
  <c r="L192" i="16"/>
  <c r="M192" i="16"/>
  <c r="N192" i="16"/>
  <c r="O192" i="16"/>
  <c r="P192" i="16"/>
  <c r="Q192" i="16"/>
  <c r="R192" i="16"/>
  <c r="S192" i="16"/>
  <c r="U192" i="16"/>
  <c r="W192" i="16"/>
  <c r="J193" i="16"/>
  <c r="K193" i="16"/>
  <c r="L193" i="16"/>
  <c r="M193" i="16"/>
  <c r="N193" i="16"/>
  <c r="O193" i="16"/>
  <c r="P193" i="16"/>
  <c r="Q193" i="16"/>
  <c r="R193" i="16"/>
  <c r="S193" i="16"/>
  <c r="U193" i="16"/>
  <c r="W193" i="16"/>
  <c r="J195" i="16"/>
  <c r="K195" i="16"/>
  <c r="L195" i="16"/>
  <c r="M195" i="16"/>
  <c r="N195" i="16"/>
  <c r="O195" i="16"/>
  <c r="P195" i="16"/>
  <c r="Q195" i="16"/>
  <c r="R195" i="16"/>
  <c r="S195" i="16"/>
  <c r="U195" i="16"/>
  <c r="W195" i="16"/>
  <c r="J196" i="16"/>
  <c r="K196" i="16"/>
  <c r="L196" i="16"/>
  <c r="M196" i="16"/>
  <c r="N196" i="16"/>
  <c r="O196" i="16"/>
  <c r="P196" i="16"/>
  <c r="Q196" i="16"/>
  <c r="R196" i="16"/>
  <c r="S196" i="16"/>
  <c r="U196" i="16"/>
  <c r="W196" i="16"/>
  <c r="J197" i="16"/>
  <c r="K197" i="16"/>
  <c r="L197" i="16"/>
  <c r="M197" i="16"/>
  <c r="N197" i="16"/>
  <c r="O197" i="16"/>
  <c r="P197" i="16"/>
  <c r="Q197" i="16"/>
  <c r="R197" i="16"/>
  <c r="S197" i="16"/>
  <c r="U197" i="16"/>
  <c r="W197" i="16"/>
  <c r="J199" i="16"/>
  <c r="K199" i="16"/>
  <c r="L199" i="16"/>
  <c r="M199" i="16"/>
  <c r="N199" i="16"/>
  <c r="O199" i="16"/>
  <c r="P199" i="16"/>
  <c r="Q199" i="16"/>
  <c r="R199" i="16"/>
  <c r="S199" i="16"/>
  <c r="U199" i="16"/>
  <c r="W199" i="16"/>
  <c r="J214" i="16"/>
  <c r="K214" i="16"/>
  <c r="L214" i="16"/>
  <c r="M214" i="16"/>
  <c r="N214" i="16"/>
  <c r="O214" i="16"/>
  <c r="P214" i="16"/>
  <c r="Q214" i="16"/>
  <c r="R214" i="16"/>
  <c r="S214" i="16"/>
  <c r="U214" i="16"/>
  <c r="J215" i="16"/>
  <c r="K215" i="16"/>
  <c r="L215" i="16"/>
  <c r="M215" i="16"/>
  <c r="N215" i="16"/>
  <c r="O215" i="16"/>
  <c r="P215" i="16"/>
  <c r="Q215" i="16"/>
  <c r="R215" i="16"/>
  <c r="S215" i="16"/>
  <c r="U215" i="16"/>
  <c r="J216" i="16"/>
  <c r="K216" i="16"/>
  <c r="L216" i="16"/>
  <c r="M216" i="16"/>
  <c r="N216" i="16"/>
  <c r="O216" i="16"/>
  <c r="P216" i="16"/>
  <c r="Q216" i="16"/>
  <c r="R216" i="16"/>
  <c r="S216" i="16"/>
  <c r="U216" i="16"/>
  <c r="W216" i="16"/>
  <c r="J217" i="16"/>
  <c r="K217" i="16"/>
  <c r="L217" i="16"/>
  <c r="M217" i="16"/>
  <c r="N217" i="16"/>
  <c r="O217" i="16"/>
  <c r="P217" i="16"/>
  <c r="Q217" i="16"/>
  <c r="R217" i="16"/>
  <c r="S217" i="16"/>
  <c r="U217" i="16"/>
  <c r="W217" i="16"/>
  <c r="J219" i="16"/>
  <c r="K219" i="16"/>
  <c r="L219" i="16"/>
  <c r="M219" i="16"/>
  <c r="N219" i="16"/>
  <c r="O219" i="16"/>
  <c r="P219" i="16"/>
  <c r="Q219" i="16"/>
  <c r="R219" i="16"/>
  <c r="S219" i="16"/>
  <c r="U219" i="16"/>
  <c r="W219" i="16"/>
  <c r="J221" i="16"/>
  <c r="K221" i="16"/>
  <c r="L221" i="16"/>
  <c r="M221" i="16"/>
  <c r="N221" i="16"/>
  <c r="O221" i="16"/>
  <c r="P221" i="16"/>
  <c r="Q221" i="16"/>
  <c r="R221" i="16"/>
  <c r="S221" i="16"/>
  <c r="U221" i="16"/>
  <c r="W221" i="16"/>
  <c r="J223" i="16"/>
  <c r="K223" i="16"/>
  <c r="L223" i="16"/>
  <c r="M223" i="16"/>
  <c r="N223" i="16"/>
  <c r="O223" i="16"/>
  <c r="P223" i="16"/>
  <c r="Q223" i="16"/>
  <c r="R223" i="16"/>
  <c r="S223" i="16"/>
  <c r="U223" i="16"/>
  <c r="W223" i="16"/>
  <c r="J225" i="16"/>
  <c r="K225" i="16"/>
  <c r="L225" i="16"/>
  <c r="M225" i="16"/>
  <c r="N225" i="16"/>
  <c r="O225" i="16"/>
  <c r="P225" i="16"/>
  <c r="Q225" i="16"/>
  <c r="R225" i="16"/>
  <c r="S225" i="16"/>
  <c r="U225" i="16"/>
  <c r="W225" i="16"/>
  <c r="J258" i="16"/>
  <c r="K258" i="16"/>
  <c r="L258" i="16"/>
  <c r="M258" i="16"/>
  <c r="N258" i="16"/>
  <c r="O258" i="16"/>
  <c r="P258" i="16"/>
  <c r="Q258" i="16"/>
  <c r="R258" i="16"/>
  <c r="S258" i="16"/>
  <c r="U258" i="16"/>
  <c r="W258" i="16"/>
  <c r="J259" i="16"/>
  <c r="K259" i="16"/>
  <c r="L259" i="16"/>
  <c r="M259" i="16"/>
  <c r="N259" i="16"/>
  <c r="O259" i="16"/>
  <c r="P259" i="16"/>
  <c r="Q259" i="16"/>
  <c r="R259" i="16"/>
  <c r="S259" i="16"/>
  <c r="U259" i="16"/>
  <c r="W259" i="16"/>
  <c r="J260" i="16"/>
  <c r="K260" i="16"/>
  <c r="L260" i="16"/>
  <c r="M260" i="16"/>
  <c r="N260" i="16"/>
  <c r="O260" i="16"/>
  <c r="P260" i="16"/>
  <c r="Q260" i="16"/>
  <c r="R260" i="16"/>
  <c r="S260" i="16"/>
  <c r="U260" i="16"/>
  <c r="W260" i="16"/>
  <c r="J261" i="16"/>
  <c r="K261" i="16"/>
  <c r="L261" i="16"/>
  <c r="M261" i="16"/>
  <c r="N261" i="16"/>
  <c r="O261" i="16"/>
  <c r="P261" i="16"/>
  <c r="Q261" i="16"/>
  <c r="R261" i="16"/>
  <c r="S261" i="16"/>
  <c r="U261" i="16"/>
  <c r="W261" i="16"/>
  <c r="J265" i="16"/>
  <c r="K265" i="16"/>
  <c r="L265" i="16"/>
  <c r="M265" i="16"/>
  <c r="N265" i="16"/>
  <c r="O265" i="16"/>
  <c r="P265" i="16"/>
  <c r="Q265" i="16"/>
  <c r="R265" i="16"/>
  <c r="S265" i="16"/>
  <c r="U265" i="16"/>
  <c r="J266" i="16"/>
  <c r="K266" i="16"/>
  <c r="L266" i="16"/>
  <c r="M266" i="16"/>
  <c r="N266" i="16"/>
  <c r="O266" i="16"/>
  <c r="P266" i="16"/>
  <c r="Q266" i="16"/>
  <c r="R266" i="16"/>
  <c r="S266" i="16"/>
  <c r="U266" i="16"/>
  <c r="J267" i="16"/>
  <c r="K267" i="16"/>
  <c r="L267" i="16"/>
  <c r="M267" i="16"/>
  <c r="N267" i="16"/>
  <c r="O267" i="16"/>
  <c r="P267" i="16"/>
  <c r="Q267" i="16"/>
  <c r="R267" i="16"/>
  <c r="S267" i="16"/>
  <c r="U267" i="16"/>
  <c r="J276" i="16"/>
  <c r="K276" i="16"/>
  <c r="L276" i="16"/>
  <c r="M276" i="16"/>
  <c r="N276" i="16"/>
  <c r="O276" i="16"/>
  <c r="P276" i="16"/>
  <c r="Q276" i="16"/>
  <c r="R276" i="16"/>
  <c r="S276" i="16"/>
  <c r="U276" i="16"/>
  <c r="W276" i="16"/>
  <c r="J290" i="16"/>
  <c r="K290" i="16"/>
  <c r="L290" i="16"/>
  <c r="M290" i="16"/>
  <c r="N290" i="16"/>
  <c r="O290" i="16"/>
  <c r="P290" i="16"/>
  <c r="Q290" i="16"/>
  <c r="R290" i="16"/>
  <c r="S290" i="16"/>
  <c r="U290" i="16"/>
  <c r="W290" i="16"/>
  <c r="J291" i="16"/>
  <c r="K291" i="16"/>
  <c r="L291" i="16"/>
  <c r="M291" i="16"/>
  <c r="N291" i="16"/>
  <c r="O291" i="16"/>
  <c r="P291" i="16"/>
  <c r="Q291" i="16"/>
  <c r="R291" i="16"/>
  <c r="S291" i="16"/>
  <c r="U291" i="16"/>
  <c r="W291" i="16"/>
  <c r="J293" i="16"/>
  <c r="K293" i="16"/>
  <c r="L293" i="16"/>
  <c r="M293" i="16"/>
  <c r="N293" i="16"/>
  <c r="O293" i="16"/>
  <c r="P293" i="16"/>
  <c r="Q293" i="16"/>
  <c r="R293" i="16"/>
  <c r="S293" i="16"/>
  <c r="U293" i="16"/>
  <c r="J294" i="16"/>
  <c r="K294" i="16"/>
  <c r="L294" i="16"/>
  <c r="M294" i="16"/>
  <c r="N294" i="16"/>
  <c r="O294" i="16"/>
  <c r="P294" i="16"/>
  <c r="Q294" i="16"/>
  <c r="R294" i="16"/>
  <c r="S294" i="16"/>
  <c r="U294" i="16"/>
  <c r="J295" i="16"/>
  <c r="K295" i="16"/>
  <c r="L295" i="16"/>
  <c r="M295" i="16"/>
  <c r="N295" i="16"/>
  <c r="O295" i="16"/>
  <c r="P295" i="16"/>
  <c r="Q295" i="16"/>
  <c r="R295" i="16"/>
  <c r="S295" i="16"/>
  <c r="U295" i="16"/>
  <c r="W295" i="16"/>
  <c r="J312" i="16"/>
  <c r="K312" i="16"/>
  <c r="L312" i="16"/>
  <c r="M312" i="16"/>
  <c r="N312" i="16"/>
  <c r="O312" i="16"/>
  <c r="P312" i="16"/>
  <c r="Q312" i="16"/>
  <c r="R312" i="16"/>
  <c r="S312" i="16"/>
  <c r="U312" i="16"/>
  <c r="W312" i="16"/>
  <c r="J320" i="16"/>
  <c r="K320" i="16"/>
  <c r="L320" i="16"/>
  <c r="M320" i="16"/>
  <c r="N320" i="16"/>
  <c r="O320" i="16"/>
  <c r="P320" i="16"/>
  <c r="Q320" i="16"/>
  <c r="R320" i="16"/>
  <c r="S320" i="16"/>
  <c r="U320" i="16"/>
  <c r="W320" i="16"/>
  <c r="J321" i="16"/>
  <c r="K321" i="16"/>
  <c r="L321" i="16"/>
  <c r="M321" i="16"/>
  <c r="N321" i="16"/>
  <c r="O321" i="16"/>
  <c r="P321" i="16"/>
  <c r="Q321" i="16"/>
  <c r="R321" i="16"/>
  <c r="S321" i="16"/>
  <c r="U321" i="16"/>
  <c r="W321" i="16"/>
  <c r="J323" i="16"/>
  <c r="K323" i="16"/>
  <c r="L323" i="16"/>
  <c r="M323" i="16"/>
  <c r="N323" i="16"/>
  <c r="O323" i="16"/>
  <c r="P323" i="16"/>
  <c r="Q323" i="16"/>
  <c r="R323" i="16"/>
  <c r="S323" i="16"/>
  <c r="U323" i="16"/>
  <c r="W323" i="16"/>
  <c r="J324" i="16"/>
  <c r="K324" i="16"/>
  <c r="L324" i="16"/>
  <c r="M324" i="16"/>
  <c r="N324" i="16"/>
  <c r="O324" i="16"/>
  <c r="P324" i="16"/>
  <c r="Q324" i="16"/>
  <c r="R324" i="16"/>
  <c r="S324" i="16"/>
  <c r="U324" i="16"/>
  <c r="W324" i="16"/>
  <c r="J325" i="16"/>
  <c r="K325" i="16"/>
  <c r="L325" i="16"/>
  <c r="M325" i="16"/>
  <c r="N325" i="16"/>
  <c r="O325" i="16"/>
  <c r="P325" i="16"/>
  <c r="Q325" i="16"/>
  <c r="R325" i="16"/>
  <c r="S325" i="16"/>
  <c r="U325" i="16"/>
  <c r="W325" i="16"/>
  <c r="J326" i="16"/>
  <c r="K326" i="16"/>
  <c r="L326" i="16"/>
  <c r="M326" i="16"/>
  <c r="N326" i="16"/>
  <c r="O326" i="16"/>
  <c r="P326" i="16"/>
  <c r="Q326" i="16"/>
  <c r="R326" i="16"/>
  <c r="S326" i="16"/>
  <c r="U326" i="16"/>
  <c r="W326" i="16"/>
  <c r="J327" i="16"/>
  <c r="K327" i="16"/>
  <c r="L327" i="16"/>
  <c r="M327" i="16"/>
  <c r="N327" i="16"/>
  <c r="O327" i="16"/>
  <c r="P327" i="16"/>
  <c r="Q327" i="16"/>
  <c r="R327" i="16"/>
  <c r="S327" i="16"/>
  <c r="U327" i="16"/>
  <c r="W327" i="16"/>
  <c r="J345" i="16"/>
  <c r="K345" i="16"/>
  <c r="L345" i="16"/>
  <c r="M345" i="16"/>
  <c r="N345" i="16"/>
  <c r="O345" i="16"/>
  <c r="P345" i="16"/>
  <c r="Q345" i="16"/>
  <c r="R345" i="16"/>
  <c r="S345" i="16"/>
  <c r="U345" i="16"/>
  <c r="W345" i="16"/>
  <c r="J346" i="16"/>
  <c r="K346" i="16"/>
  <c r="L346" i="16"/>
  <c r="M346" i="16"/>
  <c r="N346" i="16"/>
  <c r="O346" i="16"/>
  <c r="P346" i="16"/>
  <c r="Q346" i="16"/>
  <c r="R346" i="16"/>
  <c r="S346" i="16"/>
  <c r="U346" i="16"/>
  <c r="W346" i="16"/>
  <c r="J347" i="16"/>
  <c r="K347" i="16"/>
  <c r="L347" i="16"/>
  <c r="M347" i="16"/>
  <c r="N347" i="16"/>
  <c r="O347" i="16"/>
  <c r="P347" i="16"/>
  <c r="Q347" i="16"/>
  <c r="R347" i="16"/>
  <c r="S347" i="16"/>
  <c r="U347" i="16"/>
  <c r="W347" i="16"/>
  <c r="J348" i="16"/>
  <c r="K348" i="16"/>
  <c r="L348" i="16"/>
  <c r="M348" i="16"/>
  <c r="N348" i="16"/>
  <c r="O348" i="16"/>
  <c r="P348" i="16"/>
  <c r="Q348" i="16"/>
  <c r="R348" i="16"/>
  <c r="S348" i="16"/>
  <c r="U348" i="16"/>
  <c r="W348" i="16"/>
  <c r="J349" i="16"/>
  <c r="K349" i="16"/>
  <c r="L349" i="16"/>
  <c r="M349" i="16"/>
  <c r="N349" i="16"/>
  <c r="O349" i="16"/>
  <c r="P349" i="16"/>
  <c r="Q349" i="16"/>
  <c r="R349" i="16"/>
  <c r="S349" i="16"/>
  <c r="U349" i="16"/>
  <c r="W349" i="16"/>
  <c r="J350" i="16"/>
  <c r="K350" i="16"/>
  <c r="L350" i="16"/>
  <c r="M350" i="16"/>
  <c r="N350" i="16"/>
  <c r="O350" i="16"/>
  <c r="P350" i="16"/>
  <c r="Q350" i="16"/>
  <c r="R350" i="16"/>
  <c r="S350" i="16"/>
  <c r="U350" i="16"/>
  <c r="W350" i="16"/>
  <c r="J351" i="16"/>
  <c r="K351" i="16"/>
  <c r="L351" i="16"/>
  <c r="M351" i="16"/>
  <c r="N351" i="16"/>
  <c r="O351" i="16"/>
  <c r="P351" i="16"/>
  <c r="Q351" i="16"/>
  <c r="R351" i="16"/>
  <c r="S351" i="16"/>
  <c r="U351" i="16"/>
  <c r="W351" i="16"/>
  <c r="J352" i="16"/>
  <c r="K352" i="16"/>
  <c r="L352" i="16"/>
  <c r="M352" i="16"/>
  <c r="N352" i="16"/>
  <c r="O352" i="16"/>
  <c r="P352" i="16"/>
  <c r="Q352" i="16"/>
  <c r="R352" i="16"/>
  <c r="S352" i="16"/>
  <c r="U352" i="16"/>
  <c r="W352" i="16"/>
  <c r="J353" i="16"/>
  <c r="K353" i="16"/>
  <c r="L353" i="16"/>
  <c r="M353" i="16"/>
  <c r="N353" i="16"/>
  <c r="O353" i="16"/>
  <c r="P353" i="16"/>
  <c r="Q353" i="16"/>
  <c r="R353" i="16"/>
  <c r="S353" i="16"/>
  <c r="U353" i="16"/>
  <c r="W353" i="16"/>
  <c r="J354" i="16"/>
  <c r="K354" i="16"/>
  <c r="L354" i="16"/>
  <c r="M354" i="16"/>
  <c r="N354" i="16"/>
  <c r="O354" i="16"/>
  <c r="P354" i="16"/>
  <c r="Q354" i="16"/>
  <c r="R354" i="16"/>
  <c r="S354" i="16"/>
  <c r="U354" i="16"/>
  <c r="W354" i="16"/>
  <c r="J356" i="16"/>
  <c r="K356" i="16"/>
  <c r="L356" i="16"/>
  <c r="M356" i="16"/>
  <c r="N356" i="16"/>
  <c r="O356" i="16"/>
  <c r="P356" i="16"/>
  <c r="Q356" i="16"/>
  <c r="R356" i="16"/>
  <c r="S356" i="16"/>
  <c r="U356" i="16"/>
  <c r="J357" i="16"/>
  <c r="K357" i="16"/>
  <c r="L357" i="16"/>
  <c r="M357" i="16"/>
  <c r="N357" i="16"/>
  <c r="O357" i="16"/>
  <c r="P357" i="16"/>
  <c r="Q357" i="16"/>
  <c r="R357" i="16"/>
  <c r="S357" i="16"/>
  <c r="U357" i="16"/>
  <c r="J358" i="16"/>
  <c r="K358" i="16"/>
  <c r="L358" i="16"/>
  <c r="M358" i="16"/>
  <c r="N358" i="16"/>
  <c r="O358" i="16"/>
  <c r="P358" i="16"/>
  <c r="Q358" i="16"/>
  <c r="R358" i="16"/>
  <c r="S358" i="16"/>
  <c r="U358" i="16"/>
  <c r="W358" i="16"/>
  <c r="J359" i="16"/>
  <c r="K359" i="16"/>
  <c r="L359" i="16"/>
  <c r="M359" i="16"/>
  <c r="N359" i="16"/>
  <c r="O359" i="16"/>
  <c r="P359" i="16"/>
  <c r="Q359" i="16"/>
  <c r="R359" i="16"/>
  <c r="S359" i="16"/>
  <c r="U359" i="16"/>
  <c r="W359" i="16"/>
  <c r="J360" i="16"/>
  <c r="K360" i="16"/>
  <c r="L360" i="16"/>
  <c r="M360" i="16"/>
  <c r="N360" i="16"/>
  <c r="O360" i="16"/>
  <c r="P360" i="16"/>
  <c r="Q360" i="16"/>
  <c r="R360" i="16"/>
  <c r="S360" i="16"/>
  <c r="U360" i="16"/>
  <c r="W360" i="16"/>
  <c r="J361" i="16"/>
  <c r="K361" i="16"/>
  <c r="L361" i="16"/>
  <c r="M361" i="16"/>
  <c r="N361" i="16"/>
  <c r="O361" i="16"/>
  <c r="P361" i="16"/>
  <c r="Q361" i="16"/>
  <c r="R361" i="16"/>
  <c r="S361" i="16"/>
  <c r="U361" i="16"/>
  <c r="W361" i="16"/>
  <c r="J363" i="16"/>
  <c r="K363" i="16"/>
  <c r="L363" i="16"/>
  <c r="M363" i="16"/>
  <c r="N363" i="16"/>
  <c r="O363" i="16"/>
  <c r="P363" i="16"/>
  <c r="Q363" i="16"/>
  <c r="R363" i="16"/>
  <c r="S363" i="16"/>
  <c r="U363" i="16"/>
  <c r="W363" i="16"/>
  <c r="J364" i="16"/>
  <c r="K364" i="16"/>
  <c r="L364" i="16"/>
  <c r="M364" i="16"/>
  <c r="N364" i="16"/>
  <c r="O364" i="16"/>
  <c r="P364" i="16"/>
  <c r="Q364" i="16"/>
  <c r="R364" i="16"/>
  <c r="S364" i="16"/>
  <c r="U364" i="16"/>
  <c r="W364" i="16"/>
  <c r="J366" i="16"/>
  <c r="K366" i="16"/>
  <c r="L366" i="16"/>
  <c r="M366" i="16"/>
  <c r="N366" i="16"/>
  <c r="O366" i="16"/>
  <c r="P366" i="16"/>
  <c r="Q366" i="16"/>
  <c r="R366" i="16"/>
  <c r="S366" i="16"/>
  <c r="U366" i="16"/>
  <c r="W366" i="16"/>
  <c r="J368" i="16"/>
  <c r="K368" i="16"/>
  <c r="L368" i="16"/>
  <c r="M368" i="16"/>
  <c r="N368" i="16"/>
  <c r="O368" i="16"/>
  <c r="P368" i="16"/>
  <c r="Q368" i="16"/>
  <c r="R368" i="16"/>
  <c r="S368" i="16"/>
  <c r="U368" i="16"/>
  <c r="W368" i="16"/>
  <c r="J411" i="16"/>
  <c r="K411" i="16"/>
  <c r="L411" i="16"/>
  <c r="M411" i="16"/>
  <c r="N411" i="16"/>
  <c r="O411" i="16"/>
  <c r="P411" i="16"/>
  <c r="Q411" i="16"/>
  <c r="R411" i="16"/>
  <c r="S411" i="16"/>
  <c r="U411" i="16"/>
  <c r="W411" i="16"/>
  <c r="J413" i="16"/>
  <c r="K413" i="16"/>
  <c r="L413" i="16"/>
  <c r="M413" i="16"/>
  <c r="N413" i="16"/>
  <c r="O413" i="16"/>
  <c r="P413" i="16"/>
  <c r="Q413" i="16"/>
  <c r="R413" i="16"/>
  <c r="S413" i="16"/>
  <c r="U413" i="16"/>
  <c r="W413" i="16"/>
  <c r="J431" i="16"/>
  <c r="K431" i="16"/>
  <c r="L431" i="16"/>
  <c r="M431" i="16"/>
  <c r="N431" i="16"/>
  <c r="O431" i="16"/>
  <c r="P431" i="16"/>
  <c r="Q431" i="16"/>
  <c r="R431" i="16"/>
  <c r="S431" i="16"/>
  <c r="U431" i="16"/>
  <c r="W431" i="16"/>
  <c r="J432" i="16"/>
  <c r="K432" i="16"/>
  <c r="L432" i="16"/>
  <c r="M432" i="16"/>
  <c r="N432" i="16"/>
  <c r="O432" i="16"/>
  <c r="P432" i="16"/>
  <c r="Q432" i="16"/>
  <c r="R432" i="16"/>
  <c r="S432" i="16"/>
  <c r="U432" i="16"/>
  <c r="W432" i="16"/>
  <c r="J433" i="16"/>
  <c r="K433" i="16"/>
  <c r="L433" i="16"/>
  <c r="M433" i="16"/>
  <c r="N433" i="16"/>
  <c r="O433" i="16"/>
  <c r="P433" i="16"/>
  <c r="Q433" i="16"/>
  <c r="R433" i="16"/>
  <c r="S433" i="16"/>
  <c r="U433" i="16"/>
  <c r="W433" i="16"/>
  <c r="J435" i="16"/>
  <c r="K435" i="16"/>
  <c r="L435" i="16"/>
  <c r="M435" i="16"/>
  <c r="N435" i="16"/>
  <c r="O435" i="16"/>
  <c r="P435" i="16"/>
  <c r="Q435" i="16"/>
  <c r="R435" i="16"/>
  <c r="S435" i="16"/>
  <c r="U435" i="16"/>
  <c r="W435" i="16"/>
  <c r="J452" i="16"/>
  <c r="K452" i="16"/>
  <c r="L452" i="16"/>
  <c r="M452" i="16"/>
  <c r="N452" i="16"/>
  <c r="O452" i="16"/>
  <c r="P452" i="16"/>
  <c r="Q452" i="16"/>
  <c r="R452" i="16"/>
  <c r="S452" i="16"/>
  <c r="U452" i="16"/>
  <c r="W452" i="16"/>
  <c r="J453" i="16"/>
  <c r="K453" i="16"/>
  <c r="L453" i="16"/>
  <c r="M453" i="16"/>
  <c r="N453" i="16"/>
  <c r="O453" i="16"/>
  <c r="P453" i="16"/>
  <c r="Q453" i="16"/>
  <c r="R453" i="16"/>
  <c r="S453" i="16"/>
  <c r="U453" i="16"/>
  <c r="W453" i="16"/>
  <c r="J455" i="16"/>
  <c r="K455" i="16"/>
  <c r="L455" i="16"/>
  <c r="M455" i="16"/>
  <c r="N455" i="16"/>
  <c r="O455" i="16"/>
  <c r="P455" i="16"/>
  <c r="Q455" i="16"/>
  <c r="R455" i="16"/>
  <c r="S455" i="16"/>
  <c r="U455" i="16"/>
  <c r="W455" i="16"/>
  <c r="J478" i="16"/>
  <c r="K478" i="16"/>
  <c r="L478" i="16"/>
  <c r="M478" i="16"/>
  <c r="N478" i="16"/>
  <c r="O478" i="16"/>
  <c r="P478" i="16"/>
  <c r="Q478" i="16"/>
  <c r="R478" i="16"/>
  <c r="S478" i="16"/>
  <c r="U478" i="16"/>
  <c r="W478" i="16"/>
  <c r="J501" i="16"/>
  <c r="K501" i="16"/>
  <c r="L501" i="16"/>
  <c r="M501" i="16"/>
  <c r="N501" i="16"/>
  <c r="O501" i="16"/>
  <c r="P501" i="16"/>
  <c r="Q501" i="16"/>
  <c r="R501" i="16"/>
  <c r="S501" i="16"/>
  <c r="U501" i="16"/>
  <c r="W501" i="16"/>
  <c r="J519" i="16"/>
  <c r="K519" i="16"/>
  <c r="L519" i="16"/>
  <c r="M519" i="16"/>
  <c r="N519" i="16"/>
  <c r="O519" i="16"/>
  <c r="P519" i="16"/>
  <c r="Q519" i="16"/>
  <c r="R519" i="16"/>
  <c r="S519" i="16"/>
  <c r="U519" i="16"/>
  <c r="W519" i="16"/>
  <c r="J520" i="16"/>
  <c r="K520" i="16"/>
  <c r="L520" i="16"/>
  <c r="M520" i="16"/>
  <c r="N520" i="16"/>
  <c r="O520" i="16"/>
  <c r="P520" i="16"/>
  <c r="Q520" i="16"/>
  <c r="R520" i="16"/>
  <c r="S520" i="16"/>
  <c r="U520" i="16"/>
  <c r="W520" i="16"/>
  <c r="J521" i="16"/>
  <c r="K521" i="16"/>
  <c r="L521" i="16"/>
  <c r="M521" i="16"/>
  <c r="N521" i="16"/>
  <c r="O521" i="16"/>
  <c r="P521" i="16"/>
  <c r="Q521" i="16"/>
  <c r="R521" i="16"/>
  <c r="S521" i="16"/>
  <c r="U521" i="16"/>
  <c r="W521" i="16"/>
  <c r="J522" i="16"/>
  <c r="K522" i="16"/>
  <c r="L522" i="16"/>
  <c r="M522" i="16"/>
  <c r="N522" i="16"/>
  <c r="O522" i="16"/>
  <c r="P522" i="16"/>
  <c r="Q522" i="16"/>
  <c r="R522" i="16"/>
  <c r="S522" i="16"/>
  <c r="U522" i="16"/>
  <c r="W522" i="16"/>
  <c r="J523" i="16"/>
  <c r="K523" i="16"/>
  <c r="L523" i="16"/>
  <c r="M523" i="16"/>
  <c r="N523" i="16"/>
  <c r="O523" i="16"/>
  <c r="P523" i="16"/>
  <c r="Q523" i="16"/>
  <c r="R523" i="16"/>
  <c r="S523" i="16"/>
  <c r="U523" i="16"/>
  <c r="W523" i="16"/>
  <c r="J524" i="16"/>
  <c r="K524" i="16"/>
  <c r="L524" i="16"/>
  <c r="M524" i="16"/>
  <c r="N524" i="16"/>
  <c r="O524" i="16"/>
  <c r="P524" i="16"/>
  <c r="Q524" i="16"/>
  <c r="R524" i="16"/>
  <c r="S524" i="16"/>
  <c r="U524" i="16"/>
  <c r="W524" i="16"/>
  <c r="J525" i="16"/>
  <c r="K525" i="16"/>
  <c r="L525" i="16"/>
  <c r="M525" i="16"/>
  <c r="N525" i="16"/>
  <c r="O525" i="16"/>
  <c r="P525" i="16"/>
  <c r="Q525" i="16"/>
  <c r="R525" i="16"/>
  <c r="S525" i="16"/>
  <c r="U525" i="16"/>
  <c r="W525" i="16"/>
  <c r="J526" i="16"/>
  <c r="K526" i="16"/>
  <c r="L526" i="16"/>
  <c r="M526" i="16"/>
  <c r="N526" i="16"/>
  <c r="O526" i="16"/>
  <c r="P526" i="16"/>
  <c r="Q526" i="16"/>
  <c r="R526" i="16"/>
  <c r="S526" i="16"/>
  <c r="U526" i="16"/>
  <c r="W526" i="16"/>
  <c r="J527" i="16"/>
  <c r="K527" i="16"/>
  <c r="L527" i="16"/>
  <c r="M527" i="16"/>
  <c r="N527" i="16"/>
  <c r="O527" i="16"/>
  <c r="P527" i="16"/>
  <c r="Q527" i="16"/>
  <c r="R527" i="16"/>
  <c r="S527" i="16"/>
  <c r="U527" i="16"/>
  <c r="W527" i="16"/>
  <c r="J528" i="16"/>
  <c r="K528" i="16"/>
  <c r="L528" i="16"/>
  <c r="M528" i="16"/>
  <c r="N528" i="16"/>
  <c r="O528" i="16"/>
  <c r="P528" i="16"/>
  <c r="Q528" i="16"/>
  <c r="R528" i="16"/>
  <c r="S528" i="16"/>
  <c r="U528" i="16"/>
  <c r="W528" i="16"/>
  <c r="J529" i="16"/>
  <c r="K529" i="16"/>
  <c r="L529" i="16"/>
  <c r="M529" i="16"/>
  <c r="N529" i="16"/>
  <c r="O529" i="16"/>
  <c r="P529" i="16"/>
  <c r="Q529" i="16"/>
  <c r="R529" i="16"/>
  <c r="S529" i="16"/>
  <c r="U529" i="16"/>
  <c r="W529" i="16"/>
  <c r="J530" i="16"/>
  <c r="K530" i="16"/>
  <c r="L530" i="16"/>
  <c r="M530" i="16"/>
  <c r="N530" i="16"/>
  <c r="O530" i="16"/>
  <c r="P530" i="16"/>
  <c r="Q530" i="16"/>
  <c r="R530" i="16"/>
  <c r="S530" i="16"/>
  <c r="U530" i="16"/>
  <c r="W530" i="16"/>
  <c r="J531" i="16"/>
  <c r="K531" i="16"/>
  <c r="L531" i="16"/>
  <c r="M531" i="16"/>
  <c r="N531" i="16"/>
  <c r="O531" i="16"/>
  <c r="P531" i="16"/>
  <c r="Q531" i="16"/>
  <c r="R531" i="16"/>
  <c r="S531" i="16"/>
  <c r="U531" i="16"/>
  <c r="W531" i="16"/>
  <c r="J532" i="16"/>
  <c r="K532" i="16"/>
  <c r="L532" i="16"/>
  <c r="M532" i="16"/>
  <c r="N532" i="16"/>
  <c r="O532" i="16"/>
  <c r="P532" i="16"/>
  <c r="Q532" i="16"/>
  <c r="R532" i="16"/>
  <c r="S532" i="16"/>
  <c r="U532" i="16"/>
  <c r="W532" i="16"/>
  <c r="J533" i="16"/>
  <c r="K533" i="16"/>
  <c r="L533" i="16"/>
  <c r="M533" i="16"/>
  <c r="N533" i="16"/>
  <c r="O533" i="16"/>
  <c r="P533" i="16"/>
  <c r="Q533" i="16"/>
  <c r="R533" i="16"/>
  <c r="S533" i="16"/>
  <c r="U533" i="16"/>
  <c r="W533" i="16"/>
  <c r="J534" i="16"/>
  <c r="K534" i="16"/>
  <c r="L534" i="16"/>
  <c r="M534" i="16"/>
  <c r="N534" i="16"/>
  <c r="O534" i="16"/>
  <c r="P534" i="16"/>
  <c r="Q534" i="16"/>
  <c r="R534" i="16"/>
  <c r="S534" i="16"/>
  <c r="U534" i="16"/>
  <c r="W534" i="16"/>
  <c r="J536" i="16"/>
  <c r="K536" i="16"/>
  <c r="L536" i="16"/>
  <c r="M536" i="16"/>
  <c r="N536" i="16"/>
  <c r="O536" i="16"/>
  <c r="P536" i="16"/>
  <c r="Q536" i="16"/>
  <c r="R536" i="16"/>
  <c r="S536" i="16"/>
  <c r="U536" i="16"/>
  <c r="W536" i="16"/>
  <c r="J537" i="16"/>
  <c r="K537" i="16"/>
  <c r="L537" i="16"/>
  <c r="M537" i="16"/>
  <c r="N537" i="16"/>
  <c r="O537" i="16"/>
  <c r="P537" i="16"/>
  <c r="Q537" i="16"/>
  <c r="R537" i="16"/>
  <c r="S537" i="16"/>
  <c r="U537" i="16"/>
  <c r="W537" i="16"/>
  <c r="J538" i="16"/>
  <c r="K538" i="16"/>
  <c r="L538" i="16"/>
  <c r="M538" i="16"/>
  <c r="N538" i="16"/>
  <c r="O538" i="16"/>
  <c r="P538" i="16"/>
  <c r="Q538" i="16"/>
  <c r="R538" i="16"/>
  <c r="S538" i="16"/>
  <c r="U538" i="16"/>
  <c r="W538" i="16"/>
  <c r="J539" i="16"/>
  <c r="K539" i="16"/>
  <c r="L539" i="16"/>
  <c r="M539" i="16"/>
  <c r="N539" i="16"/>
  <c r="O539" i="16"/>
  <c r="P539" i="16"/>
  <c r="Q539" i="16"/>
  <c r="R539" i="16"/>
  <c r="S539" i="16"/>
  <c r="U539" i="16"/>
  <c r="W539" i="16"/>
  <c r="J540" i="16"/>
  <c r="K540" i="16"/>
  <c r="L540" i="16"/>
  <c r="M540" i="16"/>
  <c r="N540" i="16"/>
  <c r="O540" i="16"/>
  <c r="P540" i="16"/>
  <c r="Q540" i="16"/>
  <c r="R540" i="16"/>
  <c r="S540" i="16"/>
  <c r="U540" i="16"/>
  <c r="W540" i="16"/>
  <c r="J541" i="16"/>
  <c r="K541" i="16"/>
  <c r="L541" i="16"/>
  <c r="M541" i="16"/>
  <c r="N541" i="16"/>
  <c r="O541" i="16"/>
  <c r="P541" i="16"/>
  <c r="Q541" i="16"/>
  <c r="R541" i="16"/>
  <c r="S541" i="16"/>
  <c r="U541" i="16"/>
  <c r="W541" i="16"/>
  <c r="J542" i="16"/>
  <c r="K542" i="16"/>
  <c r="L542" i="16"/>
  <c r="M542" i="16"/>
  <c r="N542" i="16"/>
  <c r="O542" i="16"/>
  <c r="P542" i="16"/>
  <c r="Q542" i="16"/>
  <c r="R542" i="16"/>
  <c r="S542" i="16"/>
  <c r="U542" i="16"/>
  <c r="W542" i="16"/>
  <c r="J543" i="16"/>
  <c r="K543" i="16"/>
  <c r="L543" i="16"/>
  <c r="M543" i="16"/>
  <c r="N543" i="16"/>
  <c r="O543" i="16"/>
  <c r="P543" i="16"/>
  <c r="Q543" i="16"/>
  <c r="R543" i="16"/>
  <c r="S543" i="16"/>
  <c r="U543" i="16"/>
  <c r="W543" i="16"/>
  <c r="J544" i="16"/>
  <c r="K544" i="16"/>
  <c r="L544" i="16"/>
  <c r="M544" i="16"/>
  <c r="N544" i="16"/>
  <c r="O544" i="16"/>
  <c r="P544" i="16"/>
  <c r="Q544" i="16"/>
  <c r="R544" i="16"/>
  <c r="S544" i="16"/>
  <c r="U544" i="16"/>
  <c r="W544" i="16"/>
  <c r="J546" i="16"/>
  <c r="K546" i="16"/>
  <c r="L546" i="16"/>
  <c r="M546" i="16"/>
  <c r="N546" i="16"/>
  <c r="O546" i="16"/>
  <c r="P546" i="16"/>
  <c r="Q546" i="16"/>
  <c r="R546" i="16"/>
  <c r="S546" i="16"/>
  <c r="U546" i="16"/>
  <c r="W546" i="16"/>
  <c r="J547" i="16"/>
  <c r="K547" i="16"/>
  <c r="L547" i="16"/>
  <c r="M547" i="16"/>
  <c r="N547" i="16"/>
  <c r="O547" i="16"/>
  <c r="P547" i="16"/>
  <c r="Q547" i="16"/>
  <c r="R547" i="16"/>
  <c r="S547" i="16"/>
  <c r="U547" i="16"/>
  <c r="W547" i="16"/>
  <c r="J548" i="16"/>
  <c r="K548" i="16"/>
  <c r="L548" i="16"/>
  <c r="M548" i="16"/>
  <c r="N548" i="16"/>
  <c r="O548" i="16"/>
  <c r="P548" i="16"/>
  <c r="Q548" i="16"/>
  <c r="R548" i="16"/>
  <c r="S548" i="16"/>
  <c r="U548" i="16"/>
  <c r="W548" i="16"/>
  <c r="J549" i="16"/>
  <c r="K549" i="16"/>
  <c r="L549" i="16"/>
  <c r="M549" i="16"/>
  <c r="N549" i="16"/>
  <c r="O549" i="16"/>
  <c r="P549" i="16"/>
  <c r="Q549" i="16"/>
  <c r="R549" i="16"/>
  <c r="S549" i="16"/>
  <c r="U549" i="16"/>
  <c r="W549" i="16"/>
  <c r="J550" i="16"/>
  <c r="K550" i="16"/>
  <c r="L550" i="16"/>
  <c r="M550" i="16"/>
  <c r="N550" i="16"/>
  <c r="O550" i="16"/>
  <c r="P550" i="16"/>
  <c r="Q550" i="16"/>
  <c r="R550" i="16"/>
  <c r="S550" i="16"/>
  <c r="U550" i="16"/>
  <c r="W550" i="16"/>
  <c r="J551" i="16"/>
  <c r="K551" i="16"/>
  <c r="L551" i="16"/>
  <c r="M551" i="16"/>
  <c r="N551" i="16"/>
  <c r="O551" i="16"/>
  <c r="P551" i="16"/>
  <c r="Q551" i="16"/>
  <c r="R551" i="16"/>
  <c r="S551" i="16"/>
  <c r="U551" i="16"/>
  <c r="W551" i="16"/>
  <c r="J552" i="16"/>
  <c r="K552" i="16"/>
  <c r="L552" i="16"/>
  <c r="M552" i="16"/>
  <c r="N552" i="16"/>
  <c r="O552" i="16"/>
  <c r="P552" i="16"/>
  <c r="Q552" i="16"/>
  <c r="R552" i="16"/>
  <c r="S552" i="16"/>
  <c r="U552" i="16"/>
  <c r="W552" i="16"/>
  <c r="J553" i="16"/>
  <c r="K553" i="16"/>
  <c r="L553" i="16"/>
  <c r="M553" i="16"/>
  <c r="N553" i="16"/>
  <c r="O553" i="16"/>
  <c r="P553" i="16"/>
  <c r="Q553" i="16"/>
  <c r="R553" i="16"/>
  <c r="S553" i="16"/>
  <c r="U553" i="16"/>
  <c r="W553" i="16"/>
  <c r="J554" i="16"/>
  <c r="K554" i="16"/>
  <c r="L554" i="16"/>
  <c r="M554" i="16"/>
  <c r="N554" i="16"/>
  <c r="O554" i="16"/>
  <c r="P554" i="16"/>
  <c r="Q554" i="16"/>
  <c r="R554" i="16"/>
  <c r="S554" i="16"/>
  <c r="U554" i="16"/>
  <c r="W554" i="16"/>
  <c r="J555" i="16"/>
  <c r="K555" i="16"/>
  <c r="L555" i="16"/>
  <c r="M555" i="16"/>
  <c r="N555" i="16"/>
  <c r="O555" i="16"/>
  <c r="P555" i="16"/>
  <c r="Q555" i="16"/>
  <c r="R555" i="16"/>
  <c r="S555" i="16"/>
  <c r="U555" i="16"/>
  <c r="W555" i="16"/>
  <c r="J556" i="16"/>
  <c r="K556" i="16"/>
  <c r="L556" i="16"/>
  <c r="M556" i="16"/>
  <c r="N556" i="16"/>
  <c r="O556" i="16"/>
  <c r="P556" i="16"/>
  <c r="Q556" i="16"/>
  <c r="R556" i="16"/>
  <c r="S556" i="16"/>
  <c r="U556" i="16"/>
  <c r="W556" i="16"/>
  <c r="J559" i="16"/>
  <c r="K559" i="16"/>
  <c r="L559" i="16"/>
  <c r="M559" i="16"/>
  <c r="N559" i="16"/>
  <c r="O559" i="16"/>
  <c r="P559" i="16"/>
  <c r="Q559" i="16"/>
  <c r="R559" i="16"/>
  <c r="S559" i="16"/>
  <c r="U559" i="16"/>
  <c r="W559" i="16"/>
  <c r="J560" i="16"/>
  <c r="K560" i="16"/>
  <c r="L560" i="16"/>
  <c r="M560" i="16"/>
  <c r="N560" i="16"/>
  <c r="O560" i="16"/>
  <c r="P560" i="16"/>
  <c r="Q560" i="16"/>
  <c r="R560" i="16"/>
  <c r="S560" i="16"/>
  <c r="U560" i="16"/>
  <c r="W560" i="16"/>
  <c r="J561" i="16"/>
  <c r="K561" i="16"/>
  <c r="L561" i="16"/>
  <c r="M561" i="16"/>
  <c r="N561" i="16"/>
  <c r="O561" i="16"/>
  <c r="P561" i="16"/>
  <c r="Q561" i="16"/>
  <c r="R561" i="16"/>
  <c r="S561" i="16"/>
  <c r="U561" i="16"/>
  <c r="W561" i="16"/>
  <c r="J562" i="16"/>
  <c r="K562" i="16"/>
  <c r="L562" i="16"/>
  <c r="M562" i="16"/>
  <c r="N562" i="16"/>
  <c r="O562" i="16"/>
  <c r="P562" i="16"/>
  <c r="Q562" i="16"/>
  <c r="R562" i="16"/>
  <c r="S562" i="16"/>
  <c r="U562" i="16"/>
  <c r="W562" i="16"/>
  <c r="J563" i="16"/>
  <c r="K563" i="16"/>
  <c r="L563" i="16"/>
  <c r="M563" i="16"/>
  <c r="N563" i="16"/>
  <c r="O563" i="16"/>
  <c r="P563" i="16"/>
  <c r="Q563" i="16"/>
  <c r="R563" i="16"/>
  <c r="S563" i="16"/>
  <c r="U563" i="16"/>
  <c r="W563" i="16"/>
  <c r="J564" i="16"/>
  <c r="K564" i="16"/>
  <c r="L564" i="16"/>
  <c r="M564" i="16"/>
  <c r="N564" i="16"/>
  <c r="O564" i="16"/>
  <c r="P564" i="16"/>
  <c r="Q564" i="16"/>
  <c r="R564" i="16"/>
  <c r="S564" i="16"/>
  <c r="U564" i="16"/>
  <c r="W564" i="16"/>
  <c r="J565" i="16"/>
  <c r="K565" i="16"/>
  <c r="L565" i="16"/>
  <c r="M565" i="16"/>
  <c r="N565" i="16"/>
  <c r="O565" i="16"/>
  <c r="P565" i="16"/>
  <c r="Q565" i="16"/>
  <c r="R565" i="16"/>
  <c r="S565" i="16"/>
  <c r="U565" i="16"/>
  <c r="W565" i="16"/>
  <c r="J566" i="16"/>
  <c r="K566" i="16"/>
  <c r="L566" i="16"/>
  <c r="M566" i="16"/>
  <c r="N566" i="16"/>
  <c r="O566" i="16"/>
  <c r="P566" i="16"/>
  <c r="Q566" i="16"/>
  <c r="R566" i="16"/>
  <c r="S566" i="16"/>
  <c r="U566" i="16"/>
  <c r="W566" i="16"/>
  <c r="J567" i="16"/>
  <c r="K567" i="16"/>
  <c r="L567" i="16"/>
  <c r="M567" i="16"/>
  <c r="N567" i="16"/>
  <c r="O567" i="16"/>
  <c r="P567" i="16"/>
  <c r="Q567" i="16"/>
  <c r="R567" i="16"/>
  <c r="S567" i="16"/>
  <c r="U567" i="16"/>
  <c r="W567" i="16"/>
  <c r="J568" i="16"/>
  <c r="K568" i="16"/>
  <c r="L568" i="16"/>
  <c r="M568" i="16"/>
  <c r="N568" i="16"/>
  <c r="O568" i="16"/>
  <c r="P568" i="16"/>
  <c r="Q568" i="16"/>
  <c r="R568" i="16"/>
  <c r="S568" i="16"/>
  <c r="U568" i="16"/>
  <c r="W568" i="16"/>
  <c r="J569" i="16"/>
  <c r="K569" i="16"/>
  <c r="L569" i="16"/>
  <c r="M569" i="16"/>
  <c r="N569" i="16"/>
  <c r="O569" i="16"/>
  <c r="P569" i="16"/>
  <c r="Q569" i="16"/>
  <c r="R569" i="16"/>
  <c r="S569" i="16"/>
  <c r="U569" i="16"/>
  <c r="W569" i="16"/>
  <c r="J570" i="16"/>
  <c r="K570" i="16"/>
  <c r="L570" i="16"/>
  <c r="M570" i="16"/>
  <c r="N570" i="16"/>
  <c r="O570" i="16"/>
  <c r="P570" i="16"/>
  <c r="Q570" i="16"/>
  <c r="R570" i="16"/>
  <c r="S570" i="16"/>
  <c r="U570" i="16"/>
  <c r="W570" i="16"/>
  <c r="J571" i="16"/>
  <c r="K571" i="16"/>
  <c r="L571" i="16"/>
  <c r="M571" i="16"/>
  <c r="N571" i="16"/>
  <c r="O571" i="16"/>
  <c r="P571" i="16"/>
  <c r="Q571" i="16"/>
  <c r="R571" i="16"/>
  <c r="S571" i="16"/>
  <c r="U571" i="16"/>
  <c r="W571" i="16"/>
  <c r="J572" i="16"/>
  <c r="K572" i="16"/>
  <c r="L572" i="16"/>
  <c r="M572" i="16"/>
  <c r="N572" i="16"/>
  <c r="O572" i="16"/>
  <c r="P572" i="16"/>
  <c r="Q572" i="16"/>
  <c r="R572" i="16"/>
  <c r="S572" i="16"/>
  <c r="U572" i="16"/>
  <c r="W572" i="16"/>
  <c r="J573" i="16"/>
  <c r="K573" i="16"/>
  <c r="L573" i="16"/>
  <c r="M573" i="16"/>
  <c r="N573" i="16"/>
  <c r="O573" i="16"/>
  <c r="P573" i="16"/>
  <c r="Q573" i="16"/>
  <c r="R573" i="16"/>
  <c r="S573" i="16"/>
  <c r="U573" i="16"/>
  <c r="W573" i="16"/>
  <c r="J575" i="16"/>
  <c r="K575" i="16"/>
  <c r="L575" i="16"/>
  <c r="M575" i="16"/>
  <c r="N575" i="16"/>
  <c r="O575" i="16"/>
  <c r="P575" i="16"/>
  <c r="Q575" i="16"/>
  <c r="R575" i="16"/>
  <c r="S575" i="16"/>
  <c r="U575" i="16"/>
  <c r="W575" i="16"/>
  <c r="J591" i="16"/>
  <c r="K591" i="16"/>
  <c r="L591" i="16"/>
  <c r="M591" i="16"/>
  <c r="N591" i="16"/>
  <c r="O591" i="16"/>
  <c r="P591" i="16"/>
  <c r="Q591" i="16"/>
  <c r="R591" i="16"/>
  <c r="S591" i="16"/>
  <c r="U591" i="16"/>
  <c r="W591" i="16"/>
  <c r="J592" i="16"/>
  <c r="K592" i="16"/>
  <c r="L592" i="16"/>
  <c r="M592" i="16"/>
  <c r="N592" i="16"/>
  <c r="O592" i="16"/>
  <c r="P592" i="16"/>
  <c r="Q592" i="16"/>
  <c r="R592" i="16"/>
  <c r="S592" i="16"/>
  <c r="U592" i="16"/>
  <c r="W592" i="16"/>
  <c r="J593" i="16"/>
  <c r="K593" i="16"/>
  <c r="L593" i="16"/>
  <c r="M593" i="16"/>
  <c r="N593" i="16"/>
  <c r="O593" i="16"/>
  <c r="P593" i="16"/>
  <c r="Q593" i="16"/>
  <c r="R593" i="16"/>
  <c r="S593" i="16"/>
  <c r="U593" i="16"/>
  <c r="W593" i="16"/>
  <c r="J594" i="16"/>
  <c r="K594" i="16"/>
  <c r="L594" i="16"/>
  <c r="M594" i="16"/>
  <c r="N594" i="16"/>
  <c r="O594" i="16"/>
  <c r="P594" i="16"/>
  <c r="Q594" i="16"/>
  <c r="R594" i="16"/>
  <c r="S594" i="16"/>
  <c r="U594" i="16"/>
  <c r="W594" i="16"/>
  <c r="J595" i="16"/>
  <c r="K595" i="16"/>
  <c r="L595" i="16"/>
  <c r="M595" i="16"/>
  <c r="N595" i="16"/>
  <c r="O595" i="16"/>
  <c r="P595" i="16"/>
  <c r="Q595" i="16"/>
  <c r="R595" i="16"/>
  <c r="S595" i="16"/>
  <c r="U595" i="16"/>
  <c r="W595" i="16"/>
  <c r="J596" i="16"/>
  <c r="K596" i="16"/>
  <c r="L596" i="16"/>
  <c r="M596" i="16"/>
  <c r="N596" i="16"/>
  <c r="O596" i="16"/>
  <c r="P596" i="16"/>
  <c r="Q596" i="16"/>
  <c r="R596" i="16"/>
  <c r="S596" i="16"/>
  <c r="U596" i="16"/>
  <c r="W596" i="16"/>
  <c r="J597" i="16"/>
  <c r="K597" i="16"/>
  <c r="L597" i="16"/>
  <c r="M597" i="16"/>
  <c r="N597" i="16"/>
  <c r="O597" i="16"/>
  <c r="P597" i="16"/>
  <c r="Q597" i="16"/>
  <c r="R597" i="16"/>
  <c r="S597" i="16"/>
  <c r="U597" i="16"/>
  <c r="W597" i="16"/>
  <c r="J600" i="16"/>
  <c r="K600" i="16"/>
  <c r="L600" i="16"/>
  <c r="M600" i="16"/>
  <c r="N600" i="16"/>
  <c r="O600" i="16"/>
  <c r="P600" i="16"/>
  <c r="Q600" i="16"/>
  <c r="R600" i="16"/>
  <c r="S600" i="16"/>
  <c r="U600" i="16"/>
  <c r="W600" i="16"/>
  <c r="J601" i="16"/>
  <c r="K601" i="16"/>
  <c r="L601" i="16"/>
  <c r="M601" i="16"/>
  <c r="N601" i="16"/>
  <c r="O601" i="16"/>
  <c r="P601" i="16"/>
  <c r="Q601" i="16"/>
  <c r="R601" i="16"/>
  <c r="S601" i="16"/>
  <c r="U601" i="16"/>
  <c r="W601" i="16"/>
  <c r="J602" i="16"/>
  <c r="K602" i="16"/>
  <c r="L602" i="16"/>
  <c r="M602" i="16"/>
  <c r="N602" i="16"/>
  <c r="O602" i="16"/>
  <c r="P602" i="16"/>
  <c r="Q602" i="16"/>
  <c r="R602" i="16"/>
  <c r="S602" i="16"/>
  <c r="U602" i="16"/>
  <c r="W602" i="16"/>
  <c r="J603" i="16"/>
  <c r="K603" i="16"/>
  <c r="L603" i="16"/>
  <c r="M603" i="16"/>
  <c r="N603" i="16"/>
  <c r="O603" i="16"/>
  <c r="P603" i="16"/>
  <c r="Q603" i="16"/>
  <c r="R603" i="16"/>
  <c r="S603" i="16"/>
  <c r="U603" i="16"/>
  <c r="J604" i="16"/>
  <c r="K604" i="16"/>
  <c r="L604" i="16"/>
  <c r="M604" i="16"/>
  <c r="N604" i="16"/>
  <c r="O604" i="16"/>
  <c r="P604" i="16"/>
  <c r="Q604" i="16"/>
  <c r="R604" i="16"/>
  <c r="S604" i="16"/>
  <c r="U604" i="16"/>
  <c r="J605" i="16"/>
  <c r="K605" i="16"/>
  <c r="L605" i="16"/>
  <c r="M605" i="16"/>
  <c r="N605" i="16"/>
  <c r="O605" i="16"/>
  <c r="P605" i="16"/>
  <c r="Q605" i="16"/>
  <c r="R605" i="16"/>
  <c r="S605" i="16"/>
  <c r="U605" i="16"/>
  <c r="J606" i="16"/>
  <c r="K606" i="16"/>
  <c r="L606" i="16"/>
  <c r="M606" i="16"/>
  <c r="N606" i="16"/>
  <c r="O606" i="16"/>
  <c r="P606" i="16"/>
  <c r="Q606" i="16"/>
  <c r="R606" i="16"/>
  <c r="S606" i="16"/>
  <c r="U606" i="16"/>
  <c r="J607" i="16"/>
  <c r="K607" i="16"/>
  <c r="L607" i="16"/>
  <c r="M607" i="16"/>
  <c r="N607" i="16"/>
  <c r="O607" i="16"/>
  <c r="P607" i="16"/>
  <c r="Q607" i="16"/>
  <c r="R607" i="16"/>
  <c r="S607" i="16"/>
  <c r="U607" i="16"/>
  <c r="W607" i="16"/>
  <c r="J608" i="16"/>
  <c r="K608" i="16"/>
  <c r="L608" i="16"/>
  <c r="M608" i="16"/>
  <c r="N608" i="16"/>
  <c r="O608" i="16"/>
  <c r="P608" i="16"/>
  <c r="Q608" i="16"/>
  <c r="R608" i="16"/>
  <c r="S608" i="16"/>
  <c r="U608" i="16"/>
  <c r="W608" i="16"/>
  <c r="J609" i="16"/>
  <c r="K609" i="16"/>
  <c r="L609" i="16"/>
  <c r="M609" i="16"/>
  <c r="N609" i="16"/>
  <c r="O609" i="16"/>
  <c r="P609" i="16"/>
  <c r="Q609" i="16"/>
  <c r="R609" i="16"/>
  <c r="S609" i="16"/>
  <c r="U609" i="16"/>
  <c r="W609" i="16"/>
  <c r="J610" i="16"/>
  <c r="K610" i="16"/>
  <c r="L610" i="16"/>
  <c r="M610" i="16"/>
  <c r="N610" i="16"/>
  <c r="O610" i="16"/>
  <c r="P610" i="16"/>
  <c r="Q610" i="16"/>
  <c r="R610" i="16"/>
  <c r="S610" i="16"/>
  <c r="U610" i="16"/>
  <c r="W610" i="16"/>
  <c r="J612" i="16"/>
  <c r="K612" i="16"/>
  <c r="L612" i="16"/>
  <c r="M612" i="16"/>
  <c r="N612" i="16"/>
  <c r="O612" i="16"/>
  <c r="P612" i="16"/>
  <c r="Q612" i="16"/>
  <c r="R612" i="16"/>
  <c r="S612" i="16"/>
  <c r="U612" i="16"/>
  <c r="W612" i="16"/>
  <c r="J614" i="16"/>
  <c r="K614" i="16"/>
  <c r="L614" i="16"/>
  <c r="M614" i="16"/>
  <c r="N614" i="16"/>
  <c r="O614" i="16"/>
  <c r="P614" i="16"/>
  <c r="Q614" i="16"/>
  <c r="R614" i="16"/>
  <c r="S614" i="16"/>
  <c r="U614" i="16"/>
  <c r="W614" i="16"/>
  <c r="J616" i="16"/>
  <c r="K616" i="16"/>
  <c r="L616" i="16"/>
  <c r="M616" i="16"/>
  <c r="N616" i="16"/>
  <c r="O616" i="16"/>
  <c r="P616" i="16"/>
  <c r="Q616" i="16"/>
  <c r="R616" i="16"/>
  <c r="S616" i="16"/>
  <c r="U616" i="16"/>
  <c r="W616" i="16"/>
  <c r="J618" i="16"/>
  <c r="K618" i="16"/>
  <c r="L618" i="16"/>
  <c r="M618" i="16"/>
  <c r="N618" i="16"/>
  <c r="O618" i="16"/>
  <c r="P618" i="16"/>
  <c r="Q618" i="16"/>
  <c r="R618" i="16"/>
  <c r="S618" i="16"/>
  <c r="U618" i="16"/>
  <c r="W618" i="16"/>
  <c r="U620" i="16"/>
  <c r="W620" i="16"/>
  <c r="J622" i="16"/>
  <c r="K622" i="16"/>
  <c r="L622" i="16"/>
  <c r="M622" i="16"/>
  <c r="N622" i="16"/>
  <c r="O622" i="16"/>
  <c r="P622" i="16"/>
  <c r="Q622" i="16"/>
  <c r="R622" i="16"/>
  <c r="S622" i="16"/>
  <c r="U622" i="16"/>
  <c r="V622" i="16"/>
  <c r="W622" i="16"/>
  <c r="J697" i="16"/>
  <c r="K697" i="16"/>
  <c r="L697" i="16"/>
  <c r="M697" i="16"/>
  <c r="N697" i="16"/>
  <c r="O697" i="16"/>
  <c r="P697" i="16"/>
  <c r="Q697" i="16"/>
  <c r="R697" i="16"/>
  <c r="S697" i="16"/>
  <c r="U697" i="16"/>
  <c r="W697" i="16"/>
  <c r="J704" i="16"/>
  <c r="K704" i="16"/>
  <c r="L704" i="16"/>
  <c r="M704" i="16"/>
  <c r="N704" i="16"/>
  <c r="O704" i="16"/>
  <c r="P704" i="16"/>
  <c r="Q704" i="16"/>
  <c r="R704" i="16"/>
  <c r="S704" i="16"/>
  <c r="U704" i="16"/>
  <c r="W704" i="16"/>
  <c r="J705" i="16"/>
  <c r="K705" i="16"/>
  <c r="L705" i="16"/>
  <c r="M705" i="16"/>
  <c r="N705" i="16"/>
  <c r="O705" i="16"/>
  <c r="P705" i="16"/>
  <c r="Q705" i="16"/>
  <c r="R705" i="16"/>
  <c r="S705" i="16"/>
  <c r="U705" i="16"/>
  <c r="W705" i="16"/>
  <c r="J707" i="16"/>
  <c r="K707" i="16"/>
  <c r="L707" i="16"/>
  <c r="M707" i="16"/>
  <c r="N707" i="16"/>
  <c r="O707" i="16"/>
  <c r="P707" i="16"/>
  <c r="Q707" i="16"/>
  <c r="R707" i="16"/>
  <c r="S707" i="16"/>
  <c r="U707" i="16"/>
  <c r="W707" i="16"/>
  <c r="J709" i="16"/>
  <c r="K709" i="16"/>
  <c r="L709" i="16"/>
  <c r="M709" i="16"/>
  <c r="N709" i="16"/>
  <c r="O709" i="16"/>
  <c r="P709" i="16"/>
  <c r="Q709" i="16"/>
  <c r="R709" i="16"/>
  <c r="S709" i="16"/>
  <c r="U709" i="16"/>
  <c r="W709" i="16"/>
  <c r="J753" i="16"/>
  <c r="K753" i="16"/>
  <c r="L753" i="16"/>
  <c r="M753" i="16"/>
  <c r="N753" i="16"/>
  <c r="O753" i="16"/>
  <c r="P753" i="16"/>
  <c r="Q753" i="16"/>
  <c r="R753" i="16"/>
  <c r="S753" i="16"/>
  <c r="U753" i="16"/>
  <c r="W753" i="16"/>
  <c r="J754" i="16"/>
  <c r="K754" i="16"/>
  <c r="L754" i="16"/>
  <c r="M754" i="16"/>
  <c r="N754" i="16"/>
  <c r="O754" i="16"/>
  <c r="P754" i="16"/>
  <c r="Q754" i="16"/>
  <c r="R754" i="16"/>
  <c r="S754" i="16"/>
  <c r="U754" i="16"/>
  <c r="W754" i="16"/>
  <c r="J769" i="16"/>
  <c r="K769" i="16"/>
  <c r="L769" i="16"/>
  <c r="M769" i="16"/>
  <c r="N769" i="16"/>
  <c r="O769" i="16"/>
  <c r="P769" i="16"/>
  <c r="Q769" i="16"/>
  <c r="R769" i="16"/>
  <c r="S769" i="16"/>
  <c r="U769" i="16"/>
  <c r="W769" i="16"/>
  <c r="J770" i="16"/>
  <c r="K770" i="16"/>
  <c r="L770" i="16"/>
  <c r="M770" i="16"/>
  <c r="N770" i="16"/>
  <c r="O770" i="16"/>
  <c r="P770" i="16"/>
  <c r="Q770" i="16"/>
  <c r="R770" i="16"/>
  <c r="S770" i="16"/>
  <c r="U770" i="16"/>
  <c r="W770" i="16"/>
  <c r="J771" i="16"/>
  <c r="K771" i="16"/>
  <c r="L771" i="16"/>
  <c r="M771" i="16"/>
  <c r="N771" i="16"/>
  <c r="O771" i="16"/>
  <c r="P771" i="16"/>
  <c r="Q771" i="16"/>
  <c r="R771" i="16"/>
  <c r="S771" i="16"/>
  <c r="U771" i="16"/>
  <c r="W771" i="16"/>
  <c r="J772" i="16"/>
  <c r="K772" i="16"/>
  <c r="L772" i="16"/>
  <c r="M772" i="16"/>
  <c r="N772" i="16"/>
  <c r="O772" i="16"/>
  <c r="P772" i="16"/>
  <c r="Q772" i="16"/>
  <c r="R772" i="16"/>
  <c r="S772" i="16"/>
  <c r="U772" i="16"/>
  <c r="W772" i="16"/>
  <c r="J773" i="16"/>
  <c r="K773" i="16"/>
  <c r="L773" i="16"/>
  <c r="M773" i="16"/>
  <c r="N773" i="16"/>
  <c r="O773" i="16"/>
  <c r="P773" i="16"/>
  <c r="Q773" i="16"/>
  <c r="R773" i="16"/>
  <c r="S773" i="16"/>
  <c r="U773" i="16"/>
  <c r="W773" i="16"/>
  <c r="J774" i="16"/>
  <c r="K774" i="16"/>
  <c r="L774" i="16"/>
  <c r="M774" i="16"/>
  <c r="N774" i="16"/>
  <c r="O774" i="16"/>
  <c r="P774" i="16"/>
  <c r="Q774" i="16"/>
  <c r="R774" i="16"/>
  <c r="S774" i="16"/>
  <c r="U774" i="16"/>
  <c r="W774" i="16"/>
  <c r="J775" i="16"/>
  <c r="K775" i="16"/>
  <c r="L775" i="16"/>
  <c r="M775" i="16"/>
  <c r="N775" i="16"/>
  <c r="O775" i="16"/>
  <c r="P775" i="16"/>
  <c r="Q775" i="16"/>
  <c r="R775" i="16"/>
  <c r="S775" i="16"/>
  <c r="U775" i="16"/>
  <c r="W775" i="16"/>
  <c r="J778" i="16"/>
  <c r="K778" i="16"/>
  <c r="L778" i="16"/>
  <c r="M778" i="16"/>
  <c r="N778" i="16"/>
  <c r="O778" i="16"/>
  <c r="P778" i="16"/>
  <c r="Q778" i="16"/>
  <c r="R778" i="16"/>
  <c r="S778" i="16"/>
  <c r="U778" i="16"/>
  <c r="W778" i="16"/>
  <c r="J779" i="16"/>
  <c r="K779" i="16"/>
  <c r="L779" i="16"/>
  <c r="M779" i="16"/>
  <c r="N779" i="16"/>
  <c r="O779" i="16"/>
  <c r="P779" i="16"/>
  <c r="Q779" i="16"/>
  <c r="R779" i="16"/>
  <c r="S779" i="16"/>
  <c r="U779" i="16"/>
  <c r="W779" i="16"/>
  <c r="J780" i="16"/>
  <c r="K780" i="16"/>
  <c r="L780" i="16"/>
  <c r="M780" i="16"/>
  <c r="N780" i="16"/>
  <c r="O780" i="16"/>
  <c r="P780" i="16"/>
  <c r="Q780" i="16"/>
  <c r="R780" i="16"/>
  <c r="S780" i="16"/>
  <c r="U780" i="16"/>
  <c r="W780" i="16"/>
  <c r="J781" i="16"/>
  <c r="K781" i="16"/>
  <c r="L781" i="16"/>
  <c r="M781" i="16"/>
  <c r="N781" i="16"/>
  <c r="O781" i="16"/>
  <c r="P781" i="16"/>
  <c r="Q781" i="16"/>
  <c r="R781" i="16"/>
  <c r="S781" i="16"/>
  <c r="U781" i="16"/>
  <c r="W781" i="16"/>
  <c r="J783" i="16"/>
  <c r="K783" i="16"/>
  <c r="L783" i="16"/>
  <c r="M783" i="16"/>
  <c r="N783" i="16"/>
  <c r="O783" i="16"/>
  <c r="P783" i="16"/>
  <c r="Q783" i="16"/>
  <c r="R783" i="16"/>
  <c r="S783" i="16"/>
  <c r="U783" i="16"/>
  <c r="W783" i="16"/>
  <c r="J784" i="16"/>
  <c r="K784" i="16"/>
  <c r="L784" i="16"/>
  <c r="M784" i="16"/>
  <c r="N784" i="16"/>
  <c r="O784" i="16"/>
  <c r="P784" i="16"/>
  <c r="Q784" i="16"/>
  <c r="R784" i="16"/>
  <c r="S784" i="16"/>
  <c r="U784" i="16"/>
  <c r="W784" i="16"/>
  <c r="J785" i="16"/>
  <c r="K785" i="16"/>
  <c r="L785" i="16"/>
  <c r="M785" i="16"/>
  <c r="N785" i="16"/>
  <c r="O785" i="16"/>
  <c r="P785" i="16"/>
  <c r="Q785" i="16"/>
  <c r="R785" i="16"/>
  <c r="S785" i="16"/>
  <c r="U785" i="16"/>
  <c r="W785" i="16"/>
  <c r="J787" i="16"/>
  <c r="K787" i="16"/>
  <c r="L787" i="16"/>
  <c r="M787" i="16"/>
  <c r="N787" i="16"/>
  <c r="O787" i="16"/>
  <c r="P787" i="16"/>
  <c r="Q787" i="16"/>
  <c r="R787" i="16"/>
  <c r="S787" i="16"/>
  <c r="U787" i="16"/>
  <c r="W787" i="16"/>
  <c r="J860" i="16"/>
  <c r="K860" i="16"/>
  <c r="L860" i="16"/>
  <c r="M860" i="16"/>
  <c r="N860" i="16"/>
  <c r="O860" i="16"/>
  <c r="P860" i="16"/>
  <c r="Q860" i="16"/>
  <c r="R860" i="16"/>
  <c r="S860" i="16"/>
  <c r="U860" i="16"/>
  <c r="W860" i="16"/>
  <c r="J867" i="16"/>
  <c r="K867" i="16"/>
  <c r="L867" i="16"/>
  <c r="M867" i="16"/>
  <c r="N867" i="16"/>
  <c r="O867" i="16"/>
  <c r="P867" i="16"/>
  <c r="Q867" i="16"/>
  <c r="R867" i="16"/>
  <c r="S867" i="16"/>
  <c r="U867" i="16"/>
  <c r="W867" i="16"/>
  <c r="J868" i="16"/>
  <c r="K868" i="16"/>
  <c r="L868" i="16"/>
  <c r="M868" i="16"/>
  <c r="N868" i="16"/>
  <c r="O868" i="16"/>
  <c r="P868" i="16"/>
  <c r="Q868" i="16"/>
  <c r="R868" i="16"/>
  <c r="S868" i="16"/>
  <c r="U868" i="16"/>
  <c r="W868" i="16"/>
  <c r="J870" i="16"/>
  <c r="K870" i="16"/>
  <c r="L870" i="16"/>
  <c r="M870" i="16"/>
  <c r="N870" i="16"/>
  <c r="O870" i="16"/>
  <c r="P870" i="16"/>
  <c r="Q870" i="16"/>
  <c r="R870" i="16"/>
  <c r="S870" i="16"/>
  <c r="U870" i="16"/>
  <c r="W870" i="16"/>
  <c r="J872" i="16"/>
  <c r="K872" i="16"/>
  <c r="L872" i="16"/>
  <c r="M872" i="16"/>
  <c r="N872" i="16"/>
  <c r="O872" i="16"/>
  <c r="P872" i="16"/>
  <c r="Q872" i="16"/>
  <c r="R872" i="16"/>
  <c r="S872" i="16"/>
  <c r="U872" i="16"/>
  <c r="W872" i="16"/>
  <c r="J874" i="16"/>
  <c r="K874" i="16"/>
  <c r="L874" i="16"/>
  <c r="M874" i="16"/>
  <c r="N874" i="16"/>
  <c r="O874" i="16"/>
  <c r="P874" i="16"/>
  <c r="Q874" i="16"/>
  <c r="R874" i="16"/>
  <c r="S874" i="16"/>
  <c r="U874" i="16"/>
  <c r="W874" i="16"/>
  <c r="J925" i="16"/>
  <c r="K925" i="16"/>
  <c r="L925" i="16"/>
  <c r="M925" i="16"/>
  <c r="N925" i="16"/>
  <c r="O925" i="16"/>
  <c r="P925" i="16"/>
  <c r="Q925" i="16"/>
  <c r="R925" i="16"/>
  <c r="S925" i="16"/>
  <c r="U925" i="16"/>
  <c r="W925" i="16"/>
  <c r="J940" i="16"/>
  <c r="K940" i="16"/>
  <c r="L940" i="16"/>
  <c r="M940" i="16"/>
  <c r="N940" i="16"/>
  <c r="O940" i="16"/>
  <c r="P940" i="16"/>
  <c r="Q940" i="16"/>
  <c r="R940" i="16"/>
  <c r="S940" i="16"/>
  <c r="U940" i="16"/>
  <c r="W940" i="16"/>
  <c r="J941" i="16"/>
  <c r="K941" i="16"/>
  <c r="L941" i="16"/>
  <c r="M941" i="16"/>
  <c r="N941" i="16"/>
  <c r="O941" i="16"/>
  <c r="P941" i="16"/>
  <c r="Q941" i="16"/>
  <c r="R941" i="16"/>
  <c r="S941" i="16"/>
  <c r="U941" i="16"/>
  <c r="W941" i="16"/>
  <c r="J942" i="16"/>
  <c r="K942" i="16"/>
  <c r="L942" i="16"/>
  <c r="M942" i="16"/>
  <c r="N942" i="16"/>
  <c r="O942" i="16"/>
  <c r="P942" i="16"/>
  <c r="Q942" i="16"/>
  <c r="R942" i="16"/>
  <c r="S942" i="16"/>
  <c r="U942" i="16"/>
  <c r="W942" i="16"/>
  <c r="J943" i="16"/>
  <c r="K943" i="16"/>
  <c r="L943" i="16"/>
  <c r="M943" i="16"/>
  <c r="N943" i="16"/>
  <c r="O943" i="16"/>
  <c r="P943" i="16"/>
  <c r="Q943" i="16"/>
  <c r="R943" i="16"/>
  <c r="S943" i="16"/>
  <c r="U943" i="16"/>
  <c r="W943" i="16"/>
  <c r="J944" i="16"/>
  <c r="K944" i="16"/>
  <c r="L944" i="16"/>
  <c r="M944" i="16"/>
  <c r="N944" i="16"/>
  <c r="O944" i="16"/>
  <c r="P944" i="16"/>
  <c r="Q944" i="16"/>
  <c r="R944" i="16"/>
  <c r="S944" i="16"/>
  <c r="U944" i="16"/>
  <c r="W944" i="16"/>
  <c r="J945" i="16"/>
  <c r="K945" i="16"/>
  <c r="L945" i="16"/>
  <c r="M945" i="16"/>
  <c r="N945" i="16"/>
  <c r="O945" i="16"/>
  <c r="P945" i="16"/>
  <c r="Q945" i="16"/>
  <c r="R945" i="16"/>
  <c r="S945" i="16"/>
  <c r="U945" i="16"/>
  <c r="W945" i="16"/>
  <c r="J946" i="16"/>
  <c r="K946" i="16"/>
  <c r="L946" i="16"/>
  <c r="M946" i="16"/>
  <c r="N946" i="16"/>
  <c r="O946" i="16"/>
  <c r="P946" i="16"/>
  <c r="Q946" i="16"/>
  <c r="R946" i="16"/>
  <c r="S946" i="16"/>
  <c r="U946" i="16"/>
  <c r="W946" i="16"/>
  <c r="J948" i="16"/>
  <c r="K948" i="16"/>
  <c r="L948" i="16"/>
  <c r="M948" i="16"/>
  <c r="N948" i="16"/>
  <c r="O948" i="16"/>
  <c r="P948" i="16"/>
  <c r="Q948" i="16"/>
  <c r="R948" i="16"/>
  <c r="S948" i="16"/>
  <c r="U948" i="16"/>
  <c r="W948" i="16"/>
  <c r="J949" i="16"/>
  <c r="K949" i="16"/>
  <c r="L949" i="16"/>
  <c r="M949" i="16"/>
  <c r="N949" i="16"/>
  <c r="O949" i="16"/>
  <c r="P949" i="16"/>
  <c r="Q949" i="16"/>
  <c r="R949" i="16"/>
  <c r="S949" i="16"/>
  <c r="U949" i="16"/>
  <c r="W949" i="16"/>
  <c r="J950" i="16"/>
  <c r="K950" i="16"/>
  <c r="L950" i="16"/>
  <c r="M950" i="16"/>
  <c r="N950" i="16"/>
  <c r="O950" i="16"/>
  <c r="P950" i="16"/>
  <c r="Q950" i="16"/>
  <c r="R950" i="16"/>
  <c r="S950" i="16"/>
  <c r="U950" i="16"/>
  <c r="W950" i="16"/>
  <c r="J951" i="16"/>
  <c r="K951" i="16"/>
  <c r="L951" i="16"/>
  <c r="M951" i="16"/>
  <c r="N951" i="16"/>
  <c r="O951" i="16"/>
  <c r="P951" i="16"/>
  <c r="Q951" i="16"/>
  <c r="R951" i="16"/>
  <c r="S951" i="16"/>
  <c r="U951" i="16"/>
  <c r="W951" i="16"/>
  <c r="J952" i="16"/>
  <c r="K952" i="16"/>
  <c r="L952" i="16"/>
  <c r="M952" i="16"/>
  <c r="N952" i="16"/>
  <c r="O952" i="16"/>
  <c r="P952" i="16"/>
  <c r="Q952" i="16"/>
  <c r="R952" i="16"/>
  <c r="S952" i="16"/>
  <c r="U952" i="16"/>
  <c r="W952" i="16"/>
  <c r="J953" i="16"/>
  <c r="K953" i="16"/>
  <c r="L953" i="16"/>
  <c r="M953" i="16"/>
  <c r="N953" i="16"/>
  <c r="O953" i="16"/>
  <c r="P953" i="16"/>
  <c r="Q953" i="16"/>
  <c r="R953" i="16"/>
  <c r="S953" i="16"/>
  <c r="U953" i="16"/>
  <c r="W953" i="16"/>
  <c r="J955" i="16"/>
  <c r="K955" i="16"/>
  <c r="L955" i="16"/>
  <c r="M955" i="16"/>
  <c r="N955" i="16"/>
  <c r="O955" i="16"/>
  <c r="P955" i="16"/>
  <c r="Q955" i="16"/>
  <c r="R955" i="16"/>
  <c r="S955" i="16"/>
  <c r="U955" i="16"/>
  <c r="W955" i="16"/>
  <c r="J957" i="16"/>
  <c r="K957" i="16"/>
  <c r="L957" i="16"/>
  <c r="M957" i="16"/>
  <c r="N957" i="16"/>
  <c r="O957" i="16"/>
  <c r="P957" i="16"/>
  <c r="Q957" i="16"/>
  <c r="R957" i="16"/>
  <c r="S957" i="16"/>
  <c r="U957" i="16"/>
  <c r="W957" i="16"/>
  <c r="J995" i="16"/>
  <c r="K995" i="16"/>
  <c r="L995" i="16"/>
  <c r="M995" i="16"/>
  <c r="N995" i="16"/>
  <c r="O995" i="16"/>
  <c r="P995" i="16"/>
  <c r="Q995" i="16"/>
  <c r="R995" i="16"/>
  <c r="S995" i="16"/>
  <c r="U995" i="16"/>
  <c r="W995" i="16"/>
  <c r="J996" i="16"/>
  <c r="K996" i="16"/>
  <c r="L996" i="16"/>
  <c r="M996" i="16"/>
  <c r="N996" i="16"/>
  <c r="O996" i="16"/>
  <c r="P996" i="16"/>
  <c r="Q996" i="16"/>
  <c r="R996" i="16"/>
  <c r="S996" i="16"/>
  <c r="U996" i="16"/>
  <c r="W996" i="16"/>
  <c r="J997" i="16"/>
  <c r="K997" i="16"/>
  <c r="L997" i="16"/>
  <c r="M997" i="16"/>
  <c r="N997" i="16"/>
  <c r="O997" i="16"/>
  <c r="P997" i="16"/>
  <c r="Q997" i="16"/>
  <c r="R997" i="16"/>
  <c r="S997" i="16"/>
  <c r="U997" i="16"/>
  <c r="W997" i="16"/>
  <c r="J998" i="16"/>
  <c r="K998" i="16"/>
  <c r="L998" i="16"/>
  <c r="M998" i="16"/>
  <c r="N998" i="16"/>
  <c r="O998" i="16"/>
  <c r="P998" i="16"/>
  <c r="Q998" i="16"/>
  <c r="R998" i="16"/>
  <c r="S998" i="16"/>
  <c r="U998" i="16"/>
  <c r="W998" i="16"/>
  <c r="J1001" i="16"/>
  <c r="K1001" i="16"/>
  <c r="L1001" i="16"/>
  <c r="M1001" i="16"/>
  <c r="N1001" i="16"/>
  <c r="O1001" i="16"/>
  <c r="P1001" i="16"/>
  <c r="Q1001" i="16"/>
  <c r="R1001" i="16"/>
  <c r="S1001" i="16"/>
  <c r="U1001" i="16"/>
  <c r="W1001" i="16"/>
  <c r="J1002" i="16"/>
  <c r="K1002" i="16"/>
  <c r="L1002" i="16"/>
  <c r="M1002" i="16"/>
  <c r="N1002" i="16"/>
  <c r="O1002" i="16"/>
  <c r="P1002" i="16"/>
  <c r="Q1002" i="16"/>
  <c r="R1002" i="16"/>
  <c r="S1002" i="16"/>
  <c r="U1002" i="16"/>
  <c r="W1002" i="16"/>
  <c r="J1003" i="16"/>
  <c r="K1003" i="16"/>
  <c r="L1003" i="16"/>
  <c r="M1003" i="16"/>
  <c r="N1003" i="16"/>
  <c r="O1003" i="16"/>
  <c r="P1003" i="16"/>
  <c r="Q1003" i="16"/>
  <c r="R1003" i="16"/>
  <c r="S1003" i="16"/>
  <c r="U1003" i="16"/>
  <c r="W1003" i="16"/>
  <c r="J1004" i="16"/>
  <c r="K1004" i="16"/>
  <c r="L1004" i="16"/>
  <c r="M1004" i="16"/>
  <c r="N1004" i="16"/>
  <c r="O1004" i="16"/>
  <c r="P1004" i="16"/>
  <c r="Q1004" i="16"/>
  <c r="R1004" i="16"/>
  <c r="S1004" i="16"/>
  <c r="U1004" i="16"/>
  <c r="W1004" i="16"/>
  <c r="J1005" i="16"/>
  <c r="K1005" i="16"/>
  <c r="L1005" i="16"/>
  <c r="M1005" i="16"/>
  <c r="N1005" i="16"/>
  <c r="O1005" i="16"/>
  <c r="P1005" i="16"/>
  <c r="Q1005" i="16"/>
  <c r="R1005" i="16"/>
  <c r="S1005" i="16"/>
  <c r="U1005" i="16"/>
  <c r="W1005" i="16"/>
  <c r="J1006" i="16"/>
  <c r="K1006" i="16"/>
  <c r="L1006" i="16"/>
  <c r="M1006" i="16"/>
  <c r="N1006" i="16"/>
  <c r="O1006" i="16"/>
  <c r="P1006" i="16"/>
  <c r="Q1006" i="16"/>
  <c r="R1006" i="16"/>
  <c r="S1006" i="16"/>
  <c r="U1006" i="16"/>
  <c r="W1006" i="16"/>
  <c r="J1007" i="16"/>
  <c r="K1007" i="16"/>
  <c r="L1007" i="16"/>
  <c r="M1007" i="16"/>
  <c r="N1007" i="16"/>
  <c r="O1007" i="16"/>
  <c r="P1007" i="16"/>
  <c r="Q1007" i="16"/>
  <c r="R1007" i="16"/>
  <c r="S1007" i="16"/>
  <c r="U1007" i="16"/>
  <c r="W1007" i="16"/>
  <c r="J1008" i="16"/>
  <c r="K1008" i="16"/>
  <c r="L1008" i="16"/>
  <c r="M1008" i="16"/>
  <c r="N1008" i="16"/>
  <c r="O1008" i="16"/>
  <c r="P1008" i="16"/>
  <c r="Q1008" i="16"/>
  <c r="R1008" i="16"/>
  <c r="S1008" i="16"/>
  <c r="U1008" i="16"/>
  <c r="W1008" i="16"/>
  <c r="J1009" i="16"/>
  <c r="K1009" i="16"/>
  <c r="L1009" i="16"/>
  <c r="M1009" i="16"/>
  <c r="N1009" i="16"/>
  <c r="O1009" i="16"/>
  <c r="P1009" i="16"/>
  <c r="Q1009" i="16"/>
  <c r="R1009" i="16"/>
  <c r="S1009" i="16"/>
  <c r="U1009" i="16"/>
  <c r="W1009" i="16"/>
  <c r="J1010" i="16"/>
  <c r="K1010" i="16"/>
  <c r="L1010" i="16"/>
  <c r="M1010" i="16"/>
  <c r="N1010" i="16"/>
  <c r="O1010" i="16"/>
  <c r="P1010" i="16"/>
  <c r="Q1010" i="16"/>
  <c r="R1010" i="16"/>
  <c r="S1010" i="16"/>
  <c r="U1010" i="16"/>
  <c r="W1010" i="16"/>
  <c r="J1011" i="16"/>
  <c r="K1011" i="16"/>
  <c r="L1011" i="16"/>
  <c r="M1011" i="16"/>
  <c r="N1011" i="16"/>
  <c r="O1011" i="16"/>
  <c r="P1011" i="16"/>
  <c r="Q1011" i="16"/>
  <c r="R1011" i="16"/>
  <c r="S1011" i="16"/>
  <c r="U1011" i="16"/>
  <c r="W1011" i="16"/>
  <c r="J1012" i="16"/>
  <c r="K1012" i="16"/>
  <c r="L1012" i="16"/>
  <c r="M1012" i="16"/>
  <c r="N1012" i="16"/>
  <c r="O1012" i="16"/>
  <c r="P1012" i="16"/>
  <c r="Q1012" i="16"/>
  <c r="R1012" i="16"/>
  <c r="S1012" i="16"/>
  <c r="U1012" i="16"/>
  <c r="W1012" i="16"/>
  <c r="J1013" i="16"/>
  <c r="K1013" i="16"/>
  <c r="L1013" i="16"/>
  <c r="M1013" i="16"/>
  <c r="N1013" i="16"/>
  <c r="O1013" i="16"/>
  <c r="P1013" i="16"/>
  <c r="Q1013" i="16"/>
  <c r="R1013" i="16"/>
  <c r="S1013" i="16"/>
  <c r="U1013" i="16"/>
  <c r="W1013" i="16"/>
  <c r="J1016" i="16"/>
  <c r="K1016" i="16"/>
  <c r="L1016" i="16"/>
  <c r="M1016" i="16"/>
  <c r="N1016" i="16"/>
  <c r="O1016" i="16"/>
  <c r="P1016" i="16"/>
  <c r="Q1016" i="16"/>
  <c r="R1016" i="16"/>
  <c r="S1016" i="16"/>
  <c r="U1016" i="16"/>
  <c r="W1016" i="16"/>
  <c r="J1017" i="16"/>
  <c r="K1017" i="16"/>
  <c r="L1017" i="16"/>
  <c r="M1017" i="16"/>
  <c r="N1017" i="16"/>
  <c r="O1017" i="16"/>
  <c r="P1017" i="16"/>
  <c r="Q1017" i="16"/>
  <c r="R1017" i="16"/>
  <c r="S1017" i="16"/>
  <c r="U1017" i="16"/>
  <c r="W1017" i="16"/>
  <c r="J1019" i="16"/>
  <c r="K1019" i="16"/>
  <c r="L1019" i="16"/>
  <c r="M1019" i="16"/>
  <c r="N1019" i="16"/>
  <c r="O1019" i="16"/>
  <c r="P1019" i="16"/>
  <c r="Q1019" i="16"/>
  <c r="R1019" i="16"/>
  <c r="S1019" i="16"/>
  <c r="U1019" i="16"/>
  <c r="W1019" i="16"/>
  <c r="J1020" i="16"/>
  <c r="K1020" i="16"/>
  <c r="L1020" i="16"/>
  <c r="M1020" i="16"/>
  <c r="N1020" i="16"/>
  <c r="O1020" i="16"/>
  <c r="P1020" i="16"/>
  <c r="Q1020" i="16"/>
  <c r="R1020" i="16"/>
  <c r="S1020" i="16"/>
  <c r="U1020" i="16"/>
  <c r="W1020" i="16"/>
  <c r="J1021" i="16"/>
  <c r="K1021" i="16"/>
  <c r="L1021" i="16"/>
  <c r="M1021" i="16"/>
  <c r="N1021" i="16"/>
  <c r="O1021" i="16"/>
  <c r="P1021" i="16"/>
  <c r="Q1021" i="16"/>
  <c r="R1021" i="16"/>
  <c r="S1021" i="16"/>
  <c r="U1021" i="16"/>
  <c r="W1021" i="16"/>
  <c r="J1032" i="16"/>
  <c r="K1032" i="16"/>
  <c r="L1032" i="16"/>
  <c r="M1032" i="16"/>
  <c r="N1032" i="16"/>
  <c r="O1032" i="16"/>
  <c r="P1032" i="16"/>
  <c r="Q1032" i="16"/>
  <c r="R1032" i="16"/>
  <c r="S1032" i="16"/>
  <c r="U1032" i="16"/>
  <c r="W1032" i="16"/>
  <c r="J1049" i="16"/>
  <c r="K1049" i="16"/>
  <c r="L1049" i="16"/>
  <c r="M1049" i="16"/>
  <c r="N1049" i="16"/>
  <c r="O1049" i="16"/>
  <c r="P1049" i="16"/>
  <c r="Q1049" i="16"/>
  <c r="R1049" i="16"/>
  <c r="S1049" i="16"/>
  <c r="U1049" i="16"/>
  <c r="W1049" i="16"/>
  <c r="J1050" i="16"/>
  <c r="K1050" i="16"/>
  <c r="L1050" i="16"/>
  <c r="M1050" i="16"/>
  <c r="N1050" i="16"/>
  <c r="O1050" i="16"/>
  <c r="P1050" i="16"/>
  <c r="Q1050" i="16"/>
  <c r="R1050" i="16"/>
  <c r="S1050" i="16"/>
  <c r="U1050" i="16"/>
  <c r="W1050" i="16"/>
  <c r="J1051" i="16"/>
  <c r="K1051" i="16"/>
  <c r="L1051" i="16"/>
  <c r="M1051" i="16"/>
  <c r="N1051" i="16"/>
  <c r="O1051" i="16"/>
  <c r="P1051" i="16"/>
  <c r="Q1051" i="16"/>
  <c r="R1051" i="16"/>
  <c r="S1051" i="16"/>
  <c r="U1051" i="16"/>
  <c r="W1051" i="16"/>
  <c r="J1052" i="16"/>
  <c r="K1052" i="16"/>
  <c r="L1052" i="16"/>
  <c r="M1052" i="16"/>
  <c r="N1052" i="16"/>
  <c r="O1052" i="16"/>
  <c r="P1052" i="16"/>
  <c r="Q1052" i="16"/>
  <c r="R1052" i="16"/>
  <c r="S1052" i="16"/>
  <c r="U1052" i="16"/>
  <c r="W1052" i="16"/>
  <c r="J1053" i="16"/>
  <c r="K1053" i="16"/>
  <c r="L1053" i="16"/>
  <c r="M1053" i="16"/>
  <c r="N1053" i="16"/>
  <c r="O1053" i="16"/>
  <c r="P1053" i="16"/>
  <c r="Q1053" i="16"/>
  <c r="R1053" i="16"/>
  <c r="S1053" i="16"/>
  <c r="U1053" i="16"/>
  <c r="W1053" i="16"/>
  <c r="J1054" i="16"/>
  <c r="K1054" i="16"/>
  <c r="L1054" i="16"/>
  <c r="M1054" i="16"/>
  <c r="N1054" i="16"/>
  <c r="O1054" i="16"/>
  <c r="P1054" i="16"/>
  <c r="Q1054" i="16"/>
  <c r="R1054" i="16"/>
  <c r="S1054" i="16"/>
  <c r="U1054" i="16"/>
  <c r="W1054" i="16"/>
  <c r="J1055" i="16"/>
  <c r="K1055" i="16"/>
  <c r="L1055" i="16"/>
  <c r="M1055" i="16"/>
  <c r="N1055" i="16"/>
  <c r="O1055" i="16"/>
  <c r="P1055" i="16"/>
  <c r="Q1055" i="16"/>
  <c r="R1055" i="16"/>
  <c r="S1055" i="16"/>
  <c r="U1055" i="16"/>
  <c r="W1055" i="16"/>
  <c r="J1056" i="16"/>
  <c r="K1056" i="16"/>
  <c r="L1056" i="16"/>
  <c r="M1056" i="16"/>
  <c r="N1056" i="16"/>
  <c r="O1056" i="16"/>
  <c r="P1056" i="16"/>
  <c r="Q1056" i="16"/>
  <c r="R1056" i="16"/>
  <c r="S1056" i="16"/>
  <c r="U1056" i="16"/>
  <c r="W1056" i="16"/>
  <c r="J1057" i="16"/>
  <c r="K1057" i="16"/>
  <c r="L1057" i="16"/>
  <c r="M1057" i="16"/>
  <c r="N1057" i="16"/>
  <c r="O1057" i="16"/>
  <c r="P1057" i="16"/>
  <c r="Q1057" i="16"/>
  <c r="R1057" i="16"/>
  <c r="S1057" i="16"/>
  <c r="U1057" i="16"/>
  <c r="W1057" i="16"/>
  <c r="J1058" i="16"/>
  <c r="K1058" i="16"/>
  <c r="L1058" i="16"/>
  <c r="M1058" i="16"/>
  <c r="N1058" i="16"/>
  <c r="O1058" i="16"/>
  <c r="P1058" i="16"/>
  <c r="Q1058" i="16"/>
  <c r="R1058" i="16"/>
  <c r="S1058" i="16"/>
  <c r="U1058" i="16"/>
  <c r="W1058" i="16"/>
  <c r="J1059" i="16"/>
  <c r="K1059" i="16"/>
  <c r="L1059" i="16"/>
  <c r="M1059" i="16"/>
  <c r="N1059" i="16"/>
  <c r="O1059" i="16"/>
  <c r="P1059" i="16"/>
  <c r="Q1059" i="16"/>
  <c r="R1059" i="16"/>
  <c r="S1059" i="16"/>
  <c r="U1059" i="16"/>
  <c r="W1059" i="16"/>
  <c r="J1060" i="16"/>
  <c r="K1060" i="16"/>
  <c r="L1060" i="16"/>
  <c r="M1060" i="16"/>
  <c r="N1060" i="16"/>
  <c r="O1060" i="16"/>
  <c r="P1060" i="16"/>
  <c r="Q1060" i="16"/>
  <c r="R1060" i="16"/>
  <c r="S1060" i="16"/>
  <c r="U1060" i="16"/>
  <c r="W1060" i="16"/>
  <c r="J1061" i="16"/>
  <c r="K1061" i="16"/>
  <c r="L1061" i="16"/>
  <c r="M1061" i="16"/>
  <c r="N1061" i="16"/>
  <c r="O1061" i="16"/>
  <c r="P1061" i="16"/>
  <c r="Q1061" i="16"/>
  <c r="R1061" i="16"/>
  <c r="S1061" i="16"/>
  <c r="U1061" i="16"/>
  <c r="W1061" i="16"/>
  <c r="J1062" i="16"/>
  <c r="K1062" i="16"/>
  <c r="L1062" i="16"/>
  <c r="M1062" i="16"/>
  <c r="N1062" i="16"/>
  <c r="O1062" i="16"/>
  <c r="P1062" i="16"/>
  <c r="Q1062" i="16"/>
  <c r="R1062" i="16"/>
  <c r="S1062" i="16"/>
  <c r="U1062" i="16"/>
  <c r="W1062" i="16"/>
  <c r="J1063" i="16"/>
  <c r="K1063" i="16"/>
  <c r="L1063" i="16"/>
  <c r="M1063" i="16"/>
  <c r="N1063" i="16"/>
  <c r="O1063" i="16"/>
  <c r="P1063" i="16"/>
  <c r="Q1063" i="16"/>
  <c r="R1063" i="16"/>
  <c r="S1063" i="16"/>
  <c r="U1063" i="16"/>
  <c r="W1063" i="16"/>
  <c r="J1065" i="16"/>
  <c r="K1065" i="16"/>
  <c r="L1065" i="16"/>
  <c r="M1065" i="16"/>
  <c r="N1065" i="16"/>
  <c r="O1065" i="16"/>
  <c r="P1065" i="16"/>
  <c r="Q1065" i="16"/>
  <c r="R1065" i="16"/>
  <c r="S1065" i="16"/>
  <c r="U1065" i="16"/>
  <c r="W1065" i="16"/>
  <c r="J1068" i="16"/>
  <c r="K1068" i="16"/>
  <c r="L1068" i="16"/>
  <c r="M1068" i="16"/>
  <c r="N1068" i="16"/>
  <c r="O1068" i="16"/>
  <c r="P1068" i="16"/>
  <c r="Q1068" i="16"/>
  <c r="R1068" i="16"/>
  <c r="S1068" i="16"/>
  <c r="U1068" i="16"/>
  <c r="W1068" i="16"/>
  <c r="J1070" i="16"/>
  <c r="K1070" i="16"/>
  <c r="L1070" i="16"/>
  <c r="M1070" i="16"/>
  <c r="N1070" i="16"/>
  <c r="O1070" i="16"/>
  <c r="P1070" i="16"/>
  <c r="Q1070" i="16"/>
  <c r="R1070" i="16"/>
  <c r="S1070" i="16"/>
  <c r="U1070" i="16"/>
  <c r="W1070" i="16"/>
  <c r="J1088" i="16"/>
  <c r="K1088" i="16"/>
  <c r="L1088" i="16"/>
  <c r="M1088" i="16"/>
  <c r="N1088" i="16"/>
  <c r="O1088" i="16"/>
  <c r="P1088" i="16"/>
  <c r="Q1088" i="16"/>
  <c r="R1088" i="16"/>
  <c r="S1088" i="16"/>
  <c r="U1088" i="16"/>
  <c r="W1088" i="16"/>
  <c r="J1089" i="16"/>
  <c r="K1089" i="16"/>
  <c r="L1089" i="16"/>
  <c r="M1089" i="16"/>
  <c r="N1089" i="16"/>
  <c r="O1089" i="16"/>
  <c r="P1089" i="16"/>
  <c r="Q1089" i="16"/>
  <c r="R1089" i="16"/>
  <c r="S1089" i="16"/>
  <c r="U1089" i="16"/>
  <c r="W1089" i="16"/>
  <c r="J1090" i="16"/>
  <c r="K1090" i="16"/>
  <c r="L1090" i="16"/>
  <c r="M1090" i="16"/>
  <c r="N1090" i="16"/>
  <c r="O1090" i="16"/>
  <c r="P1090" i="16"/>
  <c r="Q1090" i="16"/>
  <c r="R1090" i="16"/>
  <c r="S1090" i="16"/>
  <c r="U1090" i="16"/>
  <c r="W1090" i="16"/>
  <c r="J1091" i="16"/>
  <c r="K1091" i="16"/>
  <c r="L1091" i="16"/>
  <c r="M1091" i="16"/>
  <c r="N1091" i="16"/>
  <c r="O1091" i="16"/>
  <c r="P1091" i="16"/>
  <c r="Q1091" i="16"/>
  <c r="R1091" i="16"/>
  <c r="S1091" i="16"/>
  <c r="U1091" i="16"/>
  <c r="W1091" i="16"/>
  <c r="J1094" i="16"/>
  <c r="K1094" i="16"/>
  <c r="L1094" i="16"/>
  <c r="M1094" i="16"/>
  <c r="N1094" i="16"/>
  <c r="O1094" i="16"/>
  <c r="P1094" i="16"/>
  <c r="Q1094" i="16"/>
  <c r="R1094" i="16"/>
  <c r="S1094" i="16"/>
  <c r="U1094" i="16"/>
  <c r="W1094" i="16"/>
  <c r="J1095" i="16"/>
  <c r="K1095" i="16"/>
  <c r="L1095" i="16"/>
  <c r="M1095" i="16"/>
  <c r="N1095" i="16"/>
  <c r="O1095" i="16"/>
  <c r="P1095" i="16"/>
  <c r="Q1095" i="16"/>
  <c r="R1095" i="16"/>
  <c r="S1095" i="16"/>
  <c r="U1095" i="16"/>
  <c r="W1095" i="16"/>
  <c r="J1098" i="16"/>
  <c r="K1098" i="16"/>
  <c r="L1098" i="16"/>
  <c r="M1098" i="16"/>
  <c r="N1098" i="16"/>
  <c r="O1098" i="16"/>
  <c r="P1098" i="16"/>
  <c r="Q1098" i="16"/>
  <c r="R1098" i="16"/>
  <c r="S1098" i="16"/>
  <c r="U1098" i="16"/>
  <c r="W1098" i="16"/>
  <c r="J1101" i="16"/>
  <c r="K1101" i="16"/>
  <c r="L1101" i="16"/>
  <c r="M1101" i="16"/>
  <c r="N1101" i="16"/>
  <c r="O1101" i="16"/>
  <c r="P1101" i="16"/>
  <c r="Q1101" i="16"/>
  <c r="R1101" i="16"/>
  <c r="S1101" i="16"/>
  <c r="U1101" i="16"/>
  <c r="W1101" i="16"/>
  <c r="J1103" i="16"/>
  <c r="K1103" i="16"/>
  <c r="L1103" i="16"/>
  <c r="M1103" i="16"/>
  <c r="N1103" i="16"/>
  <c r="O1103" i="16"/>
  <c r="P1103" i="16"/>
  <c r="Q1103" i="16"/>
  <c r="R1103" i="16"/>
  <c r="S1103" i="16"/>
  <c r="U1103" i="16"/>
  <c r="W1103" i="16"/>
  <c r="J1118" i="16"/>
  <c r="K1118" i="16"/>
  <c r="L1118" i="16"/>
  <c r="M1118" i="16"/>
  <c r="N1118" i="16"/>
  <c r="O1118" i="16"/>
  <c r="P1118" i="16"/>
  <c r="Q1118" i="16"/>
  <c r="R1118" i="16"/>
  <c r="S1118" i="16"/>
  <c r="U1118" i="16"/>
  <c r="W1118" i="16"/>
  <c r="J1121" i="16"/>
  <c r="K1121" i="16"/>
  <c r="L1121" i="16"/>
  <c r="M1121" i="16"/>
  <c r="N1121" i="16"/>
  <c r="O1121" i="16"/>
  <c r="P1121" i="16"/>
  <c r="Q1121" i="16"/>
  <c r="R1121" i="16"/>
  <c r="S1121" i="16"/>
  <c r="U1121" i="16"/>
  <c r="W1121" i="16"/>
  <c r="J1122" i="16"/>
  <c r="K1122" i="16"/>
  <c r="L1122" i="16"/>
  <c r="M1122" i="16"/>
  <c r="N1122" i="16"/>
  <c r="O1122" i="16"/>
  <c r="P1122" i="16"/>
  <c r="Q1122" i="16"/>
  <c r="R1122" i="16"/>
  <c r="S1122" i="16"/>
  <c r="U1122" i="16"/>
  <c r="W1122" i="16"/>
  <c r="J1123" i="16"/>
  <c r="K1123" i="16"/>
  <c r="L1123" i="16"/>
  <c r="M1123" i="16"/>
  <c r="N1123" i="16"/>
  <c r="O1123" i="16"/>
  <c r="P1123" i="16"/>
  <c r="Q1123" i="16"/>
  <c r="R1123" i="16"/>
  <c r="S1123" i="16"/>
  <c r="U1123" i="16"/>
  <c r="W1123" i="16"/>
  <c r="J1124" i="16"/>
  <c r="K1124" i="16"/>
  <c r="L1124" i="16"/>
  <c r="M1124" i="16"/>
  <c r="N1124" i="16"/>
  <c r="O1124" i="16"/>
  <c r="P1124" i="16"/>
  <c r="Q1124" i="16"/>
  <c r="R1124" i="16"/>
  <c r="S1124" i="16"/>
  <c r="U1124" i="16"/>
  <c r="W1124" i="16"/>
  <c r="J1125" i="16"/>
  <c r="K1125" i="16"/>
  <c r="L1125" i="16"/>
  <c r="M1125" i="16"/>
  <c r="N1125" i="16"/>
  <c r="O1125" i="16"/>
  <c r="P1125" i="16"/>
  <c r="Q1125" i="16"/>
  <c r="R1125" i="16"/>
  <c r="S1125" i="16"/>
  <c r="U1125" i="16"/>
  <c r="W1125" i="16"/>
  <c r="J1126" i="16"/>
  <c r="K1126" i="16"/>
  <c r="L1126" i="16"/>
  <c r="M1126" i="16"/>
  <c r="N1126" i="16"/>
  <c r="O1126" i="16"/>
  <c r="P1126" i="16"/>
  <c r="Q1126" i="16"/>
  <c r="R1126" i="16"/>
  <c r="S1126" i="16"/>
  <c r="U1126" i="16"/>
  <c r="W1126" i="16"/>
  <c r="J1130" i="16"/>
  <c r="K1130" i="16"/>
  <c r="L1130" i="16"/>
  <c r="M1130" i="16"/>
  <c r="N1130" i="16"/>
  <c r="O1130" i="16"/>
  <c r="P1130" i="16"/>
  <c r="Q1130" i="16"/>
  <c r="R1130" i="16"/>
  <c r="S1130" i="16"/>
  <c r="U1130" i="16"/>
  <c r="W1130" i="16"/>
  <c r="J1133" i="16"/>
  <c r="K1133" i="16"/>
  <c r="L1133" i="16"/>
  <c r="M1133" i="16"/>
  <c r="N1133" i="16"/>
  <c r="O1133" i="16"/>
  <c r="P1133" i="16"/>
  <c r="Q1133" i="16"/>
  <c r="R1133" i="16"/>
  <c r="S1133" i="16"/>
  <c r="U1133" i="16"/>
  <c r="W1133" i="16"/>
  <c r="J1134" i="16"/>
  <c r="K1134" i="16"/>
  <c r="L1134" i="16"/>
  <c r="M1134" i="16"/>
  <c r="N1134" i="16"/>
  <c r="O1134" i="16"/>
  <c r="P1134" i="16"/>
  <c r="Q1134" i="16"/>
  <c r="R1134" i="16"/>
  <c r="S1134" i="16"/>
  <c r="U1134" i="16"/>
  <c r="W1134" i="16"/>
  <c r="J1135" i="16"/>
  <c r="K1135" i="16"/>
  <c r="L1135" i="16"/>
  <c r="M1135" i="16"/>
  <c r="N1135" i="16"/>
  <c r="O1135" i="16"/>
  <c r="P1135" i="16"/>
  <c r="Q1135" i="16"/>
  <c r="R1135" i="16"/>
  <c r="S1135" i="16"/>
  <c r="U1135" i="16"/>
  <c r="W1135" i="16"/>
  <c r="J1136" i="16"/>
  <c r="K1136" i="16"/>
  <c r="L1136" i="16"/>
  <c r="M1136" i="16"/>
  <c r="N1136" i="16"/>
  <c r="O1136" i="16"/>
  <c r="P1136" i="16"/>
  <c r="Q1136" i="16"/>
  <c r="R1136" i="16"/>
  <c r="S1136" i="16"/>
  <c r="U1136" i="16"/>
  <c r="W1136" i="16"/>
  <c r="J1137" i="16"/>
  <c r="K1137" i="16"/>
  <c r="L1137" i="16"/>
  <c r="M1137" i="16"/>
  <c r="N1137" i="16"/>
  <c r="O1137" i="16"/>
  <c r="P1137" i="16"/>
  <c r="Q1137" i="16"/>
  <c r="R1137" i="16"/>
  <c r="S1137" i="16"/>
  <c r="U1137" i="16"/>
  <c r="W1137" i="16"/>
  <c r="J1138" i="16"/>
  <c r="K1138" i="16"/>
  <c r="L1138" i="16"/>
  <c r="M1138" i="16"/>
  <c r="N1138" i="16"/>
  <c r="O1138" i="16"/>
  <c r="P1138" i="16"/>
  <c r="Q1138" i="16"/>
  <c r="R1138" i="16"/>
  <c r="S1138" i="16"/>
  <c r="U1138" i="16"/>
  <c r="J1139" i="16"/>
  <c r="K1139" i="16"/>
  <c r="L1139" i="16"/>
  <c r="M1139" i="16"/>
  <c r="N1139" i="16"/>
  <c r="O1139" i="16"/>
  <c r="P1139" i="16"/>
  <c r="Q1139" i="16"/>
  <c r="R1139" i="16"/>
  <c r="S1139" i="16"/>
  <c r="U1139" i="16"/>
  <c r="J1140" i="16"/>
  <c r="K1140" i="16"/>
  <c r="L1140" i="16"/>
  <c r="M1140" i="16"/>
  <c r="N1140" i="16"/>
  <c r="O1140" i="16"/>
  <c r="P1140" i="16"/>
  <c r="Q1140" i="16"/>
  <c r="R1140" i="16"/>
  <c r="S1140" i="16"/>
  <c r="U1140" i="16"/>
  <c r="W1140" i="16"/>
  <c r="J1142" i="16"/>
  <c r="K1142" i="16"/>
  <c r="L1142" i="16"/>
  <c r="M1142" i="16"/>
  <c r="N1142" i="16"/>
  <c r="O1142" i="16"/>
  <c r="P1142" i="16"/>
  <c r="Q1142" i="16"/>
  <c r="R1142" i="16"/>
  <c r="S1142" i="16"/>
  <c r="U1142" i="16"/>
  <c r="W1142" i="16"/>
  <c r="U1143" i="16"/>
  <c r="W1143" i="16"/>
  <c r="J1145" i="16"/>
  <c r="K1145" i="16"/>
  <c r="L1145" i="16"/>
  <c r="M1145" i="16"/>
  <c r="N1145" i="16"/>
  <c r="O1145" i="16"/>
  <c r="P1145" i="16"/>
  <c r="Q1145" i="16"/>
  <c r="R1145" i="16"/>
  <c r="S1145" i="16"/>
  <c r="U1145" i="16"/>
  <c r="W1145" i="16"/>
  <c r="J1148" i="16"/>
  <c r="K1148" i="16"/>
  <c r="L1148" i="16"/>
  <c r="M1148" i="16"/>
  <c r="N1148" i="16"/>
  <c r="O1148" i="16"/>
  <c r="P1148" i="16"/>
  <c r="Q1148" i="16"/>
  <c r="R1148" i="16"/>
  <c r="S1148" i="16"/>
  <c r="U1148" i="16"/>
  <c r="W1148" i="16"/>
  <c r="J1149" i="16"/>
  <c r="K1149" i="16"/>
  <c r="L1149" i="16"/>
  <c r="M1149" i="16"/>
  <c r="N1149" i="16"/>
  <c r="O1149" i="16"/>
  <c r="P1149" i="16"/>
  <c r="Q1149" i="16"/>
  <c r="R1149" i="16"/>
  <c r="S1149" i="16"/>
  <c r="U1149" i="16"/>
  <c r="W1149" i="16"/>
  <c r="J1150" i="16"/>
  <c r="K1150" i="16"/>
  <c r="L1150" i="16"/>
  <c r="M1150" i="16"/>
  <c r="N1150" i="16"/>
  <c r="O1150" i="16"/>
  <c r="P1150" i="16"/>
  <c r="Q1150" i="16"/>
  <c r="R1150" i="16"/>
  <c r="S1150" i="16"/>
  <c r="U1150" i="16"/>
  <c r="J1151" i="16"/>
  <c r="K1151" i="16"/>
  <c r="L1151" i="16"/>
  <c r="M1151" i="16"/>
  <c r="N1151" i="16"/>
  <c r="O1151" i="16"/>
  <c r="P1151" i="16"/>
  <c r="Q1151" i="16"/>
  <c r="R1151" i="16"/>
  <c r="S1151" i="16"/>
  <c r="U1151" i="16"/>
  <c r="J1152" i="16"/>
  <c r="K1152" i="16"/>
  <c r="L1152" i="16"/>
  <c r="M1152" i="16"/>
  <c r="N1152" i="16"/>
  <c r="O1152" i="16"/>
  <c r="P1152" i="16"/>
  <c r="Q1152" i="16"/>
  <c r="R1152" i="16"/>
  <c r="S1152" i="16"/>
  <c r="U1152" i="16"/>
  <c r="W1152" i="16"/>
  <c r="J1153" i="16"/>
  <c r="K1153" i="16"/>
  <c r="L1153" i="16"/>
  <c r="M1153" i="16"/>
  <c r="N1153" i="16"/>
  <c r="O1153" i="16"/>
  <c r="P1153" i="16"/>
  <c r="Q1153" i="16"/>
  <c r="R1153" i="16"/>
  <c r="S1153" i="16"/>
  <c r="U1153" i="16"/>
  <c r="W1153" i="16"/>
  <c r="J1156" i="16"/>
  <c r="K1156" i="16"/>
  <c r="L1156" i="16"/>
  <c r="M1156" i="16"/>
  <c r="N1156" i="16"/>
  <c r="O1156" i="16"/>
  <c r="P1156" i="16"/>
  <c r="Q1156" i="16"/>
  <c r="R1156" i="16"/>
  <c r="S1156" i="16"/>
  <c r="U1156" i="16"/>
  <c r="W1156" i="16"/>
  <c r="J1157" i="16"/>
  <c r="K1157" i="16"/>
  <c r="L1157" i="16"/>
  <c r="M1157" i="16"/>
  <c r="N1157" i="16"/>
  <c r="O1157" i="16"/>
  <c r="P1157" i="16"/>
  <c r="Q1157" i="16"/>
  <c r="R1157" i="16"/>
  <c r="S1157" i="16"/>
  <c r="U1157" i="16"/>
  <c r="W1157" i="16"/>
  <c r="J1158" i="16"/>
  <c r="K1158" i="16"/>
  <c r="L1158" i="16"/>
  <c r="M1158" i="16"/>
  <c r="N1158" i="16"/>
  <c r="O1158" i="16"/>
  <c r="P1158" i="16"/>
  <c r="Q1158" i="16"/>
  <c r="R1158" i="16"/>
  <c r="S1158" i="16"/>
  <c r="U1158" i="16"/>
  <c r="W1158" i="16"/>
  <c r="J1160" i="16"/>
  <c r="K1160" i="16"/>
  <c r="L1160" i="16"/>
  <c r="M1160" i="16"/>
  <c r="N1160" i="16"/>
  <c r="O1160" i="16"/>
  <c r="P1160" i="16"/>
  <c r="Q1160" i="16"/>
  <c r="R1160" i="16"/>
  <c r="S1160" i="16"/>
  <c r="U1160" i="16"/>
  <c r="W1160" i="16"/>
  <c r="J1162" i="16"/>
  <c r="K1162" i="16"/>
  <c r="L1162" i="16"/>
  <c r="M1162" i="16"/>
  <c r="N1162" i="16"/>
  <c r="O1162" i="16"/>
  <c r="P1162" i="16"/>
  <c r="Q1162" i="16"/>
  <c r="R1162" i="16"/>
  <c r="S1162" i="16"/>
  <c r="U1162" i="16"/>
  <c r="W1162" i="16"/>
  <c r="X1162" i="16"/>
  <c r="J1182" i="16"/>
  <c r="K1182" i="16"/>
  <c r="L1182" i="16"/>
  <c r="M1182" i="16"/>
  <c r="N1182" i="16"/>
  <c r="O1182" i="16"/>
  <c r="P1182" i="16"/>
  <c r="Q1182" i="16"/>
  <c r="R1182" i="16"/>
  <c r="S1182" i="16"/>
  <c r="U1182" i="16"/>
  <c r="W1182" i="16"/>
  <c r="J1184" i="16"/>
  <c r="K1184" i="16"/>
  <c r="L1184" i="16"/>
  <c r="M1184" i="16"/>
  <c r="N1184" i="16"/>
  <c r="O1184" i="16"/>
  <c r="P1184" i="16"/>
  <c r="Q1184" i="16"/>
  <c r="R1184" i="16"/>
  <c r="S1184" i="16"/>
  <c r="U1184" i="16"/>
  <c r="W1184" i="16"/>
  <c r="J1186" i="16"/>
  <c r="K1186" i="16"/>
  <c r="L1186" i="16"/>
  <c r="M1186" i="16"/>
  <c r="N1186" i="16"/>
  <c r="O1186" i="16"/>
  <c r="P1186" i="16"/>
  <c r="Q1186" i="16"/>
  <c r="R1186" i="16"/>
  <c r="S1186" i="16"/>
  <c r="U1186" i="16"/>
  <c r="W1186" i="16"/>
  <c r="J1188" i="16"/>
  <c r="K1188" i="16"/>
  <c r="L1188" i="16"/>
  <c r="M1188" i="16"/>
  <c r="N1188" i="16"/>
  <c r="O1188" i="16"/>
  <c r="P1188" i="16"/>
  <c r="Q1188" i="16"/>
  <c r="R1188" i="16"/>
  <c r="S1188" i="16"/>
  <c r="U1188" i="16"/>
  <c r="W1188" i="16"/>
  <c r="J1206" i="16"/>
  <c r="K1206" i="16"/>
  <c r="L1206" i="16"/>
  <c r="M1206" i="16"/>
  <c r="N1206" i="16"/>
  <c r="O1206" i="16"/>
  <c r="P1206" i="16"/>
  <c r="Q1206" i="16"/>
  <c r="U1206" i="16"/>
  <c r="W1206" i="16"/>
  <c r="J1209" i="16"/>
  <c r="K1209" i="16"/>
  <c r="L1209" i="16"/>
  <c r="M1209" i="16"/>
  <c r="N1209" i="16"/>
  <c r="O1209" i="16"/>
  <c r="P1209" i="16"/>
  <c r="Q1209" i="16"/>
  <c r="R1209" i="16"/>
  <c r="S1209" i="16"/>
  <c r="U1209" i="16"/>
  <c r="W1209" i="16"/>
  <c r="J1214" i="16"/>
  <c r="K1214" i="16"/>
  <c r="L1214" i="16"/>
  <c r="M1214" i="16"/>
  <c r="N1214" i="16"/>
  <c r="O1214" i="16"/>
  <c r="P1214" i="16"/>
  <c r="Q1214" i="16"/>
  <c r="R1214" i="16"/>
  <c r="S1214" i="16"/>
  <c r="U1214" i="16"/>
  <c r="W1214" i="16"/>
  <c r="J1217" i="16"/>
  <c r="K1217" i="16"/>
  <c r="L1217" i="16"/>
  <c r="M1217" i="16"/>
  <c r="N1217" i="16"/>
  <c r="O1217" i="16"/>
  <c r="P1217" i="16"/>
  <c r="Q1217" i="16"/>
  <c r="R1217" i="16"/>
  <c r="S1217" i="16"/>
  <c r="U1217" i="16"/>
  <c r="W1217" i="16"/>
  <c r="J1220" i="16"/>
  <c r="K1220" i="16"/>
  <c r="L1220" i="16"/>
  <c r="M1220" i="16"/>
  <c r="N1220" i="16"/>
  <c r="O1220" i="16"/>
  <c r="P1220" i="16"/>
  <c r="Q1220" i="16"/>
  <c r="R1220" i="16"/>
  <c r="S1220" i="16"/>
  <c r="U1220" i="16"/>
  <c r="W1220" i="16"/>
  <c r="J1222" i="16"/>
  <c r="K1222" i="16"/>
  <c r="L1222" i="16"/>
  <c r="M1222" i="16"/>
  <c r="N1222" i="16"/>
  <c r="O1222" i="16"/>
  <c r="P1222" i="16"/>
  <c r="Q1222" i="16"/>
  <c r="R1222" i="16"/>
  <c r="S1222" i="16"/>
  <c r="U1222" i="16"/>
  <c r="W1222" i="16"/>
  <c r="J1224" i="16"/>
  <c r="K1224" i="16"/>
  <c r="L1224" i="16"/>
  <c r="M1224" i="16"/>
  <c r="N1224" i="16"/>
  <c r="O1224" i="16"/>
  <c r="P1224" i="16"/>
  <c r="Q1224" i="16"/>
  <c r="R1224" i="16"/>
  <c r="S1224" i="16"/>
  <c r="U1224" i="16"/>
  <c r="W1224" i="16"/>
  <c r="J1226" i="16"/>
  <c r="K1226" i="16"/>
  <c r="L1226" i="16"/>
  <c r="M1226" i="16"/>
  <c r="N1226" i="16"/>
  <c r="O1226" i="16"/>
  <c r="P1226" i="16"/>
  <c r="Q1226" i="16"/>
  <c r="R1226" i="16"/>
  <c r="S1226" i="16"/>
  <c r="U1226" i="16"/>
  <c r="W1226" i="16"/>
  <c r="J1228" i="16"/>
  <c r="K1228" i="16"/>
  <c r="L1228" i="16"/>
  <c r="M1228" i="16"/>
  <c r="N1228" i="16"/>
  <c r="O1228" i="16"/>
  <c r="P1228" i="16"/>
  <c r="Q1228" i="16"/>
  <c r="R1228" i="16"/>
  <c r="S1228" i="16"/>
  <c r="U1228" i="16"/>
  <c r="W1228" i="16"/>
  <c r="J1230" i="16"/>
  <c r="K1230" i="16"/>
  <c r="L1230" i="16"/>
  <c r="M1230" i="16"/>
  <c r="N1230" i="16"/>
  <c r="O1230" i="16"/>
  <c r="P1230" i="16"/>
  <c r="Q1230" i="16"/>
  <c r="R1230" i="16"/>
  <c r="S1230" i="16"/>
  <c r="U1230" i="16"/>
  <c r="W1230" i="16"/>
  <c r="J1283" i="16"/>
  <c r="K1283" i="16"/>
  <c r="L1283" i="16"/>
  <c r="M1283" i="16"/>
  <c r="N1283" i="16"/>
  <c r="O1283" i="16"/>
  <c r="P1283" i="16"/>
  <c r="Q1283" i="16"/>
  <c r="R1283" i="16"/>
  <c r="S1283" i="16"/>
  <c r="U1283" i="16"/>
  <c r="J1284" i="16"/>
  <c r="K1284" i="16"/>
  <c r="L1284" i="16"/>
  <c r="M1284" i="16"/>
  <c r="N1284" i="16"/>
  <c r="O1284" i="16"/>
  <c r="P1284" i="16"/>
  <c r="Q1284" i="16"/>
  <c r="R1284" i="16"/>
  <c r="S1284" i="16"/>
  <c r="U1284" i="16"/>
  <c r="J1287" i="16"/>
  <c r="K1287" i="16"/>
  <c r="L1287" i="16"/>
  <c r="M1287" i="16"/>
  <c r="N1287" i="16"/>
  <c r="O1287" i="16"/>
  <c r="P1287" i="16"/>
  <c r="Q1287" i="16"/>
  <c r="R1287" i="16"/>
  <c r="S1287" i="16"/>
  <c r="U1287" i="16"/>
  <c r="J1290" i="16"/>
  <c r="K1290" i="16"/>
  <c r="L1290" i="16"/>
  <c r="M1290" i="16"/>
  <c r="N1290" i="16"/>
  <c r="O1290" i="16"/>
  <c r="P1290" i="16"/>
  <c r="Q1290" i="16"/>
  <c r="R1290" i="16"/>
  <c r="S1290" i="16"/>
  <c r="U1290" i="16"/>
  <c r="J1301" i="16"/>
  <c r="K1301" i="16"/>
  <c r="L1301" i="16"/>
  <c r="M1301" i="16"/>
  <c r="N1301" i="16"/>
  <c r="O1301" i="16"/>
  <c r="P1301" i="16"/>
  <c r="Q1301" i="16"/>
  <c r="R1301" i="16"/>
  <c r="S1301" i="16"/>
  <c r="U1301" i="16"/>
  <c r="J1303" i="16"/>
  <c r="K1303" i="16"/>
  <c r="L1303" i="16"/>
  <c r="M1303" i="16"/>
  <c r="N1303" i="16"/>
  <c r="O1303" i="16"/>
  <c r="P1303" i="16"/>
  <c r="Q1303" i="16"/>
  <c r="R1303" i="16"/>
  <c r="S1303" i="16"/>
  <c r="U1303" i="16"/>
  <c r="J1304" i="16"/>
  <c r="K1304" i="16"/>
  <c r="L1304" i="16"/>
  <c r="M1304" i="16"/>
  <c r="N1304" i="16"/>
  <c r="O1304" i="16"/>
  <c r="P1304" i="16"/>
  <c r="Q1304" i="16"/>
  <c r="U1304" i="16"/>
  <c r="J1305" i="16"/>
  <c r="K1305" i="16"/>
  <c r="L1305" i="16"/>
  <c r="M1305" i="16"/>
  <c r="N1305" i="16"/>
  <c r="O1305" i="16"/>
  <c r="P1305" i="16"/>
  <c r="Q1305" i="16"/>
  <c r="R1305" i="16"/>
  <c r="S1305" i="16"/>
  <c r="U1305" i="16"/>
  <c r="J1306" i="16"/>
  <c r="K1306" i="16"/>
  <c r="L1306" i="16"/>
  <c r="M1306" i="16"/>
  <c r="N1306" i="16"/>
  <c r="O1306" i="16"/>
  <c r="P1306" i="16"/>
  <c r="Q1306" i="16"/>
  <c r="R1306" i="16"/>
  <c r="S1306" i="16"/>
  <c r="U1306" i="16"/>
  <c r="J1307" i="16"/>
  <c r="K1307" i="16"/>
  <c r="L1307" i="16"/>
  <c r="M1307" i="16"/>
  <c r="N1307" i="16"/>
  <c r="O1307" i="16"/>
  <c r="P1307" i="16"/>
  <c r="Q1307" i="16"/>
  <c r="R1307" i="16"/>
  <c r="S1307" i="16"/>
  <c r="U1307" i="16"/>
  <c r="J1308" i="16"/>
  <c r="K1308" i="16"/>
  <c r="L1308" i="16"/>
  <c r="M1308" i="16"/>
  <c r="N1308" i="16"/>
  <c r="O1308" i="16"/>
  <c r="P1308" i="16"/>
  <c r="Q1308" i="16"/>
  <c r="R1308" i="16"/>
  <c r="S1308" i="16"/>
  <c r="U1308" i="16"/>
  <c r="J1309" i="16"/>
  <c r="K1309" i="16"/>
  <c r="L1309" i="16"/>
  <c r="M1309" i="16"/>
  <c r="N1309" i="16"/>
  <c r="O1309" i="16"/>
  <c r="P1309" i="16"/>
  <c r="Q1309" i="16"/>
  <c r="R1309" i="16"/>
  <c r="S1309" i="16"/>
  <c r="U1309" i="16"/>
  <c r="J1310" i="16"/>
  <c r="K1310" i="16"/>
  <c r="L1310" i="16"/>
  <c r="M1310" i="16"/>
  <c r="N1310" i="16"/>
  <c r="O1310" i="16"/>
  <c r="P1310" i="16"/>
  <c r="Q1310" i="16"/>
  <c r="R1310" i="16"/>
  <c r="S1310" i="16"/>
  <c r="U1310" i="16"/>
  <c r="J1311" i="16"/>
  <c r="K1311" i="16"/>
  <c r="L1311" i="16"/>
  <c r="M1311" i="16"/>
  <c r="N1311" i="16"/>
  <c r="O1311" i="16"/>
  <c r="P1311" i="16"/>
  <c r="Q1311" i="16"/>
  <c r="R1311" i="16"/>
  <c r="S1311" i="16"/>
  <c r="U1311" i="16"/>
  <c r="J1312" i="16"/>
  <c r="K1312" i="16"/>
  <c r="L1312" i="16"/>
  <c r="M1312" i="16"/>
  <c r="N1312" i="16"/>
  <c r="O1312" i="16"/>
  <c r="P1312" i="16"/>
  <c r="Q1312" i="16"/>
  <c r="R1312" i="16"/>
  <c r="S1312" i="16"/>
  <c r="U1312" i="16"/>
  <c r="J1313" i="16"/>
  <c r="K1313" i="16"/>
  <c r="L1313" i="16"/>
  <c r="M1313" i="16"/>
  <c r="N1313" i="16"/>
  <c r="O1313" i="16"/>
  <c r="P1313" i="16"/>
  <c r="Q1313" i="16"/>
  <c r="R1313" i="16"/>
  <c r="S1313" i="16"/>
  <c r="U1313" i="16"/>
  <c r="J1314" i="16"/>
  <c r="K1314" i="16"/>
  <c r="L1314" i="16"/>
  <c r="M1314" i="16"/>
  <c r="N1314" i="16"/>
  <c r="O1314" i="16"/>
  <c r="P1314" i="16"/>
  <c r="Q1314" i="16"/>
  <c r="R1314" i="16"/>
  <c r="S1314" i="16"/>
  <c r="U1314" i="16"/>
  <c r="J1315" i="16"/>
  <c r="K1315" i="16"/>
  <c r="L1315" i="16"/>
  <c r="M1315" i="16"/>
  <c r="N1315" i="16"/>
  <c r="O1315" i="16"/>
  <c r="P1315" i="16"/>
  <c r="Q1315" i="16"/>
  <c r="R1315" i="16"/>
  <c r="S1315" i="16"/>
  <c r="U1315" i="16"/>
  <c r="J1316" i="16"/>
  <c r="K1316" i="16"/>
  <c r="L1316" i="16"/>
  <c r="M1316" i="16"/>
  <c r="N1316" i="16"/>
  <c r="O1316" i="16"/>
  <c r="P1316" i="16"/>
  <c r="Q1316" i="16"/>
  <c r="U1316" i="16"/>
  <c r="J1319" i="16"/>
  <c r="K1319" i="16"/>
  <c r="L1319" i="16"/>
  <c r="M1319" i="16"/>
  <c r="N1319" i="16"/>
  <c r="O1319" i="16"/>
  <c r="P1319" i="16"/>
  <c r="Q1319" i="16"/>
  <c r="R1319" i="16"/>
  <c r="S1319" i="16"/>
  <c r="U1319" i="16"/>
  <c r="J1323" i="16"/>
  <c r="K1323" i="16"/>
  <c r="L1323" i="16"/>
  <c r="M1323" i="16"/>
  <c r="N1323" i="16"/>
  <c r="O1323" i="16"/>
  <c r="P1323" i="16"/>
  <c r="Q1323" i="16"/>
  <c r="R1323" i="16"/>
  <c r="S1323" i="16"/>
  <c r="U1323" i="16"/>
  <c r="J1324" i="16"/>
  <c r="K1324" i="16"/>
  <c r="L1324" i="16"/>
  <c r="M1324" i="16"/>
  <c r="N1324" i="16"/>
  <c r="O1324" i="16"/>
  <c r="P1324" i="16"/>
  <c r="Q1324" i="16"/>
  <c r="R1324" i="16"/>
  <c r="S1324" i="16"/>
  <c r="U1324" i="16"/>
  <c r="J1330" i="16"/>
  <c r="K1330" i="16"/>
  <c r="L1330" i="16"/>
  <c r="M1330" i="16"/>
  <c r="N1330" i="16"/>
  <c r="O1330" i="16"/>
  <c r="P1330" i="16"/>
  <c r="Q1330" i="16"/>
  <c r="R1330" i="16"/>
  <c r="S1330" i="16"/>
  <c r="U1330" i="16"/>
  <c r="J1334" i="16"/>
  <c r="K1334" i="16"/>
  <c r="L1334" i="16"/>
  <c r="M1334" i="16"/>
  <c r="N1334" i="16"/>
  <c r="O1334" i="16"/>
  <c r="P1334" i="16"/>
  <c r="Q1334" i="16"/>
  <c r="R1334" i="16"/>
  <c r="S1334" i="16"/>
  <c r="U1334" i="16"/>
  <c r="J1335" i="16"/>
  <c r="K1335" i="16"/>
  <c r="L1335" i="16"/>
  <c r="M1335" i="16"/>
  <c r="N1335" i="16"/>
  <c r="O1335" i="16"/>
  <c r="P1335" i="16"/>
  <c r="Q1335" i="16"/>
  <c r="R1335" i="16"/>
  <c r="S1335" i="16"/>
  <c r="U1335" i="16"/>
  <c r="J1338" i="16"/>
  <c r="K1338" i="16"/>
  <c r="L1338" i="16"/>
  <c r="M1338" i="16"/>
  <c r="N1338" i="16"/>
  <c r="O1338" i="16"/>
  <c r="P1338" i="16"/>
  <c r="Q1338" i="16"/>
  <c r="R1338" i="16"/>
  <c r="S1338" i="16"/>
  <c r="U1338" i="16"/>
  <c r="J1339" i="16"/>
  <c r="K1339" i="16"/>
  <c r="L1339" i="16"/>
  <c r="M1339" i="16"/>
  <c r="N1339" i="16"/>
  <c r="O1339" i="16"/>
  <c r="P1339" i="16"/>
  <c r="Q1339" i="16"/>
  <c r="U1339" i="16"/>
  <c r="J1390" i="16"/>
  <c r="K1390" i="16"/>
  <c r="L1390" i="16"/>
  <c r="M1390" i="16"/>
  <c r="N1390" i="16"/>
  <c r="O1390" i="16"/>
  <c r="P1390" i="16"/>
  <c r="Q1390" i="16"/>
  <c r="R1390" i="16"/>
  <c r="S1390" i="16"/>
  <c r="U1390" i="16"/>
  <c r="J1391" i="16"/>
  <c r="K1391" i="16"/>
  <c r="L1391" i="16"/>
  <c r="M1391" i="16"/>
  <c r="N1391" i="16"/>
  <c r="O1391" i="16"/>
  <c r="P1391" i="16"/>
  <c r="Q1391" i="16"/>
  <c r="R1391" i="16"/>
  <c r="S1391" i="16"/>
  <c r="U1391" i="16"/>
  <c r="J1394" i="16"/>
  <c r="K1394" i="16"/>
  <c r="L1394" i="16"/>
  <c r="M1394" i="16"/>
  <c r="N1394" i="16"/>
  <c r="O1394" i="16"/>
  <c r="P1394" i="16"/>
  <c r="Q1394" i="16"/>
  <c r="R1394" i="16"/>
  <c r="S1394" i="16"/>
  <c r="U1394" i="16"/>
  <c r="J1397" i="16"/>
  <c r="K1397" i="16"/>
  <c r="L1397" i="16"/>
  <c r="M1397" i="16"/>
  <c r="N1397" i="16"/>
  <c r="O1397" i="16"/>
  <c r="P1397" i="16"/>
  <c r="Q1397" i="16"/>
  <c r="R1397" i="16"/>
  <c r="S1397" i="16"/>
  <c r="U1397" i="16"/>
  <c r="J1408" i="16"/>
  <c r="K1408" i="16"/>
  <c r="L1408" i="16"/>
  <c r="M1408" i="16"/>
  <c r="N1408" i="16"/>
  <c r="O1408" i="16"/>
  <c r="P1408" i="16"/>
  <c r="Q1408" i="16"/>
  <c r="R1408" i="16"/>
  <c r="S1408" i="16"/>
  <c r="U1408" i="16"/>
  <c r="J1410" i="16"/>
  <c r="K1410" i="16"/>
  <c r="L1410" i="16"/>
  <c r="M1410" i="16"/>
  <c r="N1410" i="16"/>
  <c r="O1410" i="16"/>
  <c r="P1410" i="16"/>
  <c r="Q1410" i="16"/>
  <c r="R1410" i="16"/>
  <c r="S1410" i="16"/>
  <c r="U1410" i="16"/>
  <c r="J1411" i="16"/>
  <c r="K1411" i="16"/>
  <c r="L1411" i="16"/>
  <c r="M1411" i="16"/>
  <c r="N1411" i="16"/>
  <c r="O1411" i="16"/>
  <c r="P1411" i="16"/>
  <c r="Q1411" i="16"/>
  <c r="R1411" i="16"/>
  <c r="S1411" i="16"/>
  <c r="U1411" i="16"/>
  <c r="J1412" i="16"/>
  <c r="K1412" i="16"/>
  <c r="L1412" i="16"/>
  <c r="M1412" i="16"/>
  <c r="N1412" i="16"/>
  <c r="O1412" i="16"/>
  <c r="P1412" i="16"/>
  <c r="Q1412" i="16"/>
  <c r="R1412" i="16"/>
  <c r="S1412" i="16"/>
  <c r="U1412" i="16"/>
  <c r="J1413" i="16"/>
  <c r="K1413" i="16"/>
  <c r="L1413" i="16"/>
  <c r="M1413" i="16"/>
  <c r="N1413" i="16"/>
  <c r="O1413" i="16"/>
  <c r="P1413" i="16"/>
  <c r="Q1413" i="16"/>
  <c r="R1413" i="16"/>
  <c r="S1413" i="16"/>
  <c r="U1413" i="16"/>
  <c r="J1414" i="16"/>
  <c r="K1414" i="16"/>
  <c r="L1414" i="16"/>
  <c r="M1414" i="16"/>
  <c r="N1414" i="16"/>
  <c r="O1414" i="16"/>
  <c r="P1414" i="16"/>
  <c r="Q1414" i="16"/>
  <c r="R1414" i="16"/>
  <c r="S1414" i="16"/>
  <c r="U1414" i="16"/>
  <c r="J1415" i="16"/>
  <c r="K1415" i="16"/>
  <c r="L1415" i="16"/>
  <c r="M1415" i="16"/>
  <c r="N1415" i="16"/>
  <c r="O1415" i="16"/>
  <c r="P1415" i="16"/>
  <c r="Q1415" i="16"/>
  <c r="R1415" i="16"/>
  <c r="S1415" i="16"/>
  <c r="U1415" i="16"/>
  <c r="J1416" i="16"/>
  <c r="K1416" i="16"/>
  <c r="L1416" i="16"/>
  <c r="M1416" i="16"/>
  <c r="N1416" i="16"/>
  <c r="O1416" i="16"/>
  <c r="P1416" i="16"/>
  <c r="Q1416" i="16"/>
  <c r="R1416" i="16"/>
  <c r="S1416" i="16"/>
  <c r="U1416" i="16"/>
  <c r="J1417" i="16"/>
  <c r="K1417" i="16"/>
  <c r="L1417" i="16"/>
  <c r="M1417" i="16"/>
  <c r="N1417" i="16"/>
  <c r="O1417" i="16"/>
  <c r="P1417" i="16"/>
  <c r="Q1417" i="16"/>
  <c r="R1417" i="16"/>
  <c r="S1417" i="16"/>
  <c r="U1417" i="16"/>
  <c r="J1418" i="16"/>
  <c r="K1418" i="16"/>
  <c r="L1418" i="16"/>
  <c r="M1418" i="16"/>
  <c r="N1418" i="16"/>
  <c r="O1418" i="16"/>
  <c r="P1418" i="16"/>
  <c r="Q1418" i="16"/>
  <c r="R1418" i="16"/>
  <c r="S1418" i="16"/>
  <c r="U1418" i="16"/>
  <c r="J1419" i="16"/>
  <c r="K1419" i="16"/>
  <c r="L1419" i="16"/>
  <c r="M1419" i="16"/>
  <c r="N1419" i="16"/>
  <c r="O1419" i="16"/>
  <c r="P1419" i="16"/>
  <c r="Q1419" i="16"/>
  <c r="R1419" i="16"/>
  <c r="S1419" i="16"/>
  <c r="U1419" i="16"/>
  <c r="J1420" i="16"/>
  <c r="K1420" i="16"/>
  <c r="L1420" i="16"/>
  <c r="M1420" i="16"/>
  <c r="N1420" i="16"/>
  <c r="O1420" i="16"/>
  <c r="P1420" i="16"/>
  <c r="Q1420" i="16"/>
  <c r="R1420" i="16"/>
  <c r="S1420" i="16"/>
  <c r="U1420" i="16"/>
  <c r="J1421" i="16"/>
  <c r="K1421" i="16"/>
  <c r="L1421" i="16"/>
  <c r="M1421" i="16"/>
  <c r="N1421" i="16"/>
  <c r="O1421" i="16"/>
  <c r="P1421" i="16"/>
  <c r="Q1421" i="16"/>
  <c r="R1421" i="16"/>
  <c r="S1421" i="16"/>
  <c r="U1421" i="16"/>
  <c r="J1422" i="16"/>
  <c r="K1422" i="16"/>
  <c r="L1422" i="16"/>
  <c r="M1422" i="16"/>
  <c r="N1422" i="16"/>
  <c r="O1422" i="16"/>
  <c r="P1422" i="16"/>
  <c r="Q1422" i="16"/>
  <c r="R1422" i="16"/>
  <c r="S1422" i="16"/>
  <c r="U1422" i="16"/>
  <c r="J1423" i="16"/>
  <c r="K1423" i="16"/>
  <c r="L1423" i="16"/>
  <c r="M1423" i="16"/>
  <c r="N1423" i="16"/>
  <c r="O1423" i="16"/>
  <c r="P1423" i="16"/>
  <c r="Q1423" i="16"/>
  <c r="R1423" i="16"/>
  <c r="S1423" i="16"/>
  <c r="U1423" i="16"/>
  <c r="J1426" i="16"/>
  <c r="K1426" i="16"/>
  <c r="L1426" i="16"/>
  <c r="M1426" i="16"/>
  <c r="N1426" i="16"/>
  <c r="O1426" i="16"/>
  <c r="P1426" i="16"/>
  <c r="Q1426" i="16"/>
  <c r="R1426" i="16"/>
  <c r="S1426" i="16"/>
  <c r="U1426" i="16"/>
  <c r="J1430" i="16"/>
  <c r="K1430" i="16"/>
  <c r="L1430" i="16"/>
  <c r="M1430" i="16"/>
  <c r="N1430" i="16"/>
  <c r="O1430" i="16"/>
  <c r="P1430" i="16"/>
  <c r="Q1430" i="16"/>
  <c r="R1430" i="16"/>
  <c r="S1430" i="16"/>
  <c r="U1430" i="16"/>
  <c r="J1431" i="16"/>
  <c r="K1431" i="16"/>
  <c r="L1431" i="16"/>
  <c r="M1431" i="16"/>
  <c r="N1431" i="16"/>
  <c r="O1431" i="16"/>
  <c r="P1431" i="16"/>
  <c r="Q1431" i="16"/>
  <c r="R1431" i="16"/>
  <c r="S1431" i="16"/>
  <c r="U1431" i="16"/>
  <c r="J1437" i="16"/>
  <c r="K1437" i="16"/>
  <c r="L1437" i="16"/>
  <c r="M1437" i="16"/>
  <c r="N1437" i="16"/>
  <c r="O1437" i="16"/>
  <c r="P1437" i="16"/>
  <c r="Q1437" i="16"/>
  <c r="R1437" i="16"/>
  <c r="S1437" i="16"/>
  <c r="U1437" i="16"/>
  <c r="J1441" i="16"/>
  <c r="K1441" i="16"/>
  <c r="L1441" i="16"/>
  <c r="M1441" i="16"/>
  <c r="N1441" i="16"/>
  <c r="O1441" i="16"/>
  <c r="P1441" i="16"/>
  <c r="Q1441" i="16"/>
  <c r="R1441" i="16"/>
  <c r="S1441" i="16"/>
  <c r="U1441" i="16"/>
  <c r="J1442" i="16"/>
  <c r="K1442" i="16"/>
  <c r="L1442" i="16"/>
  <c r="M1442" i="16"/>
  <c r="N1442" i="16"/>
  <c r="O1442" i="16"/>
  <c r="P1442" i="16"/>
  <c r="Q1442" i="16"/>
  <c r="R1442" i="16"/>
  <c r="S1442" i="16"/>
  <c r="U1442" i="16"/>
  <c r="J1445" i="16"/>
  <c r="K1445" i="16"/>
  <c r="L1445" i="16"/>
  <c r="M1445" i="16"/>
  <c r="N1445" i="16"/>
  <c r="O1445" i="16"/>
  <c r="P1445" i="16"/>
  <c r="Q1445" i="16"/>
  <c r="R1445" i="16"/>
  <c r="S1445" i="16"/>
  <c r="U1445" i="16"/>
  <c r="J1446" i="16"/>
  <c r="K1446" i="16"/>
  <c r="L1446" i="16"/>
  <c r="M1446" i="16"/>
  <c r="N1446" i="16"/>
  <c r="O1446" i="16"/>
  <c r="P1446" i="16"/>
  <c r="Q1446" i="16"/>
  <c r="U1446" i="16"/>
  <c r="J15" i="18"/>
  <c r="K15" i="18"/>
  <c r="L15" i="18"/>
  <c r="M15" i="18"/>
  <c r="N15" i="18"/>
  <c r="O15" i="18"/>
  <c r="P15" i="18"/>
  <c r="Q15" i="18"/>
  <c r="R15" i="18"/>
  <c r="S15" i="18"/>
  <c r="U15" i="18"/>
  <c r="X15" i="18"/>
  <c r="J17" i="18"/>
  <c r="K17" i="18"/>
  <c r="L17" i="18"/>
  <c r="M17" i="18"/>
  <c r="N17" i="18"/>
  <c r="O17" i="18"/>
  <c r="P17" i="18"/>
  <c r="Q17" i="18"/>
  <c r="R17" i="18"/>
  <c r="S17" i="18"/>
  <c r="U17" i="18"/>
  <c r="X17" i="18"/>
  <c r="J18" i="18"/>
  <c r="K18" i="18"/>
  <c r="L18" i="18"/>
  <c r="M18" i="18"/>
  <c r="N18" i="18"/>
  <c r="O18" i="18"/>
  <c r="P18" i="18"/>
  <c r="Q18" i="18"/>
  <c r="R18" i="18"/>
  <c r="S18" i="18"/>
  <c r="U18" i="18"/>
  <c r="X18" i="18"/>
  <c r="J20" i="18"/>
  <c r="K20" i="18"/>
  <c r="L20" i="18"/>
  <c r="M20" i="18"/>
  <c r="N20" i="18"/>
  <c r="O20" i="18"/>
  <c r="P20" i="18"/>
  <c r="Q20" i="18"/>
  <c r="R20" i="18"/>
  <c r="S20" i="18"/>
  <c r="U20" i="18"/>
  <c r="X20" i="18"/>
  <c r="J21" i="18"/>
  <c r="K21" i="18"/>
  <c r="L21" i="18"/>
  <c r="M21" i="18"/>
  <c r="N21" i="18"/>
  <c r="O21" i="18"/>
  <c r="P21" i="18"/>
  <c r="Q21" i="18"/>
  <c r="R21" i="18"/>
  <c r="S21" i="18"/>
  <c r="U21" i="18"/>
  <c r="X21" i="18"/>
  <c r="J22" i="18"/>
  <c r="K22" i="18"/>
  <c r="L22" i="18"/>
  <c r="M22" i="18"/>
  <c r="N22" i="18"/>
  <c r="O22" i="18"/>
  <c r="P22" i="18"/>
  <c r="Q22" i="18"/>
  <c r="R22" i="18"/>
  <c r="S22" i="18"/>
  <c r="U22" i="18"/>
  <c r="X22" i="18"/>
  <c r="J24" i="18"/>
  <c r="K24" i="18"/>
  <c r="L24" i="18"/>
  <c r="M24" i="18"/>
  <c r="N24" i="18"/>
  <c r="O24" i="18"/>
  <c r="P24" i="18"/>
  <c r="Q24" i="18"/>
  <c r="R24" i="18"/>
  <c r="S24" i="18"/>
  <c r="U24" i="18"/>
  <c r="X24" i="18"/>
  <c r="J25" i="18"/>
  <c r="K25" i="18"/>
  <c r="L25" i="18"/>
  <c r="M25" i="18"/>
  <c r="N25" i="18"/>
  <c r="O25" i="18"/>
  <c r="P25" i="18"/>
  <c r="Q25" i="18"/>
  <c r="R25" i="18"/>
  <c r="S25" i="18"/>
  <c r="U25" i="18"/>
  <c r="X25" i="18"/>
  <c r="J27" i="18"/>
  <c r="K27" i="18"/>
  <c r="L27" i="18"/>
  <c r="M27" i="18"/>
  <c r="N27" i="18"/>
  <c r="O27" i="18"/>
  <c r="P27" i="18"/>
  <c r="Q27" i="18"/>
  <c r="R27" i="18"/>
  <c r="S27" i="18"/>
  <c r="U27" i="18"/>
  <c r="X27" i="18"/>
  <c r="J29" i="18"/>
  <c r="K29" i="18"/>
  <c r="L29" i="18"/>
  <c r="M29" i="18"/>
  <c r="N29" i="18"/>
  <c r="O29" i="18"/>
  <c r="P29" i="18"/>
  <c r="Q29" i="18"/>
  <c r="R29" i="18"/>
  <c r="S29" i="18"/>
  <c r="U29" i="18"/>
  <c r="X29" i="18"/>
  <c r="J31" i="18"/>
  <c r="K31" i="18"/>
  <c r="L31" i="18"/>
  <c r="M31" i="18"/>
  <c r="N31" i="18"/>
  <c r="O31" i="18"/>
  <c r="P31" i="18"/>
  <c r="Q31" i="18"/>
  <c r="R31" i="18"/>
  <c r="S31" i="18"/>
  <c r="U31" i="18"/>
  <c r="X31" i="18"/>
  <c r="J33" i="18"/>
  <c r="K33" i="18"/>
  <c r="L33" i="18"/>
  <c r="M33" i="18"/>
  <c r="N33" i="18"/>
  <c r="O33" i="18"/>
  <c r="P33" i="18"/>
  <c r="Q33" i="18"/>
  <c r="R33" i="18"/>
  <c r="S33" i="18"/>
  <c r="U33" i="18"/>
  <c r="X33" i="18"/>
  <c r="J37" i="18"/>
  <c r="K37" i="18"/>
  <c r="L37" i="18"/>
  <c r="M37" i="18"/>
  <c r="N37" i="18"/>
  <c r="O37" i="18"/>
  <c r="P37" i="18"/>
  <c r="Q37" i="18"/>
  <c r="R37" i="18"/>
  <c r="S37" i="18"/>
  <c r="U37" i="18"/>
  <c r="X37" i="18"/>
  <c r="J39" i="18"/>
  <c r="K39" i="18"/>
  <c r="L39" i="18"/>
  <c r="M39" i="18"/>
  <c r="N39" i="18"/>
  <c r="O39" i="18"/>
  <c r="P39" i="18"/>
  <c r="Q39" i="18"/>
  <c r="R39" i="18"/>
  <c r="S39" i="18"/>
  <c r="U39" i="18"/>
  <c r="W39" i="18"/>
  <c r="X39" i="18"/>
  <c r="J53" i="18"/>
  <c r="K53" i="18"/>
  <c r="L53" i="18"/>
  <c r="M53" i="18"/>
  <c r="N53" i="18"/>
  <c r="O53" i="18"/>
  <c r="P53" i="18"/>
  <c r="Q53" i="18"/>
  <c r="R53" i="18"/>
  <c r="S53" i="18"/>
  <c r="U53" i="18"/>
  <c r="X53" i="18"/>
  <c r="J54" i="18"/>
  <c r="K54" i="18"/>
  <c r="L54" i="18"/>
  <c r="M54" i="18"/>
  <c r="N54" i="18"/>
  <c r="O54" i="18"/>
  <c r="P54" i="18"/>
  <c r="Q54" i="18"/>
  <c r="R54" i="18"/>
  <c r="S54" i="18"/>
  <c r="U54" i="18"/>
  <c r="X54" i="18"/>
  <c r="J55" i="18"/>
  <c r="K55" i="18"/>
  <c r="L55" i="18"/>
  <c r="M55" i="18"/>
  <c r="N55" i="18"/>
  <c r="O55" i="18"/>
  <c r="P55" i="18"/>
  <c r="Q55" i="18"/>
  <c r="R55" i="18"/>
  <c r="S55" i="18"/>
  <c r="U55" i="18"/>
  <c r="X55" i="18"/>
  <c r="J56" i="18"/>
  <c r="K56" i="18"/>
  <c r="L56" i="18"/>
  <c r="M56" i="18"/>
  <c r="N56" i="18"/>
  <c r="O56" i="18"/>
  <c r="P56" i="18"/>
  <c r="Q56" i="18"/>
  <c r="R56" i="18"/>
  <c r="S56" i="18"/>
  <c r="U56" i="18"/>
  <c r="X56" i="18"/>
  <c r="J58" i="18"/>
  <c r="K58" i="18"/>
  <c r="L58" i="18"/>
  <c r="M58" i="18"/>
  <c r="N58" i="18"/>
  <c r="O58" i="18"/>
  <c r="P58" i="18"/>
  <c r="Q58" i="18"/>
  <c r="R58" i="18"/>
  <c r="S58" i="18"/>
  <c r="U58" i="18"/>
  <c r="X58" i="18"/>
  <c r="J59" i="18"/>
  <c r="K59" i="18"/>
  <c r="L59" i="18"/>
  <c r="M59" i="18"/>
  <c r="N59" i="18"/>
  <c r="O59" i="18"/>
  <c r="P59" i="18"/>
  <c r="Q59" i="18"/>
  <c r="R59" i="18"/>
  <c r="S59" i="18"/>
  <c r="U59" i="18"/>
  <c r="X59" i="18"/>
  <c r="J60" i="18"/>
  <c r="K60" i="18"/>
  <c r="L60" i="18"/>
  <c r="M60" i="18"/>
  <c r="N60" i="18"/>
  <c r="O60" i="18"/>
  <c r="P60" i="18"/>
  <c r="Q60" i="18"/>
  <c r="R60" i="18"/>
  <c r="S60" i="18"/>
  <c r="U60" i="18"/>
  <c r="X60" i="18"/>
  <c r="J62" i="18"/>
  <c r="K62" i="18"/>
  <c r="L62" i="18"/>
  <c r="M62" i="18"/>
  <c r="N62" i="18"/>
  <c r="O62" i="18"/>
  <c r="P62" i="18"/>
  <c r="Q62" i="18"/>
  <c r="R62" i="18"/>
  <c r="S62" i="18"/>
  <c r="U62" i="18"/>
  <c r="X62" i="18"/>
  <c r="J64" i="18"/>
  <c r="K64" i="18"/>
  <c r="L64" i="18"/>
  <c r="M64" i="18"/>
  <c r="N64" i="18"/>
  <c r="O64" i="18"/>
  <c r="P64" i="18"/>
  <c r="Q64" i="18"/>
  <c r="R64" i="18"/>
  <c r="S64" i="18"/>
  <c r="U64" i="18"/>
  <c r="X64" i="18"/>
  <c r="J71" i="18"/>
  <c r="K71" i="18"/>
  <c r="L71" i="18"/>
  <c r="M71" i="18"/>
  <c r="N71" i="18"/>
  <c r="O71" i="18"/>
  <c r="P71" i="18"/>
  <c r="Q71" i="18"/>
  <c r="R71" i="18"/>
  <c r="S71" i="18"/>
  <c r="U71" i="18"/>
  <c r="X71" i="18"/>
  <c r="J72" i="18"/>
  <c r="K72" i="18"/>
  <c r="L72" i="18"/>
  <c r="M72" i="18"/>
  <c r="N72" i="18"/>
  <c r="O72" i="18"/>
  <c r="P72" i="18"/>
  <c r="Q72" i="18"/>
  <c r="R72" i="18"/>
  <c r="S72" i="18"/>
  <c r="U72" i="18"/>
  <c r="X72" i="18"/>
  <c r="J75" i="18"/>
  <c r="K75" i="18"/>
  <c r="L75" i="18"/>
  <c r="M75" i="18"/>
  <c r="N75" i="18"/>
  <c r="O75" i="18"/>
  <c r="P75" i="18"/>
  <c r="Q75" i="18"/>
  <c r="R75" i="18"/>
  <c r="S75" i="18"/>
  <c r="U75" i="18"/>
  <c r="X75" i="18"/>
  <c r="J76" i="18"/>
  <c r="K76" i="18"/>
  <c r="L76" i="18"/>
  <c r="M76" i="18"/>
  <c r="N76" i="18"/>
  <c r="O76" i="18"/>
  <c r="P76" i="18"/>
  <c r="Q76" i="18"/>
  <c r="R76" i="18"/>
  <c r="S76" i="18"/>
  <c r="U76" i="18"/>
  <c r="X76" i="18"/>
  <c r="J77" i="18"/>
  <c r="K77" i="18"/>
  <c r="L77" i="18"/>
  <c r="M77" i="18"/>
  <c r="N77" i="18"/>
  <c r="O77" i="18"/>
  <c r="P77" i="18"/>
  <c r="Q77" i="18"/>
  <c r="R77" i="18"/>
  <c r="S77" i="18"/>
  <c r="U77" i="18"/>
  <c r="X77" i="18"/>
  <c r="J79" i="18"/>
  <c r="K79" i="18"/>
  <c r="L79" i="18"/>
  <c r="M79" i="18"/>
  <c r="N79" i="18"/>
  <c r="O79" i="18"/>
  <c r="P79" i="18"/>
  <c r="Q79" i="18"/>
  <c r="R79" i="18"/>
  <c r="S79" i="18"/>
  <c r="U79" i="18"/>
  <c r="X79" i="18"/>
  <c r="U81" i="18"/>
  <c r="X81" i="18"/>
  <c r="J83" i="18"/>
  <c r="K83" i="18"/>
  <c r="L83" i="18"/>
  <c r="M83" i="18"/>
  <c r="N83" i="18"/>
  <c r="O83" i="18"/>
  <c r="P83" i="18"/>
  <c r="Q83" i="18"/>
  <c r="R83" i="18"/>
  <c r="S83" i="18"/>
  <c r="U83" i="18"/>
  <c r="X83" i="18"/>
  <c r="J87" i="18"/>
  <c r="K87" i="18"/>
  <c r="L87" i="18"/>
  <c r="M87" i="18"/>
  <c r="N87" i="18"/>
  <c r="O87" i="18"/>
  <c r="P87" i="18"/>
  <c r="Q87" i="18"/>
  <c r="R87" i="18"/>
  <c r="S87" i="18"/>
  <c r="U87" i="18"/>
  <c r="X87" i="18"/>
  <c r="J89" i="18"/>
  <c r="K89" i="18"/>
  <c r="L89" i="18"/>
  <c r="M89" i="18"/>
  <c r="N89" i="18"/>
  <c r="O89" i="18"/>
  <c r="P89" i="18"/>
  <c r="Q89" i="18"/>
  <c r="R89" i="18"/>
  <c r="S89" i="18"/>
  <c r="U89" i="18"/>
  <c r="X89" i="18"/>
  <c r="J103" i="18"/>
  <c r="K103" i="18"/>
  <c r="L103" i="18"/>
  <c r="M103" i="18"/>
  <c r="N103" i="18"/>
  <c r="O103" i="18"/>
  <c r="P103" i="18"/>
  <c r="Q103" i="18"/>
  <c r="R103" i="18"/>
  <c r="S103" i="18"/>
  <c r="U103" i="18"/>
  <c r="X103" i="18"/>
  <c r="J104" i="18"/>
  <c r="K104" i="18"/>
  <c r="L104" i="18"/>
  <c r="M104" i="18"/>
  <c r="N104" i="18"/>
  <c r="O104" i="18"/>
  <c r="P104" i="18"/>
  <c r="Q104" i="18"/>
  <c r="R104" i="18"/>
  <c r="S104" i="18"/>
  <c r="U104" i="18"/>
  <c r="X104" i="18"/>
  <c r="J105" i="18"/>
  <c r="K105" i="18"/>
  <c r="L105" i="18"/>
  <c r="M105" i="18"/>
  <c r="N105" i="18"/>
  <c r="O105" i="18"/>
  <c r="P105" i="18"/>
  <c r="Q105" i="18"/>
  <c r="R105" i="18"/>
  <c r="S105" i="18"/>
  <c r="U105" i="18"/>
  <c r="X105" i="18"/>
  <c r="J106" i="18"/>
  <c r="K106" i="18"/>
  <c r="L106" i="18"/>
  <c r="M106" i="18"/>
  <c r="N106" i="18"/>
  <c r="O106" i="18"/>
  <c r="P106" i="18"/>
  <c r="Q106" i="18"/>
  <c r="R106" i="18"/>
  <c r="S106" i="18"/>
  <c r="U106" i="18"/>
  <c r="X106" i="18"/>
  <c r="J110" i="18"/>
  <c r="K110" i="18"/>
  <c r="L110" i="18"/>
  <c r="M110" i="18"/>
  <c r="N110" i="18"/>
  <c r="O110" i="18"/>
  <c r="P110" i="18"/>
  <c r="Q110" i="18"/>
  <c r="R110" i="18"/>
  <c r="S110" i="18"/>
  <c r="U110" i="18"/>
  <c r="J111" i="18"/>
  <c r="K111" i="18"/>
  <c r="L111" i="18"/>
  <c r="M111" i="18"/>
  <c r="N111" i="18"/>
  <c r="O111" i="18"/>
  <c r="P111" i="18"/>
  <c r="Q111" i="18"/>
  <c r="R111" i="18"/>
  <c r="S111" i="18"/>
  <c r="U111" i="18"/>
  <c r="J112" i="18"/>
  <c r="K112" i="18"/>
  <c r="L112" i="18"/>
  <c r="M112" i="18"/>
  <c r="N112" i="18"/>
  <c r="O112" i="18"/>
  <c r="P112" i="18"/>
  <c r="Q112" i="18"/>
  <c r="R112" i="18"/>
  <c r="S112" i="18"/>
  <c r="U112" i="18"/>
  <c r="J121" i="18"/>
  <c r="K121" i="18"/>
  <c r="L121" i="18"/>
  <c r="M121" i="18"/>
  <c r="N121" i="18"/>
  <c r="O121" i="18"/>
  <c r="P121" i="18"/>
  <c r="Q121" i="18"/>
  <c r="R121" i="18"/>
  <c r="S121" i="18"/>
  <c r="U121" i="18"/>
  <c r="X121" i="18"/>
  <c r="J136" i="18"/>
  <c r="K136" i="18"/>
  <c r="L136" i="18"/>
  <c r="M136" i="18"/>
  <c r="N136" i="18"/>
  <c r="O136" i="18"/>
  <c r="P136" i="18"/>
  <c r="Q136" i="18"/>
  <c r="R136" i="18"/>
  <c r="S136" i="18"/>
  <c r="U136" i="18"/>
  <c r="X136" i="18"/>
  <c r="J137" i="18"/>
  <c r="K137" i="18"/>
  <c r="L137" i="18"/>
  <c r="M137" i="18"/>
  <c r="N137" i="18"/>
  <c r="O137" i="18"/>
  <c r="P137" i="18"/>
  <c r="Q137" i="18"/>
  <c r="R137" i="18"/>
  <c r="S137" i="18"/>
  <c r="U137" i="18"/>
  <c r="X137" i="18"/>
  <c r="J139" i="18"/>
  <c r="K139" i="18"/>
  <c r="L139" i="18"/>
  <c r="M139" i="18"/>
  <c r="N139" i="18"/>
  <c r="O139" i="18"/>
  <c r="P139" i="18"/>
  <c r="Q139" i="18"/>
  <c r="R139" i="18"/>
  <c r="S139" i="18"/>
  <c r="U139" i="18"/>
  <c r="J140" i="18"/>
  <c r="K140" i="18"/>
  <c r="L140" i="18"/>
  <c r="M140" i="18"/>
  <c r="N140" i="18"/>
  <c r="O140" i="18"/>
  <c r="P140" i="18"/>
  <c r="Q140" i="18"/>
  <c r="R140" i="18"/>
  <c r="S140" i="18"/>
  <c r="U140" i="18"/>
  <c r="J141" i="18"/>
  <c r="K141" i="18"/>
  <c r="L141" i="18"/>
  <c r="M141" i="18"/>
  <c r="N141" i="18"/>
  <c r="O141" i="18"/>
  <c r="P141" i="18"/>
  <c r="Q141" i="18"/>
  <c r="R141" i="18"/>
  <c r="S141" i="18"/>
  <c r="U141" i="18"/>
  <c r="X141" i="18"/>
  <c r="J158" i="18"/>
  <c r="K158" i="18"/>
  <c r="L158" i="18"/>
  <c r="M158" i="18"/>
  <c r="N158" i="18"/>
  <c r="O158" i="18"/>
  <c r="P158" i="18"/>
  <c r="Q158" i="18"/>
  <c r="R158" i="18"/>
  <c r="S158" i="18"/>
  <c r="U158" i="18"/>
  <c r="X158" i="18"/>
  <c r="J159" i="18"/>
  <c r="K159" i="18"/>
  <c r="L159" i="18"/>
  <c r="M159" i="18"/>
  <c r="N159" i="18"/>
  <c r="O159" i="18"/>
  <c r="P159" i="18"/>
  <c r="Q159" i="18"/>
  <c r="R159" i="18"/>
  <c r="S159" i="18"/>
  <c r="U159" i="18"/>
  <c r="X159" i="18"/>
  <c r="J167" i="18"/>
  <c r="K167" i="18"/>
  <c r="L167" i="18"/>
  <c r="M167" i="18"/>
  <c r="N167" i="18"/>
  <c r="O167" i="18"/>
  <c r="P167" i="18"/>
  <c r="Q167" i="18"/>
  <c r="R167" i="18"/>
  <c r="S167" i="18"/>
  <c r="U167" i="18"/>
  <c r="X167" i="18"/>
  <c r="J168" i="18"/>
  <c r="K168" i="18"/>
  <c r="L168" i="18"/>
  <c r="M168" i="18"/>
  <c r="N168" i="18"/>
  <c r="O168" i="18"/>
  <c r="P168" i="18"/>
  <c r="Q168" i="18"/>
  <c r="R168" i="18"/>
  <c r="S168" i="18"/>
  <c r="U168" i="18"/>
  <c r="X168" i="18"/>
  <c r="J184" i="18"/>
  <c r="K184" i="18"/>
  <c r="L184" i="18"/>
  <c r="M184" i="18"/>
  <c r="N184" i="18"/>
  <c r="O184" i="18"/>
  <c r="P184" i="18"/>
  <c r="Q184" i="18"/>
  <c r="R184" i="18"/>
  <c r="S184" i="18"/>
  <c r="U184" i="18"/>
  <c r="X184" i="18"/>
  <c r="J185" i="18"/>
  <c r="K185" i="18"/>
  <c r="L185" i="18"/>
  <c r="M185" i="18"/>
  <c r="N185" i="18"/>
  <c r="O185" i="18"/>
  <c r="P185" i="18"/>
  <c r="Q185" i="18"/>
  <c r="R185" i="18"/>
  <c r="S185" i="18"/>
  <c r="U185" i="18"/>
  <c r="X185" i="18"/>
  <c r="J186" i="18"/>
  <c r="K186" i="18"/>
  <c r="L186" i="18"/>
  <c r="M186" i="18"/>
  <c r="N186" i="18"/>
  <c r="O186" i="18"/>
  <c r="P186" i="18"/>
  <c r="Q186" i="18"/>
  <c r="R186" i="18"/>
  <c r="S186" i="18"/>
  <c r="U186" i="18"/>
  <c r="X186" i="18"/>
  <c r="J187" i="18"/>
  <c r="K187" i="18"/>
  <c r="L187" i="18"/>
  <c r="M187" i="18"/>
  <c r="N187" i="18"/>
  <c r="O187" i="18"/>
  <c r="P187" i="18"/>
  <c r="Q187" i="18"/>
  <c r="R187" i="18"/>
  <c r="S187" i="18"/>
  <c r="U187" i="18"/>
  <c r="X187" i="18"/>
  <c r="J188" i="18"/>
  <c r="K188" i="18"/>
  <c r="L188" i="18"/>
  <c r="M188" i="18"/>
  <c r="N188" i="18"/>
  <c r="O188" i="18"/>
  <c r="P188" i="18"/>
  <c r="Q188" i="18"/>
  <c r="R188" i="18"/>
  <c r="S188" i="18"/>
  <c r="U188" i="18"/>
  <c r="X188" i="18"/>
  <c r="J189" i="18"/>
  <c r="K189" i="18"/>
  <c r="L189" i="18"/>
  <c r="M189" i="18"/>
  <c r="N189" i="18"/>
  <c r="O189" i="18"/>
  <c r="P189" i="18"/>
  <c r="Q189" i="18"/>
  <c r="R189" i="18"/>
  <c r="S189" i="18"/>
  <c r="U189" i="18"/>
  <c r="X189" i="18"/>
  <c r="J190" i="18"/>
  <c r="K190" i="18"/>
  <c r="L190" i="18"/>
  <c r="M190" i="18"/>
  <c r="N190" i="18"/>
  <c r="O190" i="18"/>
  <c r="P190" i="18"/>
  <c r="Q190" i="18"/>
  <c r="R190" i="18"/>
  <c r="S190" i="18"/>
  <c r="U190" i="18"/>
  <c r="X190" i="18"/>
  <c r="J191" i="18"/>
  <c r="K191" i="18"/>
  <c r="L191" i="18"/>
  <c r="M191" i="18"/>
  <c r="N191" i="18"/>
  <c r="O191" i="18"/>
  <c r="P191" i="18"/>
  <c r="Q191" i="18"/>
  <c r="R191" i="18"/>
  <c r="S191" i="18"/>
  <c r="U191" i="18"/>
  <c r="X191" i="18"/>
  <c r="J192" i="18"/>
  <c r="K192" i="18"/>
  <c r="L192" i="18"/>
  <c r="M192" i="18"/>
  <c r="N192" i="18"/>
  <c r="O192" i="18"/>
  <c r="P192" i="18"/>
  <c r="Q192" i="18"/>
  <c r="R192" i="18"/>
  <c r="S192" i="18"/>
  <c r="U192" i="18"/>
  <c r="X192" i="18"/>
  <c r="J193" i="18"/>
  <c r="K193" i="18"/>
  <c r="L193" i="18"/>
  <c r="M193" i="18"/>
  <c r="N193" i="18"/>
  <c r="O193" i="18"/>
  <c r="P193" i="18"/>
  <c r="Q193" i="18"/>
  <c r="R193" i="18"/>
  <c r="S193" i="18"/>
  <c r="U193" i="18"/>
  <c r="X193" i="18"/>
  <c r="J195" i="18"/>
  <c r="K195" i="18"/>
  <c r="L195" i="18"/>
  <c r="M195" i="18"/>
  <c r="N195" i="18"/>
  <c r="O195" i="18"/>
  <c r="P195" i="18"/>
  <c r="Q195" i="18"/>
  <c r="R195" i="18"/>
  <c r="S195" i="18"/>
  <c r="U195" i="18"/>
  <c r="X195" i="18"/>
  <c r="J196" i="18"/>
  <c r="K196" i="18"/>
  <c r="L196" i="18"/>
  <c r="M196" i="18"/>
  <c r="N196" i="18"/>
  <c r="O196" i="18"/>
  <c r="P196" i="18"/>
  <c r="Q196" i="18"/>
  <c r="R196" i="18"/>
  <c r="S196" i="18"/>
  <c r="U196" i="18"/>
  <c r="X196" i="18"/>
  <c r="J197" i="18"/>
  <c r="K197" i="18"/>
  <c r="L197" i="18"/>
  <c r="M197" i="18"/>
  <c r="N197" i="18"/>
  <c r="O197" i="18"/>
  <c r="P197" i="18"/>
  <c r="Q197" i="18"/>
  <c r="R197" i="18"/>
  <c r="S197" i="18"/>
  <c r="U197" i="18"/>
  <c r="X197" i="18"/>
  <c r="J199" i="18"/>
  <c r="K199" i="18"/>
  <c r="L199" i="18"/>
  <c r="M199" i="18"/>
  <c r="N199" i="18"/>
  <c r="O199" i="18"/>
  <c r="P199" i="18"/>
  <c r="Q199" i="18"/>
  <c r="R199" i="18"/>
  <c r="S199" i="18"/>
  <c r="U199" i="18"/>
  <c r="X199" i="18"/>
  <c r="J214" i="18"/>
  <c r="K214" i="18"/>
  <c r="L214" i="18"/>
  <c r="M214" i="18"/>
  <c r="N214" i="18"/>
  <c r="O214" i="18"/>
  <c r="P214" i="18"/>
  <c r="Q214" i="18"/>
  <c r="R214" i="18"/>
  <c r="S214" i="18"/>
  <c r="U214" i="18"/>
  <c r="J215" i="18"/>
  <c r="K215" i="18"/>
  <c r="L215" i="18"/>
  <c r="M215" i="18"/>
  <c r="N215" i="18"/>
  <c r="O215" i="18"/>
  <c r="P215" i="18"/>
  <c r="Q215" i="18"/>
  <c r="R215" i="18"/>
  <c r="S215" i="18"/>
  <c r="U215" i="18"/>
  <c r="J216" i="18"/>
  <c r="K216" i="18"/>
  <c r="L216" i="18"/>
  <c r="M216" i="18"/>
  <c r="N216" i="18"/>
  <c r="O216" i="18"/>
  <c r="P216" i="18"/>
  <c r="Q216" i="18"/>
  <c r="R216" i="18"/>
  <c r="S216" i="18"/>
  <c r="U216" i="18"/>
  <c r="X216" i="18"/>
  <c r="J217" i="18"/>
  <c r="K217" i="18"/>
  <c r="L217" i="18"/>
  <c r="M217" i="18"/>
  <c r="N217" i="18"/>
  <c r="O217" i="18"/>
  <c r="P217" i="18"/>
  <c r="Q217" i="18"/>
  <c r="R217" i="18"/>
  <c r="S217" i="18"/>
  <c r="U217" i="18"/>
  <c r="X217" i="18"/>
  <c r="J219" i="18"/>
  <c r="K219" i="18"/>
  <c r="L219" i="18"/>
  <c r="M219" i="18"/>
  <c r="N219" i="18"/>
  <c r="O219" i="18"/>
  <c r="P219" i="18"/>
  <c r="Q219" i="18"/>
  <c r="R219" i="18"/>
  <c r="S219" i="18"/>
  <c r="U219" i="18"/>
  <c r="X219" i="18"/>
  <c r="J221" i="18"/>
  <c r="K221" i="18"/>
  <c r="L221" i="18"/>
  <c r="M221" i="18"/>
  <c r="N221" i="18"/>
  <c r="O221" i="18"/>
  <c r="P221" i="18"/>
  <c r="Q221" i="18"/>
  <c r="R221" i="18"/>
  <c r="S221" i="18"/>
  <c r="U221" i="18"/>
  <c r="X221" i="18"/>
  <c r="J223" i="18"/>
  <c r="K223" i="18"/>
  <c r="L223" i="18"/>
  <c r="M223" i="18"/>
  <c r="N223" i="18"/>
  <c r="O223" i="18"/>
  <c r="P223" i="18"/>
  <c r="Q223" i="18"/>
  <c r="R223" i="18"/>
  <c r="S223" i="18"/>
  <c r="U223" i="18"/>
  <c r="X223" i="18"/>
  <c r="J225" i="18"/>
  <c r="K225" i="18"/>
  <c r="L225" i="18"/>
  <c r="M225" i="18"/>
  <c r="N225" i="18"/>
  <c r="O225" i="18"/>
  <c r="P225" i="18"/>
  <c r="Q225" i="18"/>
  <c r="R225" i="18"/>
  <c r="S225" i="18"/>
  <c r="U225" i="18"/>
  <c r="X225" i="18"/>
  <c r="J258" i="18"/>
  <c r="K258" i="18"/>
  <c r="L258" i="18"/>
  <c r="M258" i="18"/>
  <c r="N258" i="18"/>
  <c r="O258" i="18"/>
  <c r="P258" i="18"/>
  <c r="Q258" i="18"/>
  <c r="R258" i="18"/>
  <c r="S258" i="18"/>
  <c r="U258" i="18"/>
  <c r="X258" i="18"/>
  <c r="J259" i="18"/>
  <c r="K259" i="18"/>
  <c r="L259" i="18"/>
  <c r="M259" i="18"/>
  <c r="N259" i="18"/>
  <c r="O259" i="18"/>
  <c r="P259" i="18"/>
  <c r="Q259" i="18"/>
  <c r="R259" i="18"/>
  <c r="S259" i="18"/>
  <c r="U259" i="18"/>
  <c r="X259" i="18"/>
  <c r="J260" i="18"/>
  <c r="K260" i="18"/>
  <c r="L260" i="18"/>
  <c r="M260" i="18"/>
  <c r="N260" i="18"/>
  <c r="O260" i="18"/>
  <c r="P260" i="18"/>
  <c r="Q260" i="18"/>
  <c r="R260" i="18"/>
  <c r="S260" i="18"/>
  <c r="U260" i="18"/>
  <c r="X260" i="18"/>
  <c r="J261" i="18"/>
  <c r="K261" i="18"/>
  <c r="L261" i="18"/>
  <c r="M261" i="18"/>
  <c r="N261" i="18"/>
  <c r="O261" i="18"/>
  <c r="P261" i="18"/>
  <c r="Q261" i="18"/>
  <c r="R261" i="18"/>
  <c r="S261" i="18"/>
  <c r="U261" i="18"/>
  <c r="X261" i="18"/>
  <c r="J265" i="18"/>
  <c r="K265" i="18"/>
  <c r="L265" i="18"/>
  <c r="M265" i="18"/>
  <c r="N265" i="18"/>
  <c r="O265" i="18"/>
  <c r="P265" i="18"/>
  <c r="Q265" i="18"/>
  <c r="R265" i="18"/>
  <c r="S265" i="18"/>
  <c r="U265" i="18"/>
  <c r="X265" i="18"/>
  <c r="J266" i="18"/>
  <c r="K266" i="18"/>
  <c r="L266" i="18"/>
  <c r="M266" i="18"/>
  <c r="N266" i="18"/>
  <c r="O266" i="18"/>
  <c r="P266" i="18"/>
  <c r="Q266" i="18"/>
  <c r="R266" i="18"/>
  <c r="S266" i="18"/>
  <c r="U266" i="18"/>
  <c r="J267" i="18"/>
  <c r="K267" i="18"/>
  <c r="L267" i="18"/>
  <c r="M267" i="18"/>
  <c r="N267" i="18"/>
  <c r="O267" i="18"/>
  <c r="P267" i="18"/>
  <c r="Q267" i="18"/>
  <c r="R267" i="18"/>
  <c r="S267" i="18"/>
  <c r="U267" i="18"/>
  <c r="J276" i="18"/>
  <c r="K276" i="18"/>
  <c r="L276" i="18"/>
  <c r="M276" i="18"/>
  <c r="N276" i="18"/>
  <c r="O276" i="18"/>
  <c r="P276" i="18"/>
  <c r="Q276" i="18"/>
  <c r="R276" i="18"/>
  <c r="S276" i="18"/>
  <c r="U276" i="18"/>
  <c r="X276" i="18"/>
  <c r="J290" i="18"/>
  <c r="K290" i="18"/>
  <c r="L290" i="18"/>
  <c r="M290" i="18"/>
  <c r="N290" i="18"/>
  <c r="O290" i="18"/>
  <c r="P290" i="18"/>
  <c r="Q290" i="18"/>
  <c r="R290" i="18"/>
  <c r="S290" i="18"/>
  <c r="U290" i="18"/>
  <c r="X290" i="18"/>
  <c r="J291" i="18"/>
  <c r="K291" i="18"/>
  <c r="L291" i="18"/>
  <c r="M291" i="18"/>
  <c r="N291" i="18"/>
  <c r="O291" i="18"/>
  <c r="P291" i="18"/>
  <c r="Q291" i="18"/>
  <c r="R291" i="18"/>
  <c r="S291" i="18"/>
  <c r="U291" i="18"/>
  <c r="X291" i="18"/>
  <c r="J293" i="18"/>
  <c r="K293" i="18"/>
  <c r="L293" i="18"/>
  <c r="M293" i="18"/>
  <c r="N293" i="18"/>
  <c r="O293" i="18"/>
  <c r="P293" i="18"/>
  <c r="Q293" i="18"/>
  <c r="R293" i="18"/>
  <c r="S293" i="18"/>
  <c r="U293" i="18"/>
  <c r="J294" i="18"/>
  <c r="K294" i="18"/>
  <c r="L294" i="18"/>
  <c r="M294" i="18"/>
  <c r="N294" i="18"/>
  <c r="O294" i="18"/>
  <c r="P294" i="18"/>
  <c r="Q294" i="18"/>
  <c r="R294" i="18"/>
  <c r="S294" i="18"/>
  <c r="U294" i="18"/>
  <c r="J295" i="18"/>
  <c r="K295" i="18"/>
  <c r="L295" i="18"/>
  <c r="M295" i="18"/>
  <c r="N295" i="18"/>
  <c r="O295" i="18"/>
  <c r="P295" i="18"/>
  <c r="Q295" i="18"/>
  <c r="R295" i="18"/>
  <c r="S295" i="18"/>
  <c r="U295" i="18"/>
  <c r="X295" i="18"/>
  <c r="J312" i="18"/>
  <c r="K312" i="18"/>
  <c r="L312" i="18"/>
  <c r="M312" i="18"/>
  <c r="N312" i="18"/>
  <c r="O312" i="18"/>
  <c r="P312" i="18"/>
  <c r="Q312" i="18"/>
  <c r="R312" i="18"/>
  <c r="S312" i="18"/>
  <c r="U312" i="18"/>
  <c r="X312" i="18"/>
  <c r="J320" i="18"/>
  <c r="K320" i="18"/>
  <c r="L320" i="18"/>
  <c r="M320" i="18"/>
  <c r="N320" i="18"/>
  <c r="O320" i="18"/>
  <c r="P320" i="18"/>
  <c r="Q320" i="18"/>
  <c r="R320" i="18"/>
  <c r="S320" i="18"/>
  <c r="U320" i="18"/>
  <c r="X320" i="18"/>
  <c r="J321" i="18"/>
  <c r="K321" i="18"/>
  <c r="L321" i="18"/>
  <c r="M321" i="18"/>
  <c r="N321" i="18"/>
  <c r="O321" i="18"/>
  <c r="P321" i="18"/>
  <c r="Q321" i="18"/>
  <c r="R321" i="18"/>
  <c r="S321" i="18"/>
  <c r="U321" i="18"/>
  <c r="X321" i="18"/>
  <c r="J323" i="18"/>
  <c r="K323" i="18"/>
  <c r="L323" i="18"/>
  <c r="M323" i="18"/>
  <c r="N323" i="18"/>
  <c r="O323" i="18"/>
  <c r="P323" i="18"/>
  <c r="Q323" i="18"/>
  <c r="R323" i="18"/>
  <c r="S323" i="18"/>
  <c r="U323" i="18"/>
  <c r="X323" i="18"/>
  <c r="J324" i="18"/>
  <c r="K324" i="18"/>
  <c r="L324" i="18"/>
  <c r="M324" i="18"/>
  <c r="N324" i="18"/>
  <c r="O324" i="18"/>
  <c r="P324" i="18"/>
  <c r="Q324" i="18"/>
  <c r="R324" i="18"/>
  <c r="S324" i="18"/>
  <c r="U324" i="18"/>
  <c r="X324" i="18"/>
  <c r="J325" i="18"/>
  <c r="K325" i="18"/>
  <c r="L325" i="18"/>
  <c r="M325" i="18"/>
  <c r="N325" i="18"/>
  <c r="O325" i="18"/>
  <c r="P325" i="18"/>
  <c r="Q325" i="18"/>
  <c r="R325" i="18"/>
  <c r="S325" i="18"/>
  <c r="U325" i="18"/>
  <c r="X325" i="18"/>
  <c r="J326" i="18"/>
  <c r="K326" i="18"/>
  <c r="L326" i="18"/>
  <c r="M326" i="18"/>
  <c r="N326" i="18"/>
  <c r="O326" i="18"/>
  <c r="P326" i="18"/>
  <c r="Q326" i="18"/>
  <c r="R326" i="18"/>
  <c r="S326" i="18"/>
  <c r="U326" i="18"/>
  <c r="X326" i="18"/>
  <c r="J327" i="18"/>
  <c r="K327" i="18"/>
  <c r="L327" i="18"/>
  <c r="M327" i="18"/>
  <c r="N327" i="18"/>
  <c r="O327" i="18"/>
  <c r="P327" i="18"/>
  <c r="Q327" i="18"/>
  <c r="R327" i="18"/>
  <c r="S327" i="18"/>
  <c r="U327" i="18"/>
  <c r="X327" i="18"/>
  <c r="J345" i="18"/>
  <c r="K345" i="18"/>
  <c r="L345" i="18"/>
  <c r="M345" i="18"/>
  <c r="N345" i="18"/>
  <c r="O345" i="18"/>
  <c r="P345" i="18"/>
  <c r="Q345" i="18"/>
  <c r="R345" i="18"/>
  <c r="S345" i="18"/>
  <c r="U345" i="18"/>
  <c r="X345" i="18"/>
  <c r="J346" i="18"/>
  <c r="K346" i="18"/>
  <c r="L346" i="18"/>
  <c r="M346" i="18"/>
  <c r="N346" i="18"/>
  <c r="O346" i="18"/>
  <c r="P346" i="18"/>
  <c r="Q346" i="18"/>
  <c r="R346" i="18"/>
  <c r="S346" i="18"/>
  <c r="U346" i="18"/>
  <c r="X346" i="18"/>
  <c r="J347" i="18"/>
  <c r="K347" i="18"/>
  <c r="L347" i="18"/>
  <c r="M347" i="18"/>
  <c r="N347" i="18"/>
  <c r="O347" i="18"/>
  <c r="P347" i="18"/>
  <c r="Q347" i="18"/>
  <c r="R347" i="18"/>
  <c r="S347" i="18"/>
  <c r="U347" i="18"/>
  <c r="X347" i="18"/>
  <c r="J348" i="18"/>
  <c r="K348" i="18"/>
  <c r="L348" i="18"/>
  <c r="M348" i="18"/>
  <c r="N348" i="18"/>
  <c r="O348" i="18"/>
  <c r="P348" i="18"/>
  <c r="Q348" i="18"/>
  <c r="R348" i="18"/>
  <c r="S348" i="18"/>
  <c r="U348" i="18"/>
  <c r="X348" i="18"/>
  <c r="J349" i="18"/>
  <c r="K349" i="18"/>
  <c r="L349" i="18"/>
  <c r="M349" i="18"/>
  <c r="N349" i="18"/>
  <c r="O349" i="18"/>
  <c r="P349" i="18"/>
  <c r="Q349" i="18"/>
  <c r="R349" i="18"/>
  <c r="S349" i="18"/>
  <c r="U349" i="18"/>
  <c r="X349" i="18"/>
  <c r="J350" i="18"/>
  <c r="K350" i="18"/>
  <c r="L350" i="18"/>
  <c r="M350" i="18"/>
  <c r="N350" i="18"/>
  <c r="O350" i="18"/>
  <c r="P350" i="18"/>
  <c r="Q350" i="18"/>
  <c r="R350" i="18"/>
  <c r="S350" i="18"/>
  <c r="U350" i="18"/>
  <c r="X350" i="18"/>
  <c r="J351" i="18"/>
  <c r="K351" i="18"/>
  <c r="L351" i="18"/>
  <c r="M351" i="18"/>
  <c r="N351" i="18"/>
  <c r="O351" i="18"/>
  <c r="P351" i="18"/>
  <c r="Q351" i="18"/>
  <c r="R351" i="18"/>
  <c r="S351" i="18"/>
  <c r="U351" i="18"/>
  <c r="X351" i="18"/>
  <c r="J352" i="18"/>
  <c r="K352" i="18"/>
  <c r="L352" i="18"/>
  <c r="M352" i="18"/>
  <c r="N352" i="18"/>
  <c r="O352" i="18"/>
  <c r="P352" i="18"/>
  <c r="Q352" i="18"/>
  <c r="R352" i="18"/>
  <c r="S352" i="18"/>
  <c r="U352" i="18"/>
  <c r="X352" i="18"/>
  <c r="J353" i="18"/>
  <c r="K353" i="18"/>
  <c r="L353" i="18"/>
  <c r="M353" i="18"/>
  <c r="N353" i="18"/>
  <c r="O353" i="18"/>
  <c r="P353" i="18"/>
  <c r="Q353" i="18"/>
  <c r="R353" i="18"/>
  <c r="S353" i="18"/>
  <c r="U353" i="18"/>
  <c r="X353" i="18"/>
  <c r="J354" i="18"/>
  <c r="K354" i="18"/>
  <c r="L354" i="18"/>
  <c r="M354" i="18"/>
  <c r="N354" i="18"/>
  <c r="O354" i="18"/>
  <c r="P354" i="18"/>
  <c r="Q354" i="18"/>
  <c r="R354" i="18"/>
  <c r="S354" i="18"/>
  <c r="U354" i="18"/>
  <c r="X354" i="18"/>
  <c r="J356" i="18"/>
  <c r="K356" i="18"/>
  <c r="L356" i="18"/>
  <c r="M356" i="18"/>
  <c r="N356" i="18"/>
  <c r="O356" i="18"/>
  <c r="P356" i="18"/>
  <c r="Q356" i="18"/>
  <c r="R356" i="18"/>
  <c r="S356" i="18"/>
  <c r="U356" i="18"/>
  <c r="J357" i="18"/>
  <c r="K357" i="18"/>
  <c r="L357" i="18"/>
  <c r="M357" i="18"/>
  <c r="N357" i="18"/>
  <c r="O357" i="18"/>
  <c r="P357" i="18"/>
  <c r="Q357" i="18"/>
  <c r="R357" i="18"/>
  <c r="S357" i="18"/>
  <c r="U357" i="18"/>
  <c r="J358" i="18"/>
  <c r="K358" i="18"/>
  <c r="L358" i="18"/>
  <c r="M358" i="18"/>
  <c r="N358" i="18"/>
  <c r="O358" i="18"/>
  <c r="P358" i="18"/>
  <c r="Q358" i="18"/>
  <c r="R358" i="18"/>
  <c r="S358" i="18"/>
  <c r="U358" i="18"/>
  <c r="X358" i="18"/>
  <c r="J359" i="18"/>
  <c r="K359" i="18"/>
  <c r="L359" i="18"/>
  <c r="M359" i="18"/>
  <c r="N359" i="18"/>
  <c r="O359" i="18"/>
  <c r="P359" i="18"/>
  <c r="Q359" i="18"/>
  <c r="R359" i="18"/>
  <c r="S359" i="18"/>
  <c r="U359" i="18"/>
  <c r="X359" i="18"/>
  <c r="J360" i="18"/>
  <c r="K360" i="18"/>
  <c r="L360" i="18"/>
  <c r="M360" i="18"/>
  <c r="N360" i="18"/>
  <c r="O360" i="18"/>
  <c r="P360" i="18"/>
  <c r="Q360" i="18"/>
  <c r="R360" i="18"/>
  <c r="S360" i="18"/>
  <c r="U360" i="18"/>
  <c r="X360" i="18"/>
  <c r="J361" i="18"/>
  <c r="K361" i="18"/>
  <c r="L361" i="18"/>
  <c r="M361" i="18"/>
  <c r="N361" i="18"/>
  <c r="O361" i="18"/>
  <c r="P361" i="18"/>
  <c r="Q361" i="18"/>
  <c r="R361" i="18"/>
  <c r="S361" i="18"/>
  <c r="U361" i="18"/>
  <c r="X361" i="18"/>
  <c r="J363" i="18"/>
  <c r="K363" i="18"/>
  <c r="L363" i="18"/>
  <c r="M363" i="18"/>
  <c r="N363" i="18"/>
  <c r="O363" i="18"/>
  <c r="P363" i="18"/>
  <c r="Q363" i="18"/>
  <c r="R363" i="18"/>
  <c r="S363" i="18"/>
  <c r="U363" i="18"/>
  <c r="X363" i="18"/>
  <c r="J364" i="18"/>
  <c r="K364" i="18"/>
  <c r="L364" i="18"/>
  <c r="M364" i="18"/>
  <c r="N364" i="18"/>
  <c r="O364" i="18"/>
  <c r="P364" i="18"/>
  <c r="Q364" i="18"/>
  <c r="R364" i="18"/>
  <c r="S364" i="18"/>
  <c r="U364" i="18"/>
  <c r="X364" i="18"/>
  <c r="J366" i="18"/>
  <c r="K366" i="18"/>
  <c r="L366" i="18"/>
  <c r="M366" i="18"/>
  <c r="N366" i="18"/>
  <c r="O366" i="18"/>
  <c r="P366" i="18"/>
  <c r="Q366" i="18"/>
  <c r="R366" i="18"/>
  <c r="S366" i="18"/>
  <c r="U366" i="18"/>
  <c r="X366" i="18"/>
  <c r="J368" i="18"/>
  <c r="K368" i="18"/>
  <c r="L368" i="18"/>
  <c r="M368" i="18"/>
  <c r="N368" i="18"/>
  <c r="O368" i="18"/>
  <c r="P368" i="18"/>
  <c r="Q368" i="18"/>
  <c r="R368" i="18"/>
  <c r="S368" i="18"/>
  <c r="U368" i="18"/>
  <c r="X368" i="18"/>
  <c r="J411" i="18"/>
  <c r="K411" i="18"/>
  <c r="L411" i="18"/>
  <c r="M411" i="18"/>
  <c r="N411" i="18"/>
  <c r="O411" i="18"/>
  <c r="P411" i="18"/>
  <c r="Q411" i="18"/>
  <c r="R411" i="18"/>
  <c r="S411" i="18"/>
  <c r="U411" i="18"/>
  <c r="X411" i="18"/>
  <c r="J413" i="18"/>
  <c r="K413" i="18"/>
  <c r="L413" i="18"/>
  <c r="M413" i="18"/>
  <c r="N413" i="18"/>
  <c r="O413" i="18"/>
  <c r="P413" i="18"/>
  <c r="Q413" i="18"/>
  <c r="R413" i="18"/>
  <c r="S413" i="18"/>
  <c r="U413" i="18"/>
  <c r="X413" i="18"/>
  <c r="J431" i="18"/>
  <c r="K431" i="18"/>
  <c r="L431" i="18"/>
  <c r="M431" i="18"/>
  <c r="N431" i="18"/>
  <c r="O431" i="18"/>
  <c r="P431" i="18"/>
  <c r="Q431" i="18"/>
  <c r="R431" i="18"/>
  <c r="S431" i="18"/>
  <c r="U431" i="18"/>
  <c r="X431" i="18"/>
  <c r="J432" i="18"/>
  <c r="K432" i="18"/>
  <c r="L432" i="18"/>
  <c r="M432" i="18"/>
  <c r="N432" i="18"/>
  <c r="O432" i="18"/>
  <c r="P432" i="18"/>
  <c r="Q432" i="18"/>
  <c r="R432" i="18"/>
  <c r="S432" i="18"/>
  <c r="U432" i="18"/>
  <c r="X432" i="18"/>
  <c r="J433" i="18"/>
  <c r="K433" i="18"/>
  <c r="L433" i="18"/>
  <c r="M433" i="18"/>
  <c r="N433" i="18"/>
  <c r="O433" i="18"/>
  <c r="P433" i="18"/>
  <c r="Q433" i="18"/>
  <c r="R433" i="18"/>
  <c r="S433" i="18"/>
  <c r="U433" i="18"/>
  <c r="X433" i="18"/>
  <c r="J435" i="18"/>
  <c r="K435" i="18"/>
  <c r="L435" i="18"/>
  <c r="M435" i="18"/>
  <c r="N435" i="18"/>
  <c r="O435" i="18"/>
  <c r="P435" i="18"/>
  <c r="Q435" i="18"/>
  <c r="R435" i="18"/>
  <c r="S435" i="18"/>
  <c r="U435" i="18"/>
  <c r="X435" i="18"/>
  <c r="J452" i="18"/>
  <c r="K452" i="18"/>
  <c r="L452" i="18"/>
  <c r="M452" i="18"/>
  <c r="N452" i="18"/>
  <c r="O452" i="18"/>
  <c r="P452" i="18"/>
  <c r="Q452" i="18"/>
  <c r="R452" i="18"/>
  <c r="S452" i="18"/>
  <c r="U452" i="18"/>
  <c r="X452" i="18"/>
  <c r="J453" i="18"/>
  <c r="K453" i="18"/>
  <c r="L453" i="18"/>
  <c r="M453" i="18"/>
  <c r="N453" i="18"/>
  <c r="O453" i="18"/>
  <c r="P453" i="18"/>
  <c r="Q453" i="18"/>
  <c r="R453" i="18"/>
  <c r="S453" i="18"/>
  <c r="U453" i="18"/>
  <c r="X453" i="18"/>
  <c r="J455" i="18"/>
  <c r="K455" i="18"/>
  <c r="L455" i="18"/>
  <c r="M455" i="18"/>
  <c r="N455" i="18"/>
  <c r="O455" i="18"/>
  <c r="P455" i="18"/>
  <c r="Q455" i="18"/>
  <c r="R455" i="18"/>
  <c r="S455" i="18"/>
  <c r="U455" i="18"/>
  <c r="X455" i="18"/>
  <c r="J478" i="18"/>
  <c r="K478" i="18"/>
  <c r="L478" i="18"/>
  <c r="M478" i="18"/>
  <c r="N478" i="18"/>
  <c r="O478" i="18"/>
  <c r="P478" i="18"/>
  <c r="Q478" i="18"/>
  <c r="R478" i="18"/>
  <c r="S478" i="18"/>
  <c r="U478" i="18"/>
  <c r="X478" i="18"/>
  <c r="J501" i="18"/>
  <c r="K501" i="18"/>
  <c r="L501" i="18"/>
  <c r="M501" i="18"/>
  <c r="N501" i="18"/>
  <c r="O501" i="18"/>
  <c r="P501" i="18"/>
  <c r="Q501" i="18"/>
  <c r="R501" i="18"/>
  <c r="S501" i="18"/>
  <c r="U501" i="18"/>
  <c r="X501" i="18"/>
  <c r="J519" i="18"/>
  <c r="K519" i="18"/>
  <c r="L519" i="18"/>
  <c r="M519" i="18"/>
  <c r="N519" i="18"/>
  <c r="O519" i="18"/>
  <c r="P519" i="18"/>
  <c r="Q519" i="18"/>
  <c r="R519" i="18"/>
  <c r="S519" i="18"/>
  <c r="U519" i="18"/>
  <c r="X519" i="18"/>
  <c r="J520" i="18"/>
  <c r="K520" i="18"/>
  <c r="L520" i="18"/>
  <c r="M520" i="18"/>
  <c r="N520" i="18"/>
  <c r="O520" i="18"/>
  <c r="P520" i="18"/>
  <c r="Q520" i="18"/>
  <c r="R520" i="18"/>
  <c r="S520" i="18"/>
  <c r="U520" i="18"/>
  <c r="X520" i="18"/>
  <c r="J521" i="18"/>
  <c r="K521" i="18"/>
  <c r="L521" i="18"/>
  <c r="M521" i="18"/>
  <c r="N521" i="18"/>
  <c r="O521" i="18"/>
  <c r="P521" i="18"/>
  <c r="Q521" i="18"/>
  <c r="R521" i="18"/>
  <c r="S521" i="18"/>
  <c r="U521" i="18"/>
  <c r="X521" i="18"/>
  <c r="J522" i="18"/>
  <c r="K522" i="18"/>
  <c r="L522" i="18"/>
  <c r="M522" i="18"/>
  <c r="N522" i="18"/>
  <c r="O522" i="18"/>
  <c r="P522" i="18"/>
  <c r="Q522" i="18"/>
  <c r="R522" i="18"/>
  <c r="S522" i="18"/>
  <c r="U522" i="18"/>
  <c r="X522" i="18"/>
  <c r="J523" i="18"/>
  <c r="K523" i="18"/>
  <c r="L523" i="18"/>
  <c r="M523" i="18"/>
  <c r="N523" i="18"/>
  <c r="O523" i="18"/>
  <c r="P523" i="18"/>
  <c r="Q523" i="18"/>
  <c r="R523" i="18"/>
  <c r="S523" i="18"/>
  <c r="U523" i="18"/>
  <c r="X523" i="18"/>
  <c r="J524" i="18"/>
  <c r="K524" i="18"/>
  <c r="L524" i="18"/>
  <c r="M524" i="18"/>
  <c r="N524" i="18"/>
  <c r="O524" i="18"/>
  <c r="P524" i="18"/>
  <c r="Q524" i="18"/>
  <c r="R524" i="18"/>
  <c r="S524" i="18"/>
  <c r="U524" i="18"/>
  <c r="X524" i="18"/>
  <c r="J525" i="18"/>
  <c r="K525" i="18"/>
  <c r="L525" i="18"/>
  <c r="M525" i="18"/>
  <c r="N525" i="18"/>
  <c r="O525" i="18"/>
  <c r="P525" i="18"/>
  <c r="Q525" i="18"/>
  <c r="R525" i="18"/>
  <c r="S525" i="18"/>
  <c r="U525" i="18"/>
  <c r="X525" i="18"/>
  <c r="J526" i="18"/>
  <c r="K526" i="18"/>
  <c r="L526" i="18"/>
  <c r="M526" i="18"/>
  <c r="N526" i="18"/>
  <c r="O526" i="18"/>
  <c r="P526" i="18"/>
  <c r="Q526" i="18"/>
  <c r="R526" i="18"/>
  <c r="S526" i="18"/>
  <c r="U526" i="18"/>
  <c r="X526" i="18"/>
  <c r="J527" i="18"/>
  <c r="K527" i="18"/>
  <c r="L527" i="18"/>
  <c r="M527" i="18"/>
  <c r="N527" i="18"/>
  <c r="O527" i="18"/>
  <c r="P527" i="18"/>
  <c r="Q527" i="18"/>
  <c r="R527" i="18"/>
  <c r="S527" i="18"/>
  <c r="U527" i="18"/>
  <c r="X527" i="18"/>
  <c r="J528" i="18"/>
  <c r="K528" i="18"/>
  <c r="L528" i="18"/>
  <c r="M528" i="18"/>
  <c r="N528" i="18"/>
  <c r="O528" i="18"/>
  <c r="P528" i="18"/>
  <c r="Q528" i="18"/>
  <c r="R528" i="18"/>
  <c r="S528" i="18"/>
  <c r="U528" i="18"/>
  <c r="X528" i="18"/>
  <c r="J529" i="18"/>
  <c r="K529" i="18"/>
  <c r="L529" i="18"/>
  <c r="M529" i="18"/>
  <c r="N529" i="18"/>
  <c r="O529" i="18"/>
  <c r="P529" i="18"/>
  <c r="Q529" i="18"/>
  <c r="R529" i="18"/>
  <c r="S529" i="18"/>
  <c r="U529" i="18"/>
  <c r="X529" i="18"/>
  <c r="J530" i="18"/>
  <c r="K530" i="18"/>
  <c r="L530" i="18"/>
  <c r="M530" i="18"/>
  <c r="N530" i="18"/>
  <c r="O530" i="18"/>
  <c r="P530" i="18"/>
  <c r="Q530" i="18"/>
  <c r="R530" i="18"/>
  <c r="S530" i="18"/>
  <c r="U530" i="18"/>
  <c r="X530" i="18"/>
  <c r="J531" i="18"/>
  <c r="K531" i="18"/>
  <c r="L531" i="18"/>
  <c r="M531" i="18"/>
  <c r="N531" i="18"/>
  <c r="O531" i="18"/>
  <c r="P531" i="18"/>
  <c r="Q531" i="18"/>
  <c r="R531" i="18"/>
  <c r="S531" i="18"/>
  <c r="U531" i="18"/>
  <c r="X531" i="18"/>
  <c r="J532" i="18"/>
  <c r="K532" i="18"/>
  <c r="L532" i="18"/>
  <c r="M532" i="18"/>
  <c r="N532" i="18"/>
  <c r="O532" i="18"/>
  <c r="P532" i="18"/>
  <c r="Q532" i="18"/>
  <c r="R532" i="18"/>
  <c r="S532" i="18"/>
  <c r="U532" i="18"/>
  <c r="X532" i="18"/>
  <c r="J533" i="18"/>
  <c r="K533" i="18"/>
  <c r="L533" i="18"/>
  <c r="M533" i="18"/>
  <c r="N533" i="18"/>
  <c r="O533" i="18"/>
  <c r="P533" i="18"/>
  <c r="Q533" i="18"/>
  <c r="R533" i="18"/>
  <c r="S533" i="18"/>
  <c r="U533" i="18"/>
  <c r="X533" i="18"/>
  <c r="J534" i="18"/>
  <c r="K534" i="18"/>
  <c r="L534" i="18"/>
  <c r="M534" i="18"/>
  <c r="N534" i="18"/>
  <c r="O534" i="18"/>
  <c r="P534" i="18"/>
  <c r="Q534" i="18"/>
  <c r="R534" i="18"/>
  <c r="S534" i="18"/>
  <c r="U534" i="18"/>
  <c r="X534" i="18"/>
  <c r="J536" i="18"/>
  <c r="K536" i="18"/>
  <c r="L536" i="18"/>
  <c r="M536" i="18"/>
  <c r="N536" i="18"/>
  <c r="O536" i="18"/>
  <c r="P536" i="18"/>
  <c r="Q536" i="18"/>
  <c r="R536" i="18"/>
  <c r="S536" i="18"/>
  <c r="U536" i="18"/>
  <c r="X536" i="18"/>
  <c r="J537" i="18"/>
  <c r="K537" i="18"/>
  <c r="L537" i="18"/>
  <c r="M537" i="18"/>
  <c r="N537" i="18"/>
  <c r="O537" i="18"/>
  <c r="P537" i="18"/>
  <c r="Q537" i="18"/>
  <c r="R537" i="18"/>
  <c r="S537" i="18"/>
  <c r="U537" i="18"/>
  <c r="X537" i="18"/>
  <c r="J538" i="18"/>
  <c r="K538" i="18"/>
  <c r="L538" i="18"/>
  <c r="M538" i="18"/>
  <c r="N538" i="18"/>
  <c r="O538" i="18"/>
  <c r="P538" i="18"/>
  <c r="Q538" i="18"/>
  <c r="R538" i="18"/>
  <c r="S538" i="18"/>
  <c r="U538" i="18"/>
  <c r="X538" i="18"/>
  <c r="J539" i="18"/>
  <c r="K539" i="18"/>
  <c r="L539" i="18"/>
  <c r="M539" i="18"/>
  <c r="N539" i="18"/>
  <c r="O539" i="18"/>
  <c r="P539" i="18"/>
  <c r="Q539" i="18"/>
  <c r="R539" i="18"/>
  <c r="S539" i="18"/>
  <c r="U539" i="18"/>
  <c r="X539" i="18"/>
  <c r="J540" i="18"/>
  <c r="K540" i="18"/>
  <c r="L540" i="18"/>
  <c r="M540" i="18"/>
  <c r="N540" i="18"/>
  <c r="O540" i="18"/>
  <c r="P540" i="18"/>
  <c r="Q540" i="18"/>
  <c r="R540" i="18"/>
  <c r="S540" i="18"/>
  <c r="U540" i="18"/>
  <c r="X540" i="18"/>
  <c r="J541" i="18"/>
  <c r="K541" i="18"/>
  <c r="L541" i="18"/>
  <c r="M541" i="18"/>
  <c r="N541" i="18"/>
  <c r="O541" i="18"/>
  <c r="P541" i="18"/>
  <c r="Q541" i="18"/>
  <c r="R541" i="18"/>
  <c r="S541" i="18"/>
  <c r="U541" i="18"/>
  <c r="X541" i="18"/>
  <c r="J542" i="18"/>
  <c r="K542" i="18"/>
  <c r="L542" i="18"/>
  <c r="M542" i="18"/>
  <c r="N542" i="18"/>
  <c r="O542" i="18"/>
  <c r="P542" i="18"/>
  <c r="Q542" i="18"/>
  <c r="R542" i="18"/>
  <c r="S542" i="18"/>
  <c r="U542" i="18"/>
  <c r="X542" i="18"/>
  <c r="J543" i="18"/>
  <c r="K543" i="18"/>
  <c r="L543" i="18"/>
  <c r="M543" i="18"/>
  <c r="N543" i="18"/>
  <c r="O543" i="18"/>
  <c r="P543" i="18"/>
  <c r="Q543" i="18"/>
  <c r="R543" i="18"/>
  <c r="S543" i="18"/>
  <c r="U543" i="18"/>
  <c r="X543" i="18"/>
  <c r="J544" i="18"/>
  <c r="K544" i="18"/>
  <c r="L544" i="18"/>
  <c r="M544" i="18"/>
  <c r="N544" i="18"/>
  <c r="O544" i="18"/>
  <c r="P544" i="18"/>
  <c r="Q544" i="18"/>
  <c r="R544" i="18"/>
  <c r="S544" i="18"/>
  <c r="U544" i="18"/>
  <c r="X544" i="18"/>
  <c r="J546" i="18"/>
  <c r="K546" i="18"/>
  <c r="L546" i="18"/>
  <c r="M546" i="18"/>
  <c r="N546" i="18"/>
  <c r="O546" i="18"/>
  <c r="P546" i="18"/>
  <c r="Q546" i="18"/>
  <c r="R546" i="18"/>
  <c r="S546" i="18"/>
  <c r="U546" i="18"/>
  <c r="X546" i="18"/>
  <c r="J547" i="18"/>
  <c r="K547" i="18"/>
  <c r="L547" i="18"/>
  <c r="M547" i="18"/>
  <c r="N547" i="18"/>
  <c r="O547" i="18"/>
  <c r="P547" i="18"/>
  <c r="Q547" i="18"/>
  <c r="R547" i="18"/>
  <c r="S547" i="18"/>
  <c r="U547" i="18"/>
  <c r="X547" i="18"/>
  <c r="J548" i="18"/>
  <c r="K548" i="18"/>
  <c r="L548" i="18"/>
  <c r="M548" i="18"/>
  <c r="N548" i="18"/>
  <c r="O548" i="18"/>
  <c r="P548" i="18"/>
  <c r="Q548" i="18"/>
  <c r="R548" i="18"/>
  <c r="S548" i="18"/>
  <c r="U548" i="18"/>
  <c r="J549" i="18"/>
  <c r="K549" i="18"/>
  <c r="L549" i="18"/>
  <c r="M549" i="18"/>
  <c r="N549" i="18"/>
  <c r="O549" i="18"/>
  <c r="P549" i="18"/>
  <c r="Q549" i="18"/>
  <c r="R549" i="18"/>
  <c r="S549" i="18"/>
  <c r="U549" i="18"/>
  <c r="J550" i="18"/>
  <c r="K550" i="18"/>
  <c r="L550" i="18"/>
  <c r="M550" i="18"/>
  <c r="N550" i="18"/>
  <c r="O550" i="18"/>
  <c r="P550" i="18"/>
  <c r="Q550" i="18"/>
  <c r="R550" i="18"/>
  <c r="S550" i="18"/>
  <c r="U550" i="18"/>
  <c r="J551" i="18"/>
  <c r="K551" i="18"/>
  <c r="L551" i="18"/>
  <c r="M551" i="18"/>
  <c r="N551" i="18"/>
  <c r="O551" i="18"/>
  <c r="P551" i="18"/>
  <c r="Q551" i="18"/>
  <c r="R551" i="18"/>
  <c r="S551" i="18"/>
  <c r="U551" i="18"/>
  <c r="J552" i="18"/>
  <c r="K552" i="18"/>
  <c r="L552" i="18"/>
  <c r="M552" i="18"/>
  <c r="N552" i="18"/>
  <c r="O552" i="18"/>
  <c r="P552" i="18"/>
  <c r="Q552" i="18"/>
  <c r="R552" i="18"/>
  <c r="S552" i="18"/>
  <c r="U552" i="18"/>
  <c r="J553" i="18"/>
  <c r="K553" i="18"/>
  <c r="L553" i="18"/>
  <c r="M553" i="18"/>
  <c r="N553" i="18"/>
  <c r="O553" i="18"/>
  <c r="P553" i="18"/>
  <c r="Q553" i="18"/>
  <c r="R553" i="18"/>
  <c r="S553" i="18"/>
  <c r="U553" i="18"/>
  <c r="X553" i="18"/>
  <c r="J554" i="18"/>
  <c r="K554" i="18"/>
  <c r="L554" i="18"/>
  <c r="M554" i="18"/>
  <c r="N554" i="18"/>
  <c r="O554" i="18"/>
  <c r="P554" i="18"/>
  <c r="Q554" i="18"/>
  <c r="R554" i="18"/>
  <c r="S554" i="18"/>
  <c r="U554" i="18"/>
  <c r="X554" i="18"/>
  <c r="J555" i="18"/>
  <c r="K555" i="18"/>
  <c r="L555" i="18"/>
  <c r="M555" i="18"/>
  <c r="N555" i="18"/>
  <c r="O555" i="18"/>
  <c r="P555" i="18"/>
  <c r="Q555" i="18"/>
  <c r="R555" i="18"/>
  <c r="S555" i="18"/>
  <c r="U555" i="18"/>
  <c r="X555" i="18"/>
  <c r="J556" i="18"/>
  <c r="K556" i="18"/>
  <c r="L556" i="18"/>
  <c r="M556" i="18"/>
  <c r="N556" i="18"/>
  <c r="O556" i="18"/>
  <c r="P556" i="18"/>
  <c r="Q556" i="18"/>
  <c r="R556" i="18"/>
  <c r="S556" i="18"/>
  <c r="U556" i="18"/>
  <c r="X556" i="18"/>
  <c r="J559" i="18"/>
  <c r="K559" i="18"/>
  <c r="L559" i="18"/>
  <c r="M559" i="18"/>
  <c r="N559" i="18"/>
  <c r="O559" i="18"/>
  <c r="P559" i="18"/>
  <c r="Q559" i="18"/>
  <c r="R559" i="18"/>
  <c r="S559" i="18"/>
  <c r="U559" i="18"/>
  <c r="X559" i="18"/>
  <c r="J560" i="18"/>
  <c r="K560" i="18"/>
  <c r="L560" i="18"/>
  <c r="M560" i="18"/>
  <c r="N560" i="18"/>
  <c r="O560" i="18"/>
  <c r="P560" i="18"/>
  <c r="Q560" i="18"/>
  <c r="R560" i="18"/>
  <c r="S560" i="18"/>
  <c r="U560" i="18"/>
  <c r="X560" i="18"/>
  <c r="J561" i="18"/>
  <c r="K561" i="18"/>
  <c r="L561" i="18"/>
  <c r="M561" i="18"/>
  <c r="N561" i="18"/>
  <c r="O561" i="18"/>
  <c r="P561" i="18"/>
  <c r="Q561" i="18"/>
  <c r="R561" i="18"/>
  <c r="S561" i="18"/>
  <c r="U561" i="18"/>
  <c r="X561" i="18"/>
  <c r="J562" i="18"/>
  <c r="K562" i="18"/>
  <c r="L562" i="18"/>
  <c r="M562" i="18"/>
  <c r="N562" i="18"/>
  <c r="O562" i="18"/>
  <c r="P562" i="18"/>
  <c r="Q562" i="18"/>
  <c r="R562" i="18"/>
  <c r="S562" i="18"/>
  <c r="U562" i="18"/>
  <c r="X562" i="18"/>
  <c r="J563" i="18"/>
  <c r="K563" i="18"/>
  <c r="L563" i="18"/>
  <c r="M563" i="18"/>
  <c r="N563" i="18"/>
  <c r="O563" i="18"/>
  <c r="P563" i="18"/>
  <c r="Q563" i="18"/>
  <c r="R563" i="18"/>
  <c r="S563" i="18"/>
  <c r="U563" i="18"/>
  <c r="X563" i="18"/>
  <c r="J564" i="18"/>
  <c r="K564" i="18"/>
  <c r="L564" i="18"/>
  <c r="M564" i="18"/>
  <c r="N564" i="18"/>
  <c r="O564" i="18"/>
  <c r="P564" i="18"/>
  <c r="Q564" i="18"/>
  <c r="R564" i="18"/>
  <c r="S564" i="18"/>
  <c r="U564" i="18"/>
  <c r="X564" i="18"/>
  <c r="J565" i="18"/>
  <c r="K565" i="18"/>
  <c r="L565" i="18"/>
  <c r="M565" i="18"/>
  <c r="N565" i="18"/>
  <c r="O565" i="18"/>
  <c r="P565" i="18"/>
  <c r="Q565" i="18"/>
  <c r="R565" i="18"/>
  <c r="S565" i="18"/>
  <c r="U565" i="18"/>
  <c r="X565" i="18"/>
  <c r="J566" i="18"/>
  <c r="K566" i="18"/>
  <c r="L566" i="18"/>
  <c r="M566" i="18"/>
  <c r="N566" i="18"/>
  <c r="O566" i="18"/>
  <c r="P566" i="18"/>
  <c r="Q566" i="18"/>
  <c r="R566" i="18"/>
  <c r="S566" i="18"/>
  <c r="U566" i="18"/>
  <c r="X566" i="18"/>
  <c r="J567" i="18"/>
  <c r="K567" i="18"/>
  <c r="L567" i="18"/>
  <c r="M567" i="18"/>
  <c r="N567" i="18"/>
  <c r="O567" i="18"/>
  <c r="P567" i="18"/>
  <c r="Q567" i="18"/>
  <c r="R567" i="18"/>
  <c r="S567" i="18"/>
  <c r="U567" i="18"/>
  <c r="X567" i="18"/>
  <c r="J568" i="18"/>
  <c r="K568" i="18"/>
  <c r="L568" i="18"/>
  <c r="M568" i="18"/>
  <c r="N568" i="18"/>
  <c r="O568" i="18"/>
  <c r="P568" i="18"/>
  <c r="Q568" i="18"/>
  <c r="R568" i="18"/>
  <c r="S568" i="18"/>
  <c r="U568" i="18"/>
  <c r="X568" i="18"/>
  <c r="J569" i="18"/>
  <c r="K569" i="18"/>
  <c r="L569" i="18"/>
  <c r="M569" i="18"/>
  <c r="N569" i="18"/>
  <c r="O569" i="18"/>
  <c r="P569" i="18"/>
  <c r="Q569" i="18"/>
  <c r="R569" i="18"/>
  <c r="S569" i="18"/>
  <c r="U569" i="18"/>
  <c r="X569" i="18"/>
  <c r="J570" i="18"/>
  <c r="K570" i="18"/>
  <c r="L570" i="18"/>
  <c r="M570" i="18"/>
  <c r="N570" i="18"/>
  <c r="O570" i="18"/>
  <c r="P570" i="18"/>
  <c r="Q570" i="18"/>
  <c r="R570" i="18"/>
  <c r="S570" i="18"/>
  <c r="U570" i="18"/>
  <c r="X570" i="18"/>
  <c r="J571" i="18"/>
  <c r="K571" i="18"/>
  <c r="L571" i="18"/>
  <c r="M571" i="18"/>
  <c r="N571" i="18"/>
  <c r="O571" i="18"/>
  <c r="P571" i="18"/>
  <c r="Q571" i="18"/>
  <c r="R571" i="18"/>
  <c r="S571" i="18"/>
  <c r="U571" i="18"/>
  <c r="X571" i="18"/>
  <c r="J572" i="18"/>
  <c r="K572" i="18"/>
  <c r="L572" i="18"/>
  <c r="M572" i="18"/>
  <c r="N572" i="18"/>
  <c r="O572" i="18"/>
  <c r="P572" i="18"/>
  <c r="Q572" i="18"/>
  <c r="R572" i="18"/>
  <c r="S572" i="18"/>
  <c r="U572" i="18"/>
  <c r="J573" i="18"/>
  <c r="K573" i="18"/>
  <c r="L573" i="18"/>
  <c r="M573" i="18"/>
  <c r="N573" i="18"/>
  <c r="O573" i="18"/>
  <c r="P573" i="18"/>
  <c r="Q573" i="18"/>
  <c r="R573" i="18"/>
  <c r="S573" i="18"/>
  <c r="U573" i="18"/>
  <c r="X573" i="18"/>
  <c r="J575" i="18"/>
  <c r="K575" i="18"/>
  <c r="L575" i="18"/>
  <c r="M575" i="18"/>
  <c r="N575" i="18"/>
  <c r="O575" i="18"/>
  <c r="P575" i="18"/>
  <c r="Q575" i="18"/>
  <c r="R575" i="18"/>
  <c r="S575" i="18"/>
  <c r="U575" i="18"/>
  <c r="X575" i="18"/>
  <c r="J591" i="18"/>
  <c r="K591" i="18"/>
  <c r="L591" i="18"/>
  <c r="M591" i="18"/>
  <c r="N591" i="18"/>
  <c r="O591" i="18"/>
  <c r="P591" i="18"/>
  <c r="Q591" i="18"/>
  <c r="R591" i="18"/>
  <c r="S591" i="18"/>
  <c r="U591" i="18"/>
  <c r="X591" i="18"/>
  <c r="J592" i="18"/>
  <c r="K592" i="18"/>
  <c r="L592" i="18"/>
  <c r="M592" i="18"/>
  <c r="N592" i="18"/>
  <c r="O592" i="18"/>
  <c r="P592" i="18"/>
  <c r="Q592" i="18"/>
  <c r="R592" i="18"/>
  <c r="S592" i="18"/>
  <c r="U592" i="18"/>
  <c r="X592" i="18"/>
  <c r="J593" i="18"/>
  <c r="K593" i="18"/>
  <c r="L593" i="18"/>
  <c r="M593" i="18"/>
  <c r="N593" i="18"/>
  <c r="O593" i="18"/>
  <c r="P593" i="18"/>
  <c r="Q593" i="18"/>
  <c r="R593" i="18"/>
  <c r="S593" i="18"/>
  <c r="U593" i="18"/>
  <c r="X593" i="18"/>
  <c r="J594" i="18"/>
  <c r="K594" i="18"/>
  <c r="L594" i="18"/>
  <c r="M594" i="18"/>
  <c r="N594" i="18"/>
  <c r="O594" i="18"/>
  <c r="P594" i="18"/>
  <c r="Q594" i="18"/>
  <c r="R594" i="18"/>
  <c r="S594" i="18"/>
  <c r="U594" i="18"/>
  <c r="X594" i="18"/>
  <c r="J595" i="18"/>
  <c r="K595" i="18"/>
  <c r="L595" i="18"/>
  <c r="M595" i="18"/>
  <c r="N595" i="18"/>
  <c r="O595" i="18"/>
  <c r="P595" i="18"/>
  <c r="Q595" i="18"/>
  <c r="R595" i="18"/>
  <c r="S595" i="18"/>
  <c r="U595" i="18"/>
  <c r="X595" i="18"/>
  <c r="J596" i="18"/>
  <c r="K596" i="18"/>
  <c r="L596" i="18"/>
  <c r="M596" i="18"/>
  <c r="N596" i="18"/>
  <c r="O596" i="18"/>
  <c r="P596" i="18"/>
  <c r="Q596" i="18"/>
  <c r="R596" i="18"/>
  <c r="S596" i="18"/>
  <c r="U596" i="18"/>
  <c r="X596" i="18"/>
  <c r="J597" i="18"/>
  <c r="K597" i="18"/>
  <c r="L597" i="18"/>
  <c r="M597" i="18"/>
  <c r="N597" i="18"/>
  <c r="O597" i="18"/>
  <c r="P597" i="18"/>
  <c r="Q597" i="18"/>
  <c r="R597" i="18"/>
  <c r="S597" i="18"/>
  <c r="U597" i="18"/>
  <c r="X597" i="18"/>
  <c r="J600" i="18"/>
  <c r="K600" i="18"/>
  <c r="L600" i="18"/>
  <c r="M600" i="18"/>
  <c r="N600" i="18"/>
  <c r="O600" i="18"/>
  <c r="P600" i="18"/>
  <c r="Q600" i="18"/>
  <c r="R600" i="18"/>
  <c r="S600" i="18"/>
  <c r="U600" i="18"/>
  <c r="X600" i="18"/>
  <c r="J601" i="18"/>
  <c r="K601" i="18"/>
  <c r="L601" i="18"/>
  <c r="M601" i="18"/>
  <c r="N601" i="18"/>
  <c r="O601" i="18"/>
  <c r="P601" i="18"/>
  <c r="Q601" i="18"/>
  <c r="R601" i="18"/>
  <c r="S601" i="18"/>
  <c r="U601" i="18"/>
  <c r="X601" i="18"/>
  <c r="J602" i="18"/>
  <c r="K602" i="18"/>
  <c r="L602" i="18"/>
  <c r="M602" i="18"/>
  <c r="N602" i="18"/>
  <c r="O602" i="18"/>
  <c r="P602" i="18"/>
  <c r="Q602" i="18"/>
  <c r="R602" i="18"/>
  <c r="S602" i="18"/>
  <c r="U602" i="18"/>
  <c r="X602" i="18"/>
  <c r="J603" i="18"/>
  <c r="K603" i="18"/>
  <c r="L603" i="18"/>
  <c r="M603" i="18"/>
  <c r="N603" i="18"/>
  <c r="O603" i="18"/>
  <c r="P603" i="18"/>
  <c r="Q603" i="18"/>
  <c r="R603" i="18"/>
  <c r="S603" i="18"/>
  <c r="U603" i="18"/>
  <c r="X603" i="18"/>
  <c r="J604" i="18"/>
  <c r="K604" i="18"/>
  <c r="L604" i="18"/>
  <c r="M604" i="18"/>
  <c r="N604" i="18"/>
  <c r="O604" i="18"/>
  <c r="P604" i="18"/>
  <c r="Q604" i="18"/>
  <c r="R604" i="18"/>
  <c r="S604" i="18"/>
  <c r="U604" i="18"/>
  <c r="X604" i="18"/>
  <c r="J605" i="18"/>
  <c r="K605" i="18"/>
  <c r="L605" i="18"/>
  <c r="M605" i="18"/>
  <c r="N605" i="18"/>
  <c r="O605" i="18"/>
  <c r="P605" i="18"/>
  <c r="Q605" i="18"/>
  <c r="R605" i="18"/>
  <c r="S605" i="18"/>
  <c r="U605" i="18"/>
  <c r="X605" i="18"/>
  <c r="J606" i="18"/>
  <c r="K606" i="18"/>
  <c r="L606" i="18"/>
  <c r="M606" i="18"/>
  <c r="N606" i="18"/>
  <c r="O606" i="18"/>
  <c r="P606" i="18"/>
  <c r="Q606" i="18"/>
  <c r="R606" i="18"/>
  <c r="S606" i="18"/>
  <c r="U606" i="18"/>
  <c r="X606" i="18"/>
  <c r="J607" i="18"/>
  <c r="K607" i="18"/>
  <c r="L607" i="18"/>
  <c r="M607" i="18"/>
  <c r="N607" i="18"/>
  <c r="O607" i="18"/>
  <c r="P607" i="18"/>
  <c r="Q607" i="18"/>
  <c r="R607" i="18"/>
  <c r="S607" i="18"/>
  <c r="U607" i="18"/>
  <c r="X607" i="18"/>
  <c r="J608" i="18"/>
  <c r="K608" i="18"/>
  <c r="L608" i="18"/>
  <c r="M608" i="18"/>
  <c r="N608" i="18"/>
  <c r="O608" i="18"/>
  <c r="P608" i="18"/>
  <c r="Q608" i="18"/>
  <c r="R608" i="18"/>
  <c r="S608" i="18"/>
  <c r="U608" i="18"/>
  <c r="X608" i="18"/>
  <c r="J609" i="18"/>
  <c r="K609" i="18"/>
  <c r="L609" i="18"/>
  <c r="M609" i="18"/>
  <c r="N609" i="18"/>
  <c r="O609" i="18"/>
  <c r="P609" i="18"/>
  <c r="Q609" i="18"/>
  <c r="R609" i="18"/>
  <c r="S609" i="18"/>
  <c r="U609" i="18"/>
  <c r="X609" i="18"/>
  <c r="J610" i="18"/>
  <c r="K610" i="18"/>
  <c r="L610" i="18"/>
  <c r="M610" i="18"/>
  <c r="N610" i="18"/>
  <c r="O610" i="18"/>
  <c r="P610" i="18"/>
  <c r="Q610" i="18"/>
  <c r="R610" i="18"/>
  <c r="S610" i="18"/>
  <c r="U610" i="18"/>
  <c r="X610" i="18"/>
  <c r="J612" i="18"/>
  <c r="K612" i="18"/>
  <c r="L612" i="18"/>
  <c r="M612" i="18"/>
  <c r="N612" i="18"/>
  <c r="O612" i="18"/>
  <c r="P612" i="18"/>
  <c r="Q612" i="18"/>
  <c r="R612" i="18"/>
  <c r="S612" i="18"/>
  <c r="U612" i="18"/>
  <c r="X612" i="18"/>
  <c r="J614" i="18"/>
  <c r="K614" i="18"/>
  <c r="L614" i="18"/>
  <c r="M614" i="18"/>
  <c r="N614" i="18"/>
  <c r="O614" i="18"/>
  <c r="P614" i="18"/>
  <c r="Q614" i="18"/>
  <c r="R614" i="18"/>
  <c r="S614" i="18"/>
  <c r="U614" i="18"/>
  <c r="X614" i="18"/>
  <c r="J616" i="18"/>
  <c r="K616" i="18"/>
  <c r="L616" i="18"/>
  <c r="M616" i="18"/>
  <c r="N616" i="18"/>
  <c r="O616" i="18"/>
  <c r="P616" i="18"/>
  <c r="Q616" i="18"/>
  <c r="R616" i="18"/>
  <c r="S616" i="18"/>
  <c r="U616" i="18"/>
  <c r="X616" i="18"/>
  <c r="J618" i="18"/>
  <c r="K618" i="18"/>
  <c r="L618" i="18"/>
  <c r="M618" i="18"/>
  <c r="N618" i="18"/>
  <c r="O618" i="18"/>
  <c r="P618" i="18"/>
  <c r="Q618" i="18"/>
  <c r="R618" i="18"/>
  <c r="S618" i="18"/>
  <c r="U618" i="18"/>
  <c r="W618" i="18"/>
  <c r="X618" i="18"/>
  <c r="U620" i="18"/>
  <c r="W620" i="18"/>
  <c r="X620" i="18"/>
  <c r="J622" i="18"/>
  <c r="K622" i="18"/>
  <c r="L622" i="18"/>
  <c r="M622" i="18"/>
  <c r="N622" i="18"/>
  <c r="O622" i="18"/>
  <c r="P622" i="18"/>
  <c r="Q622" i="18"/>
  <c r="R622" i="18"/>
  <c r="S622" i="18"/>
  <c r="U622" i="18"/>
  <c r="W622" i="18"/>
  <c r="X622" i="18"/>
  <c r="J696" i="18"/>
  <c r="K696" i="18"/>
  <c r="L696" i="18"/>
  <c r="M696" i="18"/>
  <c r="N696" i="18"/>
  <c r="O696" i="18"/>
  <c r="P696" i="18"/>
  <c r="Q696" i="18"/>
  <c r="R696" i="18"/>
  <c r="S696" i="18"/>
  <c r="U696" i="18"/>
  <c r="X696" i="18"/>
  <c r="J697" i="18"/>
  <c r="K697" i="18"/>
  <c r="L697" i="18"/>
  <c r="M697" i="18"/>
  <c r="N697" i="18"/>
  <c r="O697" i="18"/>
  <c r="P697" i="18"/>
  <c r="Q697" i="18"/>
  <c r="R697" i="18"/>
  <c r="S697" i="18"/>
  <c r="U697" i="18"/>
  <c r="X697" i="18"/>
  <c r="J704" i="18"/>
  <c r="K704" i="18"/>
  <c r="L704" i="18"/>
  <c r="M704" i="18"/>
  <c r="N704" i="18"/>
  <c r="O704" i="18"/>
  <c r="P704" i="18"/>
  <c r="Q704" i="18"/>
  <c r="R704" i="18"/>
  <c r="S704" i="18"/>
  <c r="U704" i="18"/>
  <c r="X704" i="18"/>
  <c r="J705" i="18"/>
  <c r="K705" i="18"/>
  <c r="L705" i="18"/>
  <c r="M705" i="18"/>
  <c r="N705" i="18"/>
  <c r="O705" i="18"/>
  <c r="P705" i="18"/>
  <c r="Q705" i="18"/>
  <c r="R705" i="18"/>
  <c r="S705" i="18"/>
  <c r="U705" i="18"/>
  <c r="W705" i="18"/>
  <c r="X705" i="18"/>
  <c r="J707" i="18"/>
  <c r="K707" i="18"/>
  <c r="L707" i="18"/>
  <c r="M707" i="18"/>
  <c r="N707" i="18"/>
  <c r="O707" i="18"/>
  <c r="P707" i="18"/>
  <c r="Q707" i="18"/>
  <c r="R707" i="18"/>
  <c r="S707" i="18"/>
  <c r="U707" i="18"/>
  <c r="W707" i="18"/>
  <c r="X707" i="18"/>
  <c r="J709" i="18"/>
  <c r="K709" i="18"/>
  <c r="L709" i="18"/>
  <c r="M709" i="18"/>
  <c r="N709" i="18"/>
  <c r="O709" i="18"/>
  <c r="P709" i="18"/>
  <c r="Q709" i="18"/>
  <c r="R709" i="18"/>
  <c r="S709" i="18"/>
  <c r="U709" i="18"/>
  <c r="W709" i="18"/>
  <c r="X709" i="18"/>
  <c r="J753" i="18"/>
  <c r="K753" i="18"/>
  <c r="L753" i="18"/>
  <c r="M753" i="18"/>
  <c r="N753" i="18"/>
  <c r="O753" i="18"/>
  <c r="P753" i="18"/>
  <c r="Q753" i="18"/>
  <c r="R753" i="18"/>
  <c r="S753" i="18"/>
  <c r="U753" i="18"/>
  <c r="W753" i="18"/>
  <c r="X753" i="18"/>
  <c r="J754" i="18"/>
  <c r="K754" i="18"/>
  <c r="L754" i="18"/>
  <c r="M754" i="18"/>
  <c r="N754" i="18"/>
  <c r="O754" i="18"/>
  <c r="P754" i="18"/>
  <c r="Q754" i="18"/>
  <c r="R754" i="18"/>
  <c r="S754" i="18"/>
  <c r="U754" i="18"/>
  <c r="W754" i="18"/>
  <c r="X754" i="18"/>
  <c r="J769" i="18"/>
  <c r="K769" i="18"/>
  <c r="L769" i="18"/>
  <c r="M769" i="18"/>
  <c r="N769" i="18"/>
  <c r="O769" i="18"/>
  <c r="P769" i="18"/>
  <c r="Q769" i="18"/>
  <c r="R769" i="18"/>
  <c r="S769" i="18"/>
  <c r="U769" i="18"/>
  <c r="X769" i="18"/>
  <c r="J770" i="18"/>
  <c r="K770" i="18"/>
  <c r="L770" i="18"/>
  <c r="M770" i="18"/>
  <c r="N770" i="18"/>
  <c r="O770" i="18"/>
  <c r="P770" i="18"/>
  <c r="Q770" i="18"/>
  <c r="R770" i="18"/>
  <c r="S770" i="18"/>
  <c r="U770" i="18"/>
  <c r="X770" i="18"/>
  <c r="J771" i="18"/>
  <c r="K771" i="18"/>
  <c r="L771" i="18"/>
  <c r="M771" i="18"/>
  <c r="N771" i="18"/>
  <c r="O771" i="18"/>
  <c r="P771" i="18"/>
  <c r="Q771" i="18"/>
  <c r="R771" i="18"/>
  <c r="S771" i="18"/>
  <c r="U771" i="18"/>
  <c r="X771" i="18"/>
  <c r="J772" i="18"/>
  <c r="K772" i="18"/>
  <c r="L772" i="18"/>
  <c r="M772" i="18"/>
  <c r="N772" i="18"/>
  <c r="O772" i="18"/>
  <c r="P772" i="18"/>
  <c r="Q772" i="18"/>
  <c r="R772" i="18"/>
  <c r="S772" i="18"/>
  <c r="U772" i="18"/>
  <c r="X772" i="18"/>
  <c r="J773" i="18"/>
  <c r="K773" i="18"/>
  <c r="L773" i="18"/>
  <c r="M773" i="18"/>
  <c r="N773" i="18"/>
  <c r="O773" i="18"/>
  <c r="P773" i="18"/>
  <c r="Q773" i="18"/>
  <c r="R773" i="18"/>
  <c r="S773" i="18"/>
  <c r="U773" i="18"/>
  <c r="X773" i="18"/>
  <c r="J774" i="18"/>
  <c r="K774" i="18"/>
  <c r="L774" i="18"/>
  <c r="M774" i="18"/>
  <c r="N774" i="18"/>
  <c r="O774" i="18"/>
  <c r="P774" i="18"/>
  <c r="Q774" i="18"/>
  <c r="R774" i="18"/>
  <c r="S774" i="18"/>
  <c r="U774" i="18"/>
  <c r="X774" i="18"/>
  <c r="J775" i="18"/>
  <c r="K775" i="18"/>
  <c r="L775" i="18"/>
  <c r="M775" i="18"/>
  <c r="N775" i="18"/>
  <c r="O775" i="18"/>
  <c r="P775" i="18"/>
  <c r="Q775" i="18"/>
  <c r="R775" i="18"/>
  <c r="S775" i="18"/>
  <c r="U775" i="18"/>
  <c r="X775" i="18"/>
  <c r="J778" i="18"/>
  <c r="K778" i="18"/>
  <c r="L778" i="18"/>
  <c r="M778" i="18"/>
  <c r="N778" i="18"/>
  <c r="O778" i="18"/>
  <c r="P778" i="18"/>
  <c r="Q778" i="18"/>
  <c r="R778" i="18"/>
  <c r="S778" i="18"/>
  <c r="U778" i="18"/>
  <c r="X778" i="18"/>
  <c r="J779" i="18"/>
  <c r="K779" i="18"/>
  <c r="L779" i="18"/>
  <c r="M779" i="18"/>
  <c r="N779" i="18"/>
  <c r="O779" i="18"/>
  <c r="P779" i="18"/>
  <c r="Q779" i="18"/>
  <c r="R779" i="18"/>
  <c r="S779" i="18"/>
  <c r="U779" i="18"/>
  <c r="X779" i="18"/>
  <c r="J780" i="18"/>
  <c r="K780" i="18"/>
  <c r="L780" i="18"/>
  <c r="M780" i="18"/>
  <c r="N780" i="18"/>
  <c r="O780" i="18"/>
  <c r="P780" i="18"/>
  <c r="Q780" i="18"/>
  <c r="R780" i="18"/>
  <c r="S780" i="18"/>
  <c r="U780" i="18"/>
  <c r="X780" i="18"/>
  <c r="J781" i="18"/>
  <c r="K781" i="18"/>
  <c r="L781" i="18"/>
  <c r="M781" i="18"/>
  <c r="N781" i="18"/>
  <c r="O781" i="18"/>
  <c r="P781" i="18"/>
  <c r="Q781" i="18"/>
  <c r="R781" i="18"/>
  <c r="S781" i="18"/>
  <c r="U781" i="18"/>
  <c r="X781" i="18"/>
  <c r="J783" i="18"/>
  <c r="K783" i="18"/>
  <c r="L783" i="18"/>
  <c r="M783" i="18"/>
  <c r="N783" i="18"/>
  <c r="O783" i="18"/>
  <c r="P783" i="18"/>
  <c r="Q783" i="18"/>
  <c r="R783" i="18"/>
  <c r="S783" i="18"/>
  <c r="U783" i="18"/>
  <c r="W783" i="18"/>
  <c r="X783" i="18"/>
  <c r="J784" i="18"/>
  <c r="K784" i="18"/>
  <c r="L784" i="18"/>
  <c r="M784" i="18"/>
  <c r="N784" i="18"/>
  <c r="O784" i="18"/>
  <c r="P784" i="18"/>
  <c r="Q784" i="18"/>
  <c r="R784" i="18"/>
  <c r="S784" i="18"/>
  <c r="U784" i="18"/>
  <c r="W784" i="18"/>
  <c r="X784" i="18"/>
  <c r="J785" i="18"/>
  <c r="K785" i="18"/>
  <c r="L785" i="18"/>
  <c r="M785" i="18"/>
  <c r="N785" i="18"/>
  <c r="O785" i="18"/>
  <c r="P785" i="18"/>
  <c r="Q785" i="18"/>
  <c r="R785" i="18"/>
  <c r="S785" i="18"/>
  <c r="U785" i="18"/>
  <c r="W785" i="18"/>
  <c r="X785" i="18"/>
  <c r="J787" i="18"/>
  <c r="K787" i="18"/>
  <c r="L787" i="18"/>
  <c r="M787" i="18"/>
  <c r="N787" i="18"/>
  <c r="O787" i="18"/>
  <c r="P787" i="18"/>
  <c r="Q787" i="18"/>
  <c r="R787" i="18"/>
  <c r="S787" i="18"/>
  <c r="U787" i="18"/>
  <c r="W787" i="18"/>
  <c r="X787" i="18"/>
  <c r="J860" i="18"/>
  <c r="K860" i="18"/>
  <c r="L860" i="18"/>
  <c r="M860" i="18"/>
  <c r="N860" i="18"/>
  <c r="O860" i="18"/>
  <c r="P860" i="18"/>
  <c r="Q860" i="18"/>
  <c r="R860" i="18"/>
  <c r="S860" i="18"/>
  <c r="U860" i="18"/>
  <c r="X860" i="18"/>
  <c r="J867" i="18"/>
  <c r="K867" i="18"/>
  <c r="L867" i="18"/>
  <c r="M867" i="18"/>
  <c r="N867" i="18"/>
  <c r="O867" i="18"/>
  <c r="P867" i="18"/>
  <c r="Q867" i="18"/>
  <c r="R867" i="18"/>
  <c r="S867" i="18"/>
  <c r="U867" i="18"/>
  <c r="X867" i="18"/>
  <c r="J868" i="18"/>
  <c r="K868" i="18"/>
  <c r="L868" i="18"/>
  <c r="M868" i="18"/>
  <c r="N868" i="18"/>
  <c r="O868" i="18"/>
  <c r="P868" i="18"/>
  <c r="Q868" i="18"/>
  <c r="R868" i="18"/>
  <c r="S868" i="18"/>
  <c r="U868" i="18"/>
  <c r="W868" i="18"/>
  <c r="X868" i="18"/>
  <c r="J870" i="18"/>
  <c r="K870" i="18"/>
  <c r="L870" i="18"/>
  <c r="M870" i="18"/>
  <c r="N870" i="18"/>
  <c r="O870" i="18"/>
  <c r="P870" i="18"/>
  <c r="Q870" i="18"/>
  <c r="R870" i="18"/>
  <c r="S870" i="18"/>
  <c r="U870" i="18"/>
  <c r="W870" i="18"/>
  <c r="X870" i="18"/>
  <c r="J872" i="18"/>
  <c r="K872" i="18"/>
  <c r="L872" i="18"/>
  <c r="M872" i="18"/>
  <c r="N872" i="18"/>
  <c r="O872" i="18"/>
  <c r="P872" i="18"/>
  <c r="Q872" i="18"/>
  <c r="R872" i="18"/>
  <c r="S872" i="18"/>
  <c r="U872" i="18"/>
  <c r="W872" i="18"/>
  <c r="X872" i="18"/>
  <c r="J874" i="18"/>
  <c r="K874" i="18"/>
  <c r="L874" i="18"/>
  <c r="M874" i="18"/>
  <c r="N874" i="18"/>
  <c r="O874" i="18"/>
  <c r="P874" i="18"/>
  <c r="Q874" i="18"/>
  <c r="R874" i="18"/>
  <c r="S874" i="18"/>
  <c r="U874" i="18"/>
  <c r="W874" i="18"/>
  <c r="X874" i="18"/>
  <c r="J925" i="18"/>
  <c r="K925" i="18"/>
  <c r="L925" i="18"/>
  <c r="M925" i="18"/>
  <c r="N925" i="18"/>
  <c r="O925" i="18"/>
  <c r="P925" i="18"/>
  <c r="Q925" i="18"/>
  <c r="R925" i="18"/>
  <c r="S925" i="18"/>
  <c r="U925" i="18"/>
  <c r="W925" i="18"/>
  <c r="X925" i="18"/>
  <c r="J940" i="18"/>
  <c r="K940" i="18"/>
  <c r="L940" i="18"/>
  <c r="M940" i="18"/>
  <c r="N940" i="18"/>
  <c r="O940" i="18"/>
  <c r="P940" i="18"/>
  <c r="Q940" i="18"/>
  <c r="R940" i="18"/>
  <c r="S940" i="18"/>
  <c r="U940" i="18"/>
  <c r="W940" i="18"/>
  <c r="X940" i="18"/>
  <c r="J941" i="18"/>
  <c r="K941" i="18"/>
  <c r="L941" i="18"/>
  <c r="M941" i="18"/>
  <c r="N941" i="18"/>
  <c r="O941" i="18"/>
  <c r="P941" i="18"/>
  <c r="Q941" i="18"/>
  <c r="R941" i="18"/>
  <c r="S941" i="18"/>
  <c r="U941" i="18"/>
  <c r="X941" i="18"/>
  <c r="J942" i="18"/>
  <c r="K942" i="18"/>
  <c r="L942" i="18"/>
  <c r="M942" i="18"/>
  <c r="N942" i="18"/>
  <c r="O942" i="18"/>
  <c r="P942" i="18"/>
  <c r="Q942" i="18"/>
  <c r="R942" i="18"/>
  <c r="S942" i="18"/>
  <c r="U942" i="18"/>
  <c r="X942" i="18"/>
  <c r="J943" i="18"/>
  <c r="K943" i="18"/>
  <c r="L943" i="18"/>
  <c r="M943" i="18"/>
  <c r="N943" i="18"/>
  <c r="O943" i="18"/>
  <c r="P943" i="18"/>
  <c r="Q943" i="18"/>
  <c r="R943" i="18"/>
  <c r="S943" i="18"/>
  <c r="U943" i="18"/>
  <c r="X943" i="18"/>
  <c r="J944" i="18"/>
  <c r="K944" i="18"/>
  <c r="L944" i="18"/>
  <c r="M944" i="18"/>
  <c r="N944" i="18"/>
  <c r="O944" i="18"/>
  <c r="P944" i="18"/>
  <c r="Q944" i="18"/>
  <c r="R944" i="18"/>
  <c r="S944" i="18"/>
  <c r="U944" i="18"/>
  <c r="X944" i="18"/>
  <c r="J945" i="18"/>
  <c r="K945" i="18"/>
  <c r="L945" i="18"/>
  <c r="M945" i="18"/>
  <c r="N945" i="18"/>
  <c r="O945" i="18"/>
  <c r="P945" i="18"/>
  <c r="Q945" i="18"/>
  <c r="R945" i="18"/>
  <c r="S945" i="18"/>
  <c r="U945" i="18"/>
  <c r="X945" i="18"/>
  <c r="J946" i="18"/>
  <c r="K946" i="18"/>
  <c r="L946" i="18"/>
  <c r="M946" i="18"/>
  <c r="N946" i="18"/>
  <c r="O946" i="18"/>
  <c r="P946" i="18"/>
  <c r="Q946" i="18"/>
  <c r="R946" i="18"/>
  <c r="S946" i="18"/>
  <c r="U946" i="18"/>
  <c r="X946" i="18"/>
  <c r="J948" i="18"/>
  <c r="K948" i="18"/>
  <c r="L948" i="18"/>
  <c r="M948" i="18"/>
  <c r="N948" i="18"/>
  <c r="O948" i="18"/>
  <c r="P948" i="18"/>
  <c r="Q948" i="18"/>
  <c r="R948" i="18"/>
  <c r="S948" i="18"/>
  <c r="U948" i="18"/>
  <c r="X948" i="18"/>
  <c r="J949" i="18"/>
  <c r="K949" i="18"/>
  <c r="L949" i="18"/>
  <c r="M949" i="18"/>
  <c r="N949" i="18"/>
  <c r="O949" i="18"/>
  <c r="P949" i="18"/>
  <c r="Q949" i="18"/>
  <c r="R949" i="18"/>
  <c r="S949" i="18"/>
  <c r="U949" i="18"/>
  <c r="X949" i="18"/>
  <c r="J950" i="18"/>
  <c r="K950" i="18"/>
  <c r="L950" i="18"/>
  <c r="M950" i="18"/>
  <c r="N950" i="18"/>
  <c r="O950" i="18"/>
  <c r="P950" i="18"/>
  <c r="Q950" i="18"/>
  <c r="R950" i="18"/>
  <c r="S950" i="18"/>
  <c r="U950" i="18"/>
  <c r="X950" i="18"/>
  <c r="J951" i="18"/>
  <c r="K951" i="18"/>
  <c r="L951" i="18"/>
  <c r="M951" i="18"/>
  <c r="N951" i="18"/>
  <c r="O951" i="18"/>
  <c r="P951" i="18"/>
  <c r="Q951" i="18"/>
  <c r="R951" i="18"/>
  <c r="S951" i="18"/>
  <c r="U951" i="18"/>
  <c r="X951" i="18"/>
  <c r="J952" i="18"/>
  <c r="K952" i="18"/>
  <c r="L952" i="18"/>
  <c r="M952" i="18"/>
  <c r="N952" i="18"/>
  <c r="O952" i="18"/>
  <c r="P952" i="18"/>
  <c r="Q952" i="18"/>
  <c r="R952" i="18"/>
  <c r="S952" i="18"/>
  <c r="U952" i="18"/>
  <c r="X952" i="18"/>
  <c r="J953" i="18"/>
  <c r="K953" i="18"/>
  <c r="L953" i="18"/>
  <c r="M953" i="18"/>
  <c r="N953" i="18"/>
  <c r="O953" i="18"/>
  <c r="P953" i="18"/>
  <c r="Q953" i="18"/>
  <c r="R953" i="18"/>
  <c r="S953" i="18"/>
  <c r="U953" i="18"/>
  <c r="W953" i="18"/>
  <c r="X953" i="18"/>
  <c r="J955" i="18"/>
  <c r="K955" i="18"/>
  <c r="L955" i="18"/>
  <c r="M955" i="18"/>
  <c r="N955" i="18"/>
  <c r="O955" i="18"/>
  <c r="P955" i="18"/>
  <c r="Q955" i="18"/>
  <c r="R955" i="18"/>
  <c r="S955" i="18"/>
  <c r="U955" i="18"/>
  <c r="W955" i="18"/>
  <c r="X955" i="18"/>
  <c r="J957" i="18"/>
  <c r="K957" i="18"/>
  <c r="L957" i="18"/>
  <c r="M957" i="18"/>
  <c r="N957" i="18"/>
  <c r="O957" i="18"/>
  <c r="P957" i="18"/>
  <c r="Q957" i="18"/>
  <c r="R957" i="18"/>
  <c r="S957" i="18"/>
  <c r="U957" i="18"/>
  <c r="W957" i="18"/>
  <c r="X957" i="18"/>
  <c r="J995" i="18"/>
  <c r="K995" i="18"/>
  <c r="L995" i="18"/>
  <c r="M995" i="18"/>
  <c r="N995" i="18"/>
  <c r="O995" i="18"/>
  <c r="P995" i="18"/>
  <c r="Q995" i="18"/>
  <c r="R995" i="18"/>
  <c r="S995" i="18"/>
  <c r="U995" i="18"/>
  <c r="X995" i="18"/>
  <c r="J996" i="18"/>
  <c r="K996" i="18"/>
  <c r="L996" i="18"/>
  <c r="M996" i="18"/>
  <c r="N996" i="18"/>
  <c r="O996" i="18"/>
  <c r="P996" i="18"/>
  <c r="Q996" i="18"/>
  <c r="R996" i="18"/>
  <c r="S996" i="18"/>
  <c r="U996" i="18"/>
  <c r="X996" i="18"/>
  <c r="J997" i="18"/>
  <c r="K997" i="18"/>
  <c r="L997" i="18"/>
  <c r="M997" i="18"/>
  <c r="N997" i="18"/>
  <c r="O997" i="18"/>
  <c r="P997" i="18"/>
  <c r="Q997" i="18"/>
  <c r="R997" i="18"/>
  <c r="S997" i="18"/>
  <c r="U997" i="18"/>
  <c r="X997" i="18"/>
  <c r="J998" i="18"/>
  <c r="K998" i="18"/>
  <c r="L998" i="18"/>
  <c r="M998" i="18"/>
  <c r="N998" i="18"/>
  <c r="O998" i="18"/>
  <c r="P998" i="18"/>
  <c r="Q998" i="18"/>
  <c r="R998" i="18"/>
  <c r="S998" i="18"/>
  <c r="U998" i="18"/>
  <c r="W998" i="18"/>
  <c r="X998" i="18"/>
  <c r="J1001" i="18"/>
  <c r="K1001" i="18"/>
  <c r="L1001" i="18"/>
  <c r="M1001" i="18"/>
  <c r="N1001" i="18"/>
  <c r="O1001" i="18"/>
  <c r="P1001" i="18"/>
  <c r="Q1001" i="18"/>
  <c r="R1001" i="18"/>
  <c r="S1001" i="18"/>
  <c r="U1001" i="18"/>
  <c r="X1001" i="18"/>
  <c r="J1002" i="18"/>
  <c r="K1002" i="18"/>
  <c r="L1002" i="18"/>
  <c r="M1002" i="18"/>
  <c r="N1002" i="18"/>
  <c r="O1002" i="18"/>
  <c r="P1002" i="18"/>
  <c r="Q1002" i="18"/>
  <c r="R1002" i="18"/>
  <c r="S1002" i="18"/>
  <c r="U1002" i="18"/>
  <c r="J1003" i="18"/>
  <c r="K1003" i="18"/>
  <c r="L1003" i="18"/>
  <c r="M1003" i="18"/>
  <c r="N1003" i="18"/>
  <c r="O1003" i="18"/>
  <c r="P1003" i="18"/>
  <c r="Q1003" i="18"/>
  <c r="R1003" i="18"/>
  <c r="S1003" i="18"/>
  <c r="U1003" i="18"/>
  <c r="J1004" i="18"/>
  <c r="K1004" i="18"/>
  <c r="L1004" i="18"/>
  <c r="M1004" i="18"/>
  <c r="N1004" i="18"/>
  <c r="O1004" i="18"/>
  <c r="P1004" i="18"/>
  <c r="Q1004" i="18"/>
  <c r="R1004" i="18"/>
  <c r="S1004" i="18"/>
  <c r="U1004" i="18"/>
  <c r="J1005" i="18"/>
  <c r="K1005" i="18"/>
  <c r="L1005" i="18"/>
  <c r="M1005" i="18"/>
  <c r="N1005" i="18"/>
  <c r="O1005" i="18"/>
  <c r="P1005" i="18"/>
  <c r="Q1005" i="18"/>
  <c r="R1005" i="18"/>
  <c r="S1005" i="18"/>
  <c r="U1005" i="18"/>
  <c r="X1005" i="18"/>
  <c r="J1006" i="18"/>
  <c r="K1006" i="18"/>
  <c r="L1006" i="18"/>
  <c r="M1006" i="18"/>
  <c r="N1006" i="18"/>
  <c r="O1006" i="18"/>
  <c r="P1006" i="18"/>
  <c r="Q1006" i="18"/>
  <c r="R1006" i="18"/>
  <c r="S1006" i="18"/>
  <c r="U1006" i="18"/>
  <c r="X1006" i="18"/>
  <c r="J1007" i="18"/>
  <c r="K1007" i="18"/>
  <c r="L1007" i="18"/>
  <c r="M1007" i="18"/>
  <c r="N1007" i="18"/>
  <c r="O1007" i="18"/>
  <c r="P1007" i="18"/>
  <c r="Q1007" i="18"/>
  <c r="R1007" i="18"/>
  <c r="S1007" i="18"/>
  <c r="U1007" i="18"/>
  <c r="X1007" i="18"/>
  <c r="J1008" i="18"/>
  <c r="K1008" i="18"/>
  <c r="L1008" i="18"/>
  <c r="M1008" i="18"/>
  <c r="N1008" i="18"/>
  <c r="O1008" i="18"/>
  <c r="P1008" i="18"/>
  <c r="Q1008" i="18"/>
  <c r="R1008" i="18"/>
  <c r="S1008" i="18"/>
  <c r="U1008" i="18"/>
  <c r="X1008" i="18"/>
  <c r="J1009" i="18"/>
  <c r="K1009" i="18"/>
  <c r="L1009" i="18"/>
  <c r="M1009" i="18"/>
  <c r="N1009" i="18"/>
  <c r="O1009" i="18"/>
  <c r="P1009" i="18"/>
  <c r="Q1009" i="18"/>
  <c r="R1009" i="18"/>
  <c r="S1009" i="18"/>
  <c r="U1009" i="18"/>
  <c r="X1009" i="18"/>
  <c r="J1010" i="18"/>
  <c r="K1010" i="18"/>
  <c r="L1010" i="18"/>
  <c r="M1010" i="18"/>
  <c r="N1010" i="18"/>
  <c r="O1010" i="18"/>
  <c r="P1010" i="18"/>
  <c r="Q1010" i="18"/>
  <c r="R1010" i="18"/>
  <c r="S1010" i="18"/>
  <c r="U1010" i="18"/>
  <c r="X1010" i="18"/>
  <c r="J1011" i="18"/>
  <c r="K1011" i="18"/>
  <c r="L1011" i="18"/>
  <c r="M1011" i="18"/>
  <c r="N1011" i="18"/>
  <c r="O1011" i="18"/>
  <c r="P1011" i="18"/>
  <c r="Q1011" i="18"/>
  <c r="R1011" i="18"/>
  <c r="S1011" i="18"/>
  <c r="U1011" i="18"/>
  <c r="X1011" i="18"/>
  <c r="J1012" i="18"/>
  <c r="K1012" i="18"/>
  <c r="L1012" i="18"/>
  <c r="M1012" i="18"/>
  <c r="N1012" i="18"/>
  <c r="O1012" i="18"/>
  <c r="P1012" i="18"/>
  <c r="Q1012" i="18"/>
  <c r="R1012" i="18"/>
  <c r="S1012" i="18"/>
  <c r="U1012" i="18"/>
  <c r="X1012" i="18"/>
  <c r="J1013" i="18"/>
  <c r="K1013" i="18"/>
  <c r="L1013" i="18"/>
  <c r="M1013" i="18"/>
  <c r="N1013" i="18"/>
  <c r="O1013" i="18"/>
  <c r="P1013" i="18"/>
  <c r="Q1013" i="18"/>
  <c r="R1013" i="18"/>
  <c r="S1013" i="18"/>
  <c r="U1013" i="18"/>
  <c r="W1013" i="18"/>
  <c r="X1013" i="18"/>
  <c r="J1016" i="18"/>
  <c r="K1016" i="18"/>
  <c r="L1016" i="18"/>
  <c r="M1016" i="18"/>
  <c r="N1016" i="18"/>
  <c r="O1016" i="18"/>
  <c r="P1016" i="18"/>
  <c r="Q1016" i="18"/>
  <c r="R1016" i="18"/>
  <c r="S1016" i="18"/>
  <c r="U1016" i="18"/>
  <c r="X1016" i="18"/>
  <c r="J1017" i="18"/>
  <c r="K1017" i="18"/>
  <c r="L1017" i="18"/>
  <c r="M1017" i="18"/>
  <c r="N1017" i="18"/>
  <c r="O1017" i="18"/>
  <c r="P1017" i="18"/>
  <c r="Q1017" i="18"/>
  <c r="R1017" i="18"/>
  <c r="S1017" i="18"/>
  <c r="U1017" i="18"/>
  <c r="X1017" i="18"/>
  <c r="J1019" i="18"/>
  <c r="K1019" i="18"/>
  <c r="L1019" i="18"/>
  <c r="M1019" i="18"/>
  <c r="N1019" i="18"/>
  <c r="O1019" i="18"/>
  <c r="P1019" i="18"/>
  <c r="Q1019" i="18"/>
  <c r="R1019" i="18"/>
  <c r="S1019" i="18"/>
  <c r="U1019" i="18"/>
  <c r="J1020" i="18"/>
  <c r="K1020" i="18"/>
  <c r="L1020" i="18"/>
  <c r="M1020" i="18"/>
  <c r="N1020" i="18"/>
  <c r="O1020" i="18"/>
  <c r="P1020" i="18"/>
  <c r="Q1020" i="18"/>
  <c r="R1020" i="18"/>
  <c r="S1020" i="18"/>
  <c r="U1020" i="18"/>
  <c r="J1021" i="18"/>
  <c r="K1021" i="18"/>
  <c r="L1021" i="18"/>
  <c r="M1021" i="18"/>
  <c r="N1021" i="18"/>
  <c r="O1021" i="18"/>
  <c r="P1021" i="18"/>
  <c r="Q1021" i="18"/>
  <c r="R1021" i="18"/>
  <c r="S1021" i="18"/>
  <c r="U1021" i="18"/>
  <c r="X1021" i="18"/>
  <c r="J1032" i="18"/>
  <c r="K1032" i="18"/>
  <c r="L1032" i="18"/>
  <c r="M1032" i="18"/>
  <c r="N1032" i="18"/>
  <c r="O1032" i="18"/>
  <c r="P1032" i="18"/>
  <c r="Q1032" i="18"/>
  <c r="R1032" i="18"/>
  <c r="S1032" i="18"/>
  <c r="U1032" i="18"/>
  <c r="W1032" i="18"/>
  <c r="X1032" i="18"/>
  <c r="J1049" i="18"/>
  <c r="K1049" i="18"/>
  <c r="L1049" i="18"/>
  <c r="M1049" i="18"/>
  <c r="N1049" i="18"/>
  <c r="O1049" i="18"/>
  <c r="P1049" i="18"/>
  <c r="Q1049" i="18"/>
  <c r="R1049" i="18"/>
  <c r="S1049" i="18"/>
  <c r="U1049" i="18"/>
  <c r="X1049" i="18"/>
  <c r="J1050" i="18"/>
  <c r="K1050" i="18"/>
  <c r="L1050" i="18"/>
  <c r="M1050" i="18"/>
  <c r="N1050" i="18"/>
  <c r="O1050" i="18"/>
  <c r="P1050" i="18"/>
  <c r="Q1050" i="18"/>
  <c r="R1050" i="18"/>
  <c r="S1050" i="18"/>
  <c r="U1050" i="18"/>
  <c r="X1050" i="18"/>
  <c r="J1051" i="18"/>
  <c r="K1051" i="18"/>
  <c r="L1051" i="18"/>
  <c r="M1051" i="18"/>
  <c r="N1051" i="18"/>
  <c r="O1051" i="18"/>
  <c r="P1051" i="18"/>
  <c r="Q1051" i="18"/>
  <c r="R1051" i="18"/>
  <c r="S1051" i="18"/>
  <c r="U1051" i="18"/>
  <c r="X1051" i="18"/>
  <c r="J1052" i="18"/>
  <c r="K1052" i="18"/>
  <c r="L1052" i="18"/>
  <c r="M1052" i="18"/>
  <c r="N1052" i="18"/>
  <c r="O1052" i="18"/>
  <c r="P1052" i="18"/>
  <c r="Q1052" i="18"/>
  <c r="R1052" i="18"/>
  <c r="S1052" i="18"/>
  <c r="U1052" i="18"/>
  <c r="X1052" i="18"/>
  <c r="J1053" i="18"/>
  <c r="K1053" i="18"/>
  <c r="L1053" i="18"/>
  <c r="M1053" i="18"/>
  <c r="N1053" i="18"/>
  <c r="O1053" i="18"/>
  <c r="P1053" i="18"/>
  <c r="Q1053" i="18"/>
  <c r="R1053" i="18"/>
  <c r="S1053" i="18"/>
  <c r="U1053" i="18"/>
  <c r="X1053" i="18"/>
  <c r="J1054" i="18"/>
  <c r="K1054" i="18"/>
  <c r="L1054" i="18"/>
  <c r="M1054" i="18"/>
  <c r="N1054" i="18"/>
  <c r="O1054" i="18"/>
  <c r="P1054" i="18"/>
  <c r="Q1054" i="18"/>
  <c r="R1054" i="18"/>
  <c r="S1054" i="18"/>
  <c r="U1054" i="18"/>
  <c r="X1054" i="18"/>
  <c r="J1055" i="18"/>
  <c r="K1055" i="18"/>
  <c r="L1055" i="18"/>
  <c r="M1055" i="18"/>
  <c r="N1055" i="18"/>
  <c r="O1055" i="18"/>
  <c r="P1055" i="18"/>
  <c r="Q1055" i="18"/>
  <c r="R1055" i="18"/>
  <c r="S1055" i="18"/>
  <c r="U1055" i="18"/>
  <c r="X1055" i="18"/>
  <c r="J1056" i="18"/>
  <c r="K1056" i="18"/>
  <c r="L1056" i="18"/>
  <c r="M1056" i="18"/>
  <c r="N1056" i="18"/>
  <c r="O1056" i="18"/>
  <c r="P1056" i="18"/>
  <c r="Q1056" i="18"/>
  <c r="R1056" i="18"/>
  <c r="S1056" i="18"/>
  <c r="U1056" i="18"/>
  <c r="X1056" i="18"/>
  <c r="J1057" i="18"/>
  <c r="K1057" i="18"/>
  <c r="L1057" i="18"/>
  <c r="M1057" i="18"/>
  <c r="N1057" i="18"/>
  <c r="O1057" i="18"/>
  <c r="P1057" i="18"/>
  <c r="Q1057" i="18"/>
  <c r="R1057" i="18"/>
  <c r="S1057" i="18"/>
  <c r="U1057" i="18"/>
  <c r="J1058" i="18"/>
  <c r="K1058" i="18"/>
  <c r="L1058" i="18"/>
  <c r="M1058" i="18"/>
  <c r="N1058" i="18"/>
  <c r="O1058" i="18"/>
  <c r="P1058" i="18"/>
  <c r="Q1058" i="18"/>
  <c r="R1058" i="18"/>
  <c r="S1058" i="18"/>
  <c r="U1058" i="18"/>
  <c r="J1059" i="18"/>
  <c r="K1059" i="18"/>
  <c r="L1059" i="18"/>
  <c r="M1059" i="18"/>
  <c r="N1059" i="18"/>
  <c r="O1059" i="18"/>
  <c r="P1059" i="18"/>
  <c r="Q1059" i="18"/>
  <c r="R1059" i="18"/>
  <c r="S1059" i="18"/>
  <c r="U1059" i="18"/>
  <c r="X1059" i="18"/>
  <c r="J1060" i="18"/>
  <c r="K1060" i="18"/>
  <c r="L1060" i="18"/>
  <c r="M1060" i="18"/>
  <c r="N1060" i="18"/>
  <c r="O1060" i="18"/>
  <c r="P1060" i="18"/>
  <c r="Q1060" i="18"/>
  <c r="R1060" i="18"/>
  <c r="S1060" i="18"/>
  <c r="U1060" i="18"/>
  <c r="X1060" i="18"/>
  <c r="J1061" i="18"/>
  <c r="K1061" i="18"/>
  <c r="L1061" i="18"/>
  <c r="M1061" i="18"/>
  <c r="N1061" i="18"/>
  <c r="O1061" i="18"/>
  <c r="P1061" i="18"/>
  <c r="Q1061" i="18"/>
  <c r="R1061" i="18"/>
  <c r="S1061" i="18"/>
  <c r="U1061" i="18"/>
  <c r="X1061" i="18"/>
  <c r="J1062" i="18"/>
  <c r="K1062" i="18"/>
  <c r="L1062" i="18"/>
  <c r="M1062" i="18"/>
  <c r="N1062" i="18"/>
  <c r="O1062" i="18"/>
  <c r="P1062" i="18"/>
  <c r="Q1062" i="18"/>
  <c r="R1062" i="18"/>
  <c r="S1062" i="18"/>
  <c r="U1062" i="18"/>
  <c r="X1062" i="18"/>
  <c r="J1063" i="18"/>
  <c r="K1063" i="18"/>
  <c r="L1063" i="18"/>
  <c r="M1063" i="18"/>
  <c r="N1063" i="18"/>
  <c r="O1063" i="18"/>
  <c r="P1063" i="18"/>
  <c r="Q1063" i="18"/>
  <c r="R1063" i="18"/>
  <c r="S1063" i="18"/>
  <c r="U1063" i="18"/>
  <c r="W1063" i="18"/>
  <c r="X1063" i="18"/>
  <c r="J1065" i="18"/>
  <c r="K1065" i="18"/>
  <c r="L1065" i="18"/>
  <c r="M1065" i="18"/>
  <c r="N1065" i="18"/>
  <c r="O1065" i="18"/>
  <c r="P1065" i="18"/>
  <c r="Q1065" i="18"/>
  <c r="R1065" i="18"/>
  <c r="S1065" i="18"/>
  <c r="U1065" i="18"/>
  <c r="W1065" i="18"/>
  <c r="X1065" i="18"/>
  <c r="J1067" i="18"/>
  <c r="K1067" i="18"/>
  <c r="L1067" i="18"/>
  <c r="M1067" i="18"/>
  <c r="N1067" i="18"/>
  <c r="O1067" i="18"/>
  <c r="P1067" i="18"/>
  <c r="Q1067" i="18"/>
  <c r="R1067" i="18"/>
  <c r="S1067" i="18"/>
  <c r="U1067" i="18"/>
  <c r="X1067" i="18"/>
  <c r="J1068" i="18"/>
  <c r="K1068" i="18"/>
  <c r="L1068" i="18"/>
  <c r="M1068" i="18"/>
  <c r="N1068" i="18"/>
  <c r="O1068" i="18"/>
  <c r="P1068" i="18"/>
  <c r="Q1068" i="18"/>
  <c r="R1068" i="18"/>
  <c r="S1068" i="18"/>
  <c r="U1068" i="18"/>
  <c r="W1068" i="18"/>
  <c r="X1068" i="18"/>
  <c r="J1070" i="18"/>
  <c r="K1070" i="18"/>
  <c r="L1070" i="18"/>
  <c r="M1070" i="18"/>
  <c r="N1070" i="18"/>
  <c r="O1070" i="18"/>
  <c r="P1070" i="18"/>
  <c r="Q1070" i="18"/>
  <c r="R1070" i="18"/>
  <c r="S1070" i="18"/>
  <c r="U1070" i="18"/>
  <c r="W1070" i="18"/>
  <c r="X1070" i="18"/>
  <c r="J1088" i="18"/>
  <c r="K1088" i="18"/>
  <c r="L1088" i="18"/>
  <c r="M1088" i="18"/>
  <c r="N1088" i="18"/>
  <c r="O1088" i="18"/>
  <c r="P1088" i="18"/>
  <c r="Q1088" i="18"/>
  <c r="R1088" i="18"/>
  <c r="S1088" i="18"/>
  <c r="U1088" i="18"/>
  <c r="X1088" i="18"/>
  <c r="J1089" i="18"/>
  <c r="K1089" i="18"/>
  <c r="L1089" i="18"/>
  <c r="M1089" i="18"/>
  <c r="N1089" i="18"/>
  <c r="O1089" i="18"/>
  <c r="P1089" i="18"/>
  <c r="Q1089" i="18"/>
  <c r="R1089" i="18"/>
  <c r="S1089" i="18"/>
  <c r="U1089" i="18"/>
  <c r="X1089" i="18"/>
  <c r="J1090" i="18"/>
  <c r="K1090" i="18"/>
  <c r="L1090" i="18"/>
  <c r="M1090" i="18"/>
  <c r="N1090" i="18"/>
  <c r="O1090" i="18"/>
  <c r="P1090" i="18"/>
  <c r="Q1090" i="18"/>
  <c r="R1090" i="18"/>
  <c r="S1090" i="18"/>
  <c r="U1090" i="18"/>
  <c r="X1090" i="18"/>
  <c r="J1091" i="18"/>
  <c r="K1091" i="18"/>
  <c r="L1091" i="18"/>
  <c r="M1091" i="18"/>
  <c r="N1091" i="18"/>
  <c r="O1091" i="18"/>
  <c r="P1091" i="18"/>
  <c r="Q1091" i="18"/>
  <c r="R1091" i="18"/>
  <c r="S1091" i="18"/>
  <c r="U1091" i="18"/>
  <c r="W1091" i="18"/>
  <c r="X1091" i="18"/>
  <c r="J1094" i="18"/>
  <c r="K1094" i="18"/>
  <c r="L1094" i="18"/>
  <c r="M1094" i="18"/>
  <c r="N1094" i="18"/>
  <c r="O1094" i="18"/>
  <c r="P1094" i="18"/>
  <c r="Q1094" i="18"/>
  <c r="R1094" i="18"/>
  <c r="S1094" i="18"/>
  <c r="U1094" i="18"/>
  <c r="X1094" i="18"/>
  <c r="J1095" i="18"/>
  <c r="K1095" i="18"/>
  <c r="L1095" i="18"/>
  <c r="M1095" i="18"/>
  <c r="N1095" i="18"/>
  <c r="O1095" i="18"/>
  <c r="P1095" i="18"/>
  <c r="Q1095" i="18"/>
  <c r="R1095" i="18"/>
  <c r="S1095" i="18"/>
  <c r="U1095" i="18"/>
  <c r="W1095" i="18"/>
  <c r="X1095" i="18"/>
  <c r="J1098" i="18"/>
  <c r="K1098" i="18"/>
  <c r="L1098" i="18"/>
  <c r="M1098" i="18"/>
  <c r="N1098" i="18"/>
  <c r="O1098" i="18"/>
  <c r="P1098" i="18"/>
  <c r="Q1098" i="18"/>
  <c r="R1098" i="18"/>
  <c r="S1098" i="18"/>
  <c r="U1098" i="18"/>
  <c r="X1098" i="18"/>
  <c r="J1101" i="18"/>
  <c r="K1101" i="18"/>
  <c r="L1101" i="18"/>
  <c r="M1101" i="18"/>
  <c r="N1101" i="18"/>
  <c r="O1101" i="18"/>
  <c r="P1101" i="18"/>
  <c r="Q1101" i="18"/>
  <c r="R1101" i="18"/>
  <c r="S1101" i="18"/>
  <c r="U1101" i="18"/>
  <c r="W1101" i="18"/>
  <c r="X1101" i="18"/>
  <c r="J1103" i="18"/>
  <c r="K1103" i="18"/>
  <c r="L1103" i="18"/>
  <c r="M1103" i="18"/>
  <c r="N1103" i="18"/>
  <c r="O1103" i="18"/>
  <c r="P1103" i="18"/>
  <c r="Q1103" i="18"/>
  <c r="R1103" i="18"/>
  <c r="S1103" i="18"/>
  <c r="U1103" i="18"/>
  <c r="W1103" i="18"/>
  <c r="X1103" i="18"/>
  <c r="J1118" i="18"/>
  <c r="K1118" i="18"/>
  <c r="L1118" i="18"/>
  <c r="M1118" i="18"/>
  <c r="N1118" i="18"/>
  <c r="O1118" i="18"/>
  <c r="P1118" i="18"/>
  <c r="Q1118" i="18"/>
  <c r="R1118" i="18"/>
  <c r="S1118" i="18"/>
  <c r="U1118" i="18"/>
  <c r="W1118" i="18"/>
  <c r="X1118" i="18"/>
  <c r="J1121" i="18"/>
  <c r="K1121" i="18"/>
  <c r="L1121" i="18"/>
  <c r="M1121" i="18"/>
  <c r="N1121" i="18"/>
  <c r="O1121" i="18"/>
  <c r="P1121" i="18"/>
  <c r="Q1121" i="18"/>
  <c r="R1121" i="18"/>
  <c r="S1121" i="18"/>
  <c r="U1121" i="18"/>
  <c r="X1121" i="18"/>
  <c r="J1122" i="18"/>
  <c r="K1122" i="18"/>
  <c r="L1122" i="18"/>
  <c r="M1122" i="18"/>
  <c r="N1122" i="18"/>
  <c r="O1122" i="18"/>
  <c r="P1122" i="18"/>
  <c r="Q1122" i="18"/>
  <c r="R1122" i="18"/>
  <c r="S1122" i="18"/>
  <c r="U1122" i="18"/>
  <c r="X1122" i="18"/>
  <c r="J1123" i="18"/>
  <c r="K1123" i="18"/>
  <c r="L1123" i="18"/>
  <c r="M1123" i="18"/>
  <c r="N1123" i="18"/>
  <c r="O1123" i="18"/>
  <c r="P1123" i="18"/>
  <c r="Q1123" i="18"/>
  <c r="R1123" i="18"/>
  <c r="S1123" i="18"/>
  <c r="U1123" i="18"/>
  <c r="X1123" i="18"/>
  <c r="J1124" i="18"/>
  <c r="K1124" i="18"/>
  <c r="L1124" i="18"/>
  <c r="M1124" i="18"/>
  <c r="N1124" i="18"/>
  <c r="O1124" i="18"/>
  <c r="P1124" i="18"/>
  <c r="Q1124" i="18"/>
  <c r="R1124" i="18"/>
  <c r="S1124" i="18"/>
  <c r="U1124" i="18"/>
  <c r="X1124" i="18"/>
  <c r="J1125" i="18"/>
  <c r="K1125" i="18"/>
  <c r="L1125" i="18"/>
  <c r="M1125" i="18"/>
  <c r="N1125" i="18"/>
  <c r="O1125" i="18"/>
  <c r="P1125" i="18"/>
  <c r="Q1125" i="18"/>
  <c r="R1125" i="18"/>
  <c r="S1125" i="18"/>
  <c r="U1125" i="18"/>
  <c r="X1125" i="18"/>
  <c r="J1126" i="18"/>
  <c r="K1126" i="18"/>
  <c r="L1126" i="18"/>
  <c r="M1126" i="18"/>
  <c r="N1126" i="18"/>
  <c r="O1126" i="18"/>
  <c r="P1126" i="18"/>
  <c r="Q1126" i="18"/>
  <c r="R1126" i="18"/>
  <c r="S1126" i="18"/>
  <c r="U1126" i="18"/>
  <c r="X1126" i="18"/>
  <c r="J1130" i="18"/>
  <c r="K1130" i="18"/>
  <c r="L1130" i="18"/>
  <c r="M1130" i="18"/>
  <c r="N1130" i="18"/>
  <c r="O1130" i="18"/>
  <c r="P1130" i="18"/>
  <c r="Q1130" i="18"/>
  <c r="R1130" i="18"/>
  <c r="S1130" i="18"/>
  <c r="U1130" i="18"/>
  <c r="W1130" i="18"/>
  <c r="X1130" i="18"/>
  <c r="J1133" i="18"/>
  <c r="K1133" i="18"/>
  <c r="L1133" i="18"/>
  <c r="M1133" i="18"/>
  <c r="N1133" i="18"/>
  <c r="O1133" i="18"/>
  <c r="P1133" i="18"/>
  <c r="Q1133" i="18"/>
  <c r="R1133" i="18"/>
  <c r="S1133" i="18"/>
  <c r="U1133" i="18"/>
  <c r="X1133" i="18"/>
  <c r="J1134" i="18"/>
  <c r="K1134" i="18"/>
  <c r="L1134" i="18"/>
  <c r="M1134" i="18"/>
  <c r="N1134" i="18"/>
  <c r="O1134" i="18"/>
  <c r="P1134" i="18"/>
  <c r="Q1134" i="18"/>
  <c r="R1134" i="18"/>
  <c r="S1134" i="18"/>
  <c r="U1134" i="18"/>
  <c r="X1134" i="18"/>
  <c r="J1135" i="18"/>
  <c r="K1135" i="18"/>
  <c r="L1135" i="18"/>
  <c r="M1135" i="18"/>
  <c r="N1135" i="18"/>
  <c r="O1135" i="18"/>
  <c r="P1135" i="18"/>
  <c r="Q1135" i="18"/>
  <c r="R1135" i="18"/>
  <c r="S1135" i="18"/>
  <c r="U1135" i="18"/>
  <c r="X1135" i="18"/>
  <c r="J1136" i="18"/>
  <c r="K1136" i="18"/>
  <c r="L1136" i="18"/>
  <c r="M1136" i="18"/>
  <c r="N1136" i="18"/>
  <c r="O1136" i="18"/>
  <c r="P1136" i="18"/>
  <c r="Q1136" i="18"/>
  <c r="R1136" i="18"/>
  <c r="S1136" i="18"/>
  <c r="U1136" i="18"/>
  <c r="X1136" i="18"/>
  <c r="J1137" i="18"/>
  <c r="K1137" i="18"/>
  <c r="L1137" i="18"/>
  <c r="M1137" i="18"/>
  <c r="N1137" i="18"/>
  <c r="O1137" i="18"/>
  <c r="P1137" i="18"/>
  <c r="Q1137" i="18"/>
  <c r="R1137" i="18"/>
  <c r="S1137" i="18"/>
  <c r="U1137" i="18"/>
  <c r="X1137" i="18"/>
  <c r="J1138" i="18"/>
  <c r="K1138" i="18"/>
  <c r="L1138" i="18"/>
  <c r="M1138" i="18"/>
  <c r="N1138" i="18"/>
  <c r="O1138" i="18"/>
  <c r="P1138" i="18"/>
  <c r="Q1138" i="18"/>
  <c r="R1138" i="18"/>
  <c r="S1138" i="18"/>
  <c r="U1138" i="18"/>
  <c r="J1139" i="18"/>
  <c r="K1139" i="18"/>
  <c r="L1139" i="18"/>
  <c r="M1139" i="18"/>
  <c r="N1139" i="18"/>
  <c r="O1139" i="18"/>
  <c r="P1139" i="18"/>
  <c r="Q1139" i="18"/>
  <c r="R1139" i="18"/>
  <c r="S1139" i="18"/>
  <c r="U1139" i="18"/>
  <c r="J1140" i="18"/>
  <c r="K1140" i="18"/>
  <c r="L1140" i="18"/>
  <c r="M1140" i="18"/>
  <c r="N1140" i="18"/>
  <c r="O1140" i="18"/>
  <c r="P1140" i="18"/>
  <c r="Q1140" i="18"/>
  <c r="R1140" i="18"/>
  <c r="S1140" i="18"/>
  <c r="U1140" i="18"/>
  <c r="W1140" i="18"/>
  <c r="X1140" i="18"/>
  <c r="J1142" i="18"/>
  <c r="K1142" i="18"/>
  <c r="L1142" i="18"/>
  <c r="M1142" i="18"/>
  <c r="N1142" i="18"/>
  <c r="O1142" i="18"/>
  <c r="P1142" i="18"/>
  <c r="Q1142" i="18"/>
  <c r="R1142" i="18"/>
  <c r="S1142" i="18"/>
  <c r="U1142" i="18"/>
  <c r="W1142" i="18"/>
  <c r="X1142" i="18"/>
  <c r="U1143" i="18"/>
  <c r="X1143" i="18"/>
  <c r="J1145" i="18"/>
  <c r="K1145" i="18"/>
  <c r="L1145" i="18"/>
  <c r="M1145" i="18"/>
  <c r="N1145" i="18"/>
  <c r="O1145" i="18"/>
  <c r="P1145" i="18"/>
  <c r="Q1145" i="18"/>
  <c r="R1145" i="18"/>
  <c r="S1145" i="18"/>
  <c r="U1145" i="18"/>
  <c r="W1145" i="18"/>
  <c r="X1145" i="18"/>
  <c r="J1148" i="18"/>
  <c r="K1148" i="18"/>
  <c r="L1148" i="18"/>
  <c r="M1148" i="18"/>
  <c r="N1148" i="18"/>
  <c r="O1148" i="18"/>
  <c r="P1148" i="18"/>
  <c r="Q1148" i="18"/>
  <c r="R1148" i="18"/>
  <c r="S1148" i="18"/>
  <c r="U1148" i="18"/>
  <c r="X1148" i="18"/>
  <c r="J1149" i="18"/>
  <c r="K1149" i="18"/>
  <c r="L1149" i="18"/>
  <c r="M1149" i="18"/>
  <c r="N1149" i="18"/>
  <c r="O1149" i="18"/>
  <c r="P1149" i="18"/>
  <c r="Q1149" i="18"/>
  <c r="R1149" i="18"/>
  <c r="S1149" i="18"/>
  <c r="U1149" i="18"/>
  <c r="X1149" i="18"/>
  <c r="J1150" i="18"/>
  <c r="K1150" i="18"/>
  <c r="L1150" i="18"/>
  <c r="M1150" i="18"/>
  <c r="N1150" i="18"/>
  <c r="O1150" i="18"/>
  <c r="P1150" i="18"/>
  <c r="Q1150" i="18"/>
  <c r="R1150" i="18"/>
  <c r="S1150" i="18"/>
  <c r="U1150" i="18"/>
  <c r="X1150" i="18"/>
  <c r="J1151" i="18"/>
  <c r="K1151" i="18"/>
  <c r="L1151" i="18"/>
  <c r="M1151" i="18"/>
  <c r="N1151" i="18"/>
  <c r="O1151" i="18"/>
  <c r="P1151" i="18"/>
  <c r="Q1151" i="18"/>
  <c r="R1151" i="18"/>
  <c r="S1151" i="18"/>
  <c r="U1151" i="18"/>
  <c r="X1151" i="18"/>
  <c r="J1152" i="18"/>
  <c r="K1152" i="18"/>
  <c r="L1152" i="18"/>
  <c r="M1152" i="18"/>
  <c r="N1152" i="18"/>
  <c r="O1152" i="18"/>
  <c r="P1152" i="18"/>
  <c r="Q1152" i="18"/>
  <c r="R1152" i="18"/>
  <c r="S1152" i="18"/>
  <c r="U1152" i="18"/>
  <c r="X1152" i="18"/>
  <c r="J1153" i="18"/>
  <c r="K1153" i="18"/>
  <c r="L1153" i="18"/>
  <c r="M1153" i="18"/>
  <c r="N1153" i="18"/>
  <c r="O1153" i="18"/>
  <c r="P1153" i="18"/>
  <c r="Q1153" i="18"/>
  <c r="R1153" i="18"/>
  <c r="S1153" i="18"/>
  <c r="U1153" i="18"/>
  <c r="W1153" i="18"/>
  <c r="X1153" i="18"/>
  <c r="J1156" i="18"/>
  <c r="K1156" i="18"/>
  <c r="L1156" i="18"/>
  <c r="M1156" i="18"/>
  <c r="N1156" i="18"/>
  <c r="O1156" i="18"/>
  <c r="P1156" i="18"/>
  <c r="Q1156" i="18"/>
  <c r="R1156" i="18"/>
  <c r="S1156" i="18"/>
  <c r="U1156" i="18"/>
  <c r="W1156" i="18"/>
  <c r="X1156" i="18"/>
  <c r="J1157" i="18"/>
  <c r="K1157" i="18"/>
  <c r="L1157" i="18"/>
  <c r="M1157" i="18"/>
  <c r="N1157" i="18"/>
  <c r="O1157" i="18"/>
  <c r="P1157" i="18"/>
  <c r="Q1157" i="18"/>
  <c r="R1157" i="18"/>
  <c r="S1157" i="18"/>
  <c r="U1157" i="18"/>
  <c r="X1157" i="18"/>
  <c r="J1158" i="18"/>
  <c r="K1158" i="18"/>
  <c r="L1158" i="18"/>
  <c r="M1158" i="18"/>
  <c r="N1158" i="18"/>
  <c r="O1158" i="18"/>
  <c r="P1158" i="18"/>
  <c r="Q1158" i="18"/>
  <c r="R1158" i="18"/>
  <c r="S1158" i="18"/>
  <c r="U1158" i="18"/>
  <c r="J1160" i="18"/>
  <c r="K1160" i="18"/>
  <c r="L1160" i="18"/>
  <c r="M1160" i="18"/>
  <c r="N1160" i="18"/>
  <c r="O1160" i="18"/>
  <c r="P1160" i="18"/>
  <c r="Q1160" i="18"/>
  <c r="R1160" i="18"/>
  <c r="S1160" i="18"/>
  <c r="U1160" i="18"/>
  <c r="W1160" i="18"/>
  <c r="X1160" i="18"/>
  <c r="J1162" i="18"/>
  <c r="K1162" i="18"/>
  <c r="L1162" i="18"/>
  <c r="M1162" i="18"/>
  <c r="N1162" i="18"/>
  <c r="O1162" i="18"/>
  <c r="P1162" i="18"/>
  <c r="Q1162" i="18"/>
  <c r="R1162" i="18"/>
  <c r="S1162" i="18"/>
  <c r="U1162" i="18"/>
  <c r="W1162" i="18"/>
  <c r="X1162" i="18"/>
  <c r="J1182" i="18"/>
  <c r="K1182" i="18"/>
  <c r="L1182" i="18"/>
  <c r="M1182" i="18"/>
  <c r="N1182" i="18"/>
  <c r="O1182" i="18"/>
  <c r="P1182" i="18"/>
  <c r="Q1182" i="18"/>
  <c r="R1182" i="18"/>
  <c r="S1182" i="18"/>
  <c r="U1182" i="18"/>
  <c r="W1182" i="18"/>
  <c r="X1182" i="18"/>
  <c r="J1184" i="18"/>
  <c r="K1184" i="18"/>
  <c r="L1184" i="18"/>
  <c r="M1184" i="18"/>
  <c r="N1184" i="18"/>
  <c r="O1184" i="18"/>
  <c r="P1184" i="18"/>
  <c r="Q1184" i="18"/>
  <c r="R1184" i="18"/>
  <c r="S1184" i="18"/>
  <c r="U1184" i="18"/>
  <c r="W1184" i="18"/>
  <c r="X1184" i="18"/>
  <c r="J1186" i="18"/>
  <c r="K1186" i="18"/>
  <c r="L1186" i="18"/>
  <c r="M1186" i="18"/>
  <c r="N1186" i="18"/>
  <c r="O1186" i="18"/>
  <c r="P1186" i="18"/>
  <c r="Q1186" i="18"/>
  <c r="R1186" i="18"/>
  <c r="S1186" i="18"/>
  <c r="U1186" i="18"/>
  <c r="W1186" i="18"/>
  <c r="X1186" i="18"/>
  <c r="J1188" i="18"/>
  <c r="K1188" i="18"/>
  <c r="L1188" i="18"/>
  <c r="M1188" i="18"/>
  <c r="N1188" i="18"/>
  <c r="O1188" i="18"/>
  <c r="P1188" i="18"/>
  <c r="Q1188" i="18"/>
  <c r="R1188" i="18"/>
  <c r="S1188" i="18"/>
  <c r="U1188" i="18"/>
  <c r="W1188" i="18"/>
  <c r="X1188" i="18"/>
  <c r="J1206" i="18"/>
  <c r="K1206" i="18"/>
  <c r="L1206" i="18"/>
  <c r="M1206" i="18"/>
  <c r="N1206" i="18"/>
  <c r="O1206" i="18"/>
  <c r="P1206" i="18"/>
  <c r="Q1206" i="18"/>
  <c r="U1206" i="18"/>
  <c r="X1206" i="18"/>
  <c r="J1209" i="18"/>
  <c r="K1209" i="18"/>
  <c r="L1209" i="18"/>
  <c r="M1209" i="18"/>
  <c r="N1209" i="18"/>
  <c r="O1209" i="18"/>
  <c r="P1209" i="18"/>
  <c r="Q1209" i="18"/>
  <c r="R1209" i="18"/>
  <c r="S1209" i="18"/>
  <c r="U1209" i="18"/>
  <c r="X1209" i="18"/>
  <c r="J1214" i="18"/>
  <c r="K1214" i="18"/>
  <c r="L1214" i="18"/>
  <c r="M1214" i="18"/>
  <c r="N1214" i="18"/>
  <c r="O1214" i="18"/>
  <c r="P1214" i="18"/>
  <c r="Q1214" i="18"/>
  <c r="R1214" i="18"/>
  <c r="S1214" i="18"/>
  <c r="U1214" i="18"/>
  <c r="X1214" i="18"/>
  <c r="J1217" i="18"/>
  <c r="K1217" i="18"/>
  <c r="L1217" i="18"/>
  <c r="M1217" i="18"/>
  <c r="N1217" i="18"/>
  <c r="O1217" i="18"/>
  <c r="P1217" i="18"/>
  <c r="Q1217" i="18"/>
  <c r="R1217" i="18"/>
  <c r="S1217" i="18"/>
  <c r="U1217" i="18"/>
  <c r="X1217" i="18"/>
  <c r="J1220" i="18"/>
  <c r="K1220" i="18"/>
  <c r="L1220" i="18"/>
  <c r="M1220" i="18"/>
  <c r="N1220" i="18"/>
  <c r="O1220" i="18"/>
  <c r="P1220" i="18"/>
  <c r="Q1220" i="18"/>
  <c r="R1220" i="18"/>
  <c r="S1220" i="18"/>
  <c r="U1220" i="18"/>
  <c r="W1220" i="18"/>
  <c r="X1220" i="18"/>
  <c r="J1222" i="18"/>
  <c r="K1222" i="18"/>
  <c r="L1222" i="18"/>
  <c r="M1222" i="18"/>
  <c r="N1222" i="18"/>
  <c r="O1222" i="18"/>
  <c r="P1222" i="18"/>
  <c r="Q1222" i="18"/>
  <c r="R1222" i="18"/>
  <c r="S1222" i="18"/>
  <c r="U1222" i="18"/>
  <c r="W1222" i="18"/>
  <c r="X1222" i="18"/>
  <c r="J1224" i="18"/>
  <c r="K1224" i="18"/>
  <c r="L1224" i="18"/>
  <c r="M1224" i="18"/>
  <c r="N1224" i="18"/>
  <c r="O1224" i="18"/>
  <c r="P1224" i="18"/>
  <c r="Q1224" i="18"/>
  <c r="R1224" i="18"/>
  <c r="S1224" i="18"/>
  <c r="U1224" i="18"/>
  <c r="W1224" i="18"/>
  <c r="X1224" i="18"/>
  <c r="J1226" i="18"/>
  <c r="K1226" i="18"/>
  <c r="L1226" i="18"/>
  <c r="M1226" i="18"/>
  <c r="N1226" i="18"/>
  <c r="O1226" i="18"/>
  <c r="P1226" i="18"/>
  <c r="Q1226" i="18"/>
  <c r="R1226" i="18"/>
  <c r="S1226" i="18"/>
  <c r="U1226" i="18"/>
  <c r="W1226" i="18"/>
  <c r="X1226" i="18"/>
  <c r="J1228" i="18"/>
  <c r="K1228" i="18"/>
  <c r="L1228" i="18"/>
  <c r="M1228" i="18"/>
  <c r="N1228" i="18"/>
  <c r="O1228" i="18"/>
  <c r="P1228" i="18"/>
  <c r="Q1228" i="18"/>
  <c r="R1228" i="18"/>
  <c r="S1228" i="18"/>
  <c r="U1228" i="18"/>
  <c r="W1228" i="18"/>
  <c r="X1228" i="18"/>
  <c r="J1230" i="18"/>
  <c r="K1230" i="18"/>
  <c r="L1230" i="18"/>
  <c r="M1230" i="18"/>
  <c r="N1230" i="18"/>
  <c r="O1230" i="18"/>
  <c r="P1230" i="18"/>
  <c r="Q1230" i="18"/>
  <c r="R1230" i="18"/>
  <c r="S1230" i="18"/>
  <c r="U1230" i="18"/>
  <c r="W1230" i="18"/>
  <c r="X1230" i="18"/>
  <c r="F8" i="1"/>
  <c r="G8" i="1"/>
  <c r="H8" i="1"/>
  <c r="I8" i="1"/>
  <c r="J8" i="1"/>
  <c r="K8" i="1"/>
  <c r="L8" i="1"/>
  <c r="M8" i="1"/>
  <c r="N8" i="1"/>
  <c r="O8" i="1"/>
  <c r="P8" i="1"/>
  <c r="S8" i="1"/>
  <c r="F10" i="1"/>
  <c r="G10" i="1"/>
  <c r="H10" i="1"/>
  <c r="I10" i="1"/>
  <c r="J10" i="1"/>
  <c r="K10" i="1"/>
  <c r="L10" i="1"/>
  <c r="M10" i="1"/>
  <c r="N10" i="1"/>
  <c r="O10" i="1"/>
  <c r="P10" i="1"/>
  <c r="S10" i="1"/>
  <c r="F12" i="1"/>
  <c r="G12" i="1"/>
  <c r="H12" i="1"/>
  <c r="I12" i="1"/>
  <c r="J12" i="1"/>
  <c r="K12" i="1"/>
  <c r="L12" i="1"/>
  <c r="M12" i="1"/>
  <c r="N12" i="1"/>
  <c r="O12" i="1"/>
  <c r="P12" i="1"/>
  <c r="S12" i="1"/>
  <c r="F15" i="1"/>
  <c r="G15" i="1"/>
  <c r="H15" i="1"/>
  <c r="I15" i="1"/>
  <c r="J15" i="1"/>
  <c r="K15" i="1"/>
  <c r="L15" i="1"/>
  <c r="M15" i="1"/>
  <c r="N15" i="1"/>
  <c r="O15" i="1"/>
  <c r="P15" i="1"/>
  <c r="F16" i="1"/>
  <c r="G16" i="1"/>
  <c r="H16" i="1"/>
  <c r="I16" i="1"/>
  <c r="J16" i="1"/>
  <c r="K16" i="1"/>
  <c r="L16" i="1"/>
  <c r="M16" i="1"/>
  <c r="N16" i="1"/>
  <c r="O16" i="1"/>
  <c r="P16" i="1"/>
  <c r="S16" i="1"/>
  <c r="F17" i="1"/>
  <c r="G17" i="1"/>
  <c r="H17" i="1"/>
  <c r="I17" i="1"/>
  <c r="J17" i="1"/>
  <c r="K17" i="1"/>
  <c r="L17" i="1"/>
  <c r="M17" i="1"/>
  <c r="N17" i="1"/>
  <c r="O17" i="1"/>
  <c r="P17" i="1"/>
  <c r="F18" i="1"/>
  <c r="G18" i="1"/>
  <c r="H18" i="1"/>
  <c r="I18" i="1"/>
  <c r="J18" i="1"/>
  <c r="K18" i="1"/>
  <c r="L18" i="1"/>
  <c r="M18" i="1"/>
  <c r="N18" i="1"/>
  <c r="O18" i="1"/>
  <c r="P18" i="1"/>
  <c r="S18" i="1"/>
  <c r="F19" i="1"/>
  <c r="G19" i="1"/>
  <c r="H19" i="1"/>
  <c r="I19" i="1"/>
  <c r="J19" i="1"/>
  <c r="K19" i="1"/>
  <c r="L19" i="1"/>
  <c r="M19" i="1"/>
  <c r="N19" i="1"/>
  <c r="O19" i="1"/>
  <c r="P19" i="1"/>
  <c r="F22" i="1"/>
  <c r="G22" i="1"/>
  <c r="H22" i="1"/>
  <c r="I22" i="1"/>
  <c r="J22" i="1"/>
  <c r="K22" i="1"/>
  <c r="L22" i="1"/>
  <c r="M22" i="1"/>
  <c r="N22" i="1"/>
  <c r="O22" i="1"/>
  <c r="P22" i="1"/>
  <c r="F23" i="1"/>
  <c r="G23" i="1"/>
  <c r="H23" i="1"/>
  <c r="I23" i="1"/>
  <c r="J23" i="1"/>
  <c r="K23" i="1"/>
  <c r="L23" i="1"/>
  <c r="M23" i="1"/>
  <c r="N23" i="1"/>
  <c r="O23" i="1"/>
  <c r="P23" i="1"/>
  <c r="F24" i="1"/>
  <c r="G24" i="1"/>
  <c r="H24" i="1"/>
  <c r="I24" i="1"/>
  <c r="J24" i="1"/>
  <c r="K24" i="1"/>
  <c r="L24" i="1"/>
  <c r="M24" i="1"/>
  <c r="N24" i="1"/>
  <c r="O24" i="1"/>
  <c r="P24" i="1"/>
  <c r="F30" i="1"/>
  <c r="G30" i="1"/>
  <c r="H30" i="1"/>
  <c r="I30" i="1"/>
  <c r="J30" i="1"/>
  <c r="K30" i="1"/>
  <c r="L30" i="1"/>
  <c r="M30" i="1"/>
  <c r="N30" i="1"/>
  <c r="O30" i="1"/>
  <c r="P30" i="1"/>
  <c r="S30" i="1"/>
  <c r="F35" i="1"/>
  <c r="G35" i="1"/>
  <c r="H35" i="1"/>
  <c r="I35" i="1"/>
  <c r="J35" i="1"/>
  <c r="K35" i="1"/>
  <c r="L35" i="1"/>
  <c r="M35" i="1"/>
  <c r="N35" i="1"/>
  <c r="O35" i="1"/>
  <c r="P35" i="1"/>
  <c r="F37" i="1"/>
  <c r="G37" i="1"/>
  <c r="H37" i="1"/>
  <c r="I37" i="1"/>
  <c r="J37" i="1"/>
  <c r="K37" i="1"/>
  <c r="L37" i="1"/>
  <c r="M37" i="1"/>
  <c r="N37" i="1"/>
  <c r="O37" i="1"/>
  <c r="P37" i="1"/>
  <c r="F38" i="1"/>
  <c r="G38" i="1"/>
  <c r="H38" i="1"/>
  <c r="I38" i="1"/>
  <c r="J38" i="1"/>
  <c r="K38" i="1"/>
  <c r="L38" i="1"/>
  <c r="M38" i="1"/>
  <c r="N38" i="1"/>
  <c r="O38" i="1"/>
  <c r="P38" i="1"/>
  <c r="F39" i="1"/>
  <c r="G39" i="1"/>
  <c r="H39" i="1"/>
  <c r="I39" i="1"/>
  <c r="J39" i="1"/>
  <c r="K39" i="1"/>
  <c r="L39" i="1"/>
  <c r="M39" i="1"/>
  <c r="N39" i="1"/>
  <c r="O39" i="1"/>
  <c r="P39" i="1"/>
  <c r="F40" i="1"/>
  <c r="G40" i="1"/>
  <c r="H40" i="1"/>
  <c r="I40" i="1"/>
  <c r="J40" i="1"/>
  <c r="K40" i="1"/>
  <c r="L40" i="1"/>
  <c r="M40" i="1"/>
  <c r="N40" i="1"/>
  <c r="O40" i="1"/>
  <c r="P40" i="1"/>
  <c r="S40" i="1"/>
  <c r="F41" i="1"/>
  <c r="G41" i="1"/>
  <c r="H41" i="1"/>
  <c r="I41" i="1"/>
  <c r="J41" i="1"/>
  <c r="K41" i="1"/>
  <c r="L41" i="1"/>
  <c r="M41" i="1"/>
  <c r="N41" i="1"/>
  <c r="O41" i="1"/>
  <c r="P41" i="1"/>
  <c r="S41" i="1"/>
  <c r="F42" i="1"/>
  <c r="G42" i="1"/>
  <c r="H42" i="1"/>
  <c r="I42" i="1"/>
  <c r="J42" i="1"/>
  <c r="K42" i="1"/>
  <c r="L42" i="1"/>
  <c r="M42" i="1"/>
  <c r="N42" i="1"/>
  <c r="O42" i="1"/>
  <c r="P42" i="1"/>
  <c r="F43" i="1"/>
  <c r="G43" i="1"/>
  <c r="H43" i="1"/>
  <c r="I43" i="1"/>
  <c r="J43" i="1"/>
  <c r="K43" i="1"/>
  <c r="L43" i="1"/>
  <c r="M43" i="1"/>
  <c r="N43" i="1"/>
  <c r="O43" i="1"/>
  <c r="P43" i="1"/>
  <c r="F47" i="1"/>
  <c r="G47" i="1"/>
  <c r="H47" i="1"/>
  <c r="I47" i="1"/>
  <c r="J47" i="1"/>
  <c r="K47" i="1"/>
  <c r="L47" i="1"/>
  <c r="M47" i="1"/>
  <c r="N47" i="1"/>
  <c r="O47" i="1"/>
  <c r="P47" i="1"/>
  <c r="E16" i="28"/>
  <c r="F16" i="28"/>
  <c r="G16" i="28"/>
  <c r="E17" i="28"/>
  <c r="F17" i="28"/>
  <c r="G17" i="28"/>
  <c r="D18" i="28"/>
  <c r="E18" i="28"/>
  <c r="F18" i="28"/>
  <c r="D19" i="28"/>
  <c r="E19" i="28"/>
  <c r="F19" i="28"/>
  <c r="E21" i="28"/>
  <c r="F21" i="28"/>
  <c r="G21" i="28"/>
  <c r="E22" i="28"/>
  <c r="F22" i="28"/>
  <c r="G22" i="28"/>
  <c r="E23" i="28"/>
  <c r="F23" i="28"/>
  <c r="G23" i="28"/>
  <c r="E24" i="28"/>
  <c r="F24" i="28"/>
  <c r="G24" i="28"/>
  <c r="E25" i="28"/>
  <c r="F25" i="28"/>
  <c r="G25" i="28"/>
  <c r="E26" i="28"/>
  <c r="F26" i="28"/>
  <c r="G26" i="28"/>
  <c r="E27" i="28"/>
  <c r="F27" i="28"/>
  <c r="G27" i="28"/>
  <c r="E28" i="28"/>
  <c r="F28" i="28"/>
  <c r="G28" i="28"/>
  <c r="E29" i="28"/>
  <c r="F29" i="28"/>
  <c r="G29" i="28"/>
  <c r="E30" i="28"/>
  <c r="F30" i="28"/>
  <c r="G30" i="28"/>
  <c r="E31" i="28"/>
  <c r="F31" i="28"/>
  <c r="G31" i="28"/>
  <c r="E32" i="28"/>
  <c r="F32" i="28"/>
  <c r="G32" i="28"/>
  <c r="E19" i="7"/>
  <c r="F19" i="7"/>
  <c r="G19" i="7"/>
  <c r="H19" i="7"/>
  <c r="I19" i="7"/>
  <c r="J19" i="7"/>
  <c r="K19" i="7"/>
  <c r="L19" i="7"/>
  <c r="M19" i="7"/>
  <c r="N19" i="7"/>
  <c r="P19" i="7"/>
  <c r="Q19" i="7"/>
  <c r="E23" i="7"/>
  <c r="F23" i="7"/>
  <c r="G23" i="7"/>
  <c r="H23" i="7"/>
  <c r="I23" i="7"/>
  <c r="J23" i="7"/>
  <c r="K23" i="7"/>
  <c r="L23" i="7"/>
  <c r="M23" i="7"/>
  <c r="N23" i="7"/>
  <c r="P23" i="7"/>
  <c r="Q23" i="7"/>
  <c r="E25" i="7"/>
  <c r="F25" i="7"/>
  <c r="G25" i="7"/>
  <c r="H25" i="7"/>
  <c r="I25" i="7"/>
  <c r="J25" i="7"/>
  <c r="K25" i="7"/>
  <c r="L25" i="7"/>
  <c r="M25" i="7"/>
  <c r="N25" i="7"/>
  <c r="P25" i="7"/>
  <c r="Q25" i="7"/>
  <c r="E27" i="7"/>
  <c r="F27" i="7"/>
  <c r="G27" i="7"/>
  <c r="H27" i="7"/>
  <c r="I27" i="7"/>
  <c r="J27" i="7"/>
  <c r="K27" i="7"/>
  <c r="L27" i="7"/>
  <c r="M27" i="7"/>
  <c r="N27" i="7"/>
  <c r="P27" i="7"/>
  <c r="Q27" i="7"/>
  <c r="E28" i="7"/>
  <c r="F28" i="7"/>
  <c r="G28" i="7"/>
  <c r="H28" i="7"/>
  <c r="I28" i="7"/>
  <c r="J28" i="7"/>
  <c r="K28" i="7"/>
  <c r="L28" i="7"/>
  <c r="M28" i="7"/>
  <c r="N28" i="7"/>
  <c r="P28" i="7"/>
  <c r="Q28" i="7"/>
  <c r="R28" i="7"/>
  <c r="E30" i="7"/>
  <c r="F30" i="7"/>
  <c r="G30" i="7"/>
  <c r="H30" i="7"/>
  <c r="I30" i="7"/>
  <c r="J30" i="7"/>
  <c r="K30" i="7"/>
  <c r="L30" i="7"/>
  <c r="M30" i="7"/>
  <c r="N30" i="7"/>
  <c r="P30" i="7"/>
  <c r="Q30" i="7"/>
  <c r="R30" i="7"/>
  <c r="E42" i="7"/>
  <c r="F42" i="7"/>
  <c r="G42" i="7"/>
  <c r="H42" i="7"/>
  <c r="I42" i="7"/>
  <c r="J42" i="7"/>
  <c r="K42" i="7"/>
  <c r="L42" i="7"/>
  <c r="M42" i="7"/>
  <c r="N42" i="7"/>
  <c r="P42" i="7"/>
  <c r="D12" i="45"/>
  <c r="H12" i="45"/>
  <c r="J12" i="45"/>
  <c r="L12" i="45"/>
  <c r="N12" i="45"/>
  <c r="P12" i="45"/>
  <c r="T12" i="45"/>
  <c r="V12" i="45"/>
  <c r="X12" i="45"/>
  <c r="D14" i="45"/>
  <c r="H14" i="45"/>
  <c r="J14" i="45"/>
  <c r="L14" i="45"/>
  <c r="N14" i="45"/>
  <c r="P14" i="45"/>
  <c r="T14" i="45"/>
  <c r="V14" i="45"/>
  <c r="X14" i="45"/>
  <c r="D16" i="45"/>
  <c r="H16" i="45"/>
  <c r="J16" i="45"/>
  <c r="L16" i="45"/>
  <c r="N16" i="45"/>
  <c r="P16" i="45"/>
  <c r="T16" i="45"/>
  <c r="V16" i="45"/>
  <c r="X16" i="45"/>
  <c r="D18" i="45"/>
  <c r="H18" i="45"/>
  <c r="J18" i="45"/>
  <c r="L18" i="45"/>
  <c r="N18" i="45"/>
  <c r="P18" i="45"/>
  <c r="T18" i="45"/>
  <c r="V18" i="45"/>
  <c r="X18" i="45"/>
  <c r="D20" i="45"/>
  <c r="H20" i="45"/>
  <c r="J20" i="45"/>
  <c r="L20" i="45"/>
  <c r="N20" i="45"/>
  <c r="P20" i="45"/>
  <c r="T20" i="45"/>
  <c r="V20" i="45"/>
  <c r="X20" i="45"/>
  <c r="D22" i="45"/>
  <c r="H22" i="45"/>
  <c r="J22" i="45"/>
  <c r="L22" i="45"/>
  <c r="N22" i="45"/>
  <c r="P22" i="45"/>
  <c r="T22" i="45"/>
  <c r="V22" i="45"/>
  <c r="X22" i="45"/>
  <c r="D24" i="45"/>
  <c r="H24" i="45"/>
  <c r="J24" i="45"/>
  <c r="L24" i="45"/>
  <c r="N24" i="45"/>
  <c r="P24" i="45"/>
  <c r="T24" i="45"/>
  <c r="V24" i="45"/>
  <c r="X24" i="45"/>
  <c r="D26" i="45"/>
  <c r="H26" i="45"/>
  <c r="J26" i="45"/>
  <c r="L26" i="45"/>
  <c r="N26" i="45"/>
  <c r="P26" i="45"/>
  <c r="T26" i="45"/>
  <c r="V26" i="45"/>
  <c r="X26" i="45"/>
  <c r="D28" i="45"/>
  <c r="H28" i="45"/>
  <c r="J28" i="45"/>
  <c r="L28" i="45"/>
  <c r="N28" i="45"/>
  <c r="P28" i="45"/>
  <c r="T28" i="45"/>
  <c r="V28" i="45"/>
  <c r="X28" i="45"/>
  <c r="D30" i="45"/>
  <c r="H30" i="45"/>
  <c r="J30" i="45"/>
  <c r="L30" i="45"/>
  <c r="N30" i="45"/>
  <c r="P30" i="45"/>
  <c r="T30" i="45"/>
  <c r="V30" i="45"/>
  <c r="X30" i="45"/>
  <c r="D32" i="45"/>
  <c r="H32" i="45"/>
  <c r="J32" i="45"/>
  <c r="L32" i="45"/>
  <c r="N32" i="45"/>
  <c r="P32" i="45"/>
  <c r="T32" i="45"/>
  <c r="V32" i="45"/>
  <c r="L33" i="45"/>
  <c r="N33" i="45"/>
  <c r="L34" i="45"/>
  <c r="N34" i="45"/>
  <c r="D38" i="45"/>
  <c r="H38" i="45"/>
  <c r="J38" i="45"/>
  <c r="L38" i="45"/>
  <c r="N38" i="45"/>
  <c r="P38" i="45"/>
  <c r="V38" i="45"/>
  <c r="D39" i="45"/>
  <c r="D40" i="45"/>
  <c r="H40" i="45"/>
  <c r="J40" i="45"/>
  <c r="L40" i="45"/>
  <c r="N40" i="45"/>
  <c r="P40" i="45"/>
  <c r="V40" i="45"/>
  <c r="D41" i="45"/>
  <c r="D42" i="45"/>
  <c r="H42" i="45"/>
  <c r="J42" i="45"/>
  <c r="L42" i="45"/>
  <c r="N42" i="45"/>
  <c r="P42" i="45"/>
  <c r="V42" i="45"/>
  <c r="D43" i="45"/>
  <c r="D44" i="45"/>
  <c r="H44" i="45"/>
  <c r="J44" i="45"/>
  <c r="L44" i="45"/>
  <c r="N44" i="45"/>
  <c r="P44" i="45"/>
  <c r="V44" i="45"/>
  <c r="D45" i="45"/>
  <c r="D46" i="45"/>
  <c r="H46" i="45"/>
  <c r="J46" i="45"/>
  <c r="L46" i="45"/>
  <c r="N46" i="45"/>
  <c r="P46" i="45"/>
  <c r="V46" i="45"/>
  <c r="D47" i="45"/>
  <c r="D48" i="45"/>
  <c r="H48" i="45"/>
  <c r="J48" i="45"/>
  <c r="L48" i="45"/>
  <c r="N48" i="45"/>
  <c r="P48" i="45"/>
  <c r="V48" i="45"/>
  <c r="D49" i="45"/>
  <c r="D50" i="45"/>
  <c r="H50" i="45"/>
  <c r="J50" i="45"/>
  <c r="L50" i="45"/>
  <c r="N50" i="45"/>
  <c r="P50" i="45"/>
  <c r="V50" i="45"/>
  <c r="D51" i="45"/>
  <c r="D52" i="45"/>
  <c r="H52" i="45"/>
  <c r="J52" i="45"/>
  <c r="L52" i="45"/>
  <c r="N52" i="45"/>
  <c r="P52" i="45"/>
  <c r="V52" i="45"/>
  <c r="D53" i="45"/>
  <c r="D54" i="45"/>
  <c r="H54" i="45"/>
  <c r="J54" i="45"/>
  <c r="L54" i="45"/>
  <c r="N54" i="45"/>
  <c r="P54" i="45"/>
  <c r="V54" i="45"/>
  <c r="D55" i="45"/>
  <c r="D56" i="45"/>
  <c r="H56" i="45"/>
  <c r="J56" i="45"/>
  <c r="L56" i="45"/>
  <c r="N56" i="45"/>
  <c r="P56" i="45"/>
  <c r="V56" i="45"/>
  <c r="D57" i="45"/>
  <c r="D58" i="45"/>
  <c r="H58" i="45"/>
  <c r="J58" i="45"/>
  <c r="L58" i="45"/>
  <c r="N58" i="45"/>
  <c r="P58" i="45"/>
  <c r="V58" i="45"/>
  <c r="D59" i="45"/>
  <c r="D65" i="45"/>
  <c r="H65" i="45"/>
  <c r="J65" i="45"/>
  <c r="L65" i="45"/>
  <c r="N65" i="45"/>
  <c r="P65" i="45"/>
  <c r="T65" i="45"/>
  <c r="V65" i="45"/>
  <c r="X65" i="45"/>
  <c r="D67" i="45"/>
  <c r="H67" i="45"/>
  <c r="J67" i="45"/>
  <c r="L67" i="45"/>
  <c r="N67" i="45"/>
  <c r="P67" i="45"/>
  <c r="T67" i="45"/>
  <c r="V67" i="45"/>
  <c r="X67" i="45"/>
  <c r="D69" i="45"/>
  <c r="H69" i="45"/>
  <c r="J69" i="45"/>
  <c r="L69" i="45"/>
  <c r="N69" i="45"/>
  <c r="P69" i="45"/>
  <c r="T69" i="45"/>
  <c r="V69" i="45"/>
  <c r="X69" i="45"/>
  <c r="D71" i="45"/>
  <c r="H71" i="45"/>
  <c r="J71" i="45"/>
  <c r="L71" i="45"/>
  <c r="N71" i="45"/>
  <c r="P71" i="45"/>
  <c r="T71" i="45"/>
  <c r="V71" i="45"/>
  <c r="X71" i="45"/>
  <c r="D73" i="45"/>
  <c r="H73" i="45"/>
  <c r="J73" i="45"/>
  <c r="L73" i="45"/>
  <c r="N73" i="45"/>
  <c r="P73" i="45"/>
  <c r="T73" i="45"/>
  <c r="V73" i="45"/>
  <c r="X73" i="45"/>
  <c r="D75" i="45"/>
  <c r="H75" i="45"/>
  <c r="J75" i="45"/>
  <c r="L75" i="45"/>
  <c r="N75" i="45"/>
  <c r="P75" i="45"/>
  <c r="T75" i="45"/>
  <c r="V75" i="45"/>
  <c r="X75" i="45"/>
  <c r="D77" i="45"/>
  <c r="H77" i="45"/>
  <c r="J77" i="45"/>
  <c r="L77" i="45"/>
  <c r="N77" i="45"/>
  <c r="P77" i="45"/>
  <c r="T77" i="45"/>
  <c r="V77" i="45"/>
  <c r="X77" i="45"/>
  <c r="D79" i="45"/>
  <c r="H79" i="45"/>
  <c r="J79" i="45"/>
  <c r="L79" i="45"/>
  <c r="N79" i="45"/>
  <c r="P79" i="45"/>
  <c r="T79" i="45"/>
  <c r="V79" i="45"/>
  <c r="X79" i="45"/>
  <c r="D81" i="45"/>
  <c r="H81" i="45"/>
  <c r="J81" i="45"/>
  <c r="L81" i="45"/>
  <c r="N81" i="45"/>
  <c r="P81" i="45"/>
  <c r="T81" i="45"/>
  <c r="V81" i="45"/>
  <c r="X81" i="45"/>
  <c r="D83" i="45"/>
  <c r="H83" i="45"/>
  <c r="J83" i="45"/>
  <c r="L83" i="45"/>
  <c r="N83" i="45"/>
  <c r="P83" i="45"/>
  <c r="T83" i="45"/>
  <c r="V83" i="45"/>
  <c r="X83" i="45"/>
  <c r="D85" i="45"/>
  <c r="H85" i="45"/>
  <c r="J85" i="45"/>
  <c r="L85" i="45"/>
  <c r="N85" i="45"/>
  <c r="P85" i="45"/>
  <c r="T85" i="45"/>
  <c r="V85" i="45"/>
  <c r="D95" i="45"/>
  <c r="F95" i="45"/>
  <c r="H95" i="45"/>
  <c r="J95" i="45"/>
  <c r="L95" i="45"/>
  <c r="N95" i="45"/>
  <c r="P95" i="45"/>
  <c r="R95" i="45"/>
  <c r="T95" i="45"/>
  <c r="V95" i="45"/>
  <c r="X95" i="45"/>
  <c r="D97" i="45"/>
  <c r="F97" i="45"/>
  <c r="H97" i="45"/>
  <c r="J97" i="45"/>
  <c r="L97" i="45"/>
  <c r="N97" i="45"/>
  <c r="P97" i="45"/>
  <c r="R97" i="45"/>
  <c r="T97" i="45"/>
  <c r="V97" i="45"/>
  <c r="X97" i="45"/>
  <c r="D99" i="45"/>
  <c r="F99" i="45"/>
  <c r="H99" i="45"/>
  <c r="J99" i="45"/>
  <c r="L99" i="45"/>
  <c r="N99" i="45"/>
  <c r="P99" i="45"/>
  <c r="R99" i="45"/>
  <c r="T99" i="45"/>
  <c r="V99" i="45"/>
  <c r="X99" i="45"/>
  <c r="D101" i="45"/>
  <c r="F101" i="45"/>
  <c r="H101" i="45"/>
  <c r="J101" i="45"/>
  <c r="L101" i="45"/>
  <c r="N101" i="45"/>
  <c r="P101" i="45"/>
  <c r="R101" i="45"/>
  <c r="T101" i="45"/>
  <c r="V101" i="45"/>
  <c r="X101" i="45"/>
  <c r="D103" i="45"/>
  <c r="F103" i="45"/>
  <c r="H103" i="45"/>
  <c r="J103" i="45"/>
  <c r="L103" i="45"/>
  <c r="N103" i="45"/>
  <c r="P103" i="45"/>
  <c r="R103" i="45"/>
  <c r="T103" i="45"/>
  <c r="V103" i="45"/>
  <c r="X103" i="45"/>
  <c r="D105" i="45"/>
  <c r="F105" i="45"/>
  <c r="H105" i="45"/>
  <c r="J105" i="45"/>
  <c r="L105" i="45"/>
  <c r="N105" i="45"/>
  <c r="P105" i="45"/>
  <c r="R105" i="45"/>
  <c r="T105" i="45"/>
  <c r="V105" i="45"/>
  <c r="X105" i="45"/>
  <c r="D107" i="45"/>
  <c r="F107" i="45"/>
  <c r="H107" i="45"/>
  <c r="J107" i="45"/>
  <c r="L107" i="45"/>
  <c r="N107" i="45"/>
  <c r="P107" i="45"/>
  <c r="R107" i="45"/>
  <c r="T107" i="45"/>
  <c r="V107" i="45"/>
  <c r="X107" i="45"/>
  <c r="D109" i="45"/>
  <c r="F109" i="45"/>
  <c r="H109" i="45"/>
  <c r="J109" i="45"/>
  <c r="L109" i="45"/>
  <c r="N109" i="45"/>
  <c r="P109" i="45"/>
  <c r="R109" i="45"/>
  <c r="T109" i="45"/>
  <c r="V109" i="45"/>
  <c r="X109" i="45"/>
  <c r="D111" i="45"/>
  <c r="F111" i="45"/>
  <c r="H111" i="45"/>
  <c r="J111" i="45"/>
  <c r="L111" i="45"/>
  <c r="N111" i="45"/>
  <c r="P111" i="45"/>
  <c r="R111" i="45"/>
  <c r="T111" i="45"/>
  <c r="V111" i="45"/>
  <c r="X111" i="45"/>
  <c r="D113" i="45"/>
  <c r="F113" i="45"/>
  <c r="H113" i="45"/>
  <c r="J113" i="45"/>
  <c r="L113" i="45"/>
  <c r="N113" i="45"/>
  <c r="P113" i="45"/>
  <c r="R113" i="45"/>
  <c r="T113" i="45"/>
  <c r="V113" i="45"/>
  <c r="X113" i="45"/>
  <c r="D115" i="45"/>
  <c r="L115" i="45"/>
  <c r="F117" i="45"/>
  <c r="H117" i="45"/>
  <c r="J117" i="45"/>
  <c r="L117" i="45"/>
  <c r="N117" i="45"/>
  <c r="P117" i="45"/>
  <c r="R117" i="45"/>
  <c r="T117" i="45"/>
  <c r="V117" i="45"/>
  <c r="X117" i="45"/>
  <c r="D124" i="45"/>
  <c r="F124" i="45"/>
  <c r="H124" i="45"/>
  <c r="J124" i="45"/>
  <c r="L124" i="45"/>
  <c r="N124" i="45"/>
  <c r="P124" i="45"/>
  <c r="R124" i="45"/>
  <c r="T124" i="45"/>
  <c r="V124" i="45"/>
  <c r="X124" i="45"/>
  <c r="D126" i="45"/>
  <c r="F126" i="45"/>
  <c r="H126" i="45"/>
  <c r="J126" i="45"/>
  <c r="L126" i="45"/>
  <c r="N126" i="45"/>
  <c r="P126" i="45"/>
  <c r="R126" i="45"/>
  <c r="T126" i="45"/>
  <c r="V126" i="45"/>
  <c r="X126" i="45"/>
  <c r="D128" i="45"/>
  <c r="F128" i="45"/>
  <c r="H128" i="45"/>
  <c r="J128" i="45"/>
  <c r="L128" i="45"/>
  <c r="N128" i="45"/>
  <c r="P128" i="45"/>
  <c r="R128" i="45"/>
  <c r="T128" i="45"/>
  <c r="V128" i="45"/>
  <c r="X128" i="45"/>
  <c r="D130" i="45"/>
  <c r="F130" i="45"/>
  <c r="H130" i="45"/>
  <c r="J130" i="45"/>
  <c r="L130" i="45"/>
  <c r="N130" i="45"/>
  <c r="P130" i="45"/>
  <c r="R130" i="45"/>
  <c r="T130" i="45"/>
  <c r="V130" i="45"/>
  <c r="X130" i="45"/>
  <c r="D132" i="45"/>
  <c r="F132" i="45"/>
  <c r="H132" i="45"/>
  <c r="J132" i="45"/>
  <c r="L132" i="45"/>
  <c r="N132" i="45"/>
  <c r="P132" i="45"/>
  <c r="R132" i="45"/>
  <c r="T132" i="45"/>
  <c r="V132" i="45"/>
  <c r="X132" i="45"/>
  <c r="D134" i="45"/>
  <c r="F134" i="45"/>
  <c r="H134" i="45"/>
  <c r="J134" i="45"/>
  <c r="L134" i="45"/>
  <c r="N134" i="45"/>
  <c r="P134" i="45"/>
  <c r="R134" i="45"/>
  <c r="T134" i="45"/>
  <c r="V134" i="45"/>
  <c r="X134" i="45"/>
  <c r="D136" i="45"/>
  <c r="F136" i="45"/>
  <c r="H136" i="45"/>
  <c r="J136" i="45"/>
  <c r="L136" i="45"/>
  <c r="N136" i="45"/>
  <c r="P136" i="45"/>
  <c r="R136" i="45"/>
  <c r="T136" i="45"/>
  <c r="V136" i="45"/>
  <c r="X136" i="45"/>
  <c r="D138" i="45"/>
  <c r="F138" i="45"/>
  <c r="H138" i="45"/>
  <c r="J138" i="45"/>
  <c r="L138" i="45"/>
  <c r="N138" i="45"/>
  <c r="P138" i="45"/>
  <c r="R138" i="45"/>
  <c r="T138" i="45"/>
  <c r="V138" i="45"/>
  <c r="X138" i="45"/>
  <c r="D140" i="45"/>
  <c r="F140" i="45"/>
  <c r="H140" i="45"/>
  <c r="J140" i="45"/>
  <c r="L140" i="45"/>
  <c r="N140" i="45"/>
  <c r="P140" i="45"/>
  <c r="R140" i="45"/>
  <c r="T140" i="45"/>
  <c r="V140" i="45"/>
  <c r="X140" i="45"/>
  <c r="D142" i="45"/>
  <c r="F142" i="45"/>
  <c r="H142" i="45"/>
  <c r="J142" i="45"/>
  <c r="L142" i="45"/>
  <c r="N142" i="45"/>
  <c r="P142" i="45"/>
  <c r="R142" i="45"/>
  <c r="T142" i="45"/>
  <c r="V142" i="45"/>
  <c r="X142" i="45"/>
  <c r="D144" i="45"/>
  <c r="L144" i="45"/>
  <c r="F146" i="45"/>
  <c r="H146" i="45"/>
  <c r="J146" i="45"/>
  <c r="L146" i="45"/>
  <c r="N146" i="45"/>
  <c r="P146" i="45"/>
  <c r="R146" i="45"/>
  <c r="T146" i="45"/>
  <c r="V146" i="45"/>
  <c r="X146" i="45"/>
  <c r="D153" i="45"/>
  <c r="F153" i="45"/>
  <c r="H153" i="45"/>
  <c r="J153" i="45"/>
  <c r="L153" i="45"/>
  <c r="N153" i="45"/>
  <c r="P153" i="45"/>
  <c r="R153" i="45"/>
  <c r="T153" i="45"/>
  <c r="V153" i="45"/>
  <c r="X153" i="45"/>
  <c r="D155" i="45"/>
  <c r="F155" i="45"/>
  <c r="H155" i="45"/>
  <c r="J155" i="45"/>
  <c r="L155" i="45"/>
  <c r="N155" i="45"/>
  <c r="P155" i="45"/>
  <c r="R155" i="45"/>
  <c r="T155" i="45"/>
  <c r="V155" i="45"/>
  <c r="X155" i="45"/>
  <c r="D157" i="45"/>
  <c r="F157" i="45"/>
  <c r="H157" i="45"/>
  <c r="J157" i="45"/>
  <c r="L157" i="45"/>
  <c r="N157" i="45"/>
  <c r="P157" i="45"/>
  <c r="R157" i="45"/>
  <c r="T157" i="45"/>
  <c r="V157" i="45"/>
  <c r="X157" i="45"/>
  <c r="D159" i="45"/>
  <c r="F159" i="45"/>
  <c r="H159" i="45"/>
  <c r="J159" i="45"/>
  <c r="L159" i="45"/>
  <c r="N159" i="45"/>
  <c r="P159" i="45"/>
  <c r="R159" i="45"/>
  <c r="T159" i="45"/>
  <c r="V159" i="45"/>
  <c r="X159" i="45"/>
  <c r="D161" i="45"/>
  <c r="F161" i="45"/>
  <c r="H161" i="45"/>
  <c r="J161" i="45"/>
  <c r="L161" i="45"/>
  <c r="N161" i="45"/>
  <c r="P161" i="45"/>
  <c r="R161" i="45"/>
  <c r="T161" i="45"/>
  <c r="V161" i="45"/>
  <c r="X161" i="45"/>
  <c r="D163" i="45"/>
  <c r="F163" i="45"/>
  <c r="H163" i="45"/>
  <c r="J163" i="45"/>
  <c r="L163" i="45"/>
  <c r="N163" i="45"/>
  <c r="P163" i="45"/>
  <c r="R163" i="45"/>
  <c r="T163" i="45"/>
  <c r="V163" i="45"/>
  <c r="X163" i="45"/>
  <c r="D165" i="45"/>
  <c r="F165" i="45"/>
  <c r="H165" i="45"/>
  <c r="J165" i="45"/>
  <c r="L165" i="45"/>
  <c r="N165" i="45"/>
  <c r="P165" i="45"/>
  <c r="R165" i="45"/>
  <c r="T165" i="45"/>
  <c r="V165" i="45"/>
  <c r="X165" i="45"/>
  <c r="D167" i="45"/>
  <c r="F167" i="45"/>
  <c r="H167" i="45"/>
  <c r="J167" i="45"/>
  <c r="L167" i="45"/>
  <c r="N167" i="45"/>
  <c r="P167" i="45"/>
  <c r="R167" i="45"/>
  <c r="T167" i="45"/>
  <c r="V167" i="45"/>
  <c r="X167" i="45"/>
  <c r="D169" i="45"/>
  <c r="F169" i="45"/>
  <c r="H169" i="45"/>
  <c r="J169" i="45"/>
  <c r="L169" i="45"/>
  <c r="N169" i="45"/>
  <c r="P169" i="45"/>
  <c r="R169" i="45"/>
  <c r="T169" i="45"/>
  <c r="V169" i="45"/>
  <c r="X169" i="45"/>
  <c r="D171" i="45"/>
  <c r="F171" i="45"/>
  <c r="H171" i="45"/>
  <c r="J171" i="45"/>
  <c r="L171" i="45"/>
  <c r="N171" i="45"/>
  <c r="P171" i="45"/>
  <c r="R171" i="45"/>
  <c r="T171" i="45"/>
  <c r="V171" i="45"/>
  <c r="X171" i="45"/>
  <c r="D173" i="45"/>
  <c r="L173" i="45"/>
  <c r="F175" i="45"/>
  <c r="H175" i="45"/>
  <c r="J175" i="45"/>
  <c r="L175" i="45"/>
  <c r="N175" i="45"/>
  <c r="P175" i="45"/>
  <c r="R175" i="45"/>
  <c r="T175" i="45"/>
  <c r="V175" i="45"/>
  <c r="X175" i="45"/>
  <c r="D185" i="45"/>
  <c r="F185" i="45"/>
  <c r="H185" i="45"/>
  <c r="J185" i="45"/>
  <c r="L185" i="45"/>
  <c r="N185" i="45"/>
  <c r="P185" i="45"/>
  <c r="R185" i="45"/>
  <c r="T185" i="45"/>
  <c r="V185" i="45"/>
  <c r="X185" i="45"/>
  <c r="D187" i="45"/>
  <c r="F187" i="45"/>
  <c r="H187" i="45"/>
  <c r="J187" i="45"/>
  <c r="L187" i="45"/>
  <c r="N187" i="45"/>
  <c r="P187" i="45"/>
  <c r="R187" i="45"/>
  <c r="T187" i="45"/>
  <c r="V187" i="45"/>
  <c r="X187" i="45"/>
  <c r="D189" i="45"/>
  <c r="F189" i="45"/>
  <c r="H189" i="45"/>
  <c r="J189" i="45"/>
  <c r="L189" i="45"/>
  <c r="N189" i="45"/>
  <c r="P189" i="45"/>
  <c r="R189" i="45"/>
  <c r="T189" i="45"/>
  <c r="V189" i="45"/>
  <c r="X189" i="45"/>
  <c r="D191" i="45"/>
  <c r="F191" i="45"/>
  <c r="H191" i="45"/>
  <c r="J191" i="45"/>
  <c r="L191" i="45"/>
  <c r="N191" i="45"/>
  <c r="P191" i="45"/>
  <c r="R191" i="45"/>
  <c r="T191" i="45"/>
  <c r="V191" i="45"/>
  <c r="X191" i="45"/>
  <c r="D193" i="45"/>
  <c r="F193" i="45"/>
  <c r="H193" i="45"/>
  <c r="J193" i="45"/>
  <c r="L193" i="45"/>
  <c r="N193" i="45"/>
  <c r="P193" i="45"/>
  <c r="R193" i="45"/>
  <c r="T193" i="45"/>
  <c r="V193" i="45"/>
  <c r="X193" i="45"/>
  <c r="D195" i="45"/>
  <c r="F195" i="45"/>
  <c r="H195" i="45"/>
  <c r="J195" i="45"/>
  <c r="L195" i="45"/>
  <c r="N195" i="45"/>
  <c r="P195" i="45"/>
  <c r="R195" i="45"/>
  <c r="T195" i="45"/>
  <c r="V195" i="45"/>
  <c r="X195" i="45"/>
  <c r="D197" i="45"/>
  <c r="F197" i="45"/>
  <c r="H197" i="45"/>
  <c r="J197" i="45"/>
  <c r="L197" i="45"/>
  <c r="N197" i="45"/>
  <c r="P197" i="45"/>
  <c r="R197" i="45"/>
  <c r="T197" i="45"/>
  <c r="V197" i="45"/>
  <c r="X197" i="45"/>
  <c r="D199" i="45"/>
  <c r="F199" i="45"/>
  <c r="H199" i="45"/>
  <c r="J199" i="45"/>
  <c r="L199" i="45"/>
  <c r="N199" i="45"/>
  <c r="P199" i="45"/>
  <c r="R199" i="45"/>
  <c r="T199" i="45"/>
  <c r="V199" i="45"/>
  <c r="X199" i="45"/>
  <c r="D201" i="45"/>
  <c r="F201" i="45"/>
  <c r="H201" i="45"/>
  <c r="J201" i="45"/>
  <c r="L201" i="45"/>
  <c r="N201" i="45"/>
  <c r="P201" i="45"/>
  <c r="R201" i="45"/>
  <c r="T201" i="45"/>
  <c r="V201" i="45"/>
  <c r="X201" i="45"/>
  <c r="D203" i="45"/>
  <c r="F203" i="45"/>
  <c r="H203" i="45"/>
  <c r="J203" i="45"/>
  <c r="L203" i="45"/>
  <c r="N203" i="45"/>
  <c r="P203" i="45"/>
  <c r="R203" i="45"/>
  <c r="T203" i="45"/>
  <c r="V203" i="45"/>
  <c r="X203" i="45"/>
  <c r="D205" i="45"/>
  <c r="J205" i="45"/>
  <c r="F207" i="45"/>
  <c r="H207" i="45"/>
  <c r="J207" i="45"/>
  <c r="L207" i="45"/>
  <c r="N207" i="45"/>
  <c r="P207" i="45"/>
  <c r="R207" i="45"/>
  <c r="T207" i="45"/>
  <c r="V207" i="45"/>
  <c r="X207" i="45"/>
</calcChain>
</file>

<file path=xl/sharedStrings.xml><?xml version="1.0" encoding="utf-8"?>
<sst xmlns="http://schemas.openxmlformats.org/spreadsheetml/2006/main" count="14055" uniqueCount="1359">
  <si>
    <t xml:space="preserve"> </t>
  </si>
  <si>
    <t>ONCOR ELECTRIC DELIVERY COMPANY LLC</t>
  </si>
  <si>
    <t xml:space="preserve">Line </t>
  </si>
  <si>
    <t>Account</t>
  </si>
  <si>
    <t>Description</t>
  </si>
  <si>
    <t>Reference</t>
  </si>
  <si>
    <t>TRAN</t>
  </si>
  <si>
    <t>DIST</t>
  </si>
  <si>
    <t>MET</t>
  </si>
  <si>
    <t>TDCS</t>
  </si>
  <si>
    <t>Total</t>
  </si>
  <si>
    <t>Number</t>
  </si>
  <si>
    <t>Schedule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</si>
  <si>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</si>
  <si>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</si>
  <si>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</si>
  <si>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</si>
  <si>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</si>
  <si>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</si>
  <si>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</si>
  <si>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</si>
  <si>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</si>
  <si>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</si>
  <si>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Intangible Plant - Gross</t>
  </si>
  <si>
    <t>II-B-1</t>
  </si>
  <si>
    <t>A301</t>
  </si>
  <si>
    <t>Organization</t>
  </si>
  <si>
    <t>A302</t>
  </si>
  <si>
    <t>Franchise &amp; Consents</t>
  </si>
  <si>
    <t>A303</t>
  </si>
  <si>
    <t>DIST Function (cost-based)</t>
  </si>
  <si>
    <t>(Dist+Met+Cust)</t>
  </si>
  <si>
    <t>Miscellaneous Intangible Plant</t>
  </si>
  <si>
    <t>Intangible plant - Accumulated Depreciation</t>
  </si>
  <si>
    <t>II-B-5</t>
  </si>
  <si>
    <t>Franchise and Consents</t>
  </si>
  <si>
    <t>Transmission Plant - Gross</t>
  </si>
  <si>
    <t>A349</t>
  </si>
  <si>
    <t>Land Owned in Fee</t>
  </si>
  <si>
    <t>A350</t>
  </si>
  <si>
    <t>Land and Land Rights</t>
  </si>
  <si>
    <t>A352</t>
  </si>
  <si>
    <t>Structures and Improvements</t>
  </si>
  <si>
    <t>A353</t>
  </si>
  <si>
    <t>Station Equipment</t>
  </si>
  <si>
    <t>A354</t>
  </si>
  <si>
    <t>Towers and Fixtures</t>
  </si>
  <si>
    <t>A355</t>
  </si>
  <si>
    <t>Poles and Fixtures</t>
  </si>
  <si>
    <t>A356</t>
  </si>
  <si>
    <t>Overhead Conductors and Devices</t>
  </si>
  <si>
    <t>A357</t>
  </si>
  <si>
    <t>Undergound Conduit</t>
  </si>
  <si>
    <t>A358</t>
  </si>
  <si>
    <t>Underground Conductors and Devices</t>
  </si>
  <si>
    <t>A359</t>
  </si>
  <si>
    <t>Roads and Trails</t>
  </si>
  <si>
    <t>Transmission Plant - Accumulated Depreciation</t>
  </si>
  <si>
    <t>Distribution Plant - Gross</t>
  </si>
  <si>
    <t>A360</t>
  </si>
  <si>
    <t>A361</t>
  </si>
  <si>
    <t>A362</t>
  </si>
  <si>
    <t>A364</t>
  </si>
  <si>
    <t>Poles,Towers &amp; Fixtures-Total</t>
  </si>
  <si>
    <t>A365</t>
  </si>
  <si>
    <t>O.H. Conductors &amp; Devices-Total</t>
  </si>
  <si>
    <t>A366</t>
  </si>
  <si>
    <t>Underground Conduits-Total</t>
  </si>
  <si>
    <t>A367</t>
  </si>
  <si>
    <t>U.G. Conductors &amp; Devices-Total</t>
  </si>
  <si>
    <t>A368</t>
  </si>
  <si>
    <t>Line Transformers-Total</t>
  </si>
  <si>
    <t>A369</t>
  </si>
  <si>
    <t>Services</t>
  </si>
  <si>
    <t>A370</t>
  </si>
  <si>
    <t>Meters</t>
  </si>
  <si>
    <t>A371</t>
  </si>
  <si>
    <t>Installations on Customers' Premises</t>
  </si>
  <si>
    <t>A372</t>
  </si>
  <si>
    <t>Leased Property on Customers' Premises</t>
  </si>
  <si>
    <t>A373</t>
  </si>
  <si>
    <t>Street Lighting and Signal Systems</t>
  </si>
  <si>
    <t>A374</t>
  </si>
  <si>
    <t>Distribution Plant - Accumulated Depreciation</t>
  </si>
  <si>
    <t>Street Lights</t>
  </si>
  <si>
    <t>General Plant - Gross</t>
  </si>
  <si>
    <t>II-B-2</t>
  </si>
  <si>
    <t>A388</t>
  </si>
  <si>
    <t>A389</t>
  </si>
  <si>
    <t>A390</t>
  </si>
  <si>
    <t>A391</t>
  </si>
  <si>
    <t>Office Furniture &amp; Equip.</t>
  </si>
  <si>
    <t>A392</t>
  </si>
  <si>
    <t>Primary DL</t>
  </si>
  <si>
    <t>Transportation Equipment</t>
  </si>
  <si>
    <t>A393</t>
  </si>
  <si>
    <t xml:space="preserve">Stores Equipment </t>
  </si>
  <si>
    <t>A394</t>
  </si>
  <si>
    <t>Tools, Shop and Garage Equipment</t>
  </si>
  <si>
    <t>A395</t>
  </si>
  <si>
    <t>Laboratory Equipment</t>
  </si>
  <si>
    <t>A396</t>
  </si>
  <si>
    <t>Power Operated Equipment</t>
  </si>
  <si>
    <t>Communication Equipment</t>
  </si>
  <si>
    <t>II-B-3</t>
  </si>
  <si>
    <t>A398</t>
  </si>
  <si>
    <t>Miscellaneous Equipment</t>
  </si>
  <si>
    <t>A399</t>
  </si>
  <si>
    <t>Other Tangible Property</t>
  </si>
  <si>
    <t>General Plant - Accumulated Depreciation</t>
  </si>
  <si>
    <t>Other Rate Base Items</t>
  </si>
  <si>
    <t>CWIP</t>
  </si>
  <si>
    <t>II-B-4</t>
  </si>
  <si>
    <t>Plant Held for Future Use</t>
  </si>
  <si>
    <t>II-B-6</t>
  </si>
  <si>
    <t>Plant Materials &amp; Operating Supplies</t>
  </si>
  <si>
    <t>II-B-8</t>
  </si>
  <si>
    <t>Stores Expense Undistributed</t>
  </si>
  <si>
    <t>Cash Working Capital</t>
  </si>
  <si>
    <t>II-B-9</t>
  </si>
  <si>
    <t>Prepayments</t>
  </si>
  <si>
    <t>II-B-10</t>
  </si>
  <si>
    <t>Customer Deposits</t>
  </si>
  <si>
    <t>II-B-11</t>
  </si>
  <si>
    <t>ADIT  &amp; FAS 109 Accts.</t>
  </si>
  <si>
    <t>II-E-3.7</t>
  </si>
  <si>
    <t>Non-Tax Related Regulatory Assets</t>
  </si>
  <si>
    <t>II-B-12</t>
  </si>
  <si>
    <t>Deferred Pension Costs (a)</t>
  </si>
  <si>
    <t>Deferred Pension Costs (b)</t>
  </si>
  <si>
    <t>Non-Tax Related Regulatory Liabilities</t>
  </si>
  <si>
    <t>Asset Retirement Obligations</t>
  </si>
  <si>
    <t>Tax Related Regulatory Assets</t>
  </si>
  <si>
    <t>FAS 109-EPIS-Basis Differences</t>
  </si>
  <si>
    <t>FAS 109-CWIP-Flow Through</t>
  </si>
  <si>
    <t>Pension/OPEB - Unrecognized Exp.</t>
  </si>
  <si>
    <t>Unrecognized Exp - Gross-up</t>
  </si>
  <si>
    <t>Tax Related Regulatory Liabilities</t>
  </si>
  <si>
    <t>FAS 109 - Unamortized ITC</t>
  </si>
  <si>
    <t>Pension/OPEB - Gross-up</t>
  </si>
  <si>
    <t>Rate of Return</t>
  </si>
  <si>
    <t>II-C</t>
  </si>
  <si>
    <t>Transmission Expense - Operation</t>
  </si>
  <si>
    <t>II-D-1</t>
  </si>
  <si>
    <t>A560</t>
  </si>
  <si>
    <t>Operation Supervision and Engineering</t>
  </si>
  <si>
    <t>A561</t>
  </si>
  <si>
    <t xml:space="preserve">Load Dispatching </t>
  </si>
  <si>
    <t>A562</t>
  </si>
  <si>
    <t>Station Expenses</t>
  </si>
  <si>
    <t>A563</t>
  </si>
  <si>
    <t>Overhead Line Expenses</t>
  </si>
  <si>
    <t>A564</t>
  </si>
  <si>
    <t>Underground Line Expenses</t>
  </si>
  <si>
    <t>A565</t>
  </si>
  <si>
    <t>Transmission of Electricity by Others</t>
  </si>
  <si>
    <t>A566</t>
  </si>
  <si>
    <t>Miscellaneous Transmission Expenses</t>
  </si>
  <si>
    <t>A567</t>
  </si>
  <si>
    <t xml:space="preserve">Rents </t>
  </si>
  <si>
    <t>Transmission Expense - Maintenance</t>
  </si>
  <si>
    <t>A568</t>
  </si>
  <si>
    <t>Maintenance Supervision and Engineering</t>
  </si>
  <si>
    <t>A569</t>
  </si>
  <si>
    <t>Maintenance of Structures</t>
  </si>
  <si>
    <t>A570</t>
  </si>
  <si>
    <t>Maintenance of Station Equipment</t>
  </si>
  <si>
    <t>A571</t>
  </si>
  <si>
    <t>Maintenance of Overhead Lines</t>
  </si>
  <si>
    <t>A572</t>
  </si>
  <si>
    <t>Maintenance of Underground Lines</t>
  </si>
  <si>
    <t>A573</t>
  </si>
  <si>
    <t>Maintenance of Miscellaneous Transmission Plant</t>
  </si>
  <si>
    <t>Distribution Expense - Operation</t>
  </si>
  <si>
    <t>A580</t>
  </si>
  <si>
    <t>A581</t>
  </si>
  <si>
    <t>Load Dispatching</t>
  </si>
  <si>
    <t>A582</t>
  </si>
  <si>
    <t>A583</t>
  </si>
  <si>
    <t>A584</t>
  </si>
  <si>
    <t>A585</t>
  </si>
  <si>
    <t>Street Lighting and Signal System Expenses</t>
  </si>
  <si>
    <t>A586</t>
  </si>
  <si>
    <t>Meter Expenses</t>
  </si>
  <si>
    <t>A587</t>
  </si>
  <si>
    <t>Customer Installation Expenses</t>
  </si>
  <si>
    <t>A588</t>
  </si>
  <si>
    <t>Miscellaneous Distribution Expenses</t>
  </si>
  <si>
    <t>A589</t>
  </si>
  <si>
    <t>Rents</t>
  </si>
  <si>
    <t>Distribution Expense - Maintenance</t>
  </si>
  <si>
    <t>A590</t>
  </si>
  <si>
    <t>A591</t>
  </si>
  <si>
    <t>A592</t>
  </si>
  <si>
    <t>A593</t>
  </si>
  <si>
    <t>A594</t>
  </si>
  <si>
    <t>A595</t>
  </si>
  <si>
    <t>Maintenance of Line Transformers</t>
  </si>
  <si>
    <t>A596</t>
  </si>
  <si>
    <t>Maintenance of Street Lighting and Signal Systems</t>
  </si>
  <si>
    <t>A597</t>
  </si>
  <si>
    <t>Maintenance of Meters</t>
  </si>
  <si>
    <t>A598</t>
  </si>
  <si>
    <t>Maintenance of Miscellaneous Distribution Plant</t>
  </si>
  <si>
    <t>Customer Accounts Expenses</t>
  </si>
  <si>
    <t>A901</t>
  </si>
  <si>
    <t>Supervision</t>
  </si>
  <si>
    <t>A902</t>
  </si>
  <si>
    <t>Meter Reading Expenses</t>
  </si>
  <si>
    <t>A903</t>
  </si>
  <si>
    <t>Customer Records and Collection Expenses</t>
  </si>
  <si>
    <t>A904</t>
  </si>
  <si>
    <t>Uncollectible Accounts</t>
  </si>
  <si>
    <t>A905</t>
  </si>
  <si>
    <t>Miscellaneous Customer Account Expenses</t>
  </si>
  <si>
    <t>Customer Service &amp; Information Expenses</t>
  </si>
  <si>
    <t>A906</t>
  </si>
  <si>
    <t>Customer Service and Informational Expenses</t>
  </si>
  <si>
    <t>A907</t>
  </si>
  <si>
    <t>A908</t>
  </si>
  <si>
    <t>Customer Assistance Expenses</t>
  </si>
  <si>
    <t>A909</t>
  </si>
  <si>
    <t>Informational and Instructional Advertising Expenses</t>
  </si>
  <si>
    <t>A910</t>
  </si>
  <si>
    <t>Miscellaneous Customer Service and Informational Expenses</t>
  </si>
  <si>
    <t>Sales Expense</t>
  </si>
  <si>
    <t>A911</t>
  </si>
  <si>
    <t>A912</t>
  </si>
  <si>
    <t>Demonstrating and Selling Expenses</t>
  </si>
  <si>
    <t>A913</t>
  </si>
  <si>
    <t>Advertising Expenses</t>
  </si>
  <si>
    <t>A916</t>
  </si>
  <si>
    <t>Miscellaneous Sales Expenses</t>
  </si>
  <si>
    <t>A917</t>
  </si>
  <si>
    <t>Sales Expenses</t>
  </si>
  <si>
    <t>Adminstrative &amp; General Expenses</t>
  </si>
  <si>
    <t>II-D-2</t>
  </si>
  <si>
    <t>A920</t>
  </si>
  <si>
    <t>Administrative and General Salaries</t>
  </si>
  <si>
    <t>A921</t>
  </si>
  <si>
    <t>Office Supplies and Expenses</t>
  </si>
  <si>
    <t>A922</t>
  </si>
  <si>
    <t>Admin Expense Transferred - Credit</t>
  </si>
  <si>
    <t>A923</t>
  </si>
  <si>
    <t>Outside Services Employed</t>
  </si>
  <si>
    <t>A924</t>
  </si>
  <si>
    <t>Property Insurance</t>
  </si>
  <si>
    <t>A925</t>
  </si>
  <si>
    <t>Injuries and Damages</t>
  </si>
  <si>
    <t>A926</t>
  </si>
  <si>
    <t>Employee Pensions and Benefits</t>
  </si>
  <si>
    <t>A928</t>
  </si>
  <si>
    <t>Regulatory Commission Expenses</t>
  </si>
  <si>
    <t>A930.1</t>
  </si>
  <si>
    <t>General Advertising Expenses</t>
  </si>
  <si>
    <t>A930.2</t>
  </si>
  <si>
    <t>Miscellaneous General Expenses</t>
  </si>
  <si>
    <t>A931</t>
  </si>
  <si>
    <t>A932</t>
  </si>
  <si>
    <t>Maintenance of General Plant</t>
  </si>
  <si>
    <t>A935</t>
  </si>
  <si>
    <t>Transmission Payroll Expense - Operation</t>
  </si>
  <si>
    <t>II-D-3</t>
  </si>
  <si>
    <t>Transmission Payroll Expense - Maintenance</t>
  </si>
  <si>
    <t>Distribution Payroll Expense - Operation</t>
  </si>
  <si>
    <t>Distribution Payroll Expense - Maintenance</t>
  </si>
  <si>
    <t>Customer Accounting Payroll</t>
  </si>
  <si>
    <t>Customer Service &amp; Info. Payroll</t>
  </si>
  <si>
    <t>Sales Payroll</t>
  </si>
  <si>
    <t xml:space="preserve">  A911</t>
  </si>
  <si>
    <t>Adminstrative &amp; General Payroll Expenses</t>
  </si>
  <si>
    <t>Summary of Exclusions from Reporting Period</t>
  </si>
  <si>
    <t>Legislative Advocacy</t>
  </si>
  <si>
    <t>II-E-4.2</t>
  </si>
  <si>
    <t>Penalties and Fines</t>
  </si>
  <si>
    <t>Other Exclusions</t>
  </si>
  <si>
    <t>II-D-4</t>
  </si>
  <si>
    <t>Social/Recreational/Religious</t>
  </si>
  <si>
    <t>Political</t>
  </si>
  <si>
    <t>Depreciation and Amortization Expense</t>
  </si>
  <si>
    <t>II-E-1</t>
  </si>
  <si>
    <t>Intangible Plant</t>
  </si>
  <si>
    <t>Transmission Plant</t>
  </si>
  <si>
    <t>Distribution Plant</t>
  </si>
  <si>
    <t>General Plant</t>
  </si>
  <si>
    <t>Other Tangible Property - Depr</t>
  </si>
  <si>
    <t>Other Tangible Property - Depletable</t>
  </si>
  <si>
    <t>Taxes Other than Income Taxes</t>
  </si>
  <si>
    <t>II-E-2</t>
  </si>
  <si>
    <t>Payroll-Related</t>
  </si>
  <si>
    <t>FICA</t>
  </si>
  <si>
    <t>FUTA</t>
  </si>
  <si>
    <t>SUTA</t>
  </si>
  <si>
    <t>Property Related</t>
  </si>
  <si>
    <t>Ad Valorem</t>
  </si>
  <si>
    <t>Non-Revenue Related</t>
  </si>
  <si>
    <t>Texas Gross Margin Tax</t>
  </si>
  <si>
    <t>Municipal Franchise Fees</t>
  </si>
  <si>
    <t>Federal Income Taxes</t>
  </si>
  <si>
    <t>II-E-3</t>
  </si>
  <si>
    <t>Deductions:</t>
  </si>
  <si>
    <t>Synchronized Interest</t>
  </si>
  <si>
    <t>ITC Amortization</t>
  </si>
  <si>
    <t>see functions</t>
  </si>
  <si>
    <t>Additions:</t>
  </si>
  <si>
    <t>Prior Period Adjustments</t>
  </si>
  <si>
    <t>Depreciation Differences</t>
  </si>
  <si>
    <t>Tax Credits</t>
  </si>
  <si>
    <t>ADD:</t>
  </si>
  <si>
    <t>Prior period adjustments</t>
  </si>
  <si>
    <t>Other Expenses</t>
  </si>
  <si>
    <t>A431</t>
  </si>
  <si>
    <t>Interest On Customer Deposits</t>
  </si>
  <si>
    <t>II-E-4</t>
  </si>
  <si>
    <t>A407.3</t>
  </si>
  <si>
    <t>Amortization of Regulatory Asset</t>
  </si>
  <si>
    <t>II-E-4.1</t>
  </si>
  <si>
    <t>Other Revenues</t>
  </si>
  <si>
    <t>II-E-5</t>
  </si>
  <si>
    <t>Non-Electric Revenue</t>
  </si>
  <si>
    <t>A442</t>
  </si>
  <si>
    <t>Power Factor</t>
  </si>
  <si>
    <t>A450</t>
  </si>
  <si>
    <t>Forfeited Discounts</t>
  </si>
  <si>
    <t>Misc. Service Revenues - Discretionary</t>
  </si>
  <si>
    <t>Misc. Service Revenues - Other</t>
  </si>
  <si>
    <t>A454a</t>
  </si>
  <si>
    <t>Rent from Property:  Pole Contacts</t>
  </si>
  <si>
    <t>A454b</t>
  </si>
  <si>
    <t>Rent from Property:  Fiber Optics</t>
  </si>
  <si>
    <t>A454c</t>
  </si>
  <si>
    <t>Rent from Property:  Antenna Lease</t>
  </si>
  <si>
    <t>A454d</t>
  </si>
  <si>
    <t>Rent from Property:  Right Of Way &amp; Misc</t>
  </si>
  <si>
    <t>A456</t>
  </si>
  <si>
    <t>Other Electric Revenues</t>
  </si>
  <si>
    <t>Total Payroll Expense</t>
  </si>
  <si>
    <t>COST-BASED Revenue Requirement</t>
  </si>
  <si>
    <t>I-A-1</t>
  </si>
  <si>
    <t>Rate Base</t>
  </si>
  <si>
    <t>Return on Rate Base</t>
  </si>
  <si>
    <t>Operating and Maintenance Expenses</t>
  </si>
  <si>
    <t>Depreciation, Amortization, &amp; Other Expenses</t>
  </si>
  <si>
    <t>Taxes Other Than Federal Income Tax</t>
  </si>
  <si>
    <t>FIT</t>
  </si>
  <si>
    <t>minus Other Revenues</t>
  </si>
  <si>
    <t>Revenue Requirement</t>
  </si>
  <si>
    <t>Should be all TRUE ==&gt;</t>
  </si>
  <si>
    <t>Total Payroll Expense (this file)</t>
  </si>
  <si>
    <t>Acct</t>
  </si>
  <si>
    <t>Source</t>
  </si>
  <si>
    <t>A454b1</t>
  </si>
  <si>
    <t>Rent from Property:  Fiber Optics Overhead</t>
  </si>
  <si>
    <t>A454b2</t>
  </si>
  <si>
    <t>Rent from Property:  Fiber Optics Underground</t>
  </si>
  <si>
    <t>Allocation</t>
  </si>
  <si>
    <t>(WP/II-I-2.1)</t>
  </si>
  <si>
    <t>Original Cost</t>
  </si>
  <si>
    <t>Poles, Towers &amp; Fixtures:  Total (WP/ II-I-1.1)</t>
  </si>
  <si>
    <t>A364P</t>
  </si>
  <si>
    <t>Poles, Towers &amp; Fixtures:  Primary</t>
  </si>
  <si>
    <t>A364S</t>
  </si>
  <si>
    <t>Poles, Towers &amp; Fixtures:  Secondary</t>
  </si>
  <si>
    <t>O.H. Conductors &amp; Devices:  Total (WP/ II-I-1.1)</t>
  </si>
  <si>
    <t>A365P</t>
  </si>
  <si>
    <t>O.H. Conductors &amp; Devices:  Primary</t>
  </si>
  <si>
    <t>A365S</t>
  </si>
  <si>
    <t>O.H. Conductors &amp; Devices:  Secondary</t>
  </si>
  <si>
    <t>Underground Conduits:  Total (WP/ II-I-1.1)</t>
  </si>
  <si>
    <t>A366P</t>
  </si>
  <si>
    <t>Underground Conduits:  Primary</t>
  </si>
  <si>
    <t>A366S</t>
  </si>
  <si>
    <t>Underground Conduits:  Secondary</t>
  </si>
  <si>
    <t>U.G. Conductors &amp; Devices:  Total (WP/ II-I-1.1)</t>
  </si>
  <si>
    <t>A367P</t>
  </si>
  <si>
    <t>U.G. Conductors &amp; Devices:  Primary</t>
  </si>
  <si>
    <t>A367S</t>
  </si>
  <si>
    <t>U.G. Conductors &amp; Devices:  Secondary</t>
  </si>
  <si>
    <t>Line Transformers:  Total (WP/ II-I-1.1)</t>
  </si>
  <si>
    <t>A368P</t>
  </si>
  <si>
    <t>Regulators, Protectors, Primary Transformers</t>
  </si>
  <si>
    <t>A368S</t>
  </si>
  <si>
    <t>Secondary Transformers</t>
  </si>
  <si>
    <t>A368C</t>
  </si>
  <si>
    <t>Capacitors</t>
  </si>
  <si>
    <t>Line</t>
  </si>
  <si>
    <t>Wholesale</t>
  </si>
  <si>
    <t xml:space="preserve">Residential </t>
  </si>
  <si>
    <t>Secondary</t>
  </si>
  <si>
    <t>Primary</t>
  </si>
  <si>
    <t>Transmission</t>
  </si>
  <si>
    <t>Lighting</t>
  </si>
  <si>
    <t>TX</t>
  </si>
  <si>
    <t>Substation</t>
  </si>
  <si>
    <t>DLS</t>
  </si>
  <si>
    <t>&lt;=10kW</t>
  </si>
  <si>
    <t>&gt;10kW</t>
  </si>
  <si>
    <t>(k)</t>
  </si>
  <si>
    <t>(l)</t>
  </si>
  <si>
    <t>Tax Rate</t>
  </si>
  <si>
    <t>Plant, Distribution, Original Cost</t>
  </si>
  <si>
    <t>PLTDIST</t>
  </si>
  <si>
    <t>Taxable Component of Return</t>
  </si>
  <si>
    <t>Tax Factor</t>
  </si>
  <si>
    <t>Taxes Other Than FIT</t>
  </si>
  <si>
    <t>TRAN Function (TCOS) *</t>
  </si>
  <si>
    <t>N/A</t>
  </si>
  <si>
    <t>MET Function</t>
  </si>
  <si>
    <t>CUSTOMER Function (TBILL+TDCS)</t>
  </si>
  <si>
    <t>Proposed Revenue Requirement</t>
  </si>
  <si>
    <t>Ref</t>
  </si>
  <si>
    <t>XFMR</t>
  </si>
  <si>
    <t>WP/II-I-2.4</t>
  </si>
  <si>
    <t>Poles, Towers &amp; Fixtures-Total</t>
  </si>
  <si>
    <t>Poles, Towers &amp; Fixtures-Primary</t>
  </si>
  <si>
    <t>Poles, Towers &amp; Fixtures-Secondary</t>
  </si>
  <si>
    <t>O.H. Conductors &amp; Devices-Primary</t>
  </si>
  <si>
    <t>O.H. Conductors &amp; Devices-Secondary</t>
  </si>
  <si>
    <t>Underground Conduits-Primary</t>
  </si>
  <si>
    <t>Underground Conduits-Secondary</t>
  </si>
  <si>
    <t>U.G. Conductors &amp; Devices-Primary</t>
  </si>
  <si>
    <t>U.G. Conductors &amp; Devices-Secondary</t>
  </si>
  <si>
    <t>Line Transformers-Primary</t>
  </si>
  <si>
    <t>Line Transformers-Secondary</t>
  </si>
  <si>
    <t>Capacitors &amp; Voltage Regulators</t>
  </si>
  <si>
    <t>Whl XFMR</t>
  </si>
  <si>
    <t>Whl DLS</t>
  </si>
  <si>
    <t>RES</t>
  </si>
  <si>
    <t>SEC &lt;10</t>
  </si>
  <si>
    <t>SEC &gt; 10</t>
  </si>
  <si>
    <t>PRI &lt;10</t>
  </si>
  <si>
    <t>Pri Subst</t>
  </si>
  <si>
    <t>PRI &gt;10 DLS</t>
  </si>
  <si>
    <t>LIGHT</t>
  </si>
  <si>
    <t>TOTAL</t>
  </si>
  <si>
    <t>Test Year-End Customers</t>
  </si>
  <si>
    <t>Class Meter Weight</t>
  </si>
  <si>
    <t>WP II-I-2.5</t>
  </si>
  <si>
    <t>NCP (kW at Source)</t>
  </si>
  <si>
    <t>MAXIMUM</t>
  </si>
  <si>
    <t>SEC &lt;=10</t>
  </si>
  <si>
    <t>PRI &lt;=10</t>
  </si>
  <si>
    <t xml:space="preserve">     Customer</t>
  </si>
  <si>
    <t xml:space="preserve">     Meter</t>
  </si>
  <si>
    <t>Subtotal</t>
  </si>
  <si>
    <t>II-H-4.1 page 9:</t>
  </si>
  <si>
    <t>line 22</t>
  </si>
  <si>
    <t>line 1</t>
  </si>
  <si>
    <t>line 3</t>
  </si>
  <si>
    <t>lines 5+6</t>
  </si>
  <si>
    <t>line 8</t>
  </si>
  <si>
    <t>line 12</t>
  </si>
  <si>
    <t>II-H-4.1 p9 line 25</t>
  </si>
  <si>
    <t xml:space="preserve">     TCRF (incl Pwr Fctr)</t>
  </si>
  <si>
    <t xml:space="preserve">     Distribution (incl Pwr Fctr)</t>
  </si>
  <si>
    <t>Adj Discretionary Services Revenue</t>
  </si>
  <si>
    <t>CONSOLIDATED FUNCTIONALIZED COST OF SERVICE</t>
  </si>
  <si>
    <t>(WP/II-I-1.2)</t>
  </si>
  <si>
    <t>O&amp;M + Customer + A&amp;G Expenses</t>
  </si>
  <si>
    <t>Depreciation, Amortization &amp; Other Expenses</t>
  </si>
  <si>
    <t>Federal Income Tax</t>
  </si>
  <si>
    <t>Return on  Rate Base</t>
  </si>
  <si>
    <t>II-B</t>
  </si>
  <si>
    <t>TOTAL COST OF SERVICE</t>
  </si>
  <si>
    <t>Minus:  Other Revenues</t>
  </si>
  <si>
    <t>COST_BASED Revenue Requirement</t>
  </si>
  <si>
    <t>Return On Rate Base</t>
  </si>
  <si>
    <t>Intangible, Transmission, Distribution Plant:  Original Cost</t>
  </si>
  <si>
    <t>General Plant:  Original Cost</t>
  </si>
  <si>
    <t>Communication Equipment:  Original Cost</t>
  </si>
  <si>
    <t>Total Plant</t>
  </si>
  <si>
    <t>Minus:  Accumulated Depreciation</t>
  </si>
  <si>
    <t>NET PLANT IN SERVICE</t>
  </si>
  <si>
    <t>Other Rate Base Items:</t>
  </si>
  <si>
    <t>Accumulated Provisions ex ADFIT</t>
  </si>
  <si>
    <t>II-B-7</t>
  </si>
  <si>
    <t>Materials &amp; Supplies</t>
  </si>
  <si>
    <t>Misc Other Rate Base</t>
  </si>
  <si>
    <t>Regulatory Assets</t>
  </si>
  <si>
    <t>Acuumulated Deferred Income Taxes</t>
  </si>
  <si>
    <t>II-E3.7</t>
  </si>
  <si>
    <t>TOTAL RATE BASE</t>
  </si>
  <si>
    <t>COST-BASED Rate of Return</t>
  </si>
  <si>
    <t>COST-BASED Return On Rate Base</t>
  </si>
  <si>
    <t>Intangible and Transmission Plant Gross</t>
  </si>
  <si>
    <t>Intangible Plant Gross</t>
  </si>
  <si>
    <t>O.H. Conductors &amp; Devices</t>
  </si>
  <si>
    <t>Underground Conductors</t>
  </si>
  <si>
    <t>Subtotal:  Assigned + Allocated</t>
  </si>
  <si>
    <t>Poles, Towers and Fixtures:  Primary</t>
  </si>
  <si>
    <t>Poles, Towers and Fixtures:  Secondary</t>
  </si>
  <si>
    <t>Overhead Conductors and Devices:  Primary</t>
  </si>
  <si>
    <t>Overhead Conductors and Devices:  Secondary</t>
  </si>
  <si>
    <t>Underground Conductors and Devices:  Primary</t>
  </si>
  <si>
    <t>Underground Conductors and Devices:  Secondary</t>
  </si>
  <si>
    <t>Install. on Customer Prem.</t>
  </si>
  <si>
    <t>Leased Prop. on Cust. Premises</t>
  </si>
  <si>
    <t>INT, TRAN, DIST PLANT:  GROSS</t>
  </si>
  <si>
    <t>OPERATING PLANT:  GROSS</t>
  </si>
  <si>
    <t>General Plant Gross</t>
  </si>
  <si>
    <t xml:space="preserve">Store Equipment </t>
  </si>
  <si>
    <t>Tools, Shop &amp; Garage Equip.</t>
  </si>
  <si>
    <t>Misc. Equipment</t>
  </si>
  <si>
    <t>Other Tangible</t>
  </si>
  <si>
    <t>GENERAL PLANT:  GROSS</t>
  </si>
  <si>
    <t>COMMUNICATION EQUIPMENT</t>
  </si>
  <si>
    <t>GENERAL PLANT:  GROSS, INCLUDE. COMM. EQUIP.</t>
  </si>
  <si>
    <t>II-B-2-3</t>
  </si>
  <si>
    <t>PLANT IN SERVICE:  GROSS (INCL. INTANGIBLES)</t>
  </si>
  <si>
    <t>II-B-1-3</t>
  </si>
  <si>
    <t>PLANT IN SERVICE:  GROSS (EXCL. INTANGIBLES)</t>
  </si>
  <si>
    <t>Construction Work in Progress</t>
  </si>
  <si>
    <t>A107</t>
  </si>
  <si>
    <t>TOTAL CWIP</t>
  </si>
  <si>
    <t>Intangible and Transmission Plant Accum Dep</t>
  </si>
  <si>
    <t>Intangible Plant Accumulated Depreciation</t>
  </si>
  <si>
    <t>Transmission Plant Accum Depreciation:  Total</t>
  </si>
  <si>
    <t>Transmission Plant Gross</t>
  </si>
  <si>
    <t>Distribution Plant Gross</t>
  </si>
  <si>
    <t xml:space="preserve">Subtotal 364:  </t>
  </si>
  <si>
    <t xml:space="preserve">Subtotal 365:  </t>
  </si>
  <si>
    <t xml:space="preserve">Subtotal 366:  </t>
  </si>
  <si>
    <t xml:space="preserve">Subtotal 367:  </t>
  </si>
  <si>
    <t xml:space="preserve">Subtotal 368:  </t>
  </si>
  <si>
    <t>Transmission Plant Accum Depreciation</t>
  </si>
  <si>
    <t>Distribution Plant Accum Depreciation</t>
  </si>
  <si>
    <t>INT, TRAN, DIST PLANT ACCUM DEPR TOTAL</t>
  </si>
  <si>
    <t>OPERATING PLANT ACCUM DEPR TOTAL</t>
  </si>
  <si>
    <t>INTANGIBLE PLANT:  NET</t>
  </si>
  <si>
    <t>TRANSMISSION PLANT:  NET</t>
  </si>
  <si>
    <t>DISTRIBUTION PLANT:  NET</t>
  </si>
  <si>
    <t>OPERATING PLANT:  NET</t>
  </si>
  <si>
    <t>INT, TRAN, DIST PLANT:  NET</t>
  </si>
  <si>
    <t>General Plant:  Accumulated Depreciation</t>
  </si>
  <si>
    <t>Accumulated Depreciation</t>
  </si>
  <si>
    <t>Other Tangible-Deprc.</t>
  </si>
  <si>
    <t>ACCUM. DEP. FOR GENERAL PLANT</t>
  </si>
  <si>
    <t>GENERAL PLANT-NET (include. Comm Eq.)</t>
  </si>
  <si>
    <t>PLANT IN SERVICE NET (INCL. INTANGIBLES)</t>
  </si>
  <si>
    <t>PLANT IN SERVICE NET (EXCL. INTANGIBLES)</t>
  </si>
  <si>
    <t>A105</t>
  </si>
  <si>
    <t>TOTAL PLANT HELD FOR FUTURE USE</t>
  </si>
  <si>
    <t>Accumulated Provisions</t>
  </si>
  <si>
    <t>Reserve for Catastrophic Event</t>
  </si>
  <si>
    <t>Customers Advances for Construction</t>
  </si>
  <si>
    <t>ACCUMULATED PROVISIONS EX ADFIT</t>
  </si>
  <si>
    <t>Accumulated Deferred Federal Income Taxes</t>
  </si>
  <si>
    <t>TOTAL ACCUMULATED PROVISIONS INCL ADFIT</t>
  </si>
  <si>
    <t>Materials and Supplies</t>
  </si>
  <si>
    <t>Working Capital</t>
  </si>
  <si>
    <t>Material and Supplies</t>
  </si>
  <si>
    <t>Undistributed M&amp;S Expenses</t>
  </si>
  <si>
    <t>TOTAL MATERIALS &amp; SUPPLIES</t>
  </si>
  <si>
    <t>TOTAL CASH WORKING CAPITAL</t>
  </si>
  <si>
    <t>TOTAL PREPAYMENTS</t>
  </si>
  <si>
    <t>WORKING CAPITAL TOTAL</t>
  </si>
  <si>
    <t>II-B-8-10</t>
  </si>
  <si>
    <t>Misc Other Rate Base Items</t>
  </si>
  <si>
    <t>OTHER RATE BASE ITEMS EX REGULATORY ASSETS</t>
  </si>
  <si>
    <t>Non-Tax Related Regulatory Assets and Liabilities</t>
  </si>
  <si>
    <t>Regulatory Assets/(Liabilities) in Rate Base</t>
  </si>
  <si>
    <t>Non-tax Related Regulatory Assets</t>
  </si>
  <si>
    <t>Subtotal Non-Tax Regulatory Assets</t>
  </si>
  <si>
    <t>Subtotal Non-Tax Regulatory Liabilities</t>
  </si>
  <si>
    <t>TOTAL NON-TAX RELATED REGULATORY ASSETS</t>
  </si>
  <si>
    <t>Tax Related Regulatory Assets and Liabilities</t>
  </si>
  <si>
    <t>Subtotal Tax-Related Regulatory Assets</t>
  </si>
  <si>
    <t>Subtotal Tax-Related Regulatory Liabilities</t>
  </si>
  <si>
    <t>TOTAL TAX-RELATED REGULATORY ASSETS</t>
  </si>
  <si>
    <t>TOTAL REGULATORY ASSETS</t>
  </si>
  <si>
    <t>TOTAL OTHER RATE BASE ITEMS EX ADFIT</t>
  </si>
  <si>
    <t>II-B-6-12</t>
  </si>
  <si>
    <t>TOTAL RATE BASE (incl ADFIT)</t>
  </si>
  <si>
    <t>II-B-1-12</t>
  </si>
  <si>
    <t>RETURN ON RATE BASE</t>
  </si>
  <si>
    <t>Transmission Expense</t>
  </si>
  <si>
    <t>Operation</t>
  </si>
  <si>
    <t>Transmission Operation excl. 565</t>
  </si>
  <si>
    <t>Maintenance</t>
  </si>
  <si>
    <t>TOTAL TRANSMISSION EXPENSE</t>
  </si>
  <si>
    <t>TOTAL TRANSMISSION EXPENSE EXCL 565</t>
  </si>
  <si>
    <t>Distribution Expense</t>
  </si>
  <si>
    <t>Subtotal 580-589</t>
  </si>
  <si>
    <t>Subtotal 581-587, 589</t>
  </si>
  <si>
    <t>Subtotal 590-598</t>
  </si>
  <si>
    <t>Subtotal 591-597</t>
  </si>
  <si>
    <t>TOTAL DISTRIBUTION EXPENSE</t>
  </si>
  <si>
    <t>Customer and Sales Expenses</t>
  </si>
  <si>
    <t>Customer Accounting Expenses</t>
  </si>
  <si>
    <t>Subtotal Customer Accounting</t>
  </si>
  <si>
    <t xml:space="preserve">     Depreciation &amp; Amortization (II-E-1)</t>
  </si>
  <si>
    <t xml:space="preserve">     Other (II-E-4)</t>
  </si>
  <si>
    <t xml:space="preserve">     O&amp;M Expenses</t>
  </si>
  <si>
    <t xml:space="preserve">     Customer Expenses</t>
  </si>
  <si>
    <t xml:space="preserve">     A&amp;G Expenses</t>
  </si>
  <si>
    <t xml:space="preserve">     Distribution Plant:  Original Cost</t>
  </si>
  <si>
    <t xml:space="preserve">     Intangible Plant:  Original Cost</t>
  </si>
  <si>
    <t xml:space="preserve">     Transmission Plant:  Original Cost</t>
  </si>
  <si>
    <t>Subtotal 902-903</t>
  </si>
  <si>
    <t>Cust. Service &amp; Information Expense</t>
  </si>
  <si>
    <t>Subtotal Cust Svc &amp; Info Exp</t>
  </si>
  <si>
    <t>Subtotal 906, 908, 909</t>
  </si>
  <si>
    <t>Subtotal  Sales Exp</t>
  </si>
  <si>
    <t>Subtotal  912-917</t>
  </si>
  <si>
    <t>TOTAL O&amp;M EXPENSE</t>
  </si>
  <si>
    <t>TOTAL O&amp;M EXPENSE EXCL 565</t>
  </si>
  <si>
    <t>TOTAL A&amp;G EXPENSE</t>
  </si>
  <si>
    <t>TOTAL O&amp;M &amp; A&amp;G EXPENSE</t>
  </si>
  <si>
    <t>Transmission Payroll</t>
  </si>
  <si>
    <t>Operation Payroll</t>
  </si>
  <si>
    <t>Subtotal 561-567</t>
  </si>
  <si>
    <t>Maintenance Payroll</t>
  </si>
  <si>
    <t>Subtotal 569-573</t>
  </si>
  <si>
    <t>TOTAL TRANSMISSION PAYROLL</t>
  </si>
  <si>
    <t>Distribution Payroll</t>
  </si>
  <si>
    <t>Subtotal 581-589</t>
  </si>
  <si>
    <t>Distribution Operation:  Total Payroll</t>
  </si>
  <si>
    <t>Subtotal 591-598</t>
  </si>
  <si>
    <t>Distribution-Maintenance:  Total Payroll</t>
  </si>
  <si>
    <t>TOTAL DISTRIBUTION PAYROLL</t>
  </si>
  <si>
    <t>Customer and Sales Payroll</t>
  </si>
  <si>
    <t>Subtotal 901,904,905</t>
  </si>
  <si>
    <t>Subtotal:  Customer Accounting Payroll</t>
  </si>
  <si>
    <t>Cust. Service &amp; Info. Payroll</t>
  </si>
  <si>
    <t>Subtotal 906,908,909</t>
  </si>
  <si>
    <t>Misc. Cust. Service &amp; Inform.</t>
  </si>
  <si>
    <t>Subtotal 907,910</t>
  </si>
  <si>
    <t>Subtotal:  Cust. Service &amp; Information Payroll</t>
  </si>
  <si>
    <t>Demonstrating &amp; Selling Exp.</t>
  </si>
  <si>
    <t>Advertising Exp.</t>
  </si>
  <si>
    <t>Subtotal 912,913,917</t>
  </si>
  <si>
    <t>Misc. Sales Exp.</t>
  </si>
  <si>
    <t>Subtotal 911,916</t>
  </si>
  <si>
    <t>Subtotal:  Sales Payroll</t>
  </si>
  <si>
    <t>TOT. CUST. ACCT., SERV., INFO., &amp; SALES PAYROLL</t>
  </si>
  <si>
    <t>Adminstrative &amp; General Payroll</t>
  </si>
  <si>
    <t>TOTAL A&amp;G PAYROLL</t>
  </si>
  <si>
    <t>Subtotal 921-935</t>
  </si>
  <si>
    <t>TOTAL PAYROLL</t>
  </si>
  <si>
    <t>Exclusions</t>
  </si>
  <si>
    <t>TOTAL EXCLUSIONS FROM REPORTING PERIOD</t>
  </si>
  <si>
    <t>Intangible &amp; Operating Depr &amp; Amortization Exp</t>
  </si>
  <si>
    <t>Intangible Plant Depreciation &amp; Amortization Expense</t>
  </si>
  <si>
    <t>Transmission Plant Depreciation &amp; Amortization Expense</t>
  </si>
  <si>
    <t>Underground Conduit</t>
  </si>
  <si>
    <t>Distribution Plant Depreciation &amp; Amortization Expense</t>
  </si>
  <si>
    <t>Poles, Towers &amp; Fixtures</t>
  </si>
  <si>
    <t>Underground Conduits</t>
  </si>
  <si>
    <t>U.G. Conductors &amp; Devices</t>
  </si>
  <si>
    <t>Line Transformers</t>
  </si>
  <si>
    <t>General Plant Depreciation &amp; Amortization Exp</t>
  </si>
  <si>
    <t>General Plant Depreciation &amp; Amortization Expense</t>
  </si>
  <si>
    <t>A389.1</t>
  </si>
  <si>
    <t>Transportation equipment</t>
  </si>
  <si>
    <t>Store Equipment</t>
  </si>
  <si>
    <t>Tools, Shop &amp; Garage Equip</t>
  </si>
  <si>
    <t>Lab Equip</t>
  </si>
  <si>
    <t>Misc Equip</t>
  </si>
  <si>
    <t>DEPRECIATION &amp; AMORTIZATION  II-E-1</t>
  </si>
  <si>
    <t>MISC. OTHER EXPENSES FROM SCHEDULE II-E-4</t>
  </si>
  <si>
    <t>AMORTIZATION FROM SCHEDULE II-E-4.1</t>
  </si>
  <si>
    <t>TOTAL DEPRECIATION &amp; AMORTIZATION</t>
  </si>
  <si>
    <t>Total Payroll</t>
  </si>
  <si>
    <t>Total Property</t>
  </si>
  <si>
    <t>Total Non-Revenue Related</t>
  </si>
  <si>
    <t>TOTAL TAXES OTHER THAN INCOME TAXES</t>
  </si>
  <si>
    <t>Federal Income Taxes Before Adjust.</t>
  </si>
  <si>
    <t>TOTAL FEDERAL INCOME TAXES</t>
  </si>
  <si>
    <t xml:space="preserve">  Misc.Other Expenses</t>
  </si>
  <si>
    <t>Misc.Items</t>
  </si>
  <si>
    <t>TOTAL OTHER EXPENSES EXCLUDING FIT</t>
  </si>
  <si>
    <t>TOTAL OTHER EXPENSES INCLUDING FIT</t>
  </si>
  <si>
    <t>TOTAL EXPENSES</t>
  </si>
  <si>
    <t>Other Revenues:</t>
  </si>
  <si>
    <t>A451</t>
  </si>
  <si>
    <t>kW at Source (WP II-I-2.8)</t>
  </si>
  <si>
    <t>TOTAL OTHER REVENUES</t>
  </si>
  <si>
    <t>TOTAL REVENUE REQUIREMENT</t>
  </si>
  <si>
    <t>I-A-1 by Rate Class</t>
  </si>
  <si>
    <t>Residential</t>
  </si>
  <si>
    <t>&lt;=10 kW</t>
  </si>
  <si>
    <t>&gt; 10 kW</t>
  </si>
  <si>
    <t>(m)</t>
  </si>
  <si>
    <t>(n)</t>
  </si>
  <si>
    <t>PROPOSED Revenue</t>
  </si>
  <si>
    <t>II-B by Rate Class</t>
  </si>
  <si>
    <t>PROPOSED Return On Rate Base</t>
  </si>
  <si>
    <t>PROPOSED Rate Of Return</t>
  </si>
  <si>
    <t>Alloc</t>
  </si>
  <si>
    <t>#</t>
  </si>
  <si>
    <t>Factor</t>
  </si>
  <si>
    <t>Class Allocation Amounts</t>
  </si>
  <si>
    <t>Direct Assigned</t>
  </si>
  <si>
    <t>Not Applicable</t>
  </si>
  <si>
    <t>Customers, Weighted, All Voltages  (WP II-I-2.2)</t>
  </si>
  <si>
    <t>Customers, Weighted, Secondary Voltage</t>
  </si>
  <si>
    <t>Customers, Weighted, Retail</t>
  </si>
  <si>
    <t>Customers, Unweighted, All Voltages  (WP II-I-2.2)</t>
  </si>
  <si>
    <t>Customers, Unweighted, Retail</t>
  </si>
  <si>
    <t>Revenue  (WP II-I-2.2)</t>
  </si>
  <si>
    <t>Revenue, Retail</t>
  </si>
  <si>
    <t>Energy, Retail, Inside City Limits (at meter)</t>
  </si>
  <si>
    <t>4CP, All Voltages, Retail, at source (WP II-I-2.2)</t>
  </si>
  <si>
    <t>NCP, All Voltages, at src (WP II-I-2.2)</t>
  </si>
  <si>
    <t>NCP, ex HV</t>
  </si>
  <si>
    <t>NCP, ex HV &amp; Substation</t>
  </si>
  <si>
    <t>NCP, Secondary Voltage</t>
  </si>
  <si>
    <t>NCP, Lighting Only</t>
  </si>
  <si>
    <t>Not Used</t>
  </si>
  <si>
    <t>Plant Acct 353, Original Cost</t>
  </si>
  <si>
    <t>Plant Accts 352-358, Original Cost</t>
  </si>
  <si>
    <t>Plant Acct 361, Original Cost</t>
  </si>
  <si>
    <t>Plant Acct 362, Original Cost</t>
  </si>
  <si>
    <t>Plant Acct 364, Original Cost</t>
  </si>
  <si>
    <t>Plant Acct 365, Original Cost</t>
  </si>
  <si>
    <t>Plant Acct 366, Original Cost</t>
  </si>
  <si>
    <t>Plant Acct 367, Original Cost</t>
  </si>
  <si>
    <t>Plant Acct 368, Original Cost</t>
  </si>
  <si>
    <t>Plant Acct 369, Original Cost</t>
  </si>
  <si>
    <t>Plant Acct 370, Original Cost</t>
  </si>
  <si>
    <t>Plant Accts 364-365, Original Cost</t>
  </si>
  <si>
    <t>Plant Accts 366-367, Original Cost</t>
  </si>
  <si>
    <t>Plant Accts 362-373, Original Cost</t>
  </si>
  <si>
    <t>Plant, Distribution, Net</t>
  </si>
  <si>
    <t>Plant, Operating, Original Cost</t>
  </si>
  <si>
    <t>Plant, Operating, Net</t>
  </si>
  <si>
    <t>Plant, General, Original Cost</t>
  </si>
  <si>
    <t>Plant, General, Net</t>
  </si>
  <si>
    <t>Plant In Service, Original Cost</t>
  </si>
  <si>
    <t>Plant, Net, ex Intangible</t>
  </si>
  <si>
    <t>Plant, Intangible, Net</t>
  </si>
  <si>
    <t>Plant, Transmission, Net</t>
  </si>
  <si>
    <t>Total Rate Base</t>
  </si>
  <si>
    <t>Distribution Operations Exp Accts 581-587, 589</t>
  </si>
  <si>
    <t>Distribution Maintenance Exp Accts 591-597</t>
  </si>
  <si>
    <t>Customer Accounting Exp Accts 902-903</t>
  </si>
  <si>
    <t>Sales Exp Accts 912-917</t>
  </si>
  <si>
    <t>O&amp;M Expense</t>
  </si>
  <si>
    <t>O&amp;M Expense Excl 565</t>
  </si>
  <si>
    <t>Payroll Accts 561-567</t>
  </si>
  <si>
    <t>Payroll Accts 569-573</t>
  </si>
  <si>
    <t>Payroll Accts 581-589</t>
  </si>
  <si>
    <t>Payroll Accts 591-598</t>
  </si>
  <si>
    <t>Payroll Accts 902-903</t>
  </si>
  <si>
    <t>Payroll Accts 906, 908, 909</t>
  </si>
  <si>
    <t>Payroll Accts 912, 913, 917</t>
  </si>
  <si>
    <t>Total Payroll ex A&amp;G</t>
  </si>
  <si>
    <t>Taxable Income</t>
  </si>
  <si>
    <t>Retail Cost Of Service (ex 565)</t>
  </si>
  <si>
    <t>Class Allocation Factors</t>
  </si>
  <si>
    <t>ASSIGNED</t>
  </si>
  <si>
    <t>N / A</t>
  </si>
  <si>
    <t>CUS W ALL</t>
  </si>
  <si>
    <t>CUS W SEC</t>
  </si>
  <si>
    <t>CUS W RTL</t>
  </si>
  <si>
    <t>CUS U ALL</t>
  </si>
  <si>
    <t>CUS U RTL</t>
  </si>
  <si>
    <t>REVENUE</t>
  </si>
  <si>
    <t>REVENUE RTL</t>
  </si>
  <si>
    <t>ENERGY ICL</t>
  </si>
  <si>
    <t>4CP RTL</t>
  </si>
  <si>
    <t>NCP ALL</t>
  </si>
  <si>
    <t>NCP XHV</t>
  </si>
  <si>
    <t>NCP XSS</t>
  </si>
  <si>
    <t>NCP SEC</t>
  </si>
  <si>
    <t>NCP LGT</t>
  </si>
  <si>
    <t>OPEB MED</t>
  </si>
  <si>
    <t>NOT USED</t>
  </si>
  <si>
    <t>PLT 353</t>
  </si>
  <si>
    <t>PLT 352-358</t>
  </si>
  <si>
    <t>PLT 361</t>
  </si>
  <si>
    <t>PLT 362</t>
  </si>
  <si>
    <t>PLT 364</t>
  </si>
  <si>
    <t>PLT 365</t>
  </si>
  <si>
    <t>PLT 366</t>
  </si>
  <si>
    <t>PLT 367</t>
  </si>
  <si>
    <t>PLT 368</t>
  </si>
  <si>
    <t>PLT 369</t>
  </si>
  <si>
    <t>PLT 370</t>
  </si>
  <si>
    <t>PLT OH</t>
  </si>
  <si>
    <t>PLT UG</t>
  </si>
  <si>
    <t>PLT 362-373</t>
  </si>
  <si>
    <t>PLTDIST_N</t>
  </si>
  <si>
    <t>PLTOPER</t>
  </si>
  <si>
    <t>PLTOPER_N</t>
  </si>
  <si>
    <t>PLTGEN</t>
  </si>
  <si>
    <t>PLTGEN_N</t>
  </si>
  <si>
    <t>PLANT</t>
  </si>
  <si>
    <t>PLT_N XINT</t>
  </si>
  <si>
    <t>PLT INT_N</t>
  </si>
  <si>
    <t>PLTTRAN_N</t>
  </si>
  <si>
    <t>RATEBASE</t>
  </si>
  <si>
    <t>DIST OPS</t>
  </si>
  <si>
    <t>DIST MAINT</t>
  </si>
  <si>
    <t>CUS ACCT</t>
  </si>
  <si>
    <t>CUS SVC INFO</t>
  </si>
  <si>
    <t>SALES EXP</t>
  </si>
  <si>
    <t>O&amp;M</t>
  </si>
  <si>
    <t>O&amp;M x565</t>
  </si>
  <si>
    <t>PAY TR OPS</t>
  </si>
  <si>
    <t>PAY TR MNT</t>
  </si>
  <si>
    <t>PAY DISTR OPS</t>
  </si>
  <si>
    <t>Payroll Accts 591-596</t>
  </si>
  <si>
    <t>PAY DISTR MNT</t>
  </si>
  <si>
    <t>PAY CUS ACCT</t>
  </si>
  <si>
    <t>PAY CUS SV INF</t>
  </si>
  <si>
    <t>PAY SALES</t>
  </si>
  <si>
    <t>PAYROLL XAG</t>
  </si>
  <si>
    <t>PAYROLL</t>
  </si>
  <si>
    <t>TAX INC</t>
  </si>
  <si>
    <t>RCOS x565</t>
  </si>
  <si>
    <t xml:space="preserve">  Transmission of Electricity Costs (Acct 565)</t>
  </si>
  <si>
    <t>Total O&amp;M and A&amp;G Expenses</t>
  </si>
  <si>
    <t xml:space="preserve">  Depreciation, Amortization, &amp; Other Expenses</t>
  </si>
  <si>
    <t xml:space="preserve">  Taxes Other Than FIT</t>
  </si>
  <si>
    <t>Cost-Based Return on  Rate Base</t>
  </si>
  <si>
    <t>COST OF SERVICE</t>
  </si>
  <si>
    <t>COST-BASED REVENUE REQUIREMENT</t>
  </si>
  <si>
    <t>PROPOSED REVENUE</t>
  </si>
  <si>
    <t>Shortfall / (Surplus) vs Cost-Based Revenues</t>
  </si>
  <si>
    <t>Change from Present Revenues</t>
  </si>
  <si>
    <t>Shortfall / (Surplus) vs Proposed Revenue</t>
  </si>
  <si>
    <t>Return at Present Rates</t>
  </si>
  <si>
    <t>Present Rate of Return</t>
  </si>
  <si>
    <t>Present Relative Rate of Return</t>
  </si>
  <si>
    <t>Cost-Based Rate of Return</t>
  </si>
  <si>
    <t>Cost-Based Relative Rate of Return</t>
  </si>
  <si>
    <t>Proposed Return on Rate Base</t>
  </si>
  <si>
    <t>Proposed Rate of Return</t>
  </si>
  <si>
    <t>Proposed Relative Rate of Return</t>
  </si>
  <si>
    <t>Differential vs Cost-Based</t>
  </si>
  <si>
    <t>RATE BASE</t>
  </si>
  <si>
    <t>Net Plant In Service</t>
  </si>
  <si>
    <t>COST-BASED</t>
  </si>
  <si>
    <t>Cost-Based Return on Rate Base</t>
  </si>
  <si>
    <t>PROPOSED</t>
  </si>
  <si>
    <t>PRESENT REVENUE</t>
  </si>
  <si>
    <t xml:space="preserve">  TCRF (incl Power Factor)</t>
  </si>
  <si>
    <t xml:space="preserve">  Distribution (incl Power Factor)</t>
  </si>
  <si>
    <t xml:space="preserve">  Customer</t>
  </si>
  <si>
    <t xml:space="preserve">  Meter</t>
  </si>
  <si>
    <t>Total Electric Delivery Revenues</t>
  </si>
  <si>
    <t xml:space="preserve">  Discretionary Service Revenues</t>
  </si>
  <si>
    <t xml:space="preserve">  Other Revenue</t>
  </si>
  <si>
    <t>Total Present Revenues</t>
  </si>
  <si>
    <t xml:space="preserve">  Transmission of Electricity (Acct 565)</t>
  </si>
  <si>
    <t xml:space="preserve">  Depreciation Amortization, &amp; Other Exp</t>
  </si>
  <si>
    <t xml:space="preserve">  Taxes Other Than FlT</t>
  </si>
  <si>
    <t>Operating Expenses</t>
  </si>
  <si>
    <t>Operating Income BEFORE FIT</t>
  </si>
  <si>
    <t xml:space="preserve">  Deductions:</t>
  </si>
  <si>
    <t xml:space="preserve">  Additions:</t>
  </si>
  <si>
    <t xml:space="preserve">  Tax Credits</t>
  </si>
  <si>
    <t xml:space="preserve">  ADD:</t>
  </si>
  <si>
    <t>Total Federal Income Taxes</t>
  </si>
  <si>
    <t>Return</t>
  </si>
  <si>
    <t>Relative Rate of Return</t>
  </si>
  <si>
    <t>Return on Rate Base (cost-based)</t>
  </si>
  <si>
    <t>Depreciation Expense</t>
  </si>
  <si>
    <t>NCP (kW)</t>
  </si>
  <si>
    <t>DIST Function:</t>
  </si>
  <si>
    <t>Land and Land Rights - Net</t>
  </si>
  <si>
    <t>Structures and Improvements - Net</t>
  </si>
  <si>
    <t>Station Equipment - Net</t>
  </si>
  <si>
    <t>Intangible, Transmission, Distribution Plant:  Orig Cost</t>
  </si>
  <si>
    <t>Total Plant:  Gross</t>
  </si>
  <si>
    <t>Federal Income Tax (cost-based)</t>
  </si>
  <si>
    <t>DIST+MET+CUST:</t>
  </si>
  <si>
    <t>Distribution Plant - Net</t>
  </si>
  <si>
    <t>4CP Retail Allocation Factor</t>
  </si>
  <si>
    <t xml:space="preserve">     Distribution Non-IDR</t>
  </si>
  <si>
    <t xml:space="preserve">     Distribution IDR</t>
  </si>
  <si>
    <t xml:space="preserve">     TCRF Non-IDR</t>
  </si>
  <si>
    <t xml:space="preserve">     TCRF IDR</t>
  </si>
  <si>
    <t>Subtotal from line 27</t>
  </si>
  <si>
    <t>PRESENT REVENUES (Adjusted)</t>
  </si>
  <si>
    <t>MET Function Revenue Req</t>
  </si>
  <si>
    <t>CUSTOMER Function Revenue Req</t>
  </si>
  <si>
    <t>TRAN Function Revenue Requirement</t>
  </si>
  <si>
    <t>Inside City Limits   WP/II-I-2.3</t>
  </si>
  <si>
    <t>Retail 4CP at ERCOT Peak</t>
  </si>
  <si>
    <t>OPEB Medicare Allocator</t>
  </si>
  <si>
    <t>Plant in Service, Net</t>
  </si>
  <si>
    <t>PLANT_N</t>
  </si>
  <si>
    <t>Plant in Service ex WHL, Original Cost</t>
  </si>
  <si>
    <t>PLANT_xWHL</t>
  </si>
  <si>
    <t>Plant, Distribution, Net ex Wholesale</t>
  </si>
  <si>
    <t>PLTDIST_N xWHL</t>
  </si>
  <si>
    <t>Customer Service, Information Exp 906, 908-909</t>
  </si>
  <si>
    <t xml:space="preserve">Pct of Oncor OPEB Liabilities Allocated from Generation:  </t>
  </si>
  <si>
    <t>OPEB Total Allocator</t>
  </si>
  <si>
    <t>OPEB TOTAL</t>
  </si>
  <si>
    <t>Total Adjusted Revenues (excluding Power Factor)</t>
  </si>
  <si>
    <t xml:space="preserve">     Customer Non-IDR</t>
  </si>
  <si>
    <t xml:space="preserve">     Meter Non-IDR</t>
  </si>
  <si>
    <t xml:space="preserve">     Customer IDR</t>
  </si>
  <si>
    <t xml:space="preserve">     Meter IDR</t>
  </si>
  <si>
    <t xml:space="preserve">II-H-4.1 p 9 line 26 </t>
  </si>
  <si>
    <t>Plant Acct 360, Original Cost</t>
  </si>
  <si>
    <t>PLT 360</t>
  </si>
  <si>
    <t>Rent from Property:  Fiber Optics, Overhead</t>
  </si>
  <si>
    <t>Rent from Property:  Fiber Optics, Underground</t>
  </si>
  <si>
    <t>WP II-I-1.2</t>
  </si>
  <si>
    <t>II-I-2-METT:  CLASS ALLOCATION FACTORS</t>
  </si>
  <si>
    <t>II-I-2-DIST:  CLASS ALLOCATION FACTORS</t>
  </si>
  <si>
    <t>II-I-2-TBILLTDCS:  CLASS ALLOCATION FACTORS</t>
  </si>
  <si>
    <t>TBILLTDCS</t>
  </si>
  <si>
    <t>DIST + MET</t>
  </si>
  <si>
    <t xml:space="preserve"> + TBILLTDCS</t>
  </si>
  <si>
    <t>II-I SUMMARY</t>
  </si>
  <si>
    <t>Cost-Based Federal Income Tax</t>
  </si>
  <si>
    <t>DIST Plant Function:</t>
  </si>
  <si>
    <t>O&amp;M Expenses</t>
  </si>
  <si>
    <t>Customer Expenses</t>
  </si>
  <si>
    <t>A&amp;G Expenses</t>
  </si>
  <si>
    <t>Other Expenses (II-E-4)</t>
  </si>
  <si>
    <t>Depreciation &amp; Amortization Expense</t>
  </si>
  <si>
    <t>Minus Other Revenues</t>
  </si>
  <si>
    <t>Test Year</t>
  </si>
  <si>
    <t>Revenue</t>
  </si>
  <si>
    <t>Requirement</t>
  </si>
  <si>
    <t>Metering</t>
  </si>
  <si>
    <t>≤ 10 kW</t>
  </si>
  <si>
    <t>Customer Function (TBILL+TDCS)</t>
  </si>
  <si>
    <t>II-I-1:  CLASS REVENUE REQUIREMENT ANALYSIS</t>
  </si>
  <si>
    <t>Electric Plant Acquisition Adj.</t>
  </si>
  <si>
    <t>Energy Efficiency incl. Unbilled Deferral</t>
  </si>
  <si>
    <t>Total:</t>
  </si>
  <si>
    <t>Check2</t>
  </si>
  <si>
    <t>wp iv j 5 line20</t>
  </si>
  <si>
    <r>
      <t xml:space="preserve">     Distribution Power Factor Non-IDR </t>
    </r>
    <r>
      <rPr>
        <b/>
        <sz val="11"/>
        <rFont val="Arial"/>
        <family val="2"/>
      </rPr>
      <t>(WP IV-J-5)</t>
    </r>
  </si>
  <si>
    <r>
      <t xml:space="preserve">     Distribution Power Factor IDR  </t>
    </r>
    <r>
      <rPr>
        <b/>
        <sz val="11"/>
        <rFont val="Arial"/>
        <family val="2"/>
      </rPr>
      <t>(WP IV-J-5)</t>
    </r>
  </si>
  <si>
    <t/>
  </si>
  <si>
    <t>Change</t>
  </si>
  <si>
    <t>Change Pct</t>
  </si>
  <si>
    <t>Revenue from Electric Delivery</t>
  </si>
  <si>
    <t xml:space="preserve">     minus Total Cost of Service</t>
  </si>
  <si>
    <t>Revenue Shortfall</t>
  </si>
  <si>
    <t xml:space="preserve">     Residential</t>
  </si>
  <si>
    <t xml:space="preserve">     Secondary &lt;= 10 kW</t>
  </si>
  <si>
    <t xml:space="preserve">     Secondary &gt; 10 kW</t>
  </si>
  <si>
    <t xml:space="preserve">     Primary DL &lt;= 10 kW</t>
  </si>
  <si>
    <t xml:space="preserve">     Primary DL &gt; 10 kW</t>
  </si>
  <si>
    <t xml:space="preserve">     Primary Substation</t>
  </si>
  <si>
    <t xml:space="preserve">     Transmission</t>
  </si>
  <si>
    <t xml:space="preserve">     Lighting Total</t>
  </si>
  <si>
    <t>Retail Electric Delivery Revenues</t>
  </si>
  <si>
    <t xml:space="preserve">     Wholesale Substation</t>
  </si>
  <si>
    <t xml:space="preserve">     Wholesale DLS</t>
  </si>
  <si>
    <t>WORKPAPER 1.1 - CONSOLIDATION OF FUNCTIONALIZED COST OF SERVICE</t>
  </si>
  <si>
    <t>WORKPAPER 1.2 - WHEREIN CERTAIN ACCOUNTS ARE SPLIT</t>
  </si>
  <si>
    <t>TX- Retail</t>
  </si>
  <si>
    <t>WORKPAPER 1.6 - SUMMARY OF ELECTRIC DELIVERY REVENUES BY RATE CLASS</t>
  </si>
  <si>
    <t>WORKPAPER 1.7 - REVENUE REQUIREMENTS BY RATE CLASS</t>
  </si>
  <si>
    <t>II-I-2:  CLASS ALLOCATION FACTORS</t>
  </si>
  <si>
    <t>WORKPAPER 2.1 - SUMMARY VOLTAGE ALLOCATION FACTORS</t>
  </si>
  <si>
    <t>WORKPAPER 2.2 - MISCELLANEOUS CALCULATIONS</t>
  </si>
  <si>
    <t>Schedule II-I-3 is applicable only to Non-ERCOT utilities operating in an area open to</t>
  </si>
  <si>
    <t xml:space="preserve">since Oncor is a member of the Electric Reliability Council of Texas.  </t>
  </si>
  <si>
    <t xml:space="preserve">competition.  This schedule is not applicable to Oncor Electric Delivery Company LLC </t>
  </si>
  <si>
    <t>Test Year MWh</t>
  </si>
  <si>
    <t>Energy, Inside City Limits (at meter)</t>
  </si>
  <si>
    <t>TOTAL A&amp;G EXPENSE EXCL (DIST 928)</t>
  </si>
  <si>
    <t>TOTAL COST OF SERVICE EXCL 565 &amp; (DIST 928)</t>
  </si>
  <si>
    <t>TOTAL REVENUE REQUIREMENT EXCL 565 &amp; (DIST 928)</t>
  </si>
  <si>
    <t>TOTAL O&amp;M &amp; A&amp;G EXPENSE EXCL (DIST 928) &amp; 565</t>
  </si>
  <si>
    <t>TOTAL EXPENSES EXCL 565 &amp; (DIST 928)</t>
  </si>
  <si>
    <t>A283 Accumulated Deferred State Income Tax</t>
  </si>
  <si>
    <t>REV_RCE</t>
  </si>
  <si>
    <t>Revenue from RCE (DIST 928)</t>
  </si>
  <si>
    <t>RATIONALE FOR CLASSIFICATION</t>
  </si>
  <si>
    <t xml:space="preserve"> See detail</t>
  </si>
  <si>
    <t xml:space="preserve"> See Schedule II-C</t>
  </si>
  <si>
    <t xml:space="preserve"> Classified on a composite basis derived from all tangible plant, since intangible plant is a common cost.</t>
  </si>
  <si>
    <t xml:space="preserve"> Related to all distribution plant, and classified on a composite basis.</t>
  </si>
  <si>
    <t xml:space="preserve"> Demand related because capacity of the equipment is sized to meet system loads and are fixed investment.</t>
  </si>
  <si>
    <t xml:space="preserve"> Demand related; based on system requirements to meet localized loading. </t>
  </si>
  <si>
    <t xml:space="preserve"> Demand related for regulators and other equipment is sized to meet peak loading.</t>
  </si>
  <si>
    <t xml:space="preserve"> Demand related for capacitors is sized to meet peak loading.</t>
  </si>
  <si>
    <t xml:space="preserve"> Services are built from the Distribution System to the customer and are customer related.</t>
  </si>
  <si>
    <t xml:space="preserve"> Metering equipment is required for each customer except those customers with non-metered loads.</t>
  </si>
  <si>
    <t xml:space="preserve"> Demand related; used only for Lighting</t>
  </si>
  <si>
    <t xml:space="preserve"> Related to all distribution plant, and is classified on a composite basis.</t>
  </si>
  <si>
    <t xml:space="preserve"> See Above</t>
  </si>
  <si>
    <t xml:space="preserve"> Related to operating plant or plant; classified on a demand basis</t>
  </si>
  <si>
    <t xml:space="preserve"> Related to all plant in service facilities; classified on a composite basis.</t>
  </si>
  <si>
    <t xml:space="preserve"> Cash required for Company operation is related to all O&amp;M expense.</t>
  </si>
  <si>
    <t xml:space="preserve"> Relates to Transition Charge, and is demand related</t>
  </si>
  <si>
    <t xml:space="preserve"> Pension Costs are related to Payroll</t>
  </si>
  <si>
    <t xml:space="preserve"> Related to Oncor Life and Health liabilities</t>
  </si>
  <si>
    <t xml:space="preserve"> Related to Oncor postretirement medical  liabilities</t>
  </si>
  <si>
    <t xml:space="preserve"> All transmission operation expense accounts classified on same basis as associated transmission plant </t>
  </si>
  <si>
    <t xml:space="preserve"> accounts, all of which are demand related.</t>
  </si>
  <si>
    <t xml:space="preserve"> Method prescribed by PUC Substantive Rule 25.192; cost recovered in Transmission System Charge (TSC)</t>
  </si>
  <si>
    <t xml:space="preserve"> Classified on same basis as associated transmission plant; demand related</t>
  </si>
  <si>
    <t xml:space="preserve"> Related to all other distribution operation expense accounts; classified on a composite basis.</t>
  </si>
  <si>
    <t xml:space="preserve"> Load dispatching is required on a continuous basis; demand related</t>
  </si>
  <si>
    <t xml:space="preserve"> Related to associated distribution plant account 362; classified on the same basis.</t>
  </si>
  <si>
    <t xml:space="preserve"> Related to associated distribution plant account 365; classified on the same basis.</t>
  </si>
  <si>
    <t xml:space="preserve"> Related to associated distribution plant account 367; classified on the same basis.</t>
  </si>
  <si>
    <t xml:space="preserve"> Related to Lighting; classified on the same basis.</t>
  </si>
  <si>
    <t xml:space="preserve"> PLTDIST for DIST because it relates to connection between metering equipment and Distribution Plant.</t>
  </si>
  <si>
    <t xml:space="preserve"> Pertains to activities related to customer installations; customer related.</t>
  </si>
  <si>
    <t xml:space="preserve"> Rent is a fixed cost and therefore this account is demand related.</t>
  </si>
  <si>
    <t xml:space="preserve"> Related to all other distribution maintenance expense accounts; classified on a composite basis.</t>
  </si>
  <si>
    <t xml:space="preserve"> Related to the associated distribution plant account 361; classified on the same basis.</t>
  </si>
  <si>
    <t xml:space="preserve"> Related to the associated distribution plant account 362; classified on the same basis.</t>
  </si>
  <si>
    <t xml:space="preserve"> Related to the associated distribution plant accounts 364 &amp; 365; classified on the same basis.</t>
  </si>
  <si>
    <t xml:space="preserve"> Related to the associated distribution plant accounts 366 &amp; 367; classified on the same basis.</t>
  </si>
  <si>
    <t xml:space="preserve"> Related to the associated distribution plant account 368; classified on the same basis.</t>
  </si>
  <si>
    <t xml:space="preserve"> Pertains to activities related to customer meter readings; customer related.</t>
  </si>
  <si>
    <t xml:space="preserve"> Pertains to activities related to customer records; customer related.</t>
  </si>
  <si>
    <t xml:space="preserve"> Pertains to expense from uncollectible revenue, and is therefore revenue related.</t>
  </si>
  <si>
    <t xml:space="preserve"> Pertains to customer assistance, and is customer related.</t>
  </si>
  <si>
    <t xml:space="preserve"> Pertains to customer selling and promotional activities, and is customer related.</t>
  </si>
  <si>
    <t xml:space="preserve"> Pertains to advertising activities, and is customer related.</t>
  </si>
  <si>
    <t>Related to all plant in service facilities; classified on a composite basis.</t>
  </si>
  <si>
    <t>Related to all labor; classified on a composite basis.</t>
  </si>
  <si>
    <t>Pertains to fees and expenses associated with regulatory activities; therefore revenue related.</t>
  </si>
  <si>
    <t>Pertains to advertising activities, and is customer related.</t>
  </si>
  <si>
    <t xml:space="preserve"> Related to General Plant</t>
  </si>
  <si>
    <t xml:space="preserve"> Allocated on basis of other Transmission Operation payroll</t>
  </si>
  <si>
    <t xml:space="preserve"> Classified on same basis as corresponding O&amp;M expense</t>
  </si>
  <si>
    <t xml:space="preserve"> Allocated on basis of other Transmission Maintenance payroll</t>
  </si>
  <si>
    <t xml:space="preserve"> Allocated on basis of other Distribution Maintenance payroll</t>
  </si>
  <si>
    <t xml:space="preserve"> Classified on same basis as corresponding Customer Accounting expense</t>
  </si>
  <si>
    <t xml:space="preserve"> Classified on same basis as corresponding Customer Service &amp; Info. expense</t>
  </si>
  <si>
    <t xml:space="preserve"> Classified on same basis as corresponding A&amp;G expense</t>
  </si>
  <si>
    <t xml:space="preserve">  Related to all intangible plant accounts; classified on a composite basis.</t>
  </si>
  <si>
    <t xml:space="preserve"> These accounts are related to all distribution plant accounts, and are classified on a composite basis.</t>
  </si>
  <si>
    <t xml:space="preserve"> Related to distribution plant account 364; classified on the same basis.</t>
  </si>
  <si>
    <t xml:space="preserve"> Related to distribution plant account 365; classified on the same basis.</t>
  </si>
  <si>
    <t xml:space="preserve"> Related to distribution plant account 366; classified on the same basis.</t>
  </si>
  <si>
    <t xml:space="preserve"> Related to distribution plant account 367; classified on the same basis.</t>
  </si>
  <si>
    <t xml:space="preserve"> Related to distribution plant account 368; classified on the same basis.</t>
  </si>
  <si>
    <t xml:space="preserve"> Related to distribution plant account 369; classified on the same basis.</t>
  </si>
  <si>
    <t xml:space="preserve"> Related to distribution plant account 370; classified on the same basis.</t>
  </si>
  <si>
    <t xml:space="preserve"> Related to Lighting.</t>
  </si>
  <si>
    <t xml:space="preserve"> These accounts are related to all general plant accounts; classified on a composite basis.</t>
  </si>
  <si>
    <t xml:space="preserve"> see above</t>
  </si>
  <si>
    <t xml:space="preserve"> Related to all plant excluding intangible plant</t>
  </si>
  <si>
    <t xml:space="preserve"> Related to all labor; classified on a composite basis.</t>
  </si>
  <si>
    <t xml:space="preserve"> Gross Margin Tax is related to taxable income</t>
  </si>
  <si>
    <t xml:space="preserve"> Municipal franchise fees are related to energy sales inside municipal boundaries.</t>
  </si>
  <si>
    <t xml:space="preserve"> Pertain to items which are directly attributable, or are related to, total rate base.</t>
  </si>
  <si>
    <t xml:space="preserve"> Indirectly related to, total rate base.</t>
  </si>
  <si>
    <t xml:space="preserve"> Depreciation is related to Net Plant</t>
  </si>
  <si>
    <t xml:space="preserve"> Investment Tax Credit is related to Net Plant</t>
  </si>
  <si>
    <t xml:space="preserve"> Related primarily to the number of customers.</t>
  </si>
  <si>
    <t xml:space="preserve"> These revenues are related to cost of service, less account 565 &amp; Wholesale.</t>
  </si>
  <si>
    <t xml:space="preserve"> Discretionary Services are customer related.</t>
  </si>
  <si>
    <t xml:space="preserve"> Related to Distribution Plant</t>
  </si>
  <si>
    <t xml:space="preserve"> Using poles</t>
  </si>
  <si>
    <t xml:space="preserve"> Overhead fiberoptic using poles</t>
  </si>
  <si>
    <t xml:space="preserve"> Underground fiberoptic using underground conduit.</t>
  </si>
  <si>
    <t xml:space="preserve"> Office space leased to third parties.</t>
  </si>
  <si>
    <t xml:space="preserve"> (h)</t>
  </si>
  <si>
    <t>Related to, and in support of, all O&amp;M expense, less account 565.</t>
  </si>
  <si>
    <t>Proposed DSC**</t>
  </si>
  <si>
    <t>(1)</t>
  </si>
  <si>
    <t>(2)</t>
  </si>
  <si>
    <t>(3) = (1) * (2)</t>
  </si>
  <si>
    <t>(4)</t>
  </si>
  <si>
    <t>(5)</t>
  </si>
  <si>
    <t>(6)</t>
  </si>
  <si>
    <t>(7) = (3)+(4)+(5)+(6)</t>
  </si>
  <si>
    <t>(8) = Sch H col (9)</t>
  </si>
  <si>
    <t>(9) = (7)*(8)</t>
  </si>
  <si>
    <t>(10)</t>
  </si>
  <si>
    <r>
      <t>(11)=(10)/</t>
    </r>
    <r>
      <rPr>
        <sz val="11"/>
        <color rgb="FF000000"/>
        <rFont val="Arial"/>
        <family val="2"/>
      </rPr>
      <t>∑</t>
    </r>
    <r>
      <rPr>
        <sz val="11"/>
        <color rgb="FF000000"/>
        <rFont val="Calibri"/>
        <family val="2"/>
      </rPr>
      <t>(10)</t>
    </r>
  </si>
  <si>
    <t>Rate Class</t>
  </si>
  <si>
    <r>
      <t>DIC</t>
    </r>
    <r>
      <rPr>
        <vertAlign val="subscript"/>
        <sz val="11"/>
        <color rgb="FF000000"/>
        <rFont val="Calibri"/>
        <family val="2"/>
      </rPr>
      <t>RC</t>
    </r>
  </si>
  <si>
    <r>
      <t>ROR</t>
    </r>
    <r>
      <rPr>
        <vertAlign val="subscript"/>
        <sz val="11"/>
        <color rgb="FF000000"/>
        <rFont val="Calibri"/>
        <family val="2"/>
      </rPr>
      <t>AT</t>
    </r>
  </si>
  <si>
    <r>
      <t>DEPR</t>
    </r>
    <r>
      <rPr>
        <vertAlign val="subscript"/>
        <sz val="11"/>
        <color rgb="FF000000"/>
        <rFont val="Calibri"/>
        <family val="2"/>
      </rPr>
      <t>RC-CLASS</t>
    </r>
  </si>
  <si>
    <r>
      <t>FIT</t>
    </r>
    <r>
      <rPr>
        <vertAlign val="subscript"/>
        <sz val="11"/>
        <color rgb="FF000000"/>
        <rFont val="Calibri"/>
        <family val="2"/>
      </rPr>
      <t>RC-CLASS</t>
    </r>
  </si>
  <si>
    <r>
      <t>OT</t>
    </r>
    <r>
      <rPr>
        <vertAlign val="subscript"/>
        <sz val="11"/>
        <color rgb="FF000000"/>
        <rFont val="Calibri"/>
        <family val="2"/>
      </rPr>
      <t>RC-CLASS</t>
    </r>
  </si>
  <si>
    <r>
      <t>DISTREV</t>
    </r>
    <r>
      <rPr>
        <vertAlign val="subscript"/>
        <sz val="11"/>
        <color rgb="FF000000"/>
        <rFont val="Calibri"/>
        <family val="2"/>
      </rPr>
      <t>RC-CLASS</t>
    </r>
  </si>
  <si>
    <r>
      <t>% GROWTH</t>
    </r>
    <r>
      <rPr>
        <vertAlign val="subscript"/>
        <sz val="11"/>
        <color rgb="FF000000"/>
        <rFont val="Calibri"/>
        <family val="2"/>
      </rPr>
      <t>CLASS</t>
    </r>
  </si>
  <si>
    <t>DISTREV*GROWTH</t>
  </si>
  <si>
    <r>
      <t>TNETDISTPLT</t>
    </r>
    <r>
      <rPr>
        <vertAlign val="subscript"/>
        <sz val="11"/>
        <color rgb="FF000000"/>
        <rFont val="Calibri"/>
        <family val="2"/>
      </rPr>
      <t>CLASS</t>
    </r>
  </si>
  <si>
    <r>
      <t>ALLOC</t>
    </r>
    <r>
      <rPr>
        <vertAlign val="subscript"/>
        <sz val="11"/>
        <color rgb="FF000000"/>
        <rFont val="Calibri"/>
        <family val="2"/>
      </rPr>
      <t>CLASS</t>
    </r>
  </si>
  <si>
    <t>Sec &lt; 10 kW</t>
  </si>
  <si>
    <t>Sec &gt; 10 kW</t>
  </si>
  <si>
    <t>Pri &lt; 10 kW</t>
  </si>
  <si>
    <t>Pri &gt; 10 kW</t>
  </si>
  <si>
    <t>Pri &gt; 10 kW Sub</t>
  </si>
  <si>
    <t>Wh Subst</t>
  </si>
  <si>
    <t>Wh DLS</t>
  </si>
  <si>
    <t>DCRF Exclusions</t>
  </si>
  <si>
    <t>DISTREV After DCRF Exclusions</t>
  </si>
  <si>
    <t>After DCRF Exclusions</t>
  </si>
  <si>
    <t>Exclusions of General Plant Investment from DISTREV</t>
  </si>
  <si>
    <t>GROSS PLANT</t>
  </si>
  <si>
    <t>Check #</t>
  </si>
  <si>
    <t>ACCUM DEPR</t>
  </si>
  <si>
    <t>NET PLANT</t>
  </si>
  <si>
    <t>Exclusions of Depreciation Expense from DISTREV</t>
  </si>
  <si>
    <t>exclude meter-related</t>
  </si>
  <si>
    <t>amort for purposes</t>
  </si>
  <si>
    <t>of DCRF baseline</t>
  </si>
  <si>
    <t>Amort RA</t>
  </si>
  <si>
    <t>WORKPAPER 1.9 -DCRF BASELINE</t>
  </si>
  <si>
    <r>
      <t>Test Year</t>
    </r>
    <r>
      <rPr>
        <b/>
        <vertAlign val="superscript"/>
        <sz val="11"/>
        <rFont val="Arial"/>
        <family val="2"/>
      </rPr>
      <t>1</t>
    </r>
  </si>
  <si>
    <r>
      <t>Proposed</t>
    </r>
    <r>
      <rPr>
        <b/>
        <vertAlign val="superscript"/>
        <sz val="11"/>
        <rFont val="Arial"/>
        <family val="2"/>
      </rPr>
      <t>2</t>
    </r>
  </si>
  <si>
    <r>
      <rPr>
        <b/>
        <vertAlign val="super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Test-Year revenues have been adjusted to normalize billing units, to remove the revenues associated with </t>
    </r>
  </si>
  <si>
    <t>II-I-3:  FUNCTIONALIZED COST OF SERVICE ANALYSIS  (NON-ERCOT MEMBERS)</t>
  </si>
  <si>
    <t xml:space="preserve"> Related to, and supporting all operating plant facilities; classified on a composite basis using  operating plant or Labor excluding A&amp;G.  The DIST and MET functions are allocated based on operating  plant, and the TDCS function is allocated based on Labor less A&amp;G.</t>
  </si>
  <si>
    <t>Accumulated Deferred Income Taxes</t>
  </si>
  <si>
    <t>A114 Electric Plant Acquisition Adj.</t>
  </si>
  <si>
    <t>Administrative &amp; General Expenses</t>
  </si>
  <si>
    <t>Administrative &amp; General Payroll</t>
  </si>
  <si>
    <t xml:space="preserve"> Related to transmission ion plant account 352; classified on the same basis.</t>
  </si>
  <si>
    <t xml:space="preserve"> Related to transmission plant account 353; classified on the same basis.</t>
  </si>
  <si>
    <t>II-I-2.1f:  CONSOLIDATED FUNCTIONALIZED COST OF SERVICE</t>
  </si>
  <si>
    <t xml:space="preserve"> Related to municipal franchise fees and is related to energy sales inside municipal boundaries.</t>
  </si>
  <si>
    <t>TOTAL PAYROLL EXCLUDING A&amp;G</t>
  </si>
  <si>
    <t>SPONSOR:  MATTHEW A. TROXLE</t>
  </si>
  <si>
    <t>check:</t>
  </si>
  <si>
    <t>Deferred Margin Tax</t>
  </si>
  <si>
    <t>Unamortized Losses - Reacquired Debt</t>
  </si>
  <si>
    <t>Workers Compensation</t>
  </si>
  <si>
    <t>228, 254</t>
  </si>
  <si>
    <t>Unamortized Gains - Reacquired Debt</t>
  </si>
  <si>
    <t>Protected Excess DFIT</t>
  </si>
  <si>
    <t>FAS109 - Unamortized ITC</t>
  </si>
  <si>
    <t>Unprotected Plant-related Excess DFIT</t>
  </si>
  <si>
    <t>Excess DFIT Reserve</t>
  </si>
  <si>
    <t>Excess DFIT Reserve Gross-up</t>
  </si>
  <si>
    <t>Amortization of Protected Excess ADFIT</t>
  </si>
  <si>
    <t>Amortization of Non-protected Excess ADFIT</t>
  </si>
  <si>
    <t>Amortization of Excess ADFIT Reserve</t>
  </si>
  <si>
    <t>Meals &amp; Entertainment</t>
  </si>
  <si>
    <t>Social Club Dues</t>
  </si>
  <si>
    <t>Commuter Expenses</t>
  </si>
  <si>
    <t>Employee Compensation Plans</t>
  </si>
  <si>
    <t>A454</t>
  </si>
  <si>
    <t>Rent from Property:</t>
  </si>
  <si>
    <t>A283 Deferred Margin Tax</t>
  </si>
  <si>
    <t>II-H-4.1 p 9 line 25</t>
  </si>
  <si>
    <t xml:space="preserve">     DCRF Non-IDR</t>
  </si>
  <si>
    <t xml:space="preserve">     DCRF IDR</t>
  </si>
  <si>
    <t>check mis other exp</t>
  </si>
  <si>
    <t>Other Revenue  II-H-4.1 pg 9 line 26</t>
  </si>
  <si>
    <t>should match schedule D</t>
  </si>
  <si>
    <t xml:space="preserve">TOTAL COST OF SERVICE EXCL 565 </t>
  </si>
  <si>
    <t>TOTAL O&amp;M &amp; A&amp;G EXPENSE EXCL 565</t>
  </si>
  <si>
    <t xml:space="preserve">TOTAL EXPENSES EXCL 565 </t>
  </si>
  <si>
    <t xml:space="preserve">TOTAL A&amp;G EXPENSE </t>
  </si>
  <si>
    <t>TOTAL REVENUE REQUIREMENT EXCL 565</t>
  </si>
  <si>
    <t>TOTAL O&amp;M &amp; A&amp;G EXPENSE EXCL  565</t>
  </si>
  <si>
    <t>TOTAL COST OF SERVICE EXCL 565</t>
  </si>
  <si>
    <t xml:space="preserve">  Acct 565 </t>
  </si>
  <si>
    <t>Pole Contacts</t>
  </si>
  <si>
    <t>checks:</t>
  </si>
  <si>
    <t>lines 10+11</t>
  </si>
  <si>
    <t>line 13</t>
  </si>
  <si>
    <t>line 19</t>
  </si>
  <si>
    <t>line 21</t>
  </si>
  <si>
    <t>Total Cost of Service</t>
  </si>
  <si>
    <t>Cost Based Revenue Req:</t>
  </si>
  <si>
    <t xml:space="preserve">adjustments.  </t>
  </si>
  <si>
    <r>
      <t xml:space="preserve">2 </t>
    </r>
    <r>
      <rPr>
        <b/>
        <sz val="11"/>
        <rFont val="Arial"/>
        <family val="2"/>
      </rPr>
      <t xml:space="preserve">TCRF proposed revenue from Oncor Electric Delivery - Transmission Revenue Requirement for  </t>
    </r>
  </si>
  <si>
    <t>Checks</t>
  </si>
  <si>
    <t>Check:</t>
  </si>
  <si>
    <t>=3+4+5+6+7+8+9+10</t>
  </si>
  <si>
    <t xml:space="preserve">II H.4.1, p 1 Line 25 </t>
  </si>
  <si>
    <t>II-H-4.1 p 9 line 26</t>
  </si>
  <si>
    <t>II-H-4.1 p9 col j</t>
  </si>
  <si>
    <t>II-H-4.1 p9 line 28</t>
  </si>
  <si>
    <t>II-E-3.5</t>
  </si>
  <si>
    <t>II-H-4_1 col. (a)</t>
  </si>
  <si>
    <t>Pension &amp; OPEB Reg Asset-ONCOR (GAAP)</t>
  </si>
  <si>
    <t>CWIP Tran &amp; Dist Non-Service Cost Pension/OPEBs (GAAP)</t>
  </si>
  <si>
    <t>Estimated net removal costs (GAAP)</t>
  </si>
  <si>
    <t>TCRF Unbilled Revenue Deferral (GAAP)</t>
  </si>
  <si>
    <t>AMS Unbilled Revenue Deferral (GAAP)</t>
  </si>
  <si>
    <t>Deferred OPEB Cost (b)</t>
  </si>
  <si>
    <t>Non-protected Plant-related Excess DFIT</t>
  </si>
  <si>
    <t>FIN 48 Interest</t>
  </si>
  <si>
    <t>II-H-4.1 p9 line 29</t>
  </si>
  <si>
    <t>WP 2.7</t>
  </si>
  <si>
    <t xml:space="preserve"> FIN 48 Interest</t>
  </si>
  <si>
    <t>TOTAL EXPENSES EXCL 565 &amp; RCE A928</t>
  </si>
  <si>
    <t>PROPOSED Revenue Excl 565  &amp; RCE A928</t>
  </si>
  <si>
    <t>TOTAL A&amp;G EXPENSE EXCL RCE A928</t>
  </si>
  <si>
    <t>TOTAL O&amp;M &amp; A&amp;G EXPENSE EXCL 565  &amp; RCE A928</t>
  </si>
  <si>
    <t>TOTAL EXPENSES EXCL 565 &amp;RCE A928</t>
  </si>
  <si>
    <t>TOTAL COST OF SERVICE EXCL 565 &amp; RCE A928</t>
  </si>
  <si>
    <t>TOTAL REVENUE REQUIREMENT EXCL 565 &amp;RCE A928</t>
  </si>
  <si>
    <t xml:space="preserve">  O&amp;M and A&amp;G Expenses (less Acct 565 &amp; RCE A928 )</t>
  </si>
  <si>
    <t xml:space="preserve">   RateCaseExpense A928</t>
  </si>
  <si>
    <t xml:space="preserve">  RCE A928 </t>
  </si>
  <si>
    <t>Total Distribution Facilities Less A565 &amp; A928</t>
  </si>
  <si>
    <t>A928=</t>
  </si>
  <si>
    <t>Factor:</t>
  </si>
  <si>
    <t xml:space="preserve">                                                             </t>
  </si>
  <si>
    <t>TOTAL O&amp;M &amp; A&amp;G EXPENSE EXCL 565 &amp; RCE A928</t>
  </si>
  <si>
    <t>TOTAL REVENUE REQUIREMENT EXCL 565 &amp; RCE A928</t>
  </si>
  <si>
    <t>Rate Case Expense Factor:</t>
  </si>
  <si>
    <t>Proposed Revenue Req ex 565 and RCE 928</t>
  </si>
  <si>
    <t xml:space="preserve">     plus Other Revenues(includes PF)</t>
  </si>
  <si>
    <t xml:space="preserve">  O&amp;M and A&amp;G Expenses (less Acct 565 &amp; DIST A928)</t>
  </si>
  <si>
    <t xml:space="preserve">   DIST RCE A928</t>
  </si>
  <si>
    <t>Distribution (Includes A565 &amp; DIST RCE A928)</t>
  </si>
  <si>
    <t>check should = Other Revs from line 32</t>
  </si>
  <si>
    <t>TOTAL PRESENT REVENUES (Incl PF)</t>
  </si>
  <si>
    <t xml:space="preserve">Energy Efficiency Cost Recovery Factor and to increase test-year revenues to reflect TCOS, TCRF and DCRF </t>
  </si>
  <si>
    <t>** DIST function excluding Accounts A565 and Rate Case Expense portion of A928.</t>
  </si>
  <si>
    <t>p44/p43</t>
  </si>
  <si>
    <t>Non-protected Excess DFIT Asset</t>
  </si>
  <si>
    <t>Non-protected Excess Asset Grossup</t>
  </si>
  <si>
    <t>Non-protected Excess DFIT Liability</t>
  </si>
  <si>
    <t>Non-protected Excess DFIT Liability Grossup</t>
  </si>
  <si>
    <t>Pension/OPEB - FAS109</t>
  </si>
  <si>
    <t>Fiber Optics</t>
  </si>
  <si>
    <t>Antenna Leases</t>
  </si>
  <si>
    <t>Total Adjusted Revenue Requirement</t>
  </si>
  <si>
    <t>PROPOSED Revenue Excl 565 and A928 RCE</t>
  </si>
  <si>
    <t>TOTAL EXPENSES EXCL 565 &amp; RCE A928 RCE</t>
  </si>
  <si>
    <t>TOTAL COST OF SERVICE EXCL A565 and A928 RCE</t>
  </si>
  <si>
    <t>TOTAL A&amp;G EXPENSE EXCL A928 RCE</t>
  </si>
  <si>
    <t>TOTAL O&amp;M &amp; A&amp;G EXPENSE EXCL 565 &amp;A928 RCE</t>
  </si>
  <si>
    <t xml:space="preserve">TOTAL REVENUE REQUIREMENT EXCL A565 &amp; A928 RCE  </t>
  </si>
  <si>
    <t>TOTAL A&amp;G EXPENSE  EXCL DIST A928 RCE</t>
  </si>
  <si>
    <t xml:space="preserve">    </t>
  </si>
  <si>
    <t>total l58 = l34 above</t>
  </si>
  <si>
    <t xml:space="preserve"> should=n34 above</t>
  </si>
  <si>
    <t>2025 RATE CASE</t>
  </si>
  <si>
    <t>TEST YEAR ENDING 12/31/2024</t>
  </si>
  <si>
    <t>A351.1</t>
  </si>
  <si>
    <t>Computer Hardware</t>
  </si>
  <si>
    <t>A351.2</t>
  </si>
  <si>
    <t>Computer Software</t>
  </si>
  <si>
    <t>A351.3</t>
  </si>
  <si>
    <t>A363.1</t>
  </si>
  <si>
    <t>A363.2</t>
  </si>
  <si>
    <t>A363.3</t>
  </si>
  <si>
    <t>A397.1</t>
  </si>
  <si>
    <t>A397.2</t>
  </si>
  <si>
    <t>A397.3</t>
  </si>
  <si>
    <t>`</t>
  </si>
  <si>
    <t>Communication Equipment used to be battery storage</t>
  </si>
  <si>
    <t>SRP Distribution-Related Incremental O&amp;M (PURA Sec. 38.078)</t>
  </si>
  <si>
    <t>SRP Distribution-Related Incremental O&amp;M VM (PURA Sec. 38.078)</t>
  </si>
  <si>
    <t>Rocky Mound Series Compensator (a)</t>
  </si>
  <si>
    <t>HB 2483 Mbl Gens &amp; rel. costs (PURA 39.918)</t>
  </si>
  <si>
    <t>HB 2483 Long-Lead Time Materials (PURA 39.918) (b)</t>
  </si>
  <si>
    <t>Energy Efficiency Perf Bonus (Docket No. 56682)</t>
  </si>
  <si>
    <t>Reg Asset - Defaulted REPs (a)</t>
  </si>
  <si>
    <t>Reg Asset - Defaulted REPs (b)</t>
  </si>
  <si>
    <t>COVID19-Incremental Expense Dkt 50664 (a)</t>
  </si>
  <si>
    <t>COVID19-Incremental Expense Dkt 50664 (b)</t>
  </si>
  <si>
    <t>Net Plant Tran &amp; Dist Non-Service Cost Pension/OPEBs (GAAP)</t>
  </si>
  <si>
    <t>Deferred Advanced Metering System Costs (under-recovery reviewed) (a)</t>
  </si>
  <si>
    <t>Wholesale Distribution Substation Service (a)</t>
  </si>
  <si>
    <t>Wholesale Distribution Substation Service (b)</t>
  </si>
  <si>
    <t>Sharyland Residential Interim Rate (a)</t>
  </si>
  <si>
    <t>Study Costs/Transition to Comp (NTU) (a)</t>
  </si>
  <si>
    <t>PowerLineSafetyAct PURA Sec. 36.066 (a)</t>
  </si>
  <si>
    <t>PowerLineSafetyAct PURA Sec. 36.066 (b)</t>
  </si>
  <si>
    <t>Self-Insurance (a)</t>
  </si>
  <si>
    <t>Self-Insurance (b)</t>
  </si>
  <si>
    <t>Rate Case Expenses (Non-standard Metering Opt-out)</t>
  </si>
  <si>
    <t>Rate Case Expenses - 2021 Test Year, Docket No. 53601 (reviewed)</t>
  </si>
  <si>
    <t>Rate Case Expenses - 2021 Test Year, Docket No. 53601 (Post-Cutoff)</t>
  </si>
  <si>
    <t>Rate Case Expenses - DCRF Case, Docket No. 55190</t>
  </si>
  <si>
    <t>Rate Case Expenses - DCRF Case, Docket No. 55525</t>
  </si>
  <si>
    <t>Rate Case Expenses - DCRF Case, Docket No. 56306</t>
  </si>
  <si>
    <t>Rate Case Expenses - DCRF Case, Docket No. 56963</t>
  </si>
  <si>
    <t>Rate Case Expenses - DCRF Case, Docket No. 57707</t>
  </si>
  <si>
    <t>Rate Case Expenses - Defer Insurance Expense Filing</t>
  </si>
  <si>
    <t>Rate Case Expenses - December 2024 Test Year Rate Case</t>
  </si>
  <si>
    <t>Over-amortization of intangible investment (a)</t>
  </si>
  <si>
    <t>Over-amortization of intangible investment (b)</t>
  </si>
  <si>
    <t>Transmission Cost Recovery (TCRF) under-/(over-)recovery</t>
  </si>
  <si>
    <t>RCE Unbilled Revenue Deferral (GAAP)</t>
  </si>
  <si>
    <t>Capital structure refund Dkt 48522 (over-refund) (a) (b)</t>
  </si>
  <si>
    <t>FIT refund - rate Dkt 48325 (over-refund) (a) (b)</t>
  </si>
  <si>
    <t>Interest-rate savings Dkt 47675 &amp; 55453 (b)</t>
  </si>
  <si>
    <t>Deferred OPEB Cost (a)</t>
  </si>
  <si>
    <t>A283 Accumulated Deferred State Income Tax(Margin Tax)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</si>
  <si>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</si>
  <si>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</si>
  <si>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</si>
  <si>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</si>
  <si>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</si>
  <si>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</si>
  <si>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</si>
  <si>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</si>
  <si>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</si>
  <si>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</si>
  <si>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</si>
  <si>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Office Furniture</t>
  </si>
  <si>
    <t>Other Intangible Prop - Depr</t>
  </si>
  <si>
    <t>Other Intangible Prop - Depletable</t>
  </si>
  <si>
    <t>General Business Credit</t>
  </si>
  <si>
    <t>FIN 48 Tax and Interest</t>
  </si>
  <si>
    <t>System Resiliency Plan</t>
  </si>
  <si>
    <t>Rent from Property and ROW</t>
  </si>
  <si>
    <t>Total Cost of Ownership - NTUSU</t>
  </si>
  <si>
    <t>Total Cost of Ownership - Sharyland</t>
  </si>
  <si>
    <t>DC Ties with Investment</t>
  </si>
  <si>
    <t>DC Ties without Investment</t>
  </si>
  <si>
    <t>General Business Credit (was R&amp;D Tax Credit)</t>
  </si>
  <si>
    <t>Rent from Property:  Third Party and ROW</t>
  </si>
  <si>
    <t>Rent from Property: Total Cost of Ownership-NTUSU</t>
  </si>
  <si>
    <t>Rent from Property: Total Cost of Ownership-Sharyland</t>
  </si>
  <si>
    <t>Rent from Property:  Third Party and Right of Way</t>
  </si>
  <si>
    <t>Rent from Property:  Third Party &amp; ROW</t>
  </si>
  <si>
    <t xml:space="preserve"> Demand related for capacitors is sized to meet peak loading.  Confirmed in Docket 53601.</t>
  </si>
  <si>
    <t xml:space="preserve"> Related to the associated customer accounts 906, 908, and 909; meter had no dollars but each ferc account in meter was allocated to cus u all.</t>
  </si>
  <si>
    <t>see above</t>
  </si>
  <si>
    <t xml:space="preserve"> NCP All Per 53601 FO, was PLTDIST N xWHL</t>
  </si>
  <si>
    <t>Franchise Tax</t>
  </si>
  <si>
    <t>DIST Function Revenue: Proposed</t>
  </si>
  <si>
    <t>DIST Function Revenue ex 565 &amp; A928</t>
  </si>
  <si>
    <r>
      <t xml:space="preserve">II-H-1.4 col. (c)  </t>
    </r>
    <r>
      <rPr>
        <sz val="11"/>
        <rFont val="Arial"/>
        <family val="2"/>
      </rPr>
      <t xml:space="preserve">   JAN 2024</t>
    </r>
  </si>
  <si>
    <t>A928 RCE portion not in rate design</t>
  </si>
  <si>
    <t>See Above</t>
  </si>
  <si>
    <t>Same as single entry in 53601</t>
  </si>
  <si>
    <t>New entry, same as above</t>
  </si>
  <si>
    <t>a is new, used same allocator as b in 53601</t>
  </si>
  <si>
    <t>See above detail.</t>
  </si>
  <si>
    <t xml:space="preserve">Retail Delivery Service, found on Iteration workbook, Wholesale_NTS_RO tab, Excel Row 64 Column H. </t>
  </si>
  <si>
    <t>Unamortized Losses - Reacquired Debt b</t>
  </si>
  <si>
    <t>SRP Distribution-Related Incremental O&amp;M (PURA Sec. 38.078) b</t>
  </si>
  <si>
    <t>SRP Application and Compliance, Docket No. 56545 b</t>
  </si>
  <si>
    <t>Insurance Case, Docket No. 57774 &amp; 57932 b</t>
  </si>
  <si>
    <t>Rate Case Expenses - December 2024 Test Year Rate Case (Estimate)</t>
  </si>
  <si>
    <t>Transmission Cost Recovery (TCRF) under-/(over-)recovery 16 TAC 25.193</t>
  </si>
  <si>
    <t>Unrecog. Exp - Pension/OPEB</t>
  </si>
  <si>
    <t>Unrecognized Exp - Gross Up</t>
  </si>
  <si>
    <t>FAS109-EPIS-Basis Diff</t>
  </si>
  <si>
    <t>FAS109-CWIP Flowthrough</t>
  </si>
  <si>
    <t>Excess DFIT Gross-up</t>
  </si>
  <si>
    <t>Total Adjusted Revenues (no Power Factor, exclude TCRF)</t>
  </si>
  <si>
    <t>% provided by  Kevin when doing the discretionary analysis.</t>
  </si>
  <si>
    <t>*TRAN Function cost of service and revenue requirement is not addressed in this schedule. Refer to RFP Schedule III-A-1 for details of the Transmission Function revenue requirement.</t>
  </si>
  <si>
    <t>See Above.</t>
  </si>
  <si>
    <t xml:space="preserve">Communication Equipment </t>
  </si>
  <si>
    <t>Most transmission plant accounts are demand related, because the capacity of the equipment required  to serve the system load represents a fixed investment.</t>
  </si>
  <si>
    <t>Related to transmission plant account 351.1, classified on same basis.</t>
  </si>
  <si>
    <t>Related to transmission plant account 351.2, classified on same basis.</t>
  </si>
  <si>
    <t>Related to transmission plant account 351.3, classified on same basis.</t>
  </si>
  <si>
    <t>Computer Hardware/Software &amp; Communications Equipment related to DIST, MET, and TDCSBILL functions</t>
  </si>
  <si>
    <t>Related to distribution plant account 363.1, classified on the same basis</t>
  </si>
  <si>
    <t>Related to distribution plant account 363.2, classified on the same basis</t>
  </si>
  <si>
    <t>Related to distribution plant account 363.3, classified on the same basis</t>
  </si>
  <si>
    <t>No portion of Account 391 is updated in DCRF, Account 397 is updated in DCRF.</t>
  </si>
  <si>
    <t>Discretionary Services Revenue</t>
  </si>
  <si>
    <t>A565 Transmission of Electricity by Others</t>
  </si>
  <si>
    <t xml:space="preserve">Non-Tax Related Regulatory </t>
  </si>
  <si>
    <t>Assets and Liabilities</t>
  </si>
  <si>
    <t>See above.</t>
  </si>
  <si>
    <t>Rate Case Expense A928</t>
  </si>
  <si>
    <t>Non-protected Excess Asset Gross-up</t>
  </si>
  <si>
    <t>Non-protected Excess DFIT Liability Gross-up</t>
  </si>
  <si>
    <t>Computer Hardware/Software/Communication Equipment serving Transmission function only.</t>
  </si>
  <si>
    <t>No Portion of Account 391 is included in DCRF, Account 397 is updated in DCRF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</si>
</sst>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%"/>
    <numFmt numFmtId="167" formatCode="_(* #,##0.000000_);_(* \(#,##0.000000\);_(* &quot;-&quot;??_);_(@_)"/>
    <numFmt numFmtId="168" formatCode="_(* #,##0.000000_);_(* \(#,##0.000000\);_(* &quot;-&quot;??????_);_(@_)"/>
    <numFmt numFmtId="169" formatCode="0.0000"/>
    <numFmt numFmtId="170" formatCode="0.0%"/>
    <numFmt numFmtId="171" formatCode="0.000000"/>
    <numFmt numFmtId="172" formatCode="&quot;$&quot;#,##0"/>
    <numFmt numFmtId="173" formatCode="0.00000000%"/>
    <numFmt numFmtId="174" formatCode="0.000000_);\(0.000000\)"/>
    <numFmt numFmtId="175" formatCode="0.000000%"/>
    <numFmt numFmtId="176" formatCode="0.000"/>
    <numFmt numFmtId="177" formatCode="_(* #,##0.000000000_);_(* \(#,##0.000000000\);_(* &quot;-&quot;??_);_(@_)"/>
    <numFmt numFmtId="178" formatCode="_(* #,##0.00000000000000000000_);_(* \(#,##0.00000000000000000000\);_(* &quot;-&quot;?????_);_(@_)"/>
    <numFmt numFmtId="179" formatCode="_(* #,##0.000000000000000000000000_);_(* \(#,##0.000000000000000000000000\);_(* &quot;-&quot;?????_);_(@_)"/>
    <numFmt numFmtId="180" formatCode="_(* #,##0.00000_);_(* \(#,##0.00000\);_(* &quot;-&quot;??_);_(@_)"/>
    <numFmt numFmtId="181" formatCode="_(&quot;$&quot;* #,##0.000000_);_(&quot;$&quot;* \(#,##0.000000\);_(&quot;$&quot;* &quot;-&quot;??_);_(@_)"/>
    <numFmt numFmtId="182" formatCode="_(* #,##0.0_);_(* \(#,##0.0\);_(* &quot;-&quot;??_);_(@_)"/>
    <numFmt numFmtId="183" formatCode="0.00000"/>
  </numFmts>
  <fonts count="105" x14ac:knownFonts="1">
    <font>
      <sz val="11"/>
      <name val="Arial"/>
    </font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sz val="11"/>
      <color indexed="12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u/>
      <sz val="11"/>
      <name val="Arial"/>
      <family val="2"/>
    </font>
    <font>
      <sz val="11"/>
      <color indexed="8"/>
      <name val="Arial"/>
      <family val="2"/>
    </font>
    <font>
      <u val="singleAccounting"/>
      <sz val="11"/>
      <name val="Arial"/>
      <family val="2"/>
    </font>
    <font>
      <u val="singleAccounting"/>
      <sz val="11"/>
      <color indexed="12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b/>
      <sz val="11"/>
      <color indexed="9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b/>
      <sz val="9"/>
      <name val="Times New Roman"/>
      <family val="1"/>
    </font>
    <font>
      <u/>
      <sz val="11"/>
      <color indexed="12"/>
      <name val="Arial"/>
      <family val="2"/>
    </font>
    <font>
      <b/>
      <u val="singleAccounting"/>
      <sz val="11"/>
      <name val="Arial"/>
      <family val="2"/>
    </font>
    <font>
      <sz val="9"/>
      <color indexed="12"/>
      <name val="Times New Roman"/>
      <family val="1"/>
    </font>
    <font>
      <sz val="8"/>
      <name val="Times New Roman"/>
      <family val="1"/>
    </font>
    <font>
      <b/>
      <u/>
      <sz val="11"/>
      <color indexed="8"/>
      <name val="Arial"/>
      <family val="2"/>
    </font>
    <font>
      <sz val="11"/>
      <color indexed="16"/>
      <name val="Arial"/>
      <family val="2"/>
    </font>
    <font>
      <sz val="11"/>
      <color indexed="9"/>
      <name val="Arial"/>
      <family val="2"/>
    </font>
    <font>
      <b/>
      <sz val="10"/>
      <color indexed="10"/>
      <name val="Arial"/>
      <family val="2"/>
    </font>
    <font>
      <sz val="11"/>
      <color indexed="56"/>
      <name val="Arial"/>
      <family val="2"/>
    </font>
    <font>
      <sz val="11"/>
      <color indexed="60"/>
      <name val="Arial"/>
      <family val="2"/>
    </font>
    <font>
      <sz val="10"/>
      <color indexed="60"/>
      <name val="Arial"/>
      <family val="2"/>
    </font>
    <font>
      <sz val="11"/>
      <name val="Arial"/>
      <family val="2"/>
    </font>
    <font>
      <u/>
      <sz val="11"/>
      <color indexed="8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u/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3" tint="-0.249977111117893"/>
      <name val="Arial"/>
      <family val="2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  <font>
      <sz val="12"/>
      <name val="Times New Roman"/>
      <family val="1"/>
    </font>
    <font>
      <u val="singleAccounting"/>
      <sz val="8"/>
      <name val="Arial"/>
      <family val="2"/>
    </font>
    <font>
      <u val="singleAccounting"/>
      <sz val="8"/>
      <color theme="1"/>
      <name val="Arial"/>
      <family val="2"/>
    </font>
    <font>
      <b/>
      <sz val="12"/>
      <color rgb="FFFFFFFF"/>
      <name val="Arial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sz val="11"/>
      <color theme="9" tint="-0.249977111117893"/>
      <name val="Arial"/>
      <family val="2"/>
    </font>
    <font>
      <sz val="18"/>
      <name val="Arial"/>
      <family val="2"/>
    </font>
    <font>
      <b/>
      <sz val="11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4"/>
      <color rgb="FFC00000"/>
      <name val="Arial"/>
      <family val="2"/>
    </font>
    <font>
      <sz val="14"/>
      <color rgb="FFC00000"/>
      <name val="Arial"/>
      <family val="2"/>
    </font>
    <font>
      <i/>
      <sz val="16"/>
      <color rgb="FFC00000"/>
      <name val="Arial"/>
      <family val="2"/>
    </font>
    <font>
      <i/>
      <sz val="12"/>
      <color rgb="FFC00000"/>
      <name val="Arial"/>
      <family val="2"/>
    </font>
    <font>
      <sz val="12"/>
      <color rgb="FFC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i/>
      <sz val="11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26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6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name val="Arial"/>
      <family val="2"/>
    </font>
    <font>
      <b/>
      <sz val="9"/>
      <color theme="9" tint="-0.249977111117893"/>
      <name val="Times New Roman"/>
      <family val="1"/>
    </font>
    <font>
      <b/>
      <sz val="11"/>
      <color theme="9" tint="-0.249977111117893"/>
      <name val="Arial"/>
      <family val="2"/>
    </font>
    <font>
      <b/>
      <sz val="14"/>
      <color theme="9" tint="-0.249977111117893"/>
      <name val="Arial"/>
      <family val="2"/>
    </font>
    <font>
      <sz val="11"/>
      <color rgb="FF1F497D"/>
      <name val="Calibri"/>
      <family val="2"/>
    </font>
    <font>
      <i/>
      <sz val="14"/>
      <color theme="8" tint="-0.249977111117893"/>
      <name val="Arial"/>
      <family val="2"/>
    </font>
    <font>
      <sz val="11"/>
      <color theme="4" tint="-0.249977111117893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sz val="12"/>
      <color indexed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i/>
      <sz val="11"/>
      <color rgb="FFC00000"/>
      <name val="Arial"/>
      <family val="2"/>
    </font>
    <font>
      <sz val="11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37" fontId="16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68" fillId="0" borderId="0"/>
    <xf numFmtId="43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3" borderId="0" applyNumberFormat="0" applyBorder="0" applyAlignment="0" applyProtection="0"/>
    <xf numFmtId="0" fontId="71" fillId="16" borderId="0" applyNumberFormat="0" applyBorder="0" applyAlignment="0" applyProtection="0"/>
    <xf numFmtId="0" fontId="71" fillId="14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17" borderId="0" applyNumberFormat="0" applyBorder="0" applyAlignment="0" applyProtection="0"/>
    <xf numFmtId="0" fontId="71" fillId="20" borderId="0" applyNumberFormat="0" applyBorder="0" applyAlignment="0" applyProtection="0"/>
    <xf numFmtId="0" fontId="71" fillId="14" borderId="0" applyNumberFormat="0" applyBorder="0" applyAlignment="0" applyProtection="0"/>
    <xf numFmtId="0" fontId="72" fillId="21" borderId="0" applyNumberFormat="0" applyBorder="0" applyAlignment="0" applyProtection="0"/>
    <xf numFmtId="0" fontId="72" fillId="18" borderId="0" applyNumberFormat="0" applyBorder="0" applyAlignment="0" applyProtection="0"/>
    <xf numFmtId="0" fontId="72" fillId="19" borderId="0" applyNumberFormat="0" applyBorder="0" applyAlignment="0" applyProtection="0"/>
    <xf numFmtId="0" fontId="72" fillId="17" borderId="0" applyNumberFormat="0" applyBorder="0" applyAlignment="0" applyProtection="0"/>
    <xf numFmtId="0" fontId="72" fillId="21" borderId="0" applyNumberFormat="0" applyBorder="0" applyAlignment="0" applyProtection="0"/>
    <xf numFmtId="0" fontId="72" fillId="14" borderId="0" applyNumberFormat="0" applyBorder="0" applyAlignment="0" applyProtection="0"/>
    <xf numFmtId="0" fontId="72" fillId="21" borderId="0" applyNumberFormat="0" applyBorder="0" applyAlignment="0" applyProtection="0"/>
    <xf numFmtId="0" fontId="72" fillId="22" borderId="0" applyNumberFormat="0" applyBorder="0" applyAlignment="0" applyProtection="0"/>
    <xf numFmtId="0" fontId="72" fillId="23" borderId="0" applyNumberFormat="0" applyBorder="0" applyAlignment="0" applyProtection="0"/>
    <xf numFmtId="0" fontId="72" fillId="24" borderId="0" applyNumberFormat="0" applyBorder="0" applyAlignment="0" applyProtection="0"/>
    <xf numFmtId="0" fontId="72" fillId="21" borderId="0" applyNumberFormat="0" applyBorder="0" applyAlignment="0" applyProtection="0"/>
    <xf numFmtId="0" fontId="72" fillId="25" borderId="0" applyNumberFormat="0" applyBorder="0" applyAlignment="0" applyProtection="0"/>
    <xf numFmtId="0" fontId="73" fillId="26" borderId="0" applyNumberFormat="0" applyBorder="0" applyAlignment="0" applyProtection="0"/>
    <xf numFmtId="0" fontId="74" fillId="13" borderId="41" applyNumberFormat="0" applyAlignment="0" applyProtection="0"/>
    <xf numFmtId="0" fontId="75" fillId="27" borderId="42" applyNumberFormat="0" applyAlignment="0" applyProtection="0"/>
    <xf numFmtId="0" fontId="76" fillId="0" borderId="0" applyNumberFormat="0" applyFill="0" applyBorder="0" applyAlignment="0" applyProtection="0"/>
    <xf numFmtId="0" fontId="77" fillId="28" borderId="0" applyNumberFormat="0" applyBorder="0" applyAlignment="0" applyProtection="0"/>
    <xf numFmtId="0" fontId="78" fillId="0" borderId="43" applyNumberFormat="0" applyFill="0" applyAlignment="0" applyProtection="0"/>
    <xf numFmtId="0" fontId="79" fillId="0" borderId="44" applyNumberFormat="0" applyFill="0" applyAlignment="0" applyProtection="0"/>
    <xf numFmtId="0" fontId="80" fillId="0" borderId="45" applyNumberFormat="0" applyFill="0" applyAlignment="0" applyProtection="0"/>
    <xf numFmtId="0" fontId="80" fillId="0" borderId="0" applyNumberFormat="0" applyFill="0" applyBorder="0" applyAlignment="0" applyProtection="0"/>
    <xf numFmtId="0" fontId="81" fillId="14" borderId="41" applyNumberFormat="0" applyAlignment="0" applyProtection="0"/>
    <xf numFmtId="0" fontId="82" fillId="0" borderId="46" applyNumberFormat="0" applyFill="0" applyAlignment="0" applyProtection="0"/>
    <xf numFmtId="0" fontId="83" fillId="19" borderId="0" applyNumberFormat="0" applyBorder="0" applyAlignment="0" applyProtection="0"/>
    <xf numFmtId="0" fontId="4" fillId="15" borderId="47" applyNumberFormat="0" applyFont="0" applyAlignment="0" applyProtection="0"/>
    <xf numFmtId="0" fontId="84" fillId="13" borderId="48" applyNumberFormat="0" applyAlignment="0" applyProtection="0"/>
    <xf numFmtId="0" fontId="85" fillId="0" borderId="0" applyNumberFormat="0" applyFill="0" applyBorder="0" applyAlignment="0" applyProtection="0"/>
    <xf numFmtId="0" fontId="86" fillId="0" borderId="49" applyNumberFormat="0" applyFill="0" applyAlignment="0" applyProtection="0"/>
    <xf numFmtId="0" fontId="87" fillId="0" borderId="0" applyNumberFormat="0" applyFill="0" applyBorder="0" applyAlignment="0" applyProtection="0"/>
    <xf numFmtId="0" fontId="97" fillId="0" borderId="0"/>
    <xf numFmtId="0" fontId="101" fillId="0" borderId="0"/>
  </cellStyleXfs>
  <cellXfs count="1646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Fill="1" applyBorder="1"/>
    <xf numFmtId="0" fontId="6" fillId="0" borderId="0" xfId="0" applyFont="1" applyFill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3" fillId="0" borderId="0" xfId="1" quotePrefix="1" applyNumberFormat="1" applyFont="1" applyFill="1" applyBorder="1" applyAlignment="1">
      <alignment horizontal="center"/>
    </xf>
    <xf numFmtId="165" fontId="3" fillId="0" borderId="0" xfId="1" applyNumberFormat="1" applyFont="1" applyFill="1" applyBorder="1"/>
    <xf numFmtId="0" fontId="5" fillId="0" borderId="0" xfId="0" applyFont="1" applyFill="1" applyBorder="1" applyAlignment="1">
      <alignment horizontal="center"/>
    </xf>
    <xf numFmtId="165" fontId="5" fillId="0" borderId="0" xfId="1" quotePrefix="1" applyNumberFormat="1" applyFont="1" applyFill="1" applyBorder="1" applyAlignment="1">
      <alignment horizontal="center"/>
    </xf>
    <xf numFmtId="165" fontId="5" fillId="0" borderId="0" xfId="1" applyNumberFormat="1" applyFont="1" applyFill="1" applyBorder="1"/>
    <xf numFmtId="164" fontId="8" fillId="0" borderId="5" xfId="3" applyNumberFormat="1" applyFont="1" applyFill="1" applyBorder="1"/>
    <xf numFmtId="165" fontId="3" fillId="0" borderId="0" xfId="0" applyNumberFormat="1" applyFont="1" applyFill="1" applyBorder="1"/>
    <xf numFmtId="0" fontId="5" fillId="0" borderId="0" xfId="0" quotePrefix="1" applyFont="1" applyFill="1" applyBorder="1" applyAlignment="1">
      <alignment horizontal="right"/>
    </xf>
    <xf numFmtId="165" fontId="8" fillId="0" borderId="0" xfId="1" quotePrefix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3" fillId="0" borderId="0" xfId="0" quotePrefix="1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0" fontId="5" fillId="0" borderId="0" xfId="0" quotePrefix="1" applyFont="1" applyFill="1" applyBorder="1" applyAlignment="1">
      <alignment horizontal="left"/>
    </xf>
    <xf numFmtId="0" fontId="11" fillId="0" borderId="0" xfId="0" quotePrefix="1" applyFont="1" applyFill="1" applyBorder="1" applyAlignment="1" applyProtection="1">
      <alignment horizontal="left"/>
      <protection locked="0"/>
    </xf>
    <xf numFmtId="0" fontId="5" fillId="0" borderId="0" xfId="0" applyFont="1" applyFill="1" applyBorder="1" applyProtection="1">
      <protection locked="0"/>
    </xf>
    <xf numFmtId="165" fontId="5" fillId="0" borderId="0" xfId="1" applyNumberFormat="1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165" fontId="5" fillId="0" borderId="0" xfId="1" applyNumberFormat="1" applyFont="1" applyFill="1" applyBorder="1" applyProtection="1"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3" fillId="0" borderId="0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horizontal="right"/>
      <protection locked="0"/>
    </xf>
    <xf numFmtId="0" fontId="3" fillId="0" borderId="0" xfId="0" quotePrefix="1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/>
    <xf numFmtId="0" fontId="9" fillId="0" borderId="0" xfId="0" applyFont="1" applyFill="1" applyBorder="1" applyAlignment="1">
      <alignment horizontal="left"/>
    </xf>
    <xf numFmtId="0" fontId="5" fillId="0" borderId="0" xfId="0" applyFont="1" applyBorder="1"/>
    <xf numFmtId="165" fontId="3" fillId="0" borderId="0" xfId="1" applyNumberFormat="1" applyFont="1" applyBorder="1"/>
    <xf numFmtId="0" fontId="3" fillId="0" borderId="0" xfId="0" applyFont="1" applyFill="1" applyBorder="1" applyAlignment="1"/>
    <xf numFmtId="0" fontId="4" fillId="0" borderId="0" xfId="0" applyFont="1" applyBorder="1"/>
    <xf numFmtId="165" fontId="5" fillId="0" borderId="0" xfId="1" applyNumberFormat="1" applyFont="1" applyBorder="1"/>
    <xf numFmtId="165" fontId="3" fillId="0" borderId="0" xfId="1" applyNumberFormat="1" applyFont="1" applyFill="1" applyBorder="1" applyAlignment="1">
      <alignment horizontal="center"/>
    </xf>
    <xf numFmtId="0" fontId="11" fillId="0" borderId="0" xfId="0" applyFont="1" applyFill="1" applyBorder="1" applyAlignment="1" applyProtection="1">
      <alignment horizontal="left"/>
      <protection locked="0"/>
    </xf>
    <xf numFmtId="0" fontId="11" fillId="0" borderId="0" xfId="0" applyFont="1" applyBorder="1"/>
    <xf numFmtId="0" fontId="5" fillId="0" borderId="0" xfId="0" applyFont="1" applyBorder="1" applyAlignment="1">
      <alignment horizontal="center"/>
    </xf>
    <xf numFmtId="164" fontId="8" fillId="0" borderId="0" xfId="3" applyNumberFormat="1" applyFont="1" applyFill="1" applyBorder="1"/>
    <xf numFmtId="165" fontId="6" fillId="0" borderId="0" xfId="1" applyNumberFormat="1" applyFont="1" applyFill="1" applyBorder="1"/>
    <xf numFmtId="165" fontId="3" fillId="0" borderId="8" xfId="1" applyNumberFormat="1" applyFont="1" applyFill="1" applyBorder="1"/>
    <xf numFmtId="165" fontId="3" fillId="0" borderId="5" xfId="1" applyNumberFormat="1" applyFont="1" applyFill="1" applyBorder="1"/>
    <xf numFmtId="41" fontId="3" fillId="0" borderId="0" xfId="1" applyNumberFormat="1" applyFont="1" applyFill="1" applyBorder="1"/>
    <xf numFmtId="0" fontId="3" fillId="0" borderId="7" xfId="0" applyFont="1" applyFill="1" applyBorder="1"/>
    <xf numFmtId="0" fontId="3" fillId="0" borderId="10" xfId="0" applyFont="1" applyFill="1" applyBorder="1"/>
    <xf numFmtId="165" fontId="3" fillId="0" borderId="6" xfId="1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Fill="1" applyAlignment="1">
      <alignment horizontal="centerContinuous"/>
    </xf>
    <xf numFmtId="49" fontId="5" fillId="0" borderId="0" xfId="0" applyNumberFormat="1" applyFont="1" applyFill="1" applyAlignment="1">
      <alignment horizontal="centerContinuous"/>
    </xf>
    <xf numFmtId="49" fontId="5" fillId="0" borderId="0" xfId="0" applyNumberFormat="1" applyFont="1" applyFill="1" applyBorder="1" applyAlignment="1">
      <alignment horizontal="centerContinuous"/>
    </xf>
    <xf numFmtId="49" fontId="5" fillId="0" borderId="0" xfId="0" quotePrefix="1" applyNumberFormat="1" applyFont="1" applyFill="1" applyBorder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49" fontId="3" fillId="0" borderId="0" xfId="0" applyNumberFormat="1" applyFont="1" applyFill="1" applyBorder="1" applyAlignment="1">
      <alignment horizontal="centerContinuous"/>
    </xf>
    <xf numFmtId="0" fontId="3" fillId="0" borderId="4" xfId="0" applyFont="1" applyBorder="1"/>
    <xf numFmtId="0" fontId="3" fillId="0" borderId="5" xfId="0" applyFont="1" applyFill="1" applyBorder="1" applyAlignment="1">
      <alignment horizontal="left"/>
    </xf>
    <xf numFmtId="0" fontId="3" fillId="0" borderId="7" xfId="0" applyFont="1" applyBorder="1"/>
    <xf numFmtId="165" fontId="13" fillId="0" borderId="8" xfId="1" applyNumberFormat="1" applyFont="1" applyFill="1" applyBorder="1"/>
    <xf numFmtId="0" fontId="3" fillId="0" borderId="9" xfId="0" applyFont="1" applyBorder="1"/>
    <xf numFmtId="0" fontId="3" fillId="0" borderId="10" xfId="0" applyFont="1" applyFill="1" applyBorder="1" applyAlignment="1">
      <alignment horizontal="left"/>
    </xf>
    <xf numFmtId="0" fontId="3" fillId="0" borderId="10" xfId="0" applyFont="1" applyBorder="1"/>
    <xf numFmtId="165" fontId="3" fillId="0" borderId="10" xfId="1" applyNumberFormat="1" applyFont="1" applyFill="1" applyBorder="1"/>
    <xf numFmtId="165" fontId="13" fillId="0" borderId="0" xfId="1" applyNumberFormat="1" applyFont="1" applyFill="1" applyBorder="1"/>
    <xf numFmtId="0" fontId="5" fillId="0" borderId="0" xfId="0" applyFont="1" applyFill="1" applyBorder="1" applyAlignment="1">
      <alignment horizontal="left"/>
    </xf>
    <xf numFmtId="167" fontId="3" fillId="0" borderId="0" xfId="1" quotePrefix="1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/>
    <xf numFmtId="168" fontId="3" fillId="0" borderId="5" xfId="1" quotePrefix="1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left"/>
    </xf>
    <xf numFmtId="168" fontId="3" fillId="0" borderId="0" xfId="1" quotePrefix="1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left"/>
    </xf>
    <xf numFmtId="168" fontId="3" fillId="0" borderId="10" xfId="1" quotePrefix="1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quotePrefix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15" xfId="0" applyFont="1" applyFill="1" applyBorder="1"/>
    <xf numFmtId="165" fontId="3" fillId="0" borderId="0" xfId="0" applyNumberFormat="1" applyFont="1"/>
    <xf numFmtId="165" fontId="3" fillId="0" borderId="0" xfId="0" applyNumberFormat="1" applyFont="1" applyBorder="1"/>
    <xf numFmtId="166" fontId="3" fillId="0" borderId="0" xfId="6" applyNumberFormat="1" applyFont="1" applyFill="1" applyBorder="1"/>
    <xf numFmtId="10" fontId="3" fillId="0" borderId="0" xfId="6" applyNumberFormat="1" applyFont="1" applyFill="1" applyBorder="1"/>
    <xf numFmtId="0" fontId="4" fillId="0" borderId="0" xfId="0" applyFont="1"/>
    <xf numFmtId="0" fontId="3" fillId="0" borderId="0" xfId="0" applyFont="1" applyFill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3" fillId="0" borderId="0" xfId="0" applyFont="1" applyAlignment="1">
      <alignment horizontal="right"/>
    </xf>
    <xf numFmtId="37" fontId="5" fillId="0" borderId="0" xfId="0" applyNumberFormat="1" applyFont="1" applyFill="1" applyAlignment="1">
      <alignment horizontal="centerContinuous"/>
    </xf>
    <xf numFmtId="37" fontId="5" fillId="0" borderId="0" xfId="0" applyNumberFormat="1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7" fillId="0" borderId="0" xfId="0" applyFont="1" applyBorder="1"/>
    <xf numFmtId="0" fontId="3" fillId="0" borderId="1" xfId="0" quotePrefix="1" applyFont="1" applyFill="1" applyBorder="1" applyAlignment="1">
      <alignment horizontal="center"/>
    </xf>
    <xf numFmtId="0" fontId="15" fillId="0" borderId="15" xfId="0" applyFont="1" applyFill="1" applyBorder="1"/>
    <xf numFmtId="0" fontId="5" fillId="0" borderId="10" xfId="0" applyFont="1" applyFill="1" applyBorder="1"/>
    <xf numFmtId="0" fontId="3" fillId="0" borderId="10" xfId="0" applyFont="1" applyFill="1" applyBorder="1" applyAlignment="1">
      <alignment horizontal="center"/>
    </xf>
    <xf numFmtId="165" fontId="3" fillId="0" borderId="10" xfId="1" applyNumberFormat="1" applyFont="1" applyFill="1" applyBorder="1" applyAlignment="1">
      <alignment horizontal="center"/>
    </xf>
    <xf numFmtId="39" fontId="3" fillId="0" borderId="0" xfId="3" applyNumberFormat="1" applyFont="1" applyFill="1" applyBorder="1" applyAlignment="1">
      <alignment horizontal="center"/>
    </xf>
    <xf numFmtId="165" fontId="13" fillId="0" borderId="0" xfId="1" applyNumberFormat="1" applyFont="1" applyFill="1" applyBorder="1" applyAlignment="1">
      <alignment horizontal="center"/>
    </xf>
    <xf numFmtId="43" fontId="3" fillId="0" borderId="0" xfId="3" applyNumberFormat="1" applyFont="1" applyFill="1" applyBorder="1"/>
    <xf numFmtId="0" fontId="5" fillId="0" borderId="0" xfId="0" applyFont="1" applyFill="1"/>
    <xf numFmtId="165" fontId="5" fillId="0" borderId="0" xfId="6" applyNumberFormat="1" applyFont="1" applyFill="1" applyBorder="1"/>
    <xf numFmtId="10" fontId="5" fillId="0" borderId="0" xfId="6" applyNumberFormat="1" applyFont="1" applyFill="1" applyBorder="1"/>
    <xf numFmtId="0" fontId="5" fillId="0" borderId="0" xfId="0" quotePrefix="1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43" fontId="3" fillId="0" borderId="0" xfId="0" applyNumberFormat="1" applyFont="1" applyBorder="1"/>
    <xf numFmtId="0" fontId="5" fillId="0" borderId="0" xfId="0" applyFont="1" applyFill="1" applyAlignment="1">
      <alignment horizontal="centerContinuous"/>
    </xf>
    <xf numFmtId="0" fontId="5" fillId="0" borderId="0" xfId="0" quotePrefix="1" applyFont="1" applyFill="1" applyBorder="1" applyAlignment="1">
      <alignment horizontal="centerContinuous"/>
    </xf>
    <xf numFmtId="0" fontId="18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3" fillId="0" borderId="3" xfId="0" quotePrefix="1" applyFont="1" applyFill="1" applyBorder="1" applyAlignment="1">
      <alignment horizontal="center"/>
    </xf>
    <xf numFmtId="0" fontId="4" fillId="0" borderId="0" xfId="0" applyFont="1" applyFill="1"/>
    <xf numFmtId="0" fontId="18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7" fontId="3" fillId="0" borderId="5" xfId="1" quotePrefix="1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67" fontId="3" fillId="0" borderId="10" xfId="1" quotePrefix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6" fillId="0" borderId="0" xfId="0" applyFont="1"/>
    <xf numFmtId="0" fontId="19" fillId="0" borderId="0" xfId="0" applyFont="1"/>
    <xf numFmtId="0" fontId="21" fillId="0" borderId="0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0" fontId="19" fillId="0" borderId="0" xfId="0" applyFont="1" applyBorder="1"/>
    <xf numFmtId="0" fontId="3" fillId="0" borderId="5" xfId="0" applyFont="1" applyFill="1" applyBorder="1" applyAlignment="1">
      <alignment horizontal="center"/>
    </xf>
    <xf numFmtId="165" fontId="3" fillId="0" borderId="10" xfId="0" applyNumberFormat="1" applyFont="1" applyBorder="1"/>
    <xf numFmtId="166" fontId="3" fillId="0" borderId="0" xfId="6" applyNumberFormat="1" applyFont="1"/>
    <xf numFmtId="0" fontId="3" fillId="0" borderId="5" xfId="0" applyFont="1" applyBorder="1"/>
    <xf numFmtId="0" fontId="19" fillId="0" borderId="0" xfId="0" applyFont="1" applyFill="1" applyBorder="1" applyAlignment="1">
      <alignment horizontal="center"/>
    </xf>
    <xf numFmtId="164" fontId="5" fillId="0" borderId="0" xfId="3" applyNumberFormat="1" applyFont="1" applyBorder="1"/>
    <xf numFmtId="43" fontId="3" fillId="0" borderId="0" xfId="1" applyNumberFormat="1" applyFont="1" applyAlignment="1">
      <alignment horizontal="right"/>
    </xf>
    <xf numFmtId="164" fontId="23" fillId="0" borderId="0" xfId="3" applyNumberFormat="1" applyFont="1" applyBorder="1"/>
    <xf numFmtId="164" fontId="3" fillId="0" borderId="0" xfId="3" applyNumberFormat="1" applyFont="1" applyFill="1" applyBorder="1"/>
    <xf numFmtId="0" fontId="5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64" fontId="5" fillId="0" borderId="0" xfId="0" applyNumberFormat="1" applyFont="1" applyBorder="1"/>
    <xf numFmtId="43" fontId="3" fillId="0" borderId="0" xfId="1" applyNumberFormat="1" applyFont="1" applyBorder="1" applyAlignment="1">
      <alignment horizontal="right"/>
    </xf>
    <xf numFmtId="0" fontId="3" fillId="0" borderId="0" xfId="0" applyFont="1" applyBorder="1" applyAlignment="1">
      <alignment vertical="center"/>
    </xf>
    <xf numFmtId="164" fontId="13" fillId="0" borderId="0" xfId="3" applyNumberFormat="1" applyFont="1" applyFill="1" applyBorder="1"/>
    <xf numFmtId="165" fontId="3" fillId="0" borderId="0" xfId="3" applyNumberFormat="1" applyFont="1" applyBorder="1"/>
    <xf numFmtId="166" fontId="5" fillId="0" borderId="0" xfId="6" applyNumberFormat="1" applyFont="1" applyBorder="1"/>
    <xf numFmtId="164" fontId="5" fillId="0" borderId="0" xfId="3" applyNumberFormat="1" applyFont="1" applyBorder="1" applyAlignment="1">
      <alignment horizontal="right"/>
    </xf>
    <xf numFmtId="164" fontId="3" fillId="0" borderId="0" xfId="3" applyNumberFormat="1" applyFont="1" applyBorder="1"/>
    <xf numFmtId="0" fontId="19" fillId="0" borderId="0" xfId="0" applyFont="1" applyBorder="1" applyAlignment="1">
      <alignment horizontal="center"/>
    </xf>
    <xf numFmtId="43" fontId="3" fillId="0" borderId="0" xfId="1" applyFont="1" applyBorder="1" applyAlignment="1">
      <alignment horizontal="right"/>
    </xf>
    <xf numFmtId="2" fontId="19" fillId="0" borderId="0" xfId="0" applyNumberFormat="1" applyFont="1" applyBorder="1" applyAlignment="1">
      <alignment horizontal="right"/>
    </xf>
    <xf numFmtId="165" fontId="8" fillId="0" borderId="12" xfId="0" applyNumberFormat="1" applyFont="1" applyBorder="1"/>
    <xf numFmtId="165" fontId="8" fillId="0" borderId="13" xfId="0" applyNumberFormat="1" applyFont="1" applyBorder="1"/>
    <xf numFmtId="165" fontId="8" fillId="0" borderId="14" xfId="0" applyNumberFormat="1" applyFont="1" applyBorder="1"/>
    <xf numFmtId="165" fontId="24" fillId="0" borderId="0" xfId="0" applyNumberFormat="1" applyFont="1" applyBorder="1"/>
    <xf numFmtId="165" fontId="19" fillId="0" borderId="0" xfId="0" applyNumberFormat="1" applyFont="1" applyBorder="1"/>
    <xf numFmtId="170" fontId="16" fillId="0" borderId="0" xfId="6" applyNumberFormat="1" applyFont="1" applyBorder="1"/>
    <xf numFmtId="0" fontId="25" fillId="0" borderId="0" xfId="0" applyFont="1"/>
    <xf numFmtId="0" fontId="5" fillId="2" borderId="20" xfId="0" applyFont="1" applyFill="1" applyBorder="1"/>
    <xf numFmtId="0" fontId="3" fillId="2" borderId="20" xfId="0" applyFont="1" applyFill="1" applyBorder="1" applyAlignment="1">
      <alignment horizontal="center"/>
    </xf>
    <xf numFmtId="0" fontId="16" fillId="2" borderId="18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19" xfId="0" applyFont="1" applyFill="1" applyBorder="1"/>
    <xf numFmtId="0" fontId="3" fillId="2" borderId="1" xfId="0" quotePrefix="1" applyFont="1" applyFill="1" applyBorder="1" applyAlignment="1">
      <alignment horizontal="center"/>
    </xf>
    <xf numFmtId="0" fontId="16" fillId="2" borderId="20" xfId="0" applyFont="1" applyFill="1" applyBorder="1"/>
    <xf numFmtId="0" fontId="5" fillId="2" borderId="2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6" fillId="2" borderId="22" xfId="0" applyFont="1" applyFill="1" applyBorder="1"/>
    <xf numFmtId="0" fontId="3" fillId="2" borderId="23" xfId="0" applyFont="1" applyFill="1" applyBorder="1" applyAlignment="1">
      <alignment horizontal="center"/>
    </xf>
    <xf numFmtId="0" fontId="15" fillId="0" borderId="0" xfId="0" applyFont="1" applyBorder="1"/>
    <xf numFmtId="0" fontId="3" fillId="0" borderId="0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center"/>
    </xf>
    <xf numFmtId="0" fontId="20" fillId="0" borderId="0" xfId="0" applyFont="1"/>
    <xf numFmtId="0" fontId="5" fillId="0" borderId="0" xfId="0" quotePrefix="1" applyFont="1" applyBorder="1" applyAlignment="1">
      <alignment horizontal="left"/>
    </xf>
    <xf numFmtId="165" fontId="5" fillId="0" borderId="0" xfId="0" applyNumberFormat="1" applyFont="1" applyBorder="1"/>
    <xf numFmtId="165" fontId="5" fillId="0" borderId="0" xfId="0" applyNumberFormat="1" applyFont="1" applyFill="1" applyBorder="1"/>
    <xf numFmtId="0" fontId="5" fillId="2" borderId="24" xfId="0" applyFont="1" applyFill="1" applyBorder="1" applyAlignment="1">
      <alignment horizontal="left"/>
    </xf>
    <xf numFmtId="0" fontId="5" fillId="2" borderId="25" xfId="0" quotePrefix="1" applyFont="1" applyFill="1" applyBorder="1" applyAlignment="1">
      <alignment horizontal="center"/>
    </xf>
    <xf numFmtId="165" fontId="5" fillId="2" borderId="25" xfId="1" applyNumberFormat="1" applyFont="1" applyFill="1" applyBorder="1"/>
    <xf numFmtId="165" fontId="5" fillId="2" borderId="26" xfId="0" applyNumberFormat="1" applyFont="1" applyFill="1" applyBorder="1"/>
    <xf numFmtId="165" fontId="5" fillId="0" borderId="27" xfId="1" applyNumberFormat="1" applyFont="1" applyFill="1" applyBorder="1"/>
    <xf numFmtId="165" fontId="3" fillId="0" borderId="27" xfId="0" applyNumberFormat="1" applyFont="1" applyFill="1" applyBorder="1" applyAlignment="1">
      <alignment horizontal="right"/>
    </xf>
    <xf numFmtId="0" fontId="3" fillId="2" borderId="19" xfId="0" applyFont="1" applyFill="1" applyBorder="1" applyAlignment="1">
      <alignment horizontal="fill"/>
    </xf>
    <xf numFmtId="0" fontId="12" fillId="0" borderId="0" xfId="0" applyFont="1" applyBorder="1"/>
    <xf numFmtId="0" fontId="9" fillId="0" borderId="0" xfId="0" applyFont="1" applyBorder="1" applyAlignment="1">
      <alignment horizontal="center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Fill="1" applyBorder="1" applyProtection="1">
      <protection locked="0"/>
    </xf>
    <xf numFmtId="165" fontId="13" fillId="0" borderId="0" xfId="1" applyNumberFormat="1" applyFont="1" applyBorder="1" applyProtection="1">
      <protection locked="0"/>
    </xf>
    <xf numFmtId="165" fontId="13" fillId="0" borderId="0" xfId="0" applyNumberFormat="1" applyFont="1" applyBorder="1"/>
    <xf numFmtId="165" fontId="13" fillId="0" borderId="0" xfId="0" applyNumberFormat="1" applyFont="1" applyFill="1" applyBorder="1"/>
    <xf numFmtId="165" fontId="13" fillId="0" borderId="0" xfId="1" applyNumberFormat="1" applyFont="1" applyFill="1" applyBorder="1" applyProtection="1">
      <protection locked="0"/>
    </xf>
    <xf numFmtId="0" fontId="9" fillId="0" borderId="0" xfId="0" applyFont="1" applyBorder="1"/>
    <xf numFmtId="165" fontId="5" fillId="0" borderId="0" xfId="1" applyNumberFormat="1" applyFont="1" applyBorder="1" applyProtection="1">
      <protection locked="0"/>
    </xf>
    <xf numFmtId="0" fontId="12" fillId="0" borderId="0" xfId="0" applyFont="1" applyFill="1" applyBorder="1"/>
    <xf numFmtId="0" fontId="3" fillId="0" borderId="0" xfId="0" quotePrefix="1" applyFont="1" applyBorder="1" applyAlignment="1">
      <alignment horizontal="fill"/>
    </xf>
    <xf numFmtId="0" fontId="3" fillId="0" borderId="0" xfId="0" quotePrefix="1" applyFont="1" applyFill="1" applyBorder="1" applyAlignment="1">
      <alignment horizontal="fill"/>
    </xf>
    <xf numFmtId="0" fontId="5" fillId="0" borderId="0" xfId="0" applyFont="1" applyBorder="1" applyAlignment="1">
      <alignment horizontal="left"/>
    </xf>
    <xf numFmtId="0" fontId="26" fillId="0" borderId="0" xfId="0" applyFont="1" applyBorder="1"/>
    <xf numFmtId="0" fontId="26" fillId="0" borderId="0" xfId="0" applyFont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25" xfId="0" applyFont="1" applyFill="1" applyBorder="1" applyAlignment="1">
      <alignment horizontal="left"/>
    </xf>
    <xf numFmtId="165" fontId="5" fillId="2" borderId="25" xfId="1" applyNumberFormat="1" applyFont="1" applyFill="1" applyBorder="1" applyProtection="1">
      <protection locked="0"/>
    </xf>
    <xf numFmtId="165" fontId="5" fillId="2" borderId="26" xfId="1" applyNumberFormat="1" applyFont="1" applyFill="1" applyBorder="1" applyProtection="1">
      <protection locked="0"/>
    </xf>
    <xf numFmtId="165" fontId="5" fillId="0" borderId="27" xfId="1" applyNumberFormat="1" applyFont="1" applyFill="1" applyBorder="1" applyProtection="1">
      <protection locked="0"/>
    </xf>
    <xf numFmtId="0" fontId="12" fillId="0" borderId="0" xfId="0" applyFont="1" applyFill="1" applyBorder="1" applyAlignment="1">
      <alignment horizontal="right"/>
    </xf>
    <xf numFmtId="166" fontId="3" fillId="0" borderId="0" xfId="6" applyNumberFormat="1" applyFont="1" applyFill="1" applyBorder="1" applyAlignment="1" applyProtection="1">
      <alignment horizontal="right"/>
      <protection locked="0"/>
    </xf>
    <xf numFmtId="43" fontId="3" fillId="0" borderId="0" xfId="0" applyNumberFormat="1" applyFont="1"/>
    <xf numFmtId="0" fontId="5" fillId="2" borderId="24" xfId="0" applyFont="1" applyFill="1" applyBorder="1"/>
    <xf numFmtId="0" fontId="5" fillId="2" borderId="25" xfId="0" applyFont="1" applyFill="1" applyBorder="1"/>
    <xf numFmtId="0" fontId="5" fillId="2" borderId="0" xfId="0" applyFont="1" applyFill="1" applyBorder="1"/>
    <xf numFmtId="0" fontId="5" fillId="2" borderId="2" xfId="0" applyFont="1" applyFill="1" applyBorder="1" applyAlignment="1">
      <alignment horizontal="center"/>
    </xf>
    <xf numFmtId="165" fontId="3" fillId="0" borderId="15" xfId="1" quotePrefix="1" applyNumberFormat="1" applyFont="1" applyFill="1" applyBorder="1" applyAlignment="1">
      <alignment horizontal="center"/>
    </xf>
    <xf numFmtId="165" fontId="3" fillId="0" borderId="15" xfId="1" applyNumberFormat="1" applyFont="1" applyFill="1" applyBorder="1"/>
    <xf numFmtId="165" fontId="3" fillId="0" borderId="0" xfId="0" applyNumberFormat="1" applyFont="1" applyFill="1"/>
    <xf numFmtId="165" fontId="27" fillId="0" borderId="0" xfId="1" quotePrefix="1" applyNumberFormat="1" applyFont="1" applyFill="1" applyBorder="1" applyAlignment="1">
      <alignment horizontal="center"/>
    </xf>
    <xf numFmtId="165" fontId="13" fillId="0" borderId="0" xfId="0" applyNumberFormat="1" applyFont="1"/>
    <xf numFmtId="165" fontId="13" fillId="0" borderId="0" xfId="1" quotePrefix="1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165" fontId="5" fillId="0" borderId="0" xfId="1" applyNumberFormat="1" applyFont="1" applyFill="1" applyBorder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Fill="1"/>
    <xf numFmtId="0" fontId="3" fillId="2" borderId="21" xfId="0" applyFont="1" applyFill="1" applyBorder="1"/>
    <xf numFmtId="165" fontId="13" fillId="0" borderId="0" xfId="0" applyNumberFormat="1" applyFont="1" applyFill="1"/>
    <xf numFmtId="0" fontId="5" fillId="2" borderId="18" xfId="0" quotePrefix="1" applyFont="1" applyFill="1" applyBorder="1" applyAlignment="1">
      <alignment horizontal="left"/>
    </xf>
    <xf numFmtId="0" fontId="5" fillId="2" borderId="15" xfId="0" applyFont="1" applyFill="1" applyBorder="1"/>
    <xf numFmtId="0" fontId="5" fillId="2" borderId="15" xfId="0" applyFont="1" applyFill="1" applyBorder="1" applyAlignment="1">
      <alignment horizontal="center"/>
    </xf>
    <xf numFmtId="165" fontId="5" fillId="2" borderId="15" xfId="1" applyNumberFormat="1" applyFont="1" applyFill="1" applyBorder="1"/>
    <xf numFmtId="165" fontId="5" fillId="2" borderId="19" xfId="0" applyNumberFormat="1" applyFont="1" applyFill="1" applyBorder="1"/>
    <xf numFmtId="165" fontId="5" fillId="0" borderId="1" xfId="1" applyNumberFormat="1" applyFont="1" applyFill="1" applyBorder="1"/>
    <xf numFmtId="0" fontId="5" fillId="2" borderId="22" xfId="0" quotePrefix="1" applyFont="1" applyFill="1" applyBorder="1" applyAlignment="1">
      <alignment horizontal="left"/>
    </xf>
    <xf numFmtId="0" fontId="5" fillId="2" borderId="16" xfId="0" applyFont="1" applyFill="1" applyBorder="1"/>
    <xf numFmtId="0" fontId="5" fillId="2" borderId="16" xfId="0" applyFont="1" applyFill="1" applyBorder="1" applyAlignment="1">
      <alignment horizontal="center"/>
    </xf>
    <xf numFmtId="165" fontId="5" fillId="2" borderId="16" xfId="1" applyNumberFormat="1" applyFont="1" applyFill="1" applyBorder="1"/>
    <xf numFmtId="165" fontId="5" fillId="2" borderId="23" xfId="0" applyNumberFormat="1" applyFont="1" applyFill="1" applyBorder="1"/>
    <xf numFmtId="165" fontId="5" fillId="0" borderId="3" xfId="1" applyNumberFormat="1" applyFont="1" applyFill="1" applyBorder="1"/>
    <xf numFmtId="0" fontId="3" fillId="0" borderId="15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165" fontId="5" fillId="2" borderId="25" xfId="0" applyNumberFormat="1" applyFont="1" applyFill="1" applyBorder="1"/>
    <xf numFmtId="165" fontId="5" fillId="0" borderId="27" xfId="0" applyNumberFormat="1" applyFont="1" applyFill="1" applyBorder="1"/>
    <xf numFmtId="0" fontId="5" fillId="2" borderId="18" xfId="0" applyFont="1" applyFill="1" applyBorder="1"/>
    <xf numFmtId="0" fontId="5" fillId="2" borderId="15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165" fontId="5" fillId="2" borderId="0" xfId="1" applyNumberFormat="1" applyFont="1" applyFill="1" applyBorder="1"/>
    <xf numFmtId="165" fontId="5" fillId="2" borderId="21" xfId="1" applyNumberFormat="1" applyFont="1" applyFill="1" applyBorder="1"/>
    <xf numFmtId="165" fontId="5" fillId="0" borderId="2" xfId="1" applyNumberFormat="1" applyFont="1" applyFill="1" applyBorder="1"/>
    <xf numFmtId="165" fontId="5" fillId="2" borderId="21" xfId="0" applyNumberFormat="1" applyFont="1" applyFill="1" applyBorder="1"/>
    <xf numFmtId="0" fontId="5" fillId="2" borderId="22" xfId="0" applyFont="1" applyFill="1" applyBorder="1"/>
    <xf numFmtId="0" fontId="5" fillId="2" borderId="16" xfId="0" applyFont="1" applyFill="1" applyBorder="1" applyAlignment="1">
      <alignment horizontal="right"/>
    </xf>
    <xf numFmtId="165" fontId="5" fillId="2" borderId="15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5" fillId="2" borderId="25" xfId="0" applyFont="1" applyFill="1" applyBorder="1" applyAlignment="1">
      <alignment horizontal="right"/>
    </xf>
    <xf numFmtId="0" fontId="3" fillId="0" borderId="0" xfId="0" applyFont="1" applyBorder="1" applyProtection="1">
      <protection locked="0"/>
    </xf>
    <xf numFmtId="0" fontId="3" fillId="0" borderId="15" xfId="0" applyFont="1" applyFill="1" applyBorder="1" applyProtection="1">
      <protection locked="0"/>
    </xf>
    <xf numFmtId="0" fontId="5" fillId="0" borderId="0" xfId="0" quotePrefix="1" applyFont="1" applyFill="1" applyBorder="1" applyAlignment="1" applyProtection="1">
      <alignment horizontal="left"/>
      <protection locked="0"/>
    </xf>
    <xf numFmtId="0" fontId="5" fillId="2" borderId="24" xfId="0" applyFont="1" applyFill="1" applyBorder="1" applyProtection="1">
      <protection locked="0"/>
    </xf>
    <xf numFmtId="0" fontId="5" fillId="2" borderId="25" xfId="0" applyFont="1" applyFill="1" applyBorder="1" applyProtection="1">
      <protection locked="0"/>
    </xf>
    <xf numFmtId="165" fontId="5" fillId="2" borderId="25" xfId="1" applyNumberFormat="1" applyFont="1" applyFill="1" applyBorder="1" applyAlignment="1" applyProtection="1">
      <alignment horizontal="center"/>
      <protection locked="0"/>
    </xf>
    <xf numFmtId="165" fontId="5" fillId="0" borderId="0" xfId="1" applyNumberFormat="1" applyFont="1" applyFill="1" applyBorder="1" applyAlignment="1" applyProtection="1">
      <alignment horizontal="right"/>
      <protection locked="0"/>
    </xf>
    <xf numFmtId="165" fontId="3" fillId="0" borderId="0" xfId="1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horizontal="right"/>
      <protection locked="0"/>
    </xf>
    <xf numFmtId="0" fontId="5" fillId="2" borderId="24" xfId="0" applyFont="1" applyFill="1" applyBorder="1" applyAlignment="1" applyProtection="1">
      <alignment horizontal="left"/>
      <protection locked="0"/>
    </xf>
    <xf numFmtId="165" fontId="5" fillId="2" borderId="25" xfId="1" applyNumberFormat="1" applyFont="1" applyFill="1" applyBorder="1" applyAlignment="1" applyProtection="1">
      <alignment horizontal="right"/>
      <protection locked="0"/>
    </xf>
    <xf numFmtId="165" fontId="5" fillId="0" borderId="27" xfId="1" applyNumberFormat="1" applyFont="1" applyFill="1" applyBorder="1" applyAlignment="1" applyProtection="1">
      <alignment horizontal="right"/>
      <protection locked="0"/>
    </xf>
    <xf numFmtId="165" fontId="3" fillId="0" borderId="0" xfId="0" applyNumberFormat="1" applyFont="1" applyFill="1" applyBorder="1" applyAlignment="1" applyProtection="1">
      <alignment horizontal="right"/>
      <protection locked="0"/>
    </xf>
    <xf numFmtId="0" fontId="6" fillId="0" borderId="0" xfId="0" applyFont="1"/>
    <xf numFmtId="165" fontId="3" fillId="0" borderId="0" xfId="1" quotePrefix="1" applyNumberFormat="1" applyFont="1" applyFill="1" applyBorder="1" applyAlignment="1" applyProtection="1">
      <alignment horizontal="center"/>
      <protection locked="0"/>
    </xf>
    <xf numFmtId="165" fontId="3" fillId="0" borderId="0" xfId="0" applyNumberFormat="1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10" fontId="28" fillId="0" borderId="0" xfId="6" applyNumberFormat="1" applyFont="1" applyFill="1" applyBorder="1" applyProtection="1">
      <protection locked="0"/>
    </xf>
    <xf numFmtId="10" fontId="3" fillId="0" borderId="0" xfId="6" applyNumberFormat="1" applyFont="1" applyFill="1" applyBorder="1" applyProtection="1">
      <protection locked="0"/>
    </xf>
    <xf numFmtId="165" fontId="15" fillId="0" borderId="0" xfId="1" applyNumberFormat="1" applyFont="1" applyFill="1" applyBorder="1" applyProtection="1">
      <protection locked="0"/>
    </xf>
    <xf numFmtId="165" fontId="11" fillId="0" borderId="0" xfId="1" applyNumberFormat="1" applyFont="1" applyFill="1" applyBorder="1" applyProtection="1">
      <protection locked="0"/>
    </xf>
    <xf numFmtId="10" fontId="17" fillId="0" borderId="0" xfId="6" applyNumberFormat="1" applyFont="1" applyFill="1" applyBorder="1" applyProtection="1">
      <protection locked="0"/>
    </xf>
    <xf numFmtId="10" fontId="5" fillId="0" borderId="0" xfId="6" applyNumberFormat="1" applyFont="1" applyFill="1" applyBorder="1" applyProtection="1">
      <protection locked="0"/>
    </xf>
    <xf numFmtId="165" fontId="5" fillId="0" borderId="0" xfId="1" quotePrefix="1" applyNumberFormat="1" applyFont="1" applyFill="1" applyBorder="1" applyAlignment="1" applyProtection="1">
      <alignment horizontal="center"/>
      <protection locked="0"/>
    </xf>
    <xf numFmtId="165" fontId="5" fillId="2" borderId="24" xfId="1" applyNumberFormat="1" applyFont="1" applyFill="1" applyBorder="1" applyProtection="1">
      <protection locked="0"/>
    </xf>
    <xf numFmtId="0" fontId="6" fillId="0" borderId="0" xfId="0" applyFont="1" applyFill="1" applyBorder="1" applyProtection="1">
      <protection locked="0"/>
    </xf>
    <xf numFmtId="165" fontId="3" fillId="0" borderId="0" xfId="1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Protection="1">
      <protection locked="0"/>
    </xf>
    <xf numFmtId="165" fontId="5" fillId="2" borderId="25" xfId="1" quotePrefix="1" applyNumberFormat="1" applyFont="1" applyFill="1" applyBorder="1" applyAlignment="1">
      <alignment horizontal="center"/>
    </xf>
    <xf numFmtId="165" fontId="5" fillId="2" borderId="26" xfId="1" quotePrefix="1" applyNumberFormat="1" applyFont="1" applyFill="1" applyBorder="1" applyAlignment="1">
      <alignment horizontal="center"/>
    </xf>
    <xf numFmtId="0" fontId="5" fillId="0" borderId="25" xfId="0" applyFont="1" applyFill="1" applyBorder="1" applyProtection="1">
      <protection locked="0"/>
    </xf>
    <xf numFmtId="165" fontId="5" fillId="0" borderId="0" xfId="1" quotePrefix="1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/>
    <xf numFmtId="166" fontId="3" fillId="0" borderId="0" xfId="6" applyNumberFormat="1" applyFont="1" applyFill="1" applyBorder="1" applyProtection="1">
      <protection locked="0"/>
    </xf>
    <xf numFmtId="0" fontId="11" fillId="0" borderId="0" xfId="0" applyFont="1" applyFill="1" applyBorder="1"/>
    <xf numFmtId="0" fontId="7" fillId="0" borderId="0" xfId="0" applyFont="1"/>
    <xf numFmtId="0" fontId="1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65" fontId="0" fillId="0" borderId="0" xfId="0" applyNumberFormat="1"/>
    <xf numFmtId="10" fontId="3" fillId="0" borderId="0" xfId="6" applyNumberFormat="1" applyFont="1" applyBorder="1" applyProtection="1">
      <protection locked="0"/>
    </xf>
    <xf numFmtId="0" fontId="5" fillId="2" borderId="25" xfId="0" quotePrefix="1" applyFont="1" applyFill="1" applyBorder="1" applyAlignment="1">
      <alignment horizontal="left"/>
    </xf>
    <xf numFmtId="37" fontId="3" fillId="0" borderId="15" xfId="0" quotePrefix="1" applyNumberFormat="1" applyFont="1" applyFill="1" applyBorder="1" applyAlignment="1">
      <alignment horizontal="center"/>
    </xf>
    <xf numFmtId="165" fontId="5" fillId="2" borderId="25" xfId="1" applyNumberFormat="1" applyFont="1" applyFill="1" applyBorder="1" applyAlignment="1">
      <alignment horizontal="center"/>
    </xf>
    <xf numFmtId="165" fontId="3" fillId="0" borderId="27" xfId="1" applyNumberFormat="1" applyFont="1" applyBorder="1"/>
    <xf numFmtId="0" fontId="3" fillId="0" borderId="0" xfId="0" quotePrefix="1" applyFont="1" applyFill="1" applyBorder="1" applyAlignment="1" applyProtection="1">
      <alignment horizontal="left"/>
      <protection locked="0"/>
    </xf>
    <xf numFmtId="165" fontId="30" fillId="0" borderId="0" xfId="1" quotePrefix="1" applyNumberFormat="1" applyFont="1" applyFill="1" applyBorder="1" applyAlignment="1">
      <alignment horizontal="center"/>
    </xf>
    <xf numFmtId="166" fontId="28" fillId="0" borderId="0" xfId="6" applyNumberFormat="1" applyFont="1" applyFill="1" applyBorder="1"/>
    <xf numFmtId="165" fontId="5" fillId="0" borderId="0" xfId="1" applyNumberFormat="1" applyFont="1" applyFill="1" applyBorder="1" applyAlignment="1">
      <alignment horizontal="right"/>
    </xf>
    <xf numFmtId="165" fontId="5" fillId="2" borderId="26" xfId="1" applyNumberFormat="1" applyFont="1" applyFill="1" applyBorder="1"/>
    <xf numFmtId="10" fontId="17" fillId="0" borderId="0" xfId="6" applyNumberFormat="1" applyFont="1" applyFill="1" applyBorder="1"/>
    <xf numFmtId="0" fontId="31" fillId="0" borderId="0" xfId="0" applyFont="1"/>
    <xf numFmtId="0" fontId="31" fillId="0" borderId="0" xfId="0" applyFont="1" applyFill="1" applyBorder="1"/>
    <xf numFmtId="0" fontId="32" fillId="0" borderId="0" xfId="0" applyFont="1"/>
    <xf numFmtId="10" fontId="28" fillId="0" borderId="0" xfId="6" applyNumberFormat="1" applyFont="1" applyFill="1" applyBorder="1"/>
    <xf numFmtId="0" fontId="0" fillId="0" borderId="0" xfId="0" applyFill="1"/>
    <xf numFmtId="37" fontId="3" fillId="0" borderId="0" xfId="0" quotePrefix="1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right"/>
    </xf>
    <xf numFmtId="0" fontId="3" fillId="2" borderId="20" xfId="0" applyFont="1" applyFill="1" applyBorder="1"/>
    <xf numFmtId="0" fontId="3" fillId="2" borderId="0" xfId="0" applyFont="1" applyFill="1" applyBorder="1"/>
    <xf numFmtId="0" fontId="3" fillId="0" borderId="2" xfId="0" applyFont="1" applyFill="1" applyBorder="1"/>
    <xf numFmtId="165" fontId="3" fillId="0" borderId="0" xfId="1" applyNumberFormat="1" applyFont="1"/>
    <xf numFmtId="0" fontId="3" fillId="2" borderId="18" xfId="0" applyFont="1" applyFill="1" applyBorder="1" applyAlignment="1">
      <alignment horizontal="centerContinuous"/>
    </xf>
    <xf numFmtId="0" fontId="3" fillId="2" borderId="19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5" fillId="2" borderId="26" xfId="0" quotePrefix="1" applyFont="1" applyFill="1" applyBorder="1" applyAlignment="1">
      <alignment horizontal="center"/>
    </xf>
    <xf numFmtId="0" fontId="5" fillId="0" borderId="18" xfId="0" applyFont="1" applyFill="1" applyBorder="1"/>
    <xf numFmtId="0" fontId="0" fillId="0" borderId="15" xfId="0" applyFill="1" applyBorder="1"/>
    <xf numFmtId="165" fontId="5" fillId="0" borderId="15" xfId="1" applyNumberFormat="1" applyFont="1" applyFill="1" applyBorder="1" applyProtection="1">
      <protection locked="0"/>
    </xf>
    <xf numFmtId="0" fontId="0" fillId="0" borderId="19" xfId="0" applyFill="1" applyBorder="1"/>
    <xf numFmtId="165" fontId="5" fillId="0" borderId="19" xfId="1" applyNumberFormat="1" applyFont="1" applyFill="1" applyBorder="1" applyProtection="1">
      <protection locked="0"/>
    </xf>
    <xf numFmtId="0" fontId="3" fillId="0" borderId="20" xfId="0" applyFont="1" applyFill="1" applyBorder="1"/>
    <xf numFmtId="0" fontId="0" fillId="0" borderId="0" xfId="0" applyFill="1" applyBorder="1"/>
    <xf numFmtId="0" fontId="0" fillId="0" borderId="21" xfId="0" applyFill="1" applyBorder="1"/>
    <xf numFmtId="0" fontId="5" fillId="0" borderId="20" xfId="0" applyFont="1" applyFill="1" applyBorder="1" applyAlignment="1">
      <alignment horizontal="left"/>
    </xf>
    <xf numFmtId="0" fontId="5" fillId="0" borderId="21" xfId="0" quotePrefix="1" applyFont="1" applyFill="1" applyBorder="1" applyAlignment="1">
      <alignment horizontal="center"/>
    </xf>
    <xf numFmtId="165" fontId="5" fillId="0" borderId="21" xfId="0" applyNumberFormat="1" applyFont="1" applyFill="1" applyBorder="1"/>
    <xf numFmtId="165" fontId="3" fillId="0" borderId="21" xfId="0" applyNumberFormat="1" applyFont="1" applyFill="1" applyBorder="1"/>
    <xf numFmtId="0" fontId="5" fillId="0" borderId="22" xfId="0" applyFont="1" applyFill="1" applyBorder="1" applyAlignment="1">
      <alignment horizontal="left"/>
    </xf>
    <xf numFmtId="0" fontId="5" fillId="0" borderId="16" xfId="0" quotePrefix="1" applyFont="1" applyFill="1" applyBorder="1" applyAlignment="1">
      <alignment horizontal="center"/>
    </xf>
    <xf numFmtId="165" fontId="5" fillId="0" borderId="16" xfId="1" applyNumberFormat="1" applyFont="1" applyFill="1" applyBorder="1"/>
    <xf numFmtId="0" fontId="5" fillId="0" borderId="23" xfId="0" quotePrefix="1" applyFont="1" applyFill="1" applyBorder="1" applyAlignment="1">
      <alignment horizontal="center"/>
    </xf>
    <xf numFmtId="165" fontId="5" fillId="0" borderId="23" xfId="0" applyNumberFormat="1" applyFont="1" applyFill="1" applyBorder="1"/>
    <xf numFmtId="0" fontId="9" fillId="0" borderId="0" xfId="0" applyFont="1" applyFill="1" applyBorder="1" applyAlignment="1">
      <alignment horizontal="center"/>
    </xf>
    <xf numFmtId="0" fontId="5" fillId="0" borderId="18" xfId="0" applyFont="1" applyBorder="1"/>
    <xf numFmtId="0" fontId="0" fillId="0" borderId="15" xfId="0" applyBorder="1"/>
    <xf numFmtId="165" fontId="5" fillId="0" borderId="15" xfId="1" applyNumberFormat="1" applyFont="1" applyBorder="1" applyProtection="1">
      <protection locked="0"/>
    </xf>
    <xf numFmtId="0" fontId="0" fillId="0" borderId="18" xfId="0" applyBorder="1"/>
    <xf numFmtId="165" fontId="5" fillId="0" borderId="19" xfId="1" applyNumberFormat="1" applyFont="1" applyBorder="1" applyProtection="1">
      <protection locked="0"/>
    </xf>
    <xf numFmtId="0" fontId="3" fillId="0" borderId="20" xfId="0" applyFont="1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5" fillId="0" borderId="20" xfId="0" applyFont="1" applyBorder="1"/>
    <xf numFmtId="165" fontId="5" fillId="0" borderId="21" xfId="1" applyNumberFormat="1" applyFont="1" applyBorder="1" applyProtection="1">
      <protection locked="0"/>
    </xf>
    <xf numFmtId="0" fontId="5" fillId="0" borderId="22" xfId="0" applyFont="1" applyBorder="1"/>
    <xf numFmtId="0" fontId="0" fillId="0" borderId="16" xfId="0" applyBorder="1"/>
    <xf numFmtId="166" fontId="5" fillId="0" borderId="16" xfId="6" applyNumberFormat="1" applyFont="1" applyFill="1" applyBorder="1" applyAlignment="1" applyProtection="1">
      <alignment horizontal="right"/>
      <protection locked="0"/>
    </xf>
    <xf numFmtId="0" fontId="6" fillId="0" borderId="16" xfId="0" applyFont="1" applyBorder="1"/>
    <xf numFmtId="0" fontId="6" fillId="0" borderId="22" xfId="0" applyFont="1" applyBorder="1"/>
    <xf numFmtId="166" fontId="5" fillId="0" borderId="23" xfId="6" applyNumberFormat="1" applyFont="1" applyFill="1" applyBorder="1" applyAlignment="1" applyProtection="1">
      <alignment horizontal="right"/>
      <protection locked="0"/>
    </xf>
    <xf numFmtId="0" fontId="3" fillId="0" borderId="6" xfId="0" applyFont="1" applyFill="1" applyBorder="1" applyAlignment="1">
      <alignment horizontal="center"/>
    </xf>
    <xf numFmtId="41" fontId="3" fillId="0" borderId="0" xfId="0" applyNumberFormat="1" applyFont="1" applyFill="1" applyBorder="1" applyAlignment="1" applyProtection="1">
      <alignment horizontal="center"/>
      <protection locked="0"/>
    </xf>
    <xf numFmtId="41" fontId="3" fillId="0" borderId="10" xfId="0" applyNumberFormat="1" applyFont="1" applyFill="1" applyBorder="1" applyAlignment="1" applyProtection="1">
      <alignment horizontal="center"/>
      <protection locked="0"/>
    </xf>
    <xf numFmtId="0" fontId="3" fillId="0" borderId="8" xfId="0" applyFont="1" applyBorder="1"/>
    <xf numFmtId="0" fontId="5" fillId="2" borderId="1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5" fillId="2" borderId="18" xfId="1" applyNumberFormat="1" applyFont="1" applyFill="1" applyBorder="1"/>
    <xf numFmtId="0" fontId="5" fillId="2" borderId="2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5" fontId="5" fillId="2" borderId="22" xfId="1" applyNumberFormat="1" applyFont="1" applyFill="1" applyBorder="1"/>
    <xf numFmtId="165" fontId="5" fillId="2" borderId="23" xfId="1" applyNumberFormat="1" applyFont="1" applyFill="1" applyBorder="1"/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165" fontId="5" fillId="2" borderId="24" xfId="1" applyNumberFormat="1" applyFont="1" applyFill="1" applyBorder="1"/>
    <xf numFmtId="165" fontId="5" fillId="2" borderId="24" xfId="0" applyNumberFormat="1" applyFont="1" applyFill="1" applyBorder="1"/>
    <xf numFmtId="0" fontId="5" fillId="2" borderId="19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2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2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165" fontId="5" fillId="2" borderId="18" xfId="0" applyNumberFormat="1" applyFont="1" applyFill="1" applyBorder="1"/>
    <xf numFmtId="0" fontId="5" fillId="2" borderId="26" xfId="0" applyFont="1" applyFill="1" applyBorder="1" applyAlignment="1">
      <alignment horizontal="right"/>
    </xf>
    <xf numFmtId="0" fontId="5" fillId="2" borderId="27" xfId="0" applyFont="1" applyFill="1" applyBorder="1" applyAlignment="1">
      <alignment horizontal="right"/>
    </xf>
    <xf numFmtId="165" fontId="5" fillId="2" borderId="26" xfId="1" applyNumberFormat="1" applyFont="1" applyFill="1" applyBorder="1" applyAlignment="1" applyProtection="1">
      <alignment horizontal="center"/>
      <protection locked="0"/>
    </xf>
    <xf numFmtId="165" fontId="5" fillId="2" borderId="27" xfId="1" applyNumberFormat="1" applyFont="1" applyFill="1" applyBorder="1" applyAlignment="1" applyProtection="1">
      <alignment horizontal="center"/>
      <protection locked="0"/>
    </xf>
    <xf numFmtId="165" fontId="5" fillId="0" borderId="10" xfId="1" applyNumberFormat="1" applyFont="1" applyFill="1" applyBorder="1" applyAlignment="1" applyProtection="1">
      <alignment horizontal="center"/>
      <protection locked="0"/>
    </xf>
    <xf numFmtId="165" fontId="5" fillId="2" borderId="24" xfId="1" applyNumberFormat="1" applyFont="1" applyFill="1" applyBorder="1" applyAlignment="1" applyProtection="1">
      <alignment horizontal="right"/>
      <protection locked="0"/>
    </xf>
    <xf numFmtId="165" fontId="5" fillId="2" borderId="26" xfId="1" applyNumberFormat="1" applyFont="1" applyFill="1" applyBorder="1" applyAlignment="1" applyProtection="1">
      <alignment horizontal="right"/>
      <protection locked="0"/>
    </xf>
    <xf numFmtId="165" fontId="3" fillId="0" borderId="11" xfId="1" applyNumberFormat="1" applyFont="1" applyFill="1" applyBorder="1" applyProtection="1">
      <protection locked="0"/>
    </xf>
    <xf numFmtId="165" fontId="3" fillId="0" borderId="8" xfId="1" applyNumberFormat="1" applyFont="1" applyFill="1" applyBorder="1" applyProtection="1">
      <protection locked="0"/>
    </xf>
    <xf numFmtId="0" fontId="5" fillId="2" borderId="26" xfId="0" applyFont="1" applyFill="1" applyBorder="1" applyProtection="1">
      <protection locked="0"/>
    </xf>
    <xf numFmtId="165" fontId="5" fillId="2" borderId="24" xfId="1" quotePrefix="1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65" fontId="5" fillId="2" borderId="26" xfId="1" applyNumberFormat="1" applyFont="1" applyFill="1" applyBorder="1" applyAlignment="1">
      <alignment horizontal="center"/>
    </xf>
    <xf numFmtId="165" fontId="5" fillId="2" borderId="27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8" xfId="0" applyFont="1" applyFill="1" applyBorder="1"/>
    <xf numFmtId="0" fontId="3" fillId="2" borderId="15" xfId="0" applyFont="1" applyFill="1" applyBorder="1"/>
    <xf numFmtId="0" fontId="5" fillId="2" borderId="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65" fontId="3" fillId="3" borderId="0" xfId="1" quotePrefix="1" applyNumberFormat="1" applyFont="1" applyFill="1" applyBorder="1" applyAlignment="1">
      <alignment horizontal="center"/>
    </xf>
    <xf numFmtId="0" fontId="3" fillId="0" borderId="17" xfId="0" applyFont="1" applyFill="1" applyBorder="1"/>
    <xf numFmtId="168" fontId="3" fillId="0" borderId="0" xfId="0" applyNumberFormat="1" applyFont="1"/>
    <xf numFmtId="41" fontId="3" fillId="0" borderId="17" xfId="0" applyNumberFormat="1" applyFont="1" applyFill="1" applyBorder="1"/>
    <xf numFmtId="41" fontId="3" fillId="0" borderId="17" xfId="1" applyNumberFormat="1" applyFont="1" applyFill="1" applyBorder="1"/>
    <xf numFmtId="41" fontId="3" fillId="0" borderId="0" xfId="0" applyNumberFormat="1" applyFont="1" applyFill="1" applyBorder="1"/>
    <xf numFmtId="41" fontId="3" fillId="0" borderId="0" xfId="0" applyNumberFormat="1" applyFont="1"/>
    <xf numFmtId="41" fontId="8" fillId="0" borderId="0" xfId="0" applyNumberFormat="1" applyFont="1"/>
    <xf numFmtId="0" fontId="0" fillId="0" borderId="18" xfId="0" applyFill="1" applyBorder="1"/>
    <xf numFmtId="0" fontId="0" fillId="0" borderId="20" xfId="0" applyFill="1" applyBorder="1"/>
    <xf numFmtId="0" fontId="5" fillId="0" borderId="20" xfId="0" quotePrefix="1" applyFont="1" applyFill="1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5" fillId="0" borderId="7" xfId="0" applyFont="1" applyFill="1" applyBorder="1" applyAlignment="1">
      <alignment horizontal="left"/>
    </xf>
    <xf numFmtId="165" fontId="5" fillId="0" borderId="8" xfId="1" applyNumberFormat="1" applyFont="1" applyFill="1" applyBorder="1"/>
    <xf numFmtId="0" fontId="5" fillId="0" borderId="7" xfId="0" applyFont="1" applyFill="1" applyBorder="1"/>
    <xf numFmtId="0" fontId="3" fillId="0" borderId="7" xfId="0" quotePrefix="1" applyFont="1" applyFill="1" applyBorder="1" applyAlignment="1">
      <alignment horizontal="left"/>
    </xf>
    <xf numFmtId="41" fontId="5" fillId="0" borderId="0" xfId="1" applyNumberFormat="1" applyFont="1" applyFill="1" applyBorder="1"/>
    <xf numFmtId="41" fontId="5" fillId="0" borderId="8" xfId="1" applyNumberFormat="1" applyFont="1" applyFill="1" applyBorder="1"/>
    <xf numFmtId="0" fontId="5" fillId="0" borderId="7" xfId="0" quotePrefix="1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165" fontId="5" fillId="0" borderId="10" xfId="1" applyNumberFormat="1" applyFont="1" applyFill="1" applyBorder="1"/>
    <xf numFmtId="165" fontId="5" fillId="0" borderId="11" xfId="1" applyNumberFormat="1" applyFont="1" applyFill="1" applyBorder="1"/>
    <xf numFmtId="0" fontId="5" fillId="0" borderId="4" xfId="0" quotePrefix="1" applyFont="1" applyFill="1" applyBorder="1" applyAlignment="1">
      <alignment horizontal="left"/>
    </xf>
    <xf numFmtId="41" fontId="5" fillId="0" borderId="5" xfId="1" applyNumberFormat="1" applyFont="1" applyFill="1" applyBorder="1"/>
    <xf numFmtId="165" fontId="5" fillId="0" borderId="5" xfId="1" applyNumberFormat="1" applyFont="1" applyFill="1" applyBorder="1"/>
    <xf numFmtId="165" fontId="5" fillId="0" borderId="6" xfId="1" applyNumberFormat="1" applyFont="1" applyFill="1" applyBorder="1"/>
    <xf numFmtId="10" fontId="3" fillId="0" borderId="8" xfId="6" applyNumberFormat="1" applyFont="1" applyFill="1" applyBorder="1"/>
    <xf numFmtId="10" fontId="3" fillId="0" borderId="10" xfId="6" applyNumberFormat="1" applyFont="1" applyFill="1" applyBorder="1"/>
    <xf numFmtId="10" fontId="3" fillId="0" borderId="11" xfId="6" applyNumberFormat="1" applyFont="1" applyFill="1" applyBorder="1"/>
    <xf numFmtId="0" fontId="5" fillId="0" borderId="4" xfId="0" applyFont="1" applyFill="1" applyBorder="1" applyAlignment="1">
      <alignment horizontal="left"/>
    </xf>
    <xf numFmtId="3" fontId="5" fillId="0" borderId="5" xfId="3" applyNumberFormat="1" applyFont="1" applyFill="1" applyBorder="1"/>
    <xf numFmtId="3" fontId="5" fillId="0" borderId="6" xfId="3" applyNumberFormat="1" applyFont="1" applyFill="1" applyBorder="1"/>
    <xf numFmtId="3" fontId="5" fillId="0" borderId="0" xfId="3" applyNumberFormat="1" applyFont="1" applyFill="1" applyBorder="1"/>
    <xf numFmtId="3" fontId="5" fillId="0" borderId="8" xfId="3" applyNumberFormat="1" applyFont="1" applyFill="1" applyBorder="1"/>
    <xf numFmtId="166" fontId="3" fillId="0" borderId="0" xfId="1" applyNumberFormat="1" applyFont="1" applyFill="1" applyBorder="1"/>
    <xf numFmtId="166" fontId="3" fillId="0" borderId="8" xfId="1" applyNumberFormat="1" applyFont="1" applyFill="1" applyBorder="1"/>
    <xf numFmtId="171" fontId="3" fillId="0" borderId="0" xfId="0" applyNumberFormat="1" applyFont="1" applyFill="1" applyBorder="1" applyAlignment="1">
      <alignment horizontal="right"/>
    </xf>
    <xf numFmtId="171" fontId="3" fillId="0" borderId="8" xfId="0" applyNumberFormat="1" applyFont="1" applyFill="1" applyBorder="1" applyAlignment="1">
      <alignment horizontal="right"/>
    </xf>
    <xf numFmtId="0" fontId="5" fillId="0" borderId="7" xfId="0" applyFont="1" applyBorder="1"/>
    <xf numFmtId="165" fontId="5" fillId="0" borderId="0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5" fillId="0" borderId="9" xfId="0" applyFont="1" applyBorder="1"/>
    <xf numFmtId="37" fontId="3" fillId="0" borderId="0" xfId="0" applyNumberFormat="1" applyFont="1" applyFill="1" applyBorder="1"/>
    <xf numFmtId="165" fontId="3" fillId="0" borderId="10" xfId="1" applyNumberFormat="1" applyFont="1" applyFill="1" applyBorder="1" applyProtection="1">
      <protection locked="0"/>
    </xf>
    <xf numFmtId="0" fontId="9" fillId="0" borderId="4" xfId="0" applyFont="1" applyFill="1" applyBorder="1" applyAlignment="1">
      <alignment horizontal="centerContinuous"/>
    </xf>
    <xf numFmtId="165" fontId="3" fillId="0" borderId="5" xfId="1" applyNumberFormat="1" applyFont="1" applyFill="1" applyBorder="1" applyAlignment="1" applyProtection="1">
      <alignment horizontal="centerContinuous"/>
      <protection locked="0"/>
    </xf>
    <xf numFmtId="165" fontId="3" fillId="0" borderId="6" xfId="1" applyNumberFormat="1" applyFont="1" applyFill="1" applyBorder="1" applyAlignment="1" applyProtection="1">
      <alignment horizontal="centerContinuous"/>
      <protection locked="0"/>
    </xf>
    <xf numFmtId="0" fontId="12" fillId="0" borderId="7" xfId="0" applyFont="1" applyFill="1" applyBorder="1" applyAlignment="1">
      <alignment horizontal="left"/>
    </xf>
    <xf numFmtId="166" fontId="3" fillId="0" borderId="8" xfId="6" applyNumberFormat="1" applyFont="1" applyFill="1" applyBorder="1" applyProtection="1">
      <protection locked="0"/>
    </xf>
    <xf numFmtId="0" fontId="3" fillId="0" borderId="9" xfId="0" applyFont="1" applyFill="1" applyBorder="1"/>
    <xf numFmtId="0" fontId="5" fillId="0" borderId="4" xfId="0" applyFont="1" applyFill="1" applyBorder="1" applyAlignment="1">
      <alignment horizontal="centerContinuous"/>
    </xf>
    <xf numFmtId="0" fontId="15" fillId="0" borderId="0" xfId="0" applyFont="1" applyFill="1" applyBorder="1"/>
    <xf numFmtId="37" fontId="3" fillId="0" borderId="0" xfId="3" applyNumberFormat="1" applyFont="1" applyFill="1" applyBorder="1"/>
    <xf numFmtId="37" fontId="15" fillId="0" borderId="0" xfId="3" applyNumberFormat="1" applyFont="1" applyFill="1" applyBorder="1"/>
    <xf numFmtId="37" fontId="5" fillId="0" borderId="0" xfId="3" applyNumberFormat="1" applyFont="1" applyFill="1" applyBorder="1"/>
    <xf numFmtId="3" fontId="3" fillId="0" borderId="0" xfId="3" applyNumberFormat="1" applyFont="1" applyFill="1" applyBorder="1"/>
    <xf numFmtId="3" fontId="15" fillId="0" borderId="0" xfId="3" applyNumberFormat="1" applyFont="1" applyFill="1" applyBorder="1"/>
    <xf numFmtId="164" fontId="5" fillId="0" borderId="0" xfId="3" applyNumberFormat="1" applyFont="1" applyFill="1" applyBorder="1"/>
    <xf numFmtId="37" fontId="3" fillId="0" borderId="0" xfId="5" applyNumberFormat="1" applyFont="1" applyFill="1" applyBorder="1" applyProtection="1"/>
    <xf numFmtId="3" fontId="15" fillId="0" borderId="0" xfId="3" applyNumberFormat="1" applyFont="1" applyBorder="1" applyProtection="1"/>
    <xf numFmtId="37" fontId="15" fillId="0" borderId="0" xfId="5" applyNumberFormat="1" applyFont="1" applyFill="1" applyBorder="1" applyProtection="1"/>
    <xf numFmtId="3" fontId="5" fillId="0" borderId="0" xfId="3" applyNumberFormat="1" applyFont="1" applyBorder="1"/>
    <xf numFmtId="9" fontId="3" fillId="0" borderId="0" xfId="6" applyNumberFormat="1" applyFont="1" applyBorder="1"/>
    <xf numFmtId="165" fontId="3" fillId="0" borderId="0" xfId="5" applyNumberFormat="1" applyFont="1" applyBorder="1" applyProtection="1"/>
    <xf numFmtId="3" fontId="3" fillId="0" borderId="0" xfId="3" applyNumberFormat="1" applyFont="1" applyBorder="1" applyProtection="1"/>
    <xf numFmtId="172" fontId="5" fillId="0" borderId="0" xfId="3" applyNumberFormat="1" applyFont="1" applyBorder="1" applyProtection="1"/>
    <xf numFmtId="172" fontId="5" fillId="0" borderId="0" xfId="3" applyNumberFormat="1" applyFont="1" applyBorder="1"/>
    <xf numFmtId="172" fontId="5" fillId="0" borderId="0" xfId="3" applyNumberFormat="1" applyFont="1" applyFill="1" applyBorder="1"/>
    <xf numFmtId="166" fontId="5" fillId="0" borderId="0" xfId="6" applyNumberFormat="1" applyFont="1" applyFill="1" applyBorder="1"/>
    <xf numFmtId="167" fontId="5" fillId="0" borderId="0" xfId="1" applyNumberFormat="1" applyFont="1" applyFill="1" applyBorder="1"/>
    <xf numFmtId="0" fontId="3" fillId="0" borderId="0" xfId="4" applyFont="1"/>
    <xf numFmtId="0" fontId="3" fillId="0" borderId="1" xfId="4" applyFont="1" applyFill="1" applyBorder="1" applyAlignment="1">
      <alignment horizontal="center"/>
    </xf>
    <xf numFmtId="0" fontId="3" fillId="0" borderId="1" xfId="4" quotePrefix="1" applyFont="1" applyFill="1" applyBorder="1" applyAlignment="1">
      <alignment horizontal="center"/>
    </xf>
    <xf numFmtId="0" fontId="3" fillId="0" borderId="2" xfId="4" applyFont="1" applyFill="1" applyBorder="1" applyAlignment="1">
      <alignment horizontal="center"/>
    </xf>
    <xf numFmtId="0" fontId="3" fillId="0" borderId="2" xfId="4" quotePrefix="1" applyFont="1" applyFill="1" applyBorder="1" applyAlignment="1">
      <alignment horizontal="center"/>
    </xf>
    <xf numFmtId="0" fontId="3" fillId="0" borderId="3" xfId="4" applyFont="1" applyFill="1" applyBorder="1" applyAlignment="1">
      <alignment horizontal="center"/>
    </xf>
    <xf numFmtId="0" fontId="3" fillId="0" borderId="3" xfId="4" quotePrefix="1" applyFont="1" applyFill="1" applyBorder="1" applyAlignment="1">
      <alignment horizontal="center"/>
    </xf>
    <xf numFmtId="0" fontId="3" fillId="0" borderId="0" xfId="4" applyFont="1" applyBorder="1"/>
    <xf numFmtId="0" fontId="3" fillId="0" borderId="0" xfId="4" applyFont="1" applyFill="1" applyBorder="1"/>
    <xf numFmtId="165" fontId="3" fillId="0" borderId="0" xfId="2" applyNumberFormat="1" applyFont="1" applyFill="1" applyBorder="1" applyAlignment="1">
      <alignment horizontal="left"/>
    </xf>
    <xf numFmtId="0" fontId="3" fillId="0" borderId="0" xfId="4" applyFont="1" applyFill="1"/>
    <xf numFmtId="0" fontId="3" fillId="0" borderId="5" xfId="4" applyFont="1" applyFill="1" applyBorder="1"/>
    <xf numFmtId="165" fontId="3" fillId="0" borderId="5" xfId="2" applyNumberFormat="1" applyFont="1" applyFill="1" applyBorder="1" applyAlignment="1">
      <alignment horizontal="left"/>
    </xf>
    <xf numFmtId="165" fontId="3" fillId="0" borderId="6" xfId="2" applyNumberFormat="1" applyFont="1" applyFill="1" applyBorder="1" applyAlignment="1">
      <alignment horizontal="left"/>
    </xf>
    <xf numFmtId="0" fontId="3" fillId="0" borderId="7" xfId="4" applyFont="1" applyBorder="1" applyAlignment="1">
      <alignment horizontal="left"/>
    </xf>
    <xf numFmtId="165" fontId="3" fillId="0" borderId="0" xfId="2" applyNumberFormat="1" applyFont="1" applyFill="1" applyBorder="1"/>
    <xf numFmtId="165" fontId="3" fillId="0" borderId="8" xfId="2" applyNumberFormat="1" applyFont="1" applyFill="1" applyBorder="1"/>
    <xf numFmtId="0" fontId="3" fillId="0" borderId="7" xfId="4" applyFont="1" applyFill="1" applyBorder="1" applyAlignment="1">
      <alignment horizontal="left"/>
    </xf>
    <xf numFmtId="165" fontId="3" fillId="0" borderId="8" xfId="2" applyNumberFormat="1" applyFont="1" applyFill="1" applyBorder="1" applyAlignment="1">
      <alignment horizontal="left"/>
    </xf>
    <xf numFmtId="0" fontId="3" fillId="0" borderId="9" xfId="4" applyFont="1" applyFill="1" applyBorder="1" applyAlignment="1">
      <alignment horizontal="left"/>
    </xf>
    <xf numFmtId="0" fontId="3" fillId="0" borderId="10" xfId="4" applyFont="1" applyFill="1" applyBorder="1" applyAlignment="1">
      <alignment horizontal="left"/>
    </xf>
    <xf numFmtId="165" fontId="3" fillId="0" borderId="10" xfId="2" applyNumberFormat="1" applyFont="1" applyFill="1" applyBorder="1" applyAlignment="1">
      <alignment horizontal="left"/>
    </xf>
    <xf numFmtId="165" fontId="3" fillId="0" borderId="11" xfId="2" applyNumberFormat="1" applyFont="1" applyFill="1" applyBorder="1" applyAlignment="1">
      <alignment horizontal="left"/>
    </xf>
    <xf numFmtId="0" fontId="5" fillId="0" borderId="4" xfId="4" applyFont="1" applyBorder="1"/>
    <xf numFmtId="0" fontId="3" fillId="0" borderId="5" xfId="4" applyFont="1" applyBorder="1"/>
    <xf numFmtId="0" fontId="3" fillId="0" borderId="6" xfId="4" applyFont="1" applyFill="1" applyBorder="1"/>
    <xf numFmtId="0" fontId="3" fillId="0" borderId="7" xfId="4" applyFont="1" applyBorder="1"/>
    <xf numFmtId="0" fontId="3" fillId="0" borderId="9" xfId="4" applyFont="1" applyBorder="1"/>
    <xf numFmtId="0" fontId="3" fillId="0" borderId="10" xfId="4" applyFont="1" applyBorder="1"/>
    <xf numFmtId="0" fontId="0" fillId="0" borderId="5" xfId="0" applyBorder="1"/>
    <xf numFmtId="168" fontId="3" fillId="0" borderId="10" xfId="4" applyNumberFormat="1" applyFont="1" applyBorder="1"/>
    <xf numFmtId="168" fontId="3" fillId="3" borderId="10" xfId="4" applyNumberFormat="1" applyFont="1" applyFill="1" applyBorder="1"/>
    <xf numFmtId="168" fontId="3" fillId="3" borderId="11" xfId="4" applyNumberFormat="1" applyFont="1" applyFill="1" applyBorder="1"/>
    <xf numFmtId="165" fontId="8" fillId="0" borderId="28" xfId="3" applyNumberFormat="1" applyFont="1" applyBorder="1"/>
    <xf numFmtId="165" fontId="8" fillId="0" borderId="30" xfId="3" applyNumberFormat="1" applyFont="1" applyBorder="1"/>
    <xf numFmtId="165" fontId="8" fillId="0" borderId="29" xfId="3" applyNumberFormat="1" applyFont="1" applyBorder="1"/>
    <xf numFmtId="165" fontId="8" fillId="0" borderId="17" xfId="3" applyNumberFormat="1" applyFont="1" applyBorder="1"/>
    <xf numFmtId="0" fontId="5" fillId="0" borderId="0" xfId="0" applyFont="1" applyAlignment="1">
      <alignment horizontal="left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33" fillId="0" borderId="0" xfId="0" applyFont="1"/>
    <xf numFmtId="0" fontId="0" fillId="0" borderId="0" xfId="0" applyAlignment="1">
      <alignment horizontal="centerContinuous"/>
    </xf>
    <xf numFmtId="41" fontId="8" fillId="0" borderId="0" xfId="3" applyNumberFormat="1" applyFont="1" applyFill="1" applyBorder="1"/>
    <xf numFmtId="41" fontId="14" fillId="0" borderId="0" xfId="3" applyNumberFormat="1" applyFont="1" applyFill="1" applyBorder="1"/>
    <xf numFmtId="41" fontId="3" fillId="0" borderId="0" xfId="3" applyNumberFormat="1" applyFont="1" applyFill="1" applyBorder="1"/>
    <xf numFmtId="41" fontId="13" fillId="0" borderId="0" xfId="3" applyNumberFormat="1" applyFont="1" applyFill="1" applyBorder="1"/>
    <xf numFmtId="164" fontId="3" fillId="0" borderId="5" xfId="3" applyNumberFormat="1" applyFont="1" applyFill="1" applyBorder="1"/>
    <xf numFmtId="164" fontId="5" fillId="0" borderId="6" xfId="3" applyNumberFormat="1" applyFont="1" applyBorder="1"/>
    <xf numFmtId="164" fontId="5" fillId="0" borderId="8" xfId="3" applyNumberFormat="1" applyFont="1" applyBorder="1"/>
    <xf numFmtId="164" fontId="3" fillId="0" borderId="10" xfId="0" applyNumberFormat="1" applyFont="1" applyBorder="1"/>
    <xf numFmtId="164" fontId="5" fillId="0" borderId="11" xfId="3" applyNumberFormat="1" applyFont="1" applyBorder="1"/>
    <xf numFmtId="164" fontId="3" fillId="0" borderId="10" xfId="3" applyNumberFormat="1" applyFont="1" applyFill="1" applyBorder="1"/>
    <xf numFmtId="43" fontId="3" fillId="0" borderId="0" xfId="0" applyNumberFormat="1" applyFont="1" applyFill="1"/>
    <xf numFmtId="0" fontId="7" fillId="0" borderId="0" xfId="0" applyFont="1" applyFill="1"/>
    <xf numFmtId="0" fontId="31" fillId="0" borderId="0" xfId="0" applyFont="1" applyFill="1"/>
    <xf numFmtId="0" fontId="5" fillId="0" borderId="4" xfId="0" applyFont="1" applyBorder="1"/>
    <xf numFmtId="164" fontId="3" fillId="0" borderId="10" xfId="3" applyNumberFormat="1" applyFont="1" applyFill="1" applyBorder="1" applyAlignment="1">
      <alignment horizontal="right"/>
    </xf>
    <xf numFmtId="0" fontId="5" fillId="2" borderId="24" xfId="0" quotePrefix="1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18" xfId="0" applyFont="1" applyFill="1" applyBorder="1"/>
    <xf numFmtId="0" fontId="3" fillId="0" borderId="19" xfId="0" applyFont="1" applyFill="1" applyBorder="1"/>
    <xf numFmtId="41" fontId="13" fillId="0" borderId="0" xfId="1" applyNumberFormat="1" applyFont="1" applyFill="1" applyBorder="1" applyAlignment="1">
      <alignment horizontal="center"/>
    </xf>
    <xf numFmtId="41" fontId="13" fillId="0" borderId="0" xfId="0" applyNumberFormat="1" applyFont="1" applyBorder="1"/>
    <xf numFmtId="165" fontId="23" fillId="0" borderId="0" xfId="1" applyNumberFormat="1" applyFont="1" applyFill="1" applyBorder="1" applyAlignment="1">
      <alignment horizontal="center"/>
    </xf>
    <xf numFmtId="0" fontId="3" fillId="0" borderId="18" xfId="0" quotePrefix="1" applyFont="1" applyFill="1" applyBorder="1" applyAlignment="1">
      <alignment horizontal="center"/>
    </xf>
    <xf numFmtId="0" fontId="3" fillId="0" borderId="19" xfId="0" quotePrefix="1" applyFont="1" applyFill="1" applyBorder="1" applyAlignment="1">
      <alignment horizontal="center"/>
    </xf>
    <xf numFmtId="165" fontId="13" fillId="0" borderId="0" xfId="1" applyNumberFormat="1" applyFont="1" applyBorder="1"/>
    <xf numFmtId="0" fontId="34" fillId="0" borderId="0" xfId="0" applyFont="1" applyBorder="1"/>
    <xf numFmtId="0" fontId="15" fillId="0" borderId="0" xfId="0" quotePrefix="1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165" fontId="5" fillId="0" borderId="18" xfId="1" applyNumberFormat="1" applyFont="1" applyFill="1" applyBorder="1" applyProtection="1">
      <protection locked="0"/>
    </xf>
    <xf numFmtId="165" fontId="5" fillId="0" borderId="20" xfId="1" applyNumberFormat="1" applyFont="1" applyFill="1" applyBorder="1"/>
    <xf numFmtId="165" fontId="3" fillId="0" borderId="20" xfId="0" applyNumberFormat="1" applyFont="1" applyFill="1" applyBorder="1"/>
    <xf numFmtId="165" fontId="5" fillId="0" borderId="18" xfId="1" applyNumberFormat="1" applyFont="1" applyBorder="1" applyProtection="1">
      <protection locked="0"/>
    </xf>
    <xf numFmtId="166" fontId="5" fillId="0" borderId="22" xfId="6" applyNumberFormat="1" applyFont="1" applyFill="1" applyBorder="1" applyAlignment="1" applyProtection="1">
      <alignment horizontal="right"/>
      <protection locked="0"/>
    </xf>
    <xf numFmtId="165" fontId="5" fillId="2" borderId="19" xfId="1" applyNumberFormat="1" applyFont="1" applyFill="1" applyBorder="1"/>
    <xf numFmtId="165" fontId="5" fillId="2" borderId="20" xfId="1" applyNumberFormat="1" applyFont="1" applyFill="1" applyBorder="1"/>
    <xf numFmtId="165" fontId="5" fillId="2" borderId="24" xfId="1" applyNumberFormat="1" applyFont="1" applyFill="1" applyBorder="1" applyAlignment="1" applyProtection="1">
      <alignment horizontal="center"/>
      <protection locked="0"/>
    </xf>
    <xf numFmtId="0" fontId="0" fillId="0" borderId="6" xfId="0" applyBorder="1"/>
    <xf numFmtId="165" fontId="0" fillId="0" borderId="0" xfId="1" applyNumberFormat="1" applyFont="1" applyBorder="1"/>
    <xf numFmtId="0" fontId="1" fillId="0" borderId="0" xfId="0" applyFont="1" applyBorder="1"/>
    <xf numFmtId="0" fontId="1" fillId="0" borderId="0" xfId="0" quotePrefix="1" applyFont="1" applyBorder="1" applyAlignment="1"/>
    <xf numFmtId="0" fontId="1" fillId="0" borderId="0" xfId="0" applyFont="1" applyBorder="1" applyAlignment="1"/>
    <xf numFmtId="0" fontId="1" fillId="0" borderId="10" xfId="0" applyFont="1" applyBorder="1"/>
    <xf numFmtId="165" fontId="0" fillId="0" borderId="10" xfId="1" applyNumberFormat="1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/>
    </xf>
    <xf numFmtId="0" fontId="2" fillId="0" borderId="0" xfId="0" quotePrefix="1" applyFont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>
      <alignment horizontal="center"/>
    </xf>
    <xf numFmtId="0" fontId="38" fillId="0" borderId="0" xfId="0" applyFont="1"/>
    <xf numFmtId="0" fontId="25" fillId="0" borderId="0" xfId="0" applyFont="1" applyFill="1" applyBorder="1"/>
    <xf numFmtId="0" fontId="2" fillId="0" borderId="0" xfId="0" applyFont="1" applyAlignment="1">
      <alignment horizontal="centerContinuous"/>
    </xf>
    <xf numFmtId="0" fontId="25" fillId="0" borderId="0" xfId="0" quotePrefix="1" applyFont="1" applyFill="1" applyBorder="1" applyAlignment="1">
      <alignment horizontal="left"/>
    </xf>
    <xf numFmtId="165" fontId="25" fillId="0" borderId="0" xfId="1" applyNumberFormat="1" applyFont="1" applyFill="1" applyBorder="1"/>
    <xf numFmtId="0" fontId="25" fillId="0" borderId="0" xfId="0" applyFont="1" applyFill="1" applyBorder="1" applyAlignment="1">
      <alignment horizontal="left"/>
    </xf>
    <xf numFmtId="0" fontId="25" fillId="0" borderId="0" xfId="0" quotePrefix="1" applyFont="1" applyFill="1" applyBorder="1" applyAlignment="1">
      <alignment horizontal="left" indent="1"/>
    </xf>
    <xf numFmtId="0" fontId="25" fillId="0" borderId="0" xfId="0" applyFont="1" applyFill="1" applyBorder="1" applyAlignment="1">
      <alignment horizontal="left" indent="1"/>
    </xf>
    <xf numFmtId="0" fontId="38" fillId="0" borderId="0" xfId="0" applyFont="1" applyFill="1" applyBorder="1"/>
    <xf numFmtId="0" fontId="39" fillId="0" borderId="0" xfId="0" applyFont="1"/>
    <xf numFmtId="0" fontId="2" fillId="2" borderId="20" xfId="0" applyFont="1" applyFill="1" applyBorder="1" applyAlignment="1">
      <alignment horizontal="center"/>
    </xf>
    <xf numFmtId="165" fontId="2" fillId="0" borderId="0" xfId="1" applyNumberFormat="1" applyFont="1" applyFill="1" applyBorder="1"/>
    <xf numFmtId="0" fontId="5" fillId="0" borderId="12" xfId="4" applyFont="1" applyBorder="1"/>
    <xf numFmtId="0" fontId="3" fillId="0" borderId="13" xfId="4" applyFont="1" applyBorder="1"/>
    <xf numFmtId="165" fontId="3" fillId="0" borderId="13" xfId="2" applyNumberFormat="1" applyFont="1" applyFill="1" applyBorder="1"/>
    <xf numFmtId="165" fontId="3" fillId="0" borderId="14" xfId="2" applyNumberFormat="1" applyFont="1" applyFill="1" applyBorder="1"/>
    <xf numFmtId="165" fontId="0" fillId="0" borderId="8" xfId="1" applyNumberFormat="1" applyFont="1" applyBorder="1"/>
    <xf numFmtId="165" fontId="0" fillId="0" borderId="11" xfId="1" applyNumberFormat="1" applyFont="1" applyBorder="1"/>
    <xf numFmtId="0" fontId="16" fillId="0" borderId="0" xfId="0" applyFont="1" applyFill="1"/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Protection="1">
      <protection locked="0"/>
    </xf>
    <xf numFmtId="41" fontId="0" fillId="0" borderId="0" xfId="0" applyNumberFormat="1"/>
    <xf numFmtId="165" fontId="1" fillId="0" borderId="5" xfId="1" applyNumberFormat="1" applyFont="1" applyFill="1" applyBorder="1"/>
    <xf numFmtId="165" fontId="1" fillId="0" borderId="0" xfId="1" applyNumberFormat="1" applyFont="1" applyFill="1" applyBorder="1"/>
    <xf numFmtId="41" fontId="1" fillId="0" borderId="0" xfId="3" applyNumberFormat="1" applyFont="1" applyFill="1" applyBorder="1"/>
    <xf numFmtId="164" fontId="1" fillId="0" borderId="5" xfId="3" applyNumberFormat="1" applyFont="1" applyFill="1" applyBorder="1"/>
    <xf numFmtId="164" fontId="23" fillId="0" borderId="8" xfId="3" applyNumberFormat="1" applyFont="1" applyFill="1" applyBorder="1"/>
    <xf numFmtId="164" fontId="5" fillId="0" borderId="8" xfId="3" applyNumberFormat="1" applyFont="1" applyFill="1" applyBorder="1"/>
    <xf numFmtId="0" fontId="1" fillId="0" borderId="0" xfId="0" applyFont="1" applyFill="1" applyBorder="1" applyAlignment="1" applyProtection="1">
      <alignment horizontal="right"/>
      <protection locked="0"/>
    </xf>
    <xf numFmtId="0" fontId="1" fillId="0" borderId="0" xfId="0" applyFont="1" applyFill="1"/>
    <xf numFmtId="165" fontId="1" fillId="0" borderId="0" xfId="1" applyNumberFormat="1" applyFont="1" applyBorder="1"/>
    <xf numFmtId="0" fontId="2" fillId="2" borderId="20" xfId="0" quotePrefix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28" xfId="0" applyFont="1" applyFill="1" applyBorder="1"/>
    <xf numFmtId="0" fontId="2" fillId="6" borderId="29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/>
    <xf numFmtId="0" fontId="2" fillId="2" borderId="3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2" borderId="32" xfId="0" quotePrefix="1" applyFont="1" applyFill="1" applyBorder="1" applyAlignment="1">
      <alignment horizontal="center"/>
    </xf>
    <xf numFmtId="0" fontId="2" fillId="2" borderId="33" xfId="0" quotePrefix="1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left"/>
    </xf>
    <xf numFmtId="0" fontId="25" fillId="0" borderId="0" xfId="0" applyFont="1" applyBorder="1"/>
    <xf numFmtId="0" fontId="25" fillId="0" borderId="0" xfId="0" applyFont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165" fontId="2" fillId="0" borderId="10" xfId="1" applyNumberFormat="1" applyFont="1" applyFill="1" applyBorder="1"/>
    <xf numFmtId="0" fontId="39" fillId="0" borderId="0" xfId="0" applyFont="1" applyBorder="1"/>
    <xf numFmtId="165" fontId="2" fillId="0" borderId="0" xfId="0" applyNumberFormat="1" applyFont="1" applyFill="1" applyBorder="1" applyAlignment="1">
      <alignment horizontal="left"/>
    </xf>
    <xf numFmtId="165" fontId="16" fillId="0" borderId="0" xfId="0" applyNumberFormat="1" applyFont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1" fillId="0" borderId="0" xfId="0" applyNumberFormat="1" applyFont="1"/>
    <xf numFmtId="0" fontId="1" fillId="0" borderId="0" xfId="0" applyFont="1" applyFill="1" applyBorder="1"/>
    <xf numFmtId="41" fontId="1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quotePrefix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41" fontId="1" fillId="0" borderId="1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/>
    <xf numFmtId="0" fontId="1" fillId="0" borderId="0" xfId="0" applyFont="1" applyAlignment="1">
      <alignment horizontal="right"/>
    </xf>
    <xf numFmtId="0" fontId="1" fillId="0" borderId="0" xfId="0" applyFont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9" xfId="0" applyFont="1" applyFill="1" applyBorder="1"/>
    <xf numFmtId="0" fontId="1" fillId="2" borderId="18" xfId="0" applyFont="1" applyFill="1" applyBorder="1" applyAlignment="1">
      <alignment horizontal="centerContinuous"/>
    </xf>
    <xf numFmtId="0" fontId="1" fillId="2" borderId="19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5" xfId="0" applyFont="1" applyFill="1" applyBorder="1" applyProtection="1">
      <protection locked="0"/>
    </xf>
    <xf numFmtId="0" fontId="1" fillId="0" borderId="0" xfId="0" quotePrefix="1" applyFont="1" applyFill="1" applyBorder="1" applyAlignment="1" applyProtection="1">
      <alignment horizontal="left"/>
      <protection locked="0"/>
    </xf>
    <xf numFmtId="165" fontId="1" fillId="0" borderId="0" xfId="0" applyNumberFormat="1" applyFont="1" applyFill="1"/>
    <xf numFmtId="165" fontId="1" fillId="0" borderId="0" xfId="1" quotePrefix="1" applyNumberFormat="1" applyFont="1" applyFill="1" applyBorder="1" applyAlignment="1">
      <alignment horizontal="center"/>
    </xf>
    <xf numFmtId="10" fontId="1" fillId="0" borderId="0" xfId="6" applyNumberFormat="1" applyFont="1" applyFill="1" applyBorder="1"/>
    <xf numFmtId="166" fontId="1" fillId="0" borderId="0" xfId="6" applyNumberFormat="1" applyFont="1" applyFill="1" applyBorder="1"/>
    <xf numFmtId="0" fontId="1" fillId="0" borderId="15" xfId="0" applyFont="1" applyFill="1" applyBorder="1"/>
    <xf numFmtId="0" fontId="1" fillId="0" borderId="15" xfId="0" applyFont="1" applyFill="1" applyBorder="1" applyAlignment="1">
      <alignment horizontal="center"/>
    </xf>
    <xf numFmtId="37" fontId="1" fillId="0" borderId="15" xfId="0" quotePrefix="1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Continuous"/>
    </xf>
    <xf numFmtId="164" fontId="3" fillId="0" borderId="5" xfId="0" applyNumberFormat="1" applyFont="1" applyFill="1" applyBorder="1" applyAlignment="1">
      <alignment horizontal="center"/>
    </xf>
    <xf numFmtId="164" fontId="5" fillId="0" borderId="6" xfId="3" applyNumberFormat="1" applyFont="1" applyFill="1" applyBorder="1"/>
    <xf numFmtId="43" fontId="3" fillId="0" borderId="0" xfId="1" applyNumberFormat="1" applyFont="1" applyFill="1" applyAlignment="1">
      <alignment horizontal="right"/>
    </xf>
    <xf numFmtId="165" fontId="8" fillId="0" borderId="28" xfId="3" applyNumberFormat="1" applyFont="1" applyFill="1" applyBorder="1"/>
    <xf numFmtId="41" fontId="1" fillId="0" borderId="0" xfId="0" applyNumberFormat="1" applyFont="1" applyFill="1" applyBorder="1" applyAlignment="1">
      <alignment horizontal="center"/>
    </xf>
    <xf numFmtId="165" fontId="8" fillId="0" borderId="30" xfId="3" applyNumberFormat="1" applyFont="1" applyFill="1" applyBorder="1"/>
    <xf numFmtId="5" fontId="1" fillId="0" borderId="0" xfId="3" applyNumberFormat="1" applyFont="1" applyFill="1" applyBorder="1"/>
    <xf numFmtId="4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Continuous" vertical="center"/>
    </xf>
    <xf numFmtId="5" fontId="13" fillId="0" borderId="0" xfId="3" applyNumberFormat="1" applyFont="1" applyFill="1" applyBorder="1"/>
    <xf numFmtId="164" fontId="3" fillId="0" borderId="10" xfId="0" applyNumberFormat="1" applyFont="1" applyFill="1" applyBorder="1" applyAlignment="1">
      <alignment horizontal="center"/>
    </xf>
    <xf numFmtId="164" fontId="5" fillId="0" borderId="11" xfId="3" applyNumberFormat="1" applyFont="1" applyFill="1" applyBorder="1"/>
    <xf numFmtId="0" fontId="5" fillId="0" borderId="0" xfId="0" applyFont="1" applyFill="1" applyAlignment="1">
      <alignment horizontal="left"/>
    </xf>
    <xf numFmtId="0" fontId="1" fillId="0" borderId="7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165" fontId="1" fillId="0" borderId="0" xfId="0" applyNumberFormat="1" applyFont="1" applyFill="1" applyBorder="1"/>
    <xf numFmtId="41" fontId="1" fillId="0" borderId="0" xfId="0" applyNumberFormat="1" applyFont="1" applyFill="1" applyBorder="1"/>
    <xf numFmtId="165" fontId="1" fillId="0" borderId="0" xfId="0" applyNumberFormat="1" applyFont="1" applyBorder="1"/>
    <xf numFmtId="165" fontId="1" fillId="0" borderId="0" xfId="2" applyNumberFormat="1" applyFont="1" applyFill="1" applyBorder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Continuous"/>
    </xf>
    <xf numFmtId="39" fontId="1" fillId="0" borderId="0" xfId="3" applyNumberFormat="1" applyFont="1" applyFill="1" applyBorder="1"/>
    <xf numFmtId="22" fontId="1" fillId="0" borderId="0" xfId="0" applyNumberFormat="1" applyFont="1" applyFill="1" applyBorder="1" applyAlignment="1">
      <alignment horizontal="centerContinuous"/>
    </xf>
    <xf numFmtId="22" fontId="41" fillId="0" borderId="0" xfId="0" applyNumberFormat="1" applyFont="1" applyFill="1" applyBorder="1" applyAlignment="1">
      <alignment horizontal="centerContinuous"/>
    </xf>
    <xf numFmtId="37" fontId="5" fillId="0" borderId="0" xfId="0" applyNumberFormat="1" applyFont="1" applyFill="1" applyBorder="1" applyAlignment="1">
      <alignment horizontal="centerContinuous"/>
    </xf>
    <xf numFmtId="37" fontId="5" fillId="0" borderId="0" xfId="5" applyFont="1" applyFill="1" applyBorder="1" applyAlignment="1" applyProtection="1">
      <alignment horizontal="centerContinuous"/>
      <protection locked="0"/>
    </xf>
    <xf numFmtId="37" fontId="42" fillId="0" borderId="0" xfId="0" applyNumberFormat="1" applyFont="1" applyFill="1" applyBorder="1"/>
    <xf numFmtId="37" fontId="5" fillId="0" borderId="0" xfId="5" applyFont="1" applyFill="1" applyBorder="1" applyAlignment="1" applyProtection="1">
      <alignment horizontal="center"/>
    </xf>
    <xf numFmtId="37" fontId="5" fillId="0" borderId="16" xfId="5" applyFont="1" applyFill="1" applyBorder="1" applyAlignment="1" applyProtection="1">
      <alignment horizontal="center"/>
    </xf>
    <xf numFmtId="37" fontId="5" fillId="0" borderId="16" xfId="5" applyFont="1" applyFill="1" applyBorder="1" applyAlignment="1" applyProtection="1">
      <alignment horizontal="center"/>
      <protection locked="0"/>
    </xf>
    <xf numFmtId="37" fontId="15" fillId="0" borderId="0" xfId="5" applyFont="1" applyFill="1" applyBorder="1" applyAlignment="1" applyProtection="1">
      <alignment horizontal="center"/>
    </xf>
    <xf numFmtId="37" fontId="1" fillId="0" borderId="0" xfId="5" applyFont="1" applyFill="1" applyBorder="1" applyAlignment="1" applyProtection="1">
      <alignment horizontal="center"/>
      <protection locked="0"/>
    </xf>
    <xf numFmtId="37" fontId="1" fillId="0" borderId="0" xfId="5" applyFont="1" applyFill="1" applyBorder="1" applyAlignment="1" applyProtection="1">
      <alignment horizontal="center"/>
    </xf>
    <xf numFmtId="37" fontId="5" fillId="0" borderId="0" xfId="5" applyFont="1" applyFill="1" applyBorder="1" applyProtection="1"/>
    <xf numFmtId="41" fontId="5" fillId="0" borderId="0" xfId="3" applyNumberFormat="1" applyFont="1" applyFill="1" applyBorder="1" applyProtection="1"/>
    <xf numFmtId="10" fontId="5" fillId="0" borderId="0" xfId="6" applyNumberFormat="1" applyFont="1" applyFill="1" applyBorder="1" applyAlignment="1" applyProtection="1">
      <alignment horizontal="center"/>
    </xf>
    <xf numFmtId="37" fontId="1" fillId="0" borderId="0" xfId="5" applyFont="1" applyFill="1" applyBorder="1" applyProtection="1"/>
    <xf numFmtId="41" fontId="1" fillId="0" borderId="0" xfId="3" applyNumberFormat="1" applyFont="1" applyFill="1" applyBorder="1" applyProtection="1"/>
    <xf numFmtId="10" fontId="1" fillId="0" borderId="0" xfId="6" applyNumberFormat="1" applyFont="1" applyFill="1" applyBorder="1" applyAlignment="1" applyProtection="1">
      <alignment horizontal="center"/>
    </xf>
    <xf numFmtId="37" fontId="1" fillId="0" borderId="0" xfId="5" applyFont="1" applyFill="1" applyBorder="1" applyAlignment="1" applyProtection="1">
      <alignment horizontal="left"/>
    </xf>
    <xf numFmtId="42" fontId="1" fillId="0" borderId="10" xfId="3" applyNumberFormat="1" applyFont="1" applyFill="1" applyBorder="1"/>
    <xf numFmtId="42" fontId="5" fillId="0" borderId="0" xfId="3" applyNumberFormat="1" applyFont="1" applyFill="1" applyBorder="1"/>
    <xf numFmtId="5" fontId="5" fillId="0" borderId="0" xfId="3" applyNumberFormat="1" applyFont="1" applyFill="1" applyBorder="1"/>
    <xf numFmtId="42" fontId="1" fillId="0" borderId="0" xfId="3" applyNumberFormat="1" applyFont="1" applyFill="1" applyBorder="1" applyProtection="1"/>
    <xf numFmtId="6" fontId="1" fillId="0" borderId="0" xfId="3" applyNumberFormat="1" applyFont="1" applyFill="1" applyBorder="1" applyProtection="1"/>
    <xf numFmtId="41" fontId="13" fillId="0" borderId="0" xfId="3" applyNumberFormat="1" applyFont="1" applyFill="1" applyBorder="1" applyProtection="1"/>
    <xf numFmtId="6" fontId="13" fillId="0" borderId="0" xfId="3" applyNumberFormat="1" applyFont="1" applyFill="1" applyBorder="1" applyProtection="1"/>
    <xf numFmtId="42" fontId="5" fillId="0" borderId="0" xfId="3" applyNumberFormat="1" applyFont="1" applyFill="1" applyBorder="1" applyProtection="1"/>
    <xf numFmtId="6" fontId="5" fillId="0" borderId="0" xfId="3" applyNumberFormat="1" applyFont="1" applyFill="1" applyBorder="1" applyProtection="1"/>
    <xf numFmtId="2" fontId="43" fillId="0" borderId="0" xfId="0" applyNumberFormat="1" applyFont="1" applyFill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6" fontId="1" fillId="0" borderId="0" xfId="0" applyNumberFormat="1" applyFont="1" applyFill="1" applyBorder="1"/>
    <xf numFmtId="164" fontId="19" fillId="0" borderId="0" xfId="0" applyNumberFormat="1" applyFont="1" applyBorder="1"/>
    <xf numFmtId="41" fontId="23" fillId="0" borderId="0" xfId="3" applyNumberFormat="1" applyFont="1" applyFill="1" applyBorder="1" applyProtection="1"/>
    <xf numFmtId="10" fontId="5" fillId="0" borderId="0" xfId="5" applyNumberFormat="1" applyFont="1" applyFill="1" applyBorder="1" applyAlignment="1" applyProtection="1">
      <alignment horizontal="center"/>
    </xf>
    <xf numFmtId="10" fontId="1" fillId="0" borderId="0" xfId="0" applyNumberFormat="1" applyFont="1" applyFill="1" applyBorder="1"/>
    <xf numFmtId="3" fontId="1" fillId="0" borderId="0" xfId="0" applyNumberFormat="1" applyFont="1" applyFill="1" applyBorder="1"/>
    <xf numFmtId="165" fontId="6" fillId="0" borderId="0" xfId="0" applyNumberFormat="1" applyFont="1" applyFill="1" applyBorder="1"/>
    <xf numFmtId="0" fontId="37" fillId="2" borderId="34" xfId="0" quotePrefix="1" applyFont="1" applyFill="1" applyBorder="1" applyAlignment="1">
      <alignment horizontal="left"/>
    </xf>
    <xf numFmtId="0" fontId="2" fillId="2" borderId="2" xfId="0" applyFont="1" applyFill="1" applyBorder="1"/>
    <xf numFmtId="0" fontId="2" fillId="2" borderId="20" xfId="0" applyFont="1" applyFill="1" applyBorder="1"/>
    <xf numFmtId="0" fontId="2" fillId="6" borderId="7" xfId="0" applyFont="1" applyFill="1" applyBorder="1"/>
    <xf numFmtId="0" fontId="2" fillId="0" borderId="0" xfId="0" applyFont="1" applyFill="1" applyBorder="1" applyAlignment="1">
      <alignment horizontal="right"/>
    </xf>
    <xf numFmtId="0" fontId="39" fillId="0" borderId="4" xfId="0" applyFont="1" applyBorder="1"/>
    <xf numFmtId="0" fontId="37" fillId="0" borderId="5" xfId="0" applyFont="1" applyFill="1" applyBorder="1"/>
    <xf numFmtId="0" fontId="2" fillId="0" borderId="5" xfId="0" applyFont="1" applyFill="1" applyBorder="1"/>
    <xf numFmtId="0" fontId="39" fillId="0" borderId="7" xfId="0" applyFont="1" applyBorder="1"/>
    <xf numFmtId="0" fontId="39" fillId="0" borderId="7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165" fontId="44" fillId="0" borderId="0" xfId="1" applyNumberFormat="1" applyFont="1" applyFill="1" applyBorder="1" applyAlignment="1">
      <alignment horizontal="left"/>
    </xf>
    <xf numFmtId="165" fontId="44" fillId="0" borderId="0" xfId="1" applyNumberFormat="1" applyFont="1" applyFill="1" applyBorder="1"/>
    <xf numFmtId="0" fontId="5" fillId="0" borderId="0" xfId="0" applyFont="1" applyFill="1" applyBorder="1" applyAlignment="1">
      <alignment horizontal="center"/>
    </xf>
    <xf numFmtId="43" fontId="1" fillId="0" borderId="0" xfId="0" applyNumberFormat="1" applyFont="1" applyFill="1" applyBorder="1"/>
    <xf numFmtId="41" fontId="3" fillId="0" borderId="0" xfId="0" applyNumberFormat="1" applyFont="1" applyFill="1"/>
    <xf numFmtId="165" fontId="0" fillId="0" borderId="0" xfId="0" applyNumberFormat="1" applyFill="1"/>
    <xf numFmtId="0" fontId="16" fillId="0" borderId="0" xfId="0" applyFont="1" applyFill="1" applyBorder="1"/>
    <xf numFmtId="0" fontId="2" fillId="6" borderId="30" xfId="0" applyFont="1" applyFill="1" applyBorder="1"/>
    <xf numFmtId="0" fontId="25" fillId="5" borderId="28" xfId="0" quotePrefix="1" applyFont="1" applyFill="1" applyBorder="1" applyAlignment="1">
      <alignment horizontal="center"/>
    </xf>
    <xf numFmtId="0" fontId="25" fillId="5" borderId="29" xfId="0" quotePrefix="1" applyFont="1" applyFill="1" applyBorder="1" applyAlignment="1">
      <alignment horizontal="center"/>
    </xf>
    <xf numFmtId="0" fontId="25" fillId="5" borderId="30" xfId="0" quotePrefix="1" applyFont="1" applyFill="1" applyBorder="1" applyAlignment="1">
      <alignment horizontal="center"/>
    </xf>
    <xf numFmtId="0" fontId="39" fillId="0" borderId="8" xfId="0" applyFont="1" applyBorder="1"/>
    <xf numFmtId="0" fontId="39" fillId="0" borderId="11" xfId="0" applyFont="1" applyBorder="1"/>
    <xf numFmtId="165" fontId="39" fillId="0" borderId="8" xfId="0" applyNumberFormat="1" applyFont="1" applyBorder="1"/>
    <xf numFmtId="165" fontId="45" fillId="0" borderId="8" xfId="0" applyNumberFormat="1" applyFont="1" applyBorder="1"/>
    <xf numFmtId="0" fontId="25" fillId="0" borderId="0" xfId="0" quotePrefix="1" applyFont="1" applyFill="1" applyBorder="1" applyAlignment="1">
      <alignment horizontal="center"/>
    </xf>
    <xf numFmtId="165" fontId="2" fillId="0" borderId="0" xfId="1" applyNumberFormat="1" applyFont="1" applyBorder="1"/>
    <xf numFmtId="165" fontId="44" fillId="0" borderId="0" xfId="1" applyNumberFormat="1" applyFont="1" applyBorder="1"/>
    <xf numFmtId="0" fontId="2" fillId="0" borderId="10" xfId="0" applyFont="1" applyBorder="1"/>
    <xf numFmtId="42" fontId="1" fillId="0" borderId="0" xfId="3" applyNumberFormat="1" applyFont="1" applyFill="1" applyBorder="1"/>
    <xf numFmtId="41" fontId="1" fillId="0" borderId="5" xfId="3" applyNumberFormat="1" applyFont="1" applyFill="1" applyBorder="1"/>
    <xf numFmtId="41" fontId="1" fillId="0" borderId="5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20" fillId="2" borderId="18" xfId="0" applyFont="1" applyFill="1" applyBorder="1"/>
    <xf numFmtId="0" fontId="5" fillId="2" borderId="19" xfId="0" applyFont="1" applyFill="1" applyBorder="1" applyAlignment="1">
      <alignment horizontal="fill"/>
    </xf>
    <xf numFmtId="0" fontId="29" fillId="0" borderId="0" xfId="0" applyFont="1" applyFill="1"/>
    <xf numFmtId="0" fontId="5" fillId="2" borderId="15" xfId="0" quotePrefix="1" applyFont="1" applyFill="1" applyBorder="1" applyAlignment="1">
      <alignment horizontal="left"/>
    </xf>
    <xf numFmtId="0" fontId="5" fillId="2" borderId="16" xfId="0" quotePrefix="1" applyFont="1" applyFill="1" applyBorder="1" applyAlignment="1">
      <alignment horizontal="left"/>
    </xf>
    <xf numFmtId="0" fontId="5" fillId="6" borderId="13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24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1" fillId="0" borderId="4" xfId="0" applyFont="1" applyFill="1" applyBorder="1" applyAlignment="1">
      <alignment horizontal="left"/>
    </xf>
    <xf numFmtId="0" fontId="1" fillId="0" borderId="4" xfId="4" applyFont="1" applyFill="1" applyBorder="1" applyAlignment="1">
      <alignment horizontal="left"/>
    </xf>
    <xf numFmtId="165" fontId="5" fillId="0" borderId="0" xfId="0" quotePrefix="1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Continuous"/>
    </xf>
    <xf numFmtId="22" fontId="16" fillId="0" borderId="0" xfId="0" applyNumberFormat="1" applyFont="1" applyFill="1" applyBorder="1" applyAlignment="1">
      <alignment horizontal="centerContinuous"/>
    </xf>
    <xf numFmtId="37" fontId="20" fillId="0" borderId="0" xfId="0" applyNumberFormat="1" applyFont="1" applyFill="1" applyBorder="1" applyAlignment="1">
      <alignment horizontal="centerContinuous"/>
    </xf>
    <xf numFmtId="37" fontId="20" fillId="0" borderId="0" xfId="5" applyFont="1" applyFill="1" applyBorder="1" applyAlignment="1" applyProtection="1">
      <alignment horizontal="centerContinuous"/>
      <protection locked="0"/>
    </xf>
    <xf numFmtId="41" fontId="16" fillId="0" borderId="0" xfId="0" applyNumberFormat="1" applyFont="1" applyFill="1" applyBorder="1"/>
    <xf numFmtId="37" fontId="46" fillId="0" borderId="0" xfId="0" applyNumberFormat="1" applyFont="1" applyFill="1" applyBorder="1"/>
    <xf numFmtId="0" fontId="20" fillId="0" borderId="0" xfId="0" applyFont="1" applyFill="1" applyBorder="1" applyAlignment="1">
      <alignment horizontal="center"/>
    </xf>
    <xf numFmtId="37" fontId="20" fillId="0" borderId="0" xfId="5" applyFont="1" applyFill="1" applyBorder="1" applyAlignment="1" applyProtection="1">
      <alignment horizontal="center"/>
      <protection locked="0"/>
    </xf>
    <xf numFmtId="37" fontId="20" fillId="0" borderId="0" xfId="5" applyFont="1" applyFill="1" applyBorder="1" applyAlignment="1" applyProtection="1">
      <alignment horizontal="center"/>
    </xf>
    <xf numFmtId="37" fontId="16" fillId="0" borderId="0" xfId="5" applyFont="1" applyFill="1" applyBorder="1" applyAlignment="1" applyProtection="1">
      <alignment horizontal="center"/>
      <protection locked="0"/>
    </xf>
    <xf numFmtId="0" fontId="16" fillId="0" borderId="0" xfId="0" applyFont="1" applyFill="1" applyBorder="1" applyAlignment="1">
      <alignment horizontal="right"/>
    </xf>
    <xf numFmtId="0" fontId="16" fillId="0" borderId="0" xfId="0" applyFont="1" applyAlignment="1"/>
    <xf numFmtId="42" fontId="20" fillId="0" borderId="0" xfId="3" applyNumberFormat="1" applyFont="1" applyFill="1" applyBorder="1"/>
    <xf numFmtId="5" fontId="20" fillId="0" borderId="0" xfId="3" applyNumberFormat="1" applyFont="1" applyFill="1" applyBorder="1"/>
    <xf numFmtId="3" fontId="16" fillId="0" borderId="0" xfId="0" applyNumberFormat="1" applyFont="1" applyFill="1" applyBorder="1"/>
    <xf numFmtId="165" fontId="1" fillId="0" borderId="0" xfId="1" quotePrefix="1" applyNumberFormat="1" applyFont="1" applyFill="1" applyBorder="1" applyAlignment="1">
      <alignment horizontal="center"/>
    </xf>
    <xf numFmtId="165" fontId="1" fillId="0" borderId="0" xfId="1" applyNumberFormat="1" applyFont="1" applyFill="1" applyBorder="1"/>
    <xf numFmtId="165" fontId="5" fillId="0" borderId="0" xfId="1" quotePrefix="1" applyNumberFormat="1" applyFont="1" applyFill="1" applyBorder="1" applyAlignment="1">
      <alignment horizontal="center"/>
    </xf>
    <xf numFmtId="165" fontId="5" fillId="0" borderId="0" xfId="1" applyNumberFormat="1" applyFont="1" applyFill="1" applyBorder="1"/>
    <xf numFmtId="165" fontId="5" fillId="0" borderId="0" xfId="1" applyNumberFormat="1" applyFont="1" applyFill="1" applyBorder="1" applyAlignment="1" applyProtection="1">
      <alignment horizontal="center"/>
      <protection locked="0"/>
    </xf>
    <xf numFmtId="165" fontId="5" fillId="0" borderId="0" xfId="1" applyNumberFormat="1" applyFont="1" applyFill="1" applyBorder="1" applyProtection="1">
      <protection locked="0"/>
    </xf>
    <xf numFmtId="165" fontId="1" fillId="0" borderId="8" xfId="1" applyNumberFormat="1" applyFont="1" applyFill="1" applyBorder="1"/>
    <xf numFmtId="165" fontId="13" fillId="0" borderId="8" xfId="1" applyNumberFormat="1" applyFont="1" applyFill="1" applyBorder="1"/>
    <xf numFmtId="165" fontId="13" fillId="0" borderId="0" xfId="1" applyNumberFormat="1" applyFont="1" applyFill="1" applyBorder="1"/>
    <xf numFmtId="166" fontId="1" fillId="0" borderId="0" xfId="6" applyNumberFormat="1" applyFont="1" applyFill="1" applyBorder="1"/>
    <xf numFmtId="165" fontId="5" fillId="2" borderId="25" xfId="1" applyNumberFormat="1" applyFont="1" applyFill="1" applyBorder="1"/>
    <xf numFmtId="165" fontId="1" fillId="0" borderId="0" xfId="1" applyNumberFormat="1" applyFont="1" applyFill="1" applyBorder="1" applyProtection="1">
      <protection locked="0"/>
    </xf>
    <xf numFmtId="165" fontId="5" fillId="2" borderId="25" xfId="1" applyNumberFormat="1" applyFont="1" applyFill="1" applyBorder="1" applyProtection="1">
      <protection locked="0"/>
    </xf>
    <xf numFmtId="166" fontId="1" fillId="0" borderId="0" xfId="6" applyNumberFormat="1" applyFont="1" applyFill="1" applyBorder="1" applyAlignment="1" applyProtection="1">
      <alignment horizontal="right"/>
      <protection locked="0"/>
    </xf>
    <xf numFmtId="165" fontId="5" fillId="0" borderId="0" xfId="1" applyNumberFormat="1" applyFont="1" applyFill="1" applyBorder="1" applyAlignment="1">
      <alignment horizontal="center"/>
    </xf>
    <xf numFmtId="165" fontId="5" fillId="2" borderId="15" xfId="1" applyNumberFormat="1" applyFont="1" applyFill="1" applyBorder="1"/>
    <xf numFmtId="165" fontId="5" fillId="0" borderId="0" xfId="1" applyNumberFormat="1" applyFont="1" applyFill="1" applyBorder="1" applyAlignment="1" applyProtection="1">
      <alignment horizontal="right"/>
      <protection locked="0"/>
    </xf>
    <xf numFmtId="165" fontId="1" fillId="0" borderId="0" xfId="1" quotePrefix="1" applyNumberFormat="1" applyFont="1" applyFill="1" applyBorder="1" applyAlignment="1" applyProtection="1">
      <alignment horizontal="center"/>
      <protection locked="0"/>
    </xf>
    <xf numFmtId="10" fontId="1" fillId="0" borderId="0" xfId="6" applyNumberFormat="1" applyFont="1" applyFill="1" applyBorder="1" applyProtection="1">
      <protection locked="0"/>
    </xf>
    <xf numFmtId="165" fontId="15" fillId="0" borderId="0" xfId="1" applyNumberFormat="1" applyFont="1" applyFill="1" applyBorder="1" applyProtection="1">
      <protection locked="0"/>
    </xf>
    <xf numFmtId="165" fontId="11" fillId="0" borderId="0" xfId="1" applyNumberFormat="1" applyFont="1" applyFill="1" applyBorder="1" applyProtection="1">
      <protection locked="0"/>
    </xf>
    <xf numFmtId="165" fontId="5" fillId="0" borderId="0" xfId="1" quotePrefix="1" applyNumberFormat="1" applyFont="1" applyFill="1" applyBorder="1" applyAlignment="1" applyProtection="1">
      <alignment horizontal="center"/>
      <protection locked="0"/>
    </xf>
    <xf numFmtId="165" fontId="5" fillId="0" borderId="0" xfId="1" quotePrefix="1" applyNumberFormat="1" applyFont="1" applyFill="1" applyBorder="1" applyAlignment="1" applyProtection="1">
      <alignment horizontal="left"/>
      <protection locked="0"/>
    </xf>
    <xf numFmtId="165" fontId="5" fillId="0" borderId="0" xfId="1" applyNumberFormat="1" applyFont="1" applyFill="1" applyBorder="1" applyAlignment="1">
      <alignment horizontal="right"/>
    </xf>
    <xf numFmtId="0" fontId="5" fillId="0" borderId="20" xfId="0" applyFont="1" applyFill="1" applyBorder="1"/>
    <xf numFmtId="0" fontId="1" fillId="0" borderId="0" xfId="0" quotePrefix="1" applyFont="1" applyFill="1" applyBorder="1" applyAlignment="1">
      <alignment horizontal="fill"/>
    </xf>
    <xf numFmtId="168" fontId="1" fillId="0" borderId="0" xfId="0" applyNumberFormat="1" applyFont="1"/>
    <xf numFmtId="0" fontId="5" fillId="0" borderId="18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16" fillId="0" borderId="0" xfId="0" applyNumberFormat="1" applyFont="1" applyFill="1" applyBorder="1" applyAlignment="1">
      <alignment horizontal="left" vertical="top" wrapText="1"/>
    </xf>
    <xf numFmtId="49" fontId="16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/>
    <xf numFmtId="0" fontId="5" fillId="0" borderId="15" xfId="0" applyFont="1" applyFill="1" applyBorder="1" applyAlignment="1"/>
    <xf numFmtId="0" fontId="5" fillId="0" borderId="19" xfId="0" applyFont="1" applyFill="1" applyBorder="1" applyAlignment="1"/>
    <xf numFmtId="0" fontId="5" fillId="0" borderId="21" xfId="0" applyFont="1" applyFill="1" applyBorder="1" applyAlignment="1"/>
    <xf numFmtId="0" fontId="16" fillId="0" borderId="16" xfId="0" applyFont="1" applyFill="1" applyBorder="1"/>
    <xf numFmtId="0" fontId="5" fillId="0" borderId="23" xfId="0" applyFont="1" applyFill="1" applyBorder="1" applyAlignment="1">
      <alignment horizontal="left"/>
    </xf>
    <xf numFmtId="0" fontId="5" fillId="0" borderId="16" xfId="0" applyFont="1" applyFill="1" applyBorder="1" applyAlignment="1"/>
    <xf numFmtId="0" fontId="5" fillId="0" borderId="23" xfId="0" applyFont="1" applyFill="1" applyBorder="1" applyAlignment="1"/>
    <xf numFmtId="165" fontId="5" fillId="2" borderId="35" xfId="1" applyNumberFormat="1" applyFont="1" applyFill="1" applyBorder="1"/>
    <xf numFmtId="0" fontId="5" fillId="0" borderId="16" xfId="0" applyFont="1" applyFill="1" applyBorder="1" applyAlignment="1">
      <alignment horizontal="left"/>
    </xf>
    <xf numFmtId="0" fontId="5" fillId="0" borderId="15" xfId="0" applyFont="1" applyFill="1" applyBorder="1" applyAlignment="1">
      <alignment horizontal="left"/>
    </xf>
    <xf numFmtId="0" fontId="3" fillId="0" borderId="23" xfId="0" applyFont="1" applyFill="1" applyBorder="1" applyProtection="1">
      <protection locked="0"/>
    </xf>
    <xf numFmtId="0" fontId="5" fillId="0" borderId="0" xfId="0" applyFont="1" applyFill="1" applyBorder="1" applyAlignment="1">
      <alignment horizontal="center"/>
    </xf>
    <xf numFmtId="171" fontId="3" fillId="0" borderId="0" xfId="0" applyNumberFormat="1" applyFont="1"/>
    <xf numFmtId="0" fontId="0" fillId="0" borderId="0" xfId="0" applyAlignment="1">
      <alignment horizontal="center"/>
    </xf>
    <xf numFmtId="0" fontId="0" fillId="0" borderId="16" xfId="0" applyFill="1" applyBorder="1"/>
    <xf numFmtId="0" fontId="0" fillId="0" borderId="23" xfId="0" applyFill="1" applyBorder="1"/>
    <xf numFmtId="165" fontId="1" fillId="0" borderId="0" xfId="1" applyNumberFormat="1" applyFont="1" applyBorder="1" applyProtection="1">
      <protection locked="0"/>
    </xf>
    <xf numFmtId="165" fontId="1" fillId="0" borderId="15" xfId="1" applyNumberFormat="1" applyFont="1" applyFill="1" applyBorder="1"/>
    <xf numFmtId="0" fontId="1" fillId="2" borderId="0" xfId="0" applyFont="1" applyFill="1" applyBorder="1"/>
    <xf numFmtId="165" fontId="1" fillId="0" borderId="0" xfId="1" applyNumberFormat="1" applyFont="1"/>
    <xf numFmtId="0" fontId="1" fillId="2" borderId="1" xfId="0" quotePrefix="1" applyFont="1" applyFill="1" applyBorder="1" applyAlignment="1">
      <alignment horizontal="center"/>
    </xf>
    <xf numFmtId="0" fontId="5" fillId="0" borderId="18" xfId="0" applyFont="1" applyFill="1" applyBorder="1" applyAlignment="1"/>
    <xf numFmtId="0" fontId="5" fillId="0" borderId="20" xfId="0" applyFont="1" applyFill="1" applyBorder="1" applyAlignment="1"/>
    <xf numFmtId="0" fontId="0" fillId="0" borderId="22" xfId="0" applyFill="1" applyBorder="1"/>
    <xf numFmtId="165" fontId="23" fillId="0" borderId="0" xfId="1" applyNumberFormat="1" applyFont="1" applyFill="1" applyBorder="1"/>
    <xf numFmtId="0" fontId="16" fillId="2" borderId="3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0" fontId="5" fillId="0" borderId="22" xfId="0" applyFont="1" applyFill="1" applyBorder="1" applyAlignment="1"/>
    <xf numFmtId="165" fontId="5" fillId="6" borderId="0" xfId="1" applyNumberFormat="1" applyFont="1" applyFill="1" applyBorder="1"/>
    <xf numFmtId="0" fontId="16" fillId="2" borderId="36" xfId="0" applyFont="1" applyFill="1" applyBorder="1"/>
    <xf numFmtId="2" fontId="0" fillId="0" borderId="0" xfId="0" applyNumberFormat="1"/>
    <xf numFmtId="0" fontId="16" fillId="0" borderId="15" xfId="0" applyFont="1" applyFill="1" applyBorder="1"/>
    <xf numFmtId="0" fontId="5" fillId="0" borderId="19" xfId="0" applyFont="1" applyFill="1" applyBorder="1" applyAlignment="1">
      <alignment horizontal="left"/>
    </xf>
    <xf numFmtId="0" fontId="5" fillId="0" borderId="21" xfId="0" applyFont="1" applyFill="1" applyBorder="1"/>
    <xf numFmtId="0" fontId="3" fillId="0" borderId="21" xfId="0" applyFont="1" applyFill="1" applyBorder="1"/>
    <xf numFmtId="0" fontId="3" fillId="0" borderId="23" xfId="0" applyFont="1" applyFill="1" applyBorder="1"/>
    <xf numFmtId="0" fontId="3" fillId="0" borderId="19" xfId="0" applyFont="1" applyFill="1" applyBorder="1" applyProtection="1">
      <protection locked="0"/>
    </xf>
    <xf numFmtId="0" fontId="3" fillId="0" borderId="21" xfId="0" applyFont="1" applyFill="1" applyBorder="1" applyProtection="1">
      <protection locked="0"/>
    </xf>
    <xf numFmtId="0" fontId="1" fillId="0" borderId="19" xfId="0" applyFont="1" applyFill="1" applyBorder="1" applyProtection="1">
      <protection locked="0"/>
    </xf>
    <xf numFmtId="0" fontId="1" fillId="0" borderId="21" xfId="0" applyFont="1" applyFill="1" applyBorder="1" applyProtection="1">
      <protection locked="0"/>
    </xf>
    <xf numFmtId="0" fontId="1" fillId="0" borderId="23" xfId="0" applyFont="1" applyFill="1" applyBorder="1" applyProtection="1">
      <protection locked="0"/>
    </xf>
    <xf numFmtId="0" fontId="1" fillId="0" borderId="19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quotePrefix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10" xfId="0" applyFont="1" applyFill="1" applyBorder="1" applyAlignment="1">
      <alignment horizontal="center"/>
    </xf>
    <xf numFmtId="0" fontId="0" fillId="0" borderId="10" xfId="0" applyFont="1" applyFill="1" applyBorder="1"/>
    <xf numFmtId="37" fontId="0" fillId="0" borderId="0" xfId="0" applyNumberFormat="1" applyFont="1" applyFill="1" applyBorder="1"/>
    <xf numFmtId="173" fontId="0" fillId="0" borderId="0" xfId="0" applyNumberFormat="1" applyFont="1" applyFill="1" applyBorder="1"/>
    <xf numFmtId="10" fontId="0" fillId="0" borderId="0" xfId="0" applyNumberFormat="1" applyFont="1" applyFill="1" applyBorder="1"/>
    <xf numFmtId="166" fontId="0" fillId="0" borderId="0" xfId="0" applyNumberFormat="1" applyFont="1" applyFill="1" applyBorder="1"/>
    <xf numFmtId="174" fontId="0" fillId="0" borderId="0" xfId="0" applyNumberFormat="1" applyFont="1" applyFill="1" applyBorder="1"/>
    <xf numFmtId="37" fontId="0" fillId="0" borderId="37" xfId="0" applyNumberFormat="1" applyFont="1" applyFill="1" applyBorder="1"/>
    <xf numFmtId="175" fontId="0" fillId="0" borderId="0" xfId="0" applyNumberFormat="1" applyFont="1" applyFill="1" applyBorder="1"/>
    <xf numFmtId="3" fontId="0" fillId="0" borderId="0" xfId="0" applyNumberFormat="1" applyFont="1" applyFill="1" applyBorder="1"/>
    <xf numFmtId="0" fontId="51" fillId="0" borderId="0" xfId="0" applyFont="1" applyFill="1" applyBorder="1"/>
    <xf numFmtId="0" fontId="52" fillId="0" borderId="0" xfId="0" applyFont="1" applyFill="1" applyBorder="1"/>
    <xf numFmtId="37" fontId="1" fillId="0" borderId="0" xfId="0" applyNumberFormat="1" applyFont="1" applyFill="1" applyBorder="1"/>
    <xf numFmtId="37" fontId="5" fillId="0" borderId="0" xfId="0" applyNumberFormat="1" applyFont="1" applyFill="1" applyBorder="1"/>
    <xf numFmtId="0" fontId="47" fillId="0" borderId="0" xfId="4" applyFont="1" applyFill="1" applyBorder="1" applyAlignment="1">
      <alignment horizontal="center"/>
    </xf>
    <xf numFmtId="37" fontId="5" fillId="0" borderId="0" xfId="5" applyFont="1" applyFill="1" applyBorder="1" applyAlignment="1" applyProtection="1">
      <alignment horizontal="left"/>
    </xf>
    <xf numFmtId="41" fontId="5" fillId="0" borderId="0" xfId="3" applyNumberFormat="1" applyFont="1" applyFill="1" applyBorder="1" applyAlignment="1" applyProtection="1">
      <alignment horizontal="left"/>
    </xf>
    <xf numFmtId="0" fontId="1" fillId="0" borderId="1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5" fontId="5" fillId="0" borderId="16" xfId="0" applyNumberFormat="1" applyFont="1" applyFill="1" applyBorder="1"/>
    <xf numFmtId="0" fontId="9" fillId="2" borderId="27" xfId="0" applyFont="1" applyFill="1" applyBorder="1" applyAlignment="1">
      <alignment horizontal="left"/>
    </xf>
    <xf numFmtId="0" fontId="5" fillId="2" borderId="27" xfId="0" applyFont="1" applyFill="1" applyBorder="1"/>
    <xf numFmtId="165" fontId="5" fillId="2" borderId="27" xfId="1" applyNumberFormat="1" applyFont="1" applyFill="1" applyBorder="1" applyProtection="1">
      <protection locked="0"/>
    </xf>
    <xf numFmtId="165" fontId="5" fillId="0" borderId="1" xfId="1" applyNumberFormat="1" applyFont="1" applyBorder="1" applyProtection="1">
      <protection locked="0"/>
    </xf>
    <xf numFmtId="0" fontId="0" fillId="0" borderId="2" xfId="0" applyBorder="1"/>
    <xf numFmtId="0" fontId="6" fillId="0" borderId="3" xfId="0" applyFont="1" applyBorder="1"/>
    <xf numFmtId="165" fontId="5" fillId="2" borderId="27" xfId="0" applyNumberFormat="1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5" fontId="5" fillId="2" borderId="27" xfId="1" applyNumberFormat="1" applyFont="1" applyFill="1" applyBorder="1"/>
    <xf numFmtId="0" fontId="3" fillId="6" borderId="25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165" fontId="5" fillId="6" borderId="25" xfId="1" applyNumberFormat="1" applyFont="1" applyFill="1" applyBorder="1"/>
    <xf numFmtId="165" fontId="5" fillId="6" borderId="26" xfId="0" applyNumberFormat="1" applyFont="1" applyFill="1" applyBorder="1"/>
    <xf numFmtId="0" fontId="5" fillId="6" borderId="27" xfId="0" applyFont="1" applyFill="1" applyBorder="1" applyAlignment="1">
      <alignment horizontal="center"/>
    </xf>
    <xf numFmtId="0" fontId="5" fillId="6" borderId="25" xfId="0" applyFont="1" applyFill="1" applyBorder="1"/>
    <xf numFmtId="0" fontId="5" fillId="6" borderId="24" xfId="0" applyFont="1" applyFill="1" applyBorder="1" applyAlignment="1">
      <alignment horizontal="left"/>
    </xf>
    <xf numFmtId="165" fontId="5" fillId="6" borderId="25" xfId="1" applyNumberFormat="1" applyFont="1" applyFill="1" applyBorder="1" applyProtection="1">
      <protection locked="0"/>
    </xf>
    <xf numFmtId="165" fontId="5" fillId="6" borderId="27" xfId="1" applyNumberFormat="1" applyFont="1" applyFill="1" applyBorder="1" applyProtection="1">
      <protection locked="0"/>
    </xf>
    <xf numFmtId="0" fontId="5" fillId="6" borderId="25" xfId="0" quotePrefix="1" applyFont="1" applyFill="1" applyBorder="1" applyAlignment="1">
      <alignment horizontal="left"/>
    </xf>
    <xf numFmtId="165" fontId="5" fillId="6" borderId="27" xfId="1" applyNumberFormat="1" applyFont="1" applyFill="1" applyBorder="1"/>
    <xf numFmtId="0" fontId="5" fillId="6" borderId="25" xfId="0" applyFont="1" applyFill="1" applyBorder="1" applyProtection="1">
      <protection locked="0"/>
    </xf>
    <xf numFmtId="0" fontId="25" fillId="0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165" fontId="5" fillId="0" borderId="0" xfId="1" applyNumberFormat="1" applyFont="1" applyFill="1" applyBorder="1" applyAlignment="1">
      <alignment wrapText="1"/>
    </xf>
    <xf numFmtId="165" fontId="3" fillId="0" borderId="0" xfId="0" applyNumberFormat="1" applyFont="1" applyFill="1" applyBorder="1" applyAlignment="1">
      <alignment wrapText="1"/>
    </xf>
    <xf numFmtId="165" fontId="5" fillId="2" borderId="26" xfId="0" applyNumberFormat="1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165" fontId="5" fillId="2" borderId="19" xfId="0" applyNumberFormat="1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165" fontId="5" fillId="2" borderId="23" xfId="0" applyNumberFormat="1" applyFont="1" applyFill="1" applyBorder="1" applyAlignment="1">
      <alignment wrapText="1"/>
    </xf>
    <xf numFmtId="0" fontId="25" fillId="0" borderId="0" xfId="0" applyFont="1" applyAlignment="1">
      <alignment wrapText="1"/>
    </xf>
    <xf numFmtId="165" fontId="3" fillId="0" borderId="0" xfId="1" applyNumberFormat="1" applyFont="1" applyAlignment="1">
      <alignment wrapText="1"/>
    </xf>
    <xf numFmtId="0" fontId="1" fillId="0" borderId="0" xfId="0" applyFont="1" applyBorder="1" applyAlignment="1">
      <alignment wrapText="1"/>
    </xf>
    <xf numFmtId="165" fontId="5" fillId="6" borderId="21" xfId="1" applyNumberFormat="1" applyFont="1" applyFill="1" applyBorder="1"/>
    <xf numFmtId="0" fontId="5" fillId="6" borderId="20" xfId="0" applyFont="1" applyFill="1" applyBorder="1"/>
    <xf numFmtId="165" fontId="5" fillId="6" borderId="26" xfId="1" applyNumberFormat="1" applyFont="1" applyFill="1" applyBorder="1"/>
    <xf numFmtId="165" fontId="1" fillId="0" borderId="10" xfId="1" applyNumberFormat="1" applyFont="1" applyFill="1" applyBorder="1"/>
    <xf numFmtId="0" fontId="1" fillId="0" borderId="0" xfId="0" applyFont="1" applyAlignment="1">
      <alignment wrapText="1"/>
    </xf>
    <xf numFmtId="0" fontId="54" fillId="0" borderId="0" xfId="0" applyFont="1"/>
    <xf numFmtId="165" fontId="54" fillId="0" borderId="0" xfId="1" applyNumberFormat="1" applyFont="1"/>
    <xf numFmtId="165" fontId="54" fillId="0" borderId="0" xfId="1" applyNumberFormat="1" applyFont="1" applyBorder="1"/>
    <xf numFmtId="0" fontId="5" fillId="0" borderId="0" xfId="0" applyFont="1" applyFill="1" applyBorder="1" applyAlignment="1">
      <alignment horizontal="center"/>
    </xf>
    <xf numFmtId="165" fontId="5" fillId="0" borderId="22" xfId="1" applyNumberFormat="1" applyFont="1" applyFill="1" applyBorder="1"/>
    <xf numFmtId="0" fontId="5" fillId="2" borderId="24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right"/>
    </xf>
    <xf numFmtId="0" fontId="5" fillId="2" borderId="20" xfId="0" applyFont="1" applyFill="1" applyBorder="1" applyAlignment="1">
      <alignment horizontal="right"/>
    </xf>
    <xf numFmtId="0" fontId="5" fillId="2" borderId="22" xfId="0" applyFont="1" applyFill="1" applyBorder="1" applyAlignment="1">
      <alignment horizontal="right"/>
    </xf>
    <xf numFmtId="165" fontId="5" fillId="2" borderId="24" xfId="1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right"/>
    </xf>
    <xf numFmtId="166" fontId="3" fillId="0" borderId="17" xfId="6" applyNumberFormat="1" applyFont="1" applyFill="1" applyBorder="1" applyProtection="1">
      <protection locked="0"/>
    </xf>
    <xf numFmtId="165" fontId="5" fillId="6" borderId="24" xfId="1" applyNumberFormat="1" applyFont="1" applyFill="1" applyBorder="1"/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41" fontId="13" fillId="0" borderId="0" xfId="0" applyNumberFormat="1" applyFont="1" applyFill="1" applyBorder="1" applyAlignment="1" applyProtection="1">
      <alignment horizontal="center"/>
      <protection locked="0"/>
    </xf>
    <xf numFmtId="165" fontId="5" fillId="6" borderId="24" xfId="1" applyNumberFormat="1" applyFont="1" applyFill="1" applyBorder="1" applyProtection="1">
      <protection locked="0"/>
    </xf>
    <xf numFmtId="165" fontId="5" fillId="6" borderId="26" xfId="1" applyNumberFormat="1" applyFont="1" applyFill="1" applyBorder="1" applyProtection="1">
      <protection locked="0"/>
    </xf>
    <xf numFmtId="165" fontId="39" fillId="0" borderId="0" xfId="0" applyNumberFormat="1" applyFont="1"/>
    <xf numFmtId="165" fontId="1" fillId="0" borderId="7" xfId="1" quotePrefix="1" applyNumberFormat="1" applyFont="1" applyFill="1" applyBorder="1" applyAlignment="1">
      <alignment horizontal="center"/>
    </xf>
    <xf numFmtId="165" fontId="1" fillId="0" borderId="8" xfId="1" quotePrefix="1" applyNumberFormat="1" applyFont="1" applyFill="1" applyBorder="1" applyAlignment="1">
      <alignment horizontal="center"/>
    </xf>
    <xf numFmtId="165" fontId="1" fillId="0" borderId="9" xfId="1" quotePrefix="1" applyNumberFormat="1" applyFont="1" applyFill="1" applyBorder="1" applyAlignment="1">
      <alignment horizontal="center"/>
    </xf>
    <xf numFmtId="165" fontId="1" fillId="0" borderId="10" xfId="1" quotePrefix="1" applyNumberFormat="1" applyFont="1" applyFill="1" applyBorder="1" applyAlignment="1">
      <alignment horizontal="center"/>
    </xf>
    <xf numFmtId="165" fontId="1" fillId="0" borderId="11" xfId="1" quotePrefix="1" applyNumberFormat="1" applyFont="1" applyFill="1" applyBorder="1" applyAlignment="1">
      <alignment horizontal="center"/>
    </xf>
    <xf numFmtId="165" fontId="1" fillId="0" borderId="4" xfId="1" quotePrefix="1" applyNumberFormat="1" applyFont="1" applyFill="1" applyBorder="1" applyAlignment="1">
      <alignment horizontal="center"/>
    </xf>
    <xf numFmtId="165" fontId="1" fillId="0" borderId="5" xfId="1" quotePrefix="1" applyNumberFormat="1" applyFont="1" applyFill="1" applyBorder="1" applyAlignment="1">
      <alignment horizontal="center"/>
    </xf>
    <xf numFmtId="165" fontId="1" fillId="0" borderId="6" xfId="1" quotePrefix="1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8" borderId="0" xfId="0" applyFill="1"/>
    <xf numFmtId="0" fontId="0" fillId="0" borderId="0" xfId="0" applyFill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5" fontId="0" fillId="0" borderId="0" xfId="1" applyNumberFormat="1" applyFont="1"/>
    <xf numFmtId="0" fontId="0" fillId="0" borderId="29" xfId="0" applyBorder="1"/>
    <xf numFmtId="165" fontId="0" fillId="0" borderId="28" xfId="0" applyNumberFormat="1" applyBorder="1"/>
    <xf numFmtId="165" fontId="0" fillId="0" borderId="29" xfId="0" applyNumberFormat="1" applyBorder="1"/>
    <xf numFmtId="165" fontId="0" fillId="0" borderId="30" xfId="0" applyNumberFormat="1" applyBorder="1"/>
    <xf numFmtId="0" fontId="1" fillId="0" borderId="3" xfId="0" applyFont="1" applyFill="1" applyBorder="1" applyAlignment="1">
      <alignment horizontal="center"/>
    </xf>
    <xf numFmtId="0" fontId="3" fillId="9" borderId="0" xfId="0" applyFont="1" applyFill="1" applyBorder="1" applyProtection="1">
      <protection locked="0"/>
    </xf>
    <xf numFmtId="165" fontId="5" fillId="0" borderId="0" xfId="0" applyNumberFormat="1" applyFont="1" applyAlignment="1"/>
    <xf numFmtId="0" fontId="16" fillId="10" borderId="0" xfId="0" applyFont="1" applyFill="1"/>
    <xf numFmtId="0" fontId="3" fillId="10" borderId="0" xfId="0" applyFont="1" applyFill="1"/>
    <xf numFmtId="0" fontId="0" fillId="10" borderId="0" xfId="0" applyFill="1"/>
    <xf numFmtId="0" fontId="3" fillId="7" borderId="0" xfId="0" applyFont="1" applyFill="1" applyBorder="1" applyProtection="1">
      <protection locked="0"/>
    </xf>
    <xf numFmtId="164" fontId="55" fillId="0" borderId="10" xfId="3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 vertical="top"/>
      <protection locked="0"/>
    </xf>
    <xf numFmtId="165" fontId="1" fillId="0" borderId="0" xfId="1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/>
    </xf>
    <xf numFmtId="165" fontId="56" fillId="0" borderId="0" xfId="1" applyNumberFormat="1" applyFont="1"/>
    <xf numFmtId="165" fontId="0" fillId="0" borderId="0" xfId="0" applyNumberFormat="1" applyFill="1" applyBorder="1"/>
    <xf numFmtId="0" fontId="7" fillId="0" borderId="0" xfId="0" applyFont="1" applyFill="1" applyBorder="1" applyAlignment="1">
      <alignment horizontal="centerContinuous"/>
    </xf>
    <xf numFmtId="164" fontId="3" fillId="0" borderId="2" xfId="3" applyNumberFormat="1" applyFont="1" applyFill="1" applyBorder="1" applyAlignment="1">
      <alignment horizontal="center"/>
    </xf>
    <xf numFmtId="0" fontId="3" fillId="0" borderId="0" xfId="0" quotePrefix="1" applyFont="1" applyFill="1" applyBorder="1"/>
    <xf numFmtId="165" fontId="5" fillId="0" borderId="0" xfId="1" applyNumberFormat="1" applyFont="1" applyFill="1" applyBorder="1" applyAlignment="1">
      <alignment horizontal="left"/>
    </xf>
    <xf numFmtId="165" fontId="0" fillId="0" borderId="0" xfId="1" applyNumberFormat="1" applyFont="1" applyFill="1"/>
    <xf numFmtId="41" fontId="0" fillId="0" borderId="0" xfId="0" applyNumberFormat="1" applyFill="1"/>
    <xf numFmtId="165" fontId="5" fillId="0" borderId="9" xfId="1" applyNumberFormat="1" applyFont="1" applyFill="1" applyBorder="1"/>
    <xf numFmtId="165" fontId="5" fillId="2" borderId="25" xfId="0" applyNumberFormat="1" applyFont="1" applyFill="1" applyBorder="1" applyAlignment="1">
      <alignment horizontal="center"/>
    </xf>
    <xf numFmtId="9" fontId="3" fillId="0" borderId="5" xfId="6" applyFont="1" applyFill="1" applyBorder="1" applyAlignment="1">
      <alignment horizontal="right"/>
    </xf>
    <xf numFmtId="9" fontId="3" fillId="0" borderId="10" xfId="6" applyFont="1" applyFill="1" applyBorder="1" applyAlignment="1">
      <alignment horizontal="right"/>
    </xf>
    <xf numFmtId="165" fontId="3" fillId="0" borderId="11" xfId="1" applyNumberFormat="1" applyFont="1" applyFill="1" applyBorder="1"/>
    <xf numFmtId="167" fontId="3" fillId="0" borderId="6" xfId="1" quotePrefix="1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42" fontId="5" fillId="0" borderId="8" xfId="3" applyNumberFormat="1" applyFont="1" applyFill="1" applyBorder="1"/>
    <xf numFmtId="42" fontId="23" fillId="0" borderId="8" xfId="3" applyNumberFormat="1" applyFont="1" applyFill="1" applyBorder="1"/>
    <xf numFmtId="0" fontId="5" fillId="0" borderId="10" xfId="0" applyFont="1" applyFill="1" applyBorder="1" applyAlignment="1">
      <alignment horizontal="right"/>
    </xf>
    <xf numFmtId="0" fontId="1" fillId="0" borderId="7" xfId="0" applyFont="1" applyFill="1" applyBorder="1" applyAlignment="1">
      <alignment horizontal="left" vertical="center"/>
    </xf>
    <xf numFmtId="164" fontId="3" fillId="0" borderId="0" xfId="0" applyNumberFormat="1" applyFont="1" applyFill="1" applyBorder="1"/>
    <xf numFmtId="164" fontId="5" fillId="0" borderId="0" xfId="0" applyNumberFormat="1" applyFont="1" applyFill="1" applyBorder="1"/>
    <xf numFmtId="0" fontId="1" fillId="0" borderId="4" xfId="0" applyFont="1" applyFill="1" applyBorder="1"/>
    <xf numFmtId="41" fontId="3" fillId="0" borderId="5" xfId="3" applyNumberFormat="1" applyFont="1" applyFill="1" applyBorder="1"/>
    <xf numFmtId="0" fontId="3" fillId="0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5" fillId="0" borderId="11" xfId="3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1" fillId="0" borderId="7" xfId="0" applyFont="1" applyBorder="1" applyAlignment="1">
      <alignment vertical="center"/>
    </xf>
    <xf numFmtId="41" fontId="16" fillId="0" borderId="0" xfId="0" applyNumberFormat="1" applyFont="1"/>
    <xf numFmtId="165" fontId="25" fillId="0" borderId="0" xfId="0" applyNumberFormat="1" applyFont="1" applyFill="1" applyBorder="1" applyAlignment="1">
      <alignment horizontal="left"/>
    </xf>
    <xf numFmtId="165" fontId="5" fillId="0" borderId="0" xfId="1" applyNumberFormat="1" applyFont="1" applyAlignment="1"/>
    <xf numFmtId="0" fontId="1" fillId="0" borderId="0" xfId="0" quotePrefix="1" applyFont="1" applyBorder="1" applyAlignment="1">
      <alignment horizontal="left"/>
    </xf>
    <xf numFmtId="0" fontId="1" fillId="0" borderId="0" xfId="0" quotePrefix="1" applyFont="1" applyBorder="1" applyAlignment="1">
      <alignment horizontal="center"/>
    </xf>
    <xf numFmtId="0" fontId="5" fillId="0" borderId="22" xfId="0" quotePrefix="1" applyFont="1" applyFill="1" applyBorder="1" applyAlignment="1">
      <alignment horizontal="center"/>
    </xf>
    <xf numFmtId="41" fontId="1" fillId="0" borderId="0" xfId="0" applyNumberFormat="1" applyFont="1" applyFill="1" applyBorder="1" applyAlignment="1">
      <alignment horizontal="left"/>
    </xf>
    <xf numFmtId="41" fontId="13" fillId="0" borderId="0" xfId="0" applyNumberFormat="1" applyFont="1" applyFill="1" applyBorder="1"/>
    <xf numFmtId="41" fontId="13" fillId="0" borderId="0" xfId="0" applyNumberFormat="1" applyFont="1" applyFill="1" applyBorder="1" applyAlignment="1">
      <alignment horizontal="left"/>
    </xf>
    <xf numFmtId="41" fontId="5" fillId="0" borderId="0" xfId="0" applyNumberFormat="1" applyFont="1" applyFill="1" applyBorder="1"/>
    <xf numFmtId="0" fontId="58" fillId="0" borderId="0" xfId="0" applyFont="1" applyFill="1" applyBorder="1"/>
    <xf numFmtId="41" fontId="58" fillId="0" borderId="0" xfId="3" applyNumberFormat="1" applyFont="1" applyFill="1" applyBorder="1" applyProtection="1"/>
    <xf numFmtId="41" fontId="59" fillId="0" borderId="0" xfId="3" applyNumberFormat="1" applyFont="1" applyFill="1" applyBorder="1" applyProtection="1"/>
    <xf numFmtId="0" fontId="59" fillId="0" borderId="0" xfId="0" applyFont="1" applyFill="1" applyBorder="1"/>
    <xf numFmtId="0" fontId="59" fillId="0" borderId="0" xfId="0" applyFont="1" applyFill="1" applyBorder="1" applyAlignment="1">
      <alignment horizontal="left"/>
    </xf>
    <xf numFmtId="10" fontId="15" fillId="0" borderId="0" xfId="6" applyNumberFormat="1" applyFont="1" applyFill="1" applyBorder="1" applyAlignment="1" applyProtection="1">
      <alignment horizontal="center"/>
    </xf>
    <xf numFmtId="0" fontId="60" fillId="0" borderId="0" xfId="0" applyFont="1" applyFill="1" applyBorder="1"/>
    <xf numFmtId="0" fontId="60" fillId="0" borderId="0" xfId="0" applyFont="1"/>
    <xf numFmtId="165" fontId="60" fillId="0" borderId="0" xfId="1" applyNumberFormat="1" applyFont="1"/>
    <xf numFmtId="0" fontId="61" fillId="0" borderId="0" xfId="0" applyFont="1"/>
    <xf numFmtId="0" fontId="62" fillId="0" borderId="0" xfId="0" applyFont="1" applyFill="1" applyBorder="1"/>
    <xf numFmtId="37" fontId="53" fillId="0" borderId="0" xfId="5" applyFont="1" applyFill="1" applyBorder="1" applyProtection="1"/>
    <xf numFmtId="0" fontId="1" fillId="4" borderId="0" xfId="0" applyFont="1" applyFill="1" applyBorder="1" applyAlignment="1">
      <alignment horizontal="center"/>
    </xf>
    <xf numFmtId="176" fontId="25" fillId="0" borderId="0" xfId="0" applyNumberFormat="1" applyFont="1" applyFill="1" applyBorder="1" applyAlignment="1">
      <alignment horizontal="left"/>
    </xf>
    <xf numFmtId="0" fontId="63" fillId="0" borderId="0" xfId="0" applyFont="1" applyFill="1" applyBorder="1"/>
    <xf numFmtId="0" fontId="64" fillId="0" borderId="0" xfId="0" applyFont="1"/>
    <xf numFmtId="0" fontId="65" fillId="0" borderId="0" xfId="0" applyFont="1"/>
    <xf numFmtId="0" fontId="66" fillId="0" borderId="0" xfId="0" applyFont="1"/>
    <xf numFmtId="165" fontId="38" fillId="0" borderId="0" xfId="0" applyNumberFormat="1" applyFont="1"/>
    <xf numFmtId="43" fontId="16" fillId="0" borderId="0" xfId="1" applyFont="1"/>
    <xf numFmtId="37" fontId="5" fillId="0" borderId="0" xfId="5" applyFont="1" applyFill="1" applyBorder="1" applyAlignment="1" applyProtection="1">
      <alignment horizontal="center" wrapText="1"/>
    </xf>
    <xf numFmtId="165" fontId="25" fillId="0" borderId="0" xfId="1" applyNumberFormat="1" applyFont="1" applyFill="1" applyBorder="1" applyAlignment="1">
      <alignment horizontal="left"/>
    </xf>
    <xf numFmtId="165" fontId="25" fillId="0" borderId="0" xfId="0" applyNumberFormat="1" applyFont="1" applyBorder="1"/>
    <xf numFmtId="165" fontId="25" fillId="0" borderId="0" xfId="0" applyNumberFormat="1" applyFont="1" applyFill="1" applyBorder="1" applyAlignment="1">
      <alignment horizontal="right"/>
    </xf>
    <xf numFmtId="1" fontId="25" fillId="0" borderId="0" xfId="0" applyNumberFormat="1" applyFont="1" applyFill="1" applyBorder="1" applyAlignment="1">
      <alignment horizontal="right"/>
    </xf>
    <xf numFmtId="177" fontId="25" fillId="0" borderId="0" xfId="0" applyNumberFormat="1" applyFont="1" applyFill="1" applyBorder="1" applyAlignment="1">
      <alignment horizontal="right"/>
    </xf>
    <xf numFmtId="0" fontId="0" fillId="12" borderId="0" xfId="0" applyFill="1"/>
    <xf numFmtId="0" fontId="5" fillId="0" borderId="0" xfId="0" applyFont="1" applyFill="1" applyBorder="1" applyAlignment="1">
      <alignment horizontal="center"/>
    </xf>
    <xf numFmtId="0" fontId="10" fillId="12" borderId="0" xfId="0" applyFont="1" applyFill="1" applyBorder="1"/>
    <xf numFmtId="176" fontId="25" fillId="0" borderId="0" xfId="0" applyNumberFormat="1" applyFont="1" applyFill="1" applyBorder="1" applyAlignment="1">
      <alignment horizontal="right"/>
    </xf>
    <xf numFmtId="169" fontId="25" fillId="0" borderId="0" xfId="0" applyNumberFormat="1" applyFont="1" applyFill="1" applyBorder="1" applyAlignment="1">
      <alignment horizontal="right"/>
    </xf>
    <xf numFmtId="169" fontId="25" fillId="0" borderId="0" xfId="0" quotePrefix="1" applyNumberFormat="1" applyFont="1" applyFill="1" applyBorder="1" applyAlignment="1">
      <alignment horizontal="right"/>
    </xf>
    <xf numFmtId="164" fontId="57" fillId="0" borderId="0" xfId="3" applyNumberFormat="1" applyFont="1" applyFill="1" applyBorder="1"/>
    <xf numFmtId="164" fontId="1" fillId="0" borderId="4" xfId="3" applyNumberFormat="1" applyFont="1" applyFill="1" applyBorder="1" applyAlignment="1">
      <alignment horizontal="right"/>
    </xf>
    <xf numFmtId="41" fontId="1" fillId="0" borderId="5" xfId="1" quotePrefix="1" applyNumberFormat="1" applyFont="1" applyFill="1" applyBorder="1"/>
    <xf numFmtId="41" fontId="1" fillId="0" borderId="5" xfId="1" applyNumberFormat="1" applyFont="1" applyFill="1" applyBorder="1"/>
    <xf numFmtId="164" fontId="8" fillId="0" borderId="7" xfId="3" applyNumberFormat="1" applyFont="1" applyFill="1" applyBorder="1" applyAlignment="1">
      <alignment horizontal="right"/>
    </xf>
    <xf numFmtId="164" fontId="1" fillId="0" borderId="7" xfId="3" applyNumberFormat="1" applyFont="1" applyFill="1" applyBorder="1" applyAlignment="1">
      <alignment horizontal="right"/>
    </xf>
    <xf numFmtId="41" fontId="1" fillId="0" borderId="0" xfId="1" applyNumberFormat="1" applyFont="1" applyFill="1" applyBorder="1"/>
    <xf numFmtId="164" fontId="3" fillId="0" borderId="7" xfId="3" applyNumberFormat="1" applyFont="1" applyFill="1" applyBorder="1" applyAlignment="1">
      <alignment horizontal="right"/>
    </xf>
    <xf numFmtId="41" fontId="1" fillId="0" borderId="0" xfId="1" quotePrefix="1" applyNumberFormat="1" applyFont="1" applyFill="1" applyBorder="1"/>
    <xf numFmtId="41" fontId="13" fillId="0" borderId="0" xfId="1" applyNumberFormat="1" applyFont="1" applyFill="1" applyBorder="1"/>
    <xf numFmtId="164" fontId="5" fillId="0" borderId="9" xfId="3" applyNumberFormat="1" applyFont="1" applyFill="1" applyBorder="1" applyAlignment="1">
      <alignment horizontal="right"/>
    </xf>
    <xf numFmtId="165" fontId="3" fillId="0" borderId="10" xfId="0" applyNumberFormat="1" applyFont="1" applyFill="1" applyBorder="1" applyAlignment="1">
      <alignment horizontal="right"/>
    </xf>
    <xf numFmtId="164" fontId="3" fillId="0" borderId="4" xfId="3" applyNumberFormat="1" applyFont="1" applyFill="1" applyBorder="1" applyAlignment="1">
      <alignment horizontal="right"/>
    </xf>
    <xf numFmtId="164" fontId="3" fillId="0" borderId="7" xfId="3" applyNumberFormat="1" applyFont="1" applyFill="1" applyBorder="1"/>
    <xf numFmtId="43" fontId="3" fillId="0" borderId="1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center"/>
    </xf>
    <xf numFmtId="178" fontId="0" fillId="0" borderId="0" xfId="0" applyNumberFormat="1"/>
    <xf numFmtId="179" fontId="0" fillId="0" borderId="0" xfId="0" applyNumberFormat="1"/>
    <xf numFmtId="180" fontId="20" fillId="0" borderId="0" xfId="0" applyNumberFormat="1" applyFont="1"/>
    <xf numFmtId="165" fontId="3" fillId="0" borderId="0" xfId="0" applyNumberFormat="1" applyFont="1" applyFill="1" applyBorder="1" applyAlignment="1">
      <alignment horizontal="right"/>
    </xf>
    <xf numFmtId="41" fontId="5" fillId="0" borderId="0" xfId="0" applyNumberFormat="1" applyFont="1" applyFill="1" applyBorder="1" applyAlignment="1" applyProtection="1">
      <alignment horizontal="center"/>
      <protection locked="0"/>
    </xf>
    <xf numFmtId="0" fontId="59" fillId="0" borderId="0" xfId="0" applyFont="1" applyBorder="1" applyAlignment="1">
      <alignment wrapText="1"/>
    </xf>
    <xf numFmtId="0" fontId="59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165" fontId="1" fillId="0" borderId="0" xfId="0" applyNumberFormat="1" applyFont="1" applyFill="1" applyBorder="1" applyAlignment="1">
      <alignment horizontal="left"/>
    </xf>
    <xf numFmtId="37" fontId="1" fillId="0" borderId="0" xfId="5" applyFont="1" applyFill="1" applyBorder="1" applyAlignment="1" applyProtection="1">
      <alignment horizontal="right"/>
      <protection locked="0"/>
    </xf>
    <xf numFmtId="10" fontId="1" fillId="0" borderId="0" xfId="0" applyNumberFormat="1" applyFont="1" applyFill="1" applyBorder="1" applyAlignment="1">
      <alignment horizontal="right"/>
    </xf>
    <xf numFmtId="10" fontId="15" fillId="0" borderId="0" xfId="0" applyNumberFormat="1" applyFont="1" applyFill="1" applyBorder="1" applyAlignment="1">
      <alignment horizontal="right"/>
    </xf>
    <xf numFmtId="37" fontId="5" fillId="0" borderId="0" xfId="5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left" vertical="top"/>
    </xf>
    <xf numFmtId="165" fontId="3" fillId="0" borderId="10" xfId="0" applyNumberFormat="1" applyFont="1" applyFill="1" applyBorder="1"/>
    <xf numFmtId="0" fontId="0" fillId="11" borderId="0" xfId="0" applyFill="1"/>
    <xf numFmtId="0" fontId="10" fillId="11" borderId="0" xfId="0" applyFont="1" applyFill="1" applyBorder="1"/>
    <xf numFmtId="165" fontId="0" fillId="0" borderId="0" xfId="1" applyNumberFormat="1" applyFont="1" applyFill="1" applyBorder="1"/>
    <xf numFmtId="0" fontId="10" fillId="0" borderId="10" xfId="0" applyFont="1" applyFill="1" applyBorder="1"/>
    <xf numFmtId="0" fontId="0" fillId="0" borderId="10" xfId="0" applyFill="1" applyBorder="1"/>
    <xf numFmtId="0" fontId="5" fillId="0" borderId="0" xfId="0" applyFont="1" applyFill="1" applyBorder="1" applyAlignment="1">
      <alignment horizontal="center"/>
    </xf>
    <xf numFmtId="0" fontId="69" fillId="0" borderId="0" xfId="0" applyFont="1" applyFill="1" applyBorder="1" applyAlignment="1" applyProtection="1">
      <alignment horizontal="center"/>
      <protection locked="0"/>
    </xf>
    <xf numFmtId="168" fontId="3" fillId="0" borderId="0" xfId="0" applyNumberFormat="1" applyFont="1" applyFill="1"/>
    <xf numFmtId="164" fontId="1" fillId="0" borderId="0" xfId="0" applyNumberFormat="1" applyFont="1" applyFill="1" applyBorder="1" applyAlignment="1">
      <alignment horizontal="center"/>
    </xf>
    <xf numFmtId="0" fontId="25" fillId="0" borderId="0" xfId="0" applyFont="1" applyFill="1"/>
    <xf numFmtId="165" fontId="3" fillId="0" borderId="0" xfId="1" applyNumberFormat="1" applyFont="1" applyFill="1"/>
    <xf numFmtId="165" fontId="16" fillId="0" borderId="0" xfId="0" applyNumberFormat="1" applyFont="1" applyFill="1"/>
    <xf numFmtId="44" fontId="19" fillId="0" borderId="0" xfId="0" applyNumberFormat="1" applyFont="1" applyBorder="1"/>
    <xf numFmtId="164" fontId="19" fillId="0" borderId="0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7" xfId="0" applyFont="1" applyFill="1" applyBorder="1"/>
    <xf numFmtId="0" fontId="19" fillId="0" borderId="0" xfId="0" applyFont="1" applyFill="1"/>
    <xf numFmtId="37" fontId="68" fillId="0" borderId="0" xfId="12" applyNumberFormat="1" applyFill="1"/>
    <xf numFmtId="41" fontId="1" fillId="0" borderId="10" xfId="0" applyNumberFormat="1" applyFont="1" applyFill="1" applyBorder="1" applyAlignment="1">
      <alignment horizontal="centerContinuous"/>
    </xf>
    <xf numFmtId="165" fontId="8" fillId="0" borderId="29" xfId="3" applyNumberFormat="1" applyFont="1" applyFill="1" applyBorder="1"/>
    <xf numFmtId="41" fontId="1" fillId="0" borderId="0" xfId="0" applyNumberFormat="1" applyFont="1" applyFill="1" applyBorder="1" applyAlignment="1">
      <alignment horizontal="centerContinuous"/>
    </xf>
    <xf numFmtId="0" fontId="19" fillId="0" borderId="0" xfId="0" applyFont="1" applyFill="1" applyAlignment="1">
      <alignment horizontal="center"/>
    </xf>
    <xf numFmtId="0" fontId="5" fillId="0" borderId="4" xfId="0" applyFont="1" applyFill="1" applyBorder="1"/>
    <xf numFmtId="164" fontId="23" fillId="0" borderId="0" xfId="3" applyNumberFormat="1" applyFont="1" applyFill="1" applyBorder="1"/>
    <xf numFmtId="164" fontId="0" fillId="0" borderId="0" xfId="0" applyNumberFormat="1" applyFill="1"/>
    <xf numFmtId="0" fontId="68" fillId="0" borderId="0" xfId="12" applyFill="1"/>
    <xf numFmtId="0" fontId="5" fillId="0" borderId="9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Continuous"/>
    </xf>
    <xf numFmtId="164" fontId="1" fillId="0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41" fontId="1" fillId="0" borderId="11" xfId="0" applyNumberFormat="1" applyFont="1" applyFill="1" applyBorder="1" applyAlignment="1">
      <alignment horizontal="centerContinuous"/>
    </xf>
    <xf numFmtId="41" fontId="1" fillId="0" borderId="29" xfId="0" applyNumberFormat="1" applyFont="1" applyFill="1" applyBorder="1" applyAlignment="1">
      <alignment horizontal="centerContinuous"/>
    </xf>
    <xf numFmtId="165" fontId="1" fillId="0" borderId="0" xfId="3" applyNumberFormat="1" applyFont="1" applyBorder="1"/>
    <xf numFmtId="165" fontId="3" fillId="0" borderId="0" xfId="1" applyNumberFormat="1" applyFont="1" applyAlignment="1">
      <alignment horizontal="right"/>
    </xf>
    <xf numFmtId="170" fontId="5" fillId="0" borderId="8" xfId="6" applyNumberFormat="1" applyFont="1" applyFill="1" applyBorder="1"/>
    <xf numFmtId="0" fontId="16" fillId="2" borderId="15" xfId="0" applyFont="1" applyFill="1" applyBorder="1"/>
    <xf numFmtId="0" fontId="16" fillId="2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165" fontId="1" fillId="0" borderId="0" xfId="1" applyNumberFormat="1" applyFont="1" applyFill="1" applyBorder="1" applyAlignment="1" applyProtection="1">
      <alignment horizontal="left"/>
      <protection locked="0"/>
    </xf>
    <xf numFmtId="0" fontId="0" fillId="0" borderId="0" xfId="0" applyFill="1" applyAlignment="1">
      <alignment horizontal="left"/>
    </xf>
    <xf numFmtId="0" fontId="3" fillId="0" borderId="0" xfId="0" applyFont="1" applyFill="1" applyBorder="1" applyAlignment="1" applyProtection="1">
      <alignment horizontal="left"/>
      <protection locked="0"/>
    </xf>
    <xf numFmtId="41" fontId="5" fillId="0" borderId="0" xfId="0" applyNumberFormat="1" applyFont="1" applyFill="1" applyBorder="1" applyAlignment="1">
      <alignment horizontal="center"/>
    </xf>
    <xf numFmtId="0" fontId="67" fillId="0" borderId="0" xfId="0" applyFont="1" applyFill="1" applyBorder="1"/>
    <xf numFmtId="10" fontId="0" fillId="0" borderId="0" xfId="0" applyNumberFormat="1" applyFill="1" applyBorder="1"/>
    <xf numFmtId="10" fontId="15" fillId="0" borderId="0" xfId="0" applyNumberFormat="1" applyFont="1" applyFill="1" applyBorder="1"/>
    <xf numFmtId="165" fontId="0" fillId="0" borderId="0" xfId="1" applyNumberFormat="1" applyFont="1" applyFill="1" applyBorder="1" applyAlignment="1">
      <alignment horizontal="center"/>
    </xf>
    <xf numFmtId="43" fontId="13" fillId="0" borderId="0" xfId="0" applyNumberFormat="1" applyFont="1" applyFill="1" applyBorder="1"/>
    <xf numFmtId="10" fontId="5" fillId="0" borderId="0" xfId="0" applyNumberFormat="1" applyFont="1" applyFill="1" applyBorder="1"/>
    <xf numFmtId="165" fontId="11" fillId="0" borderId="0" xfId="0" applyNumberFormat="1" applyFont="1" applyFill="1" applyBorder="1"/>
    <xf numFmtId="165" fontId="23" fillId="0" borderId="0" xfId="0" applyNumberFormat="1" applyFont="1" applyFill="1" applyBorder="1"/>
    <xf numFmtId="10" fontId="11" fillId="0" borderId="0" xfId="0" applyNumberFormat="1" applyFont="1" applyFill="1" applyBorder="1"/>
    <xf numFmtId="0" fontId="1" fillId="0" borderId="0" xfId="0" applyFont="1" applyFill="1" applyBorder="1" applyAlignment="1">
      <alignment horizontal="left" indent="3"/>
    </xf>
    <xf numFmtId="165" fontId="1" fillId="0" borderId="0" xfId="1" applyNumberFormat="1" applyFont="1" applyFill="1"/>
    <xf numFmtId="6" fontId="1" fillId="0" borderId="0" xfId="6" applyNumberFormat="1" applyFont="1" applyFill="1" applyBorder="1" applyAlignment="1" applyProtection="1">
      <alignment horizontal="center"/>
    </xf>
    <xf numFmtId="10" fontId="5" fillId="0" borderId="0" xfId="6" quotePrefix="1" applyNumberFormat="1" applyFont="1" applyFill="1" applyBorder="1" applyAlignment="1" applyProtection="1">
      <alignment horizontal="center"/>
    </xf>
    <xf numFmtId="165" fontId="5" fillId="0" borderId="0" xfId="1" applyNumberFormat="1" applyFont="1" applyFill="1" applyBorder="1" applyAlignment="1" applyProtection="1">
      <alignment horizontal="center"/>
    </xf>
    <xf numFmtId="41" fontId="1" fillId="0" borderId="0" xfId="2" applyNumberFormat="1" applyFont="1" applyFill="1" applyBorder="1"/>
    <xf numFmtId="168" fontId="1" fillId="0" borderId="0" xfId="0" applyNumberFormat="1" applyFont="1" applyFill="1"/>
    <xf numFmtId="0" fontId="5" fillId="0" borderId="2" xfId="0" applyFont="1" applyFill="1" applyBorder="1" applyAlignment="1">
      <alignment horizontal="center"/>
    </xf>
    <xf numFmtId="0" fontId="3" fillId="0" borderId="3" xfId="0" applyFont="1" applyBorder="1"/>
    <xf numFmtId="165" fontId="5" fillId="0" borderId="1" xfId="1" applyNumberFormat="1" applyFont="1" applyFill="1" applyBorder="1" applyProtection="1">
      <protection locked="0"/>
    </xf>
    <xf numFmtId="0" fontId="0" fillId="0" borderId="2" xfId="0" applyFill="1" applyBorder="1"/>
    <xf numFmtId="165" fontId="3" fillId="0" borderId="2" xfId="0" applyNumberFormat="1" applyFont="1" applyFill="1" applyBorder="1"/>
    <xf numFmtId="165" fontId="1" fillId="0" borderId="0" xfId="1" applyNumberFormat="1" applyFont="1" applyFill="1" applyBorder="1" applyAlignment="1">
      <alignment horizontal="right"/>
    </xf>
    <xf numFmtId="42" fontId="1" fillId="0" borderId="0" xfId="6" applyNumberFormat="1" applyFont="1" applyFill="1" applyBorder="1" applyAlignment="1" applyProtection="1">
      <alignment horizontal="center"/>
    </xf>
    <xf numFmtId="42" fontId="13" fillId="0" borderId="0" xfId="3" applyNumberFormat="1" applyFont="1" applyFill="1" applyBorder="1" applyProtection="1"/>
    <xf numFmtId="43" fontId="0" fillId="0" borderId="0" xfId="0" applyNumberFormat="1"/>
    <xf numFmtId="43" fontId="0" fillId="0" borderId="0" xfId="0" applyNumberFormat="1" applyFill="1"/>
    <xf numFmtId="42" fontId="1" fillId="0" borderId="0" xfId="0" applyNumberFormat="1" applyFont="1" applyFill="1" applyBorder="1"/>
    <xf numFmtId="0" fontId="0" fillId="0" borderId="7" xfId="0" applyFill="1" applyBorder="1"/>
    <xf numFmtId="165" fontId="0" fillId="0" borderId="8" xfId="1" applyNumberFormat="1" applyFont="1" applyFill="1" applyBorder="1"/>
    <xf numFmtId="0" fontId="88" fillId="0" borderId="0" xfId="0" applyFont="1" applyFill="1" applyBorder="1" applyAlignment="1">
      <alignment horizontal="centerContinuous"/>
    </xf>
    <xf numFmtId="165" fontId="67" fillId="0" borderId="0" xfId="1" applyNumberFormat="1" applyFont="1" applyFill="1" applyBorder="1"/>
    <xf numFmtId="41" fontId="0" fillId="0" borderId="0" xfId="0" applyNumberFormat="1" applyBorder="1"/>
    <xf numFmtId="165" fontId="0" fillId="0" borderId="0" xfId="0" applyNumberFormat="1" applyBorder="1"/>
    <xf numFmtId="2" fontId="1" fillId="0" borderId="0" xfId="6" applyNumberFormat="1" applyFont="1" applyFill="1" applyBorder="1" applyAlignment="1" applyProtection="1">
      <alignment horizontal="center"/>
    </xf>
    <xf numFmtId="0" fontId="20" fillId="0" borderId="0" xfId="0" applyFont="1" applyBorder="1"/>
    <xf numFmtId="165" fontId="3" fillId="0" borderId="0" xfId="0" applyNumberFormat="1" applyFont="1" applyBorder="1" applyProtection="1">
      <protection locked="0"/>
    </xf>
    <xf numFmtId="43" fontId="5" fillId="2" borderId="25" xfId="1" applyNumberFormat="1" applyFont="1" applyFill="1" applyBorder="1"/>
    <xf numFmtId="0" fontId="1" fillId="0" borderId="0" xfId="0" quotePrefix="1" applyFont="1"/>
    <xf numFmtId="0" fontId="3" fillId="8" borderId="0" xfId="0" applyFont="1" applyFill="1"/>
    <xf numFmtId="39" fontId="3" fillId="8" borderId="0" xfId="3" applyNumberFormat="1" applyFont="1" applyFill="1" applyBorder="1" applyAlignment="1">
      <alignment horizontal="center"/>
    </xf>
    <xf numFmtId="0" fontId="15" fillId="0" borderId="0" xfId="0" quotePrefix="1" applyFont="1" applyFill="1" applyBorder="1" applyAlignment="1" applyProtection="1">
      <alignment horizontal="left"/>
      <protection locked="0"/>
    </xf>
    <xf numFmtId="0" fontId="91" fillId="0" borderId="0" xfId="0" applyFont="1" applyFill="1" applyBorder="1" applyAlignment="1">
      <alignment horizontal="centerContinuous"/>
    </xf>
    <xf numFmtId="17" fontId="90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65" fontId="5" fillId="29" borderId="25" xfId="1" applyNumberFormat="1" applyFont="1" applyFill="1" applyBorder="1" applyAlignment="1" applyProtection="1">
      <alignment horizontal="right"/>
      <protection locked="0"/>
    </xf>
    <xf numFmtId="43" fontId="5" fillId="2" borderId="25" xfId="1" applyNumberFormat="1" applyFont="1" applyFill="1" applyBorder="1" applyProtection="1">
      <protection locked="0"/>
    </xf>
    <xf numFmtId="44" fontId="16" fillId="0" borderId="0" xfId="3" applyFont="1"/>
    <xf numFmtId="44" fontId="63" fillId="0" borderId="0" xfId="3" applyFont="1" applyFill="1" applyBorder="1"/>
    <xf numFmtId="44" fontId="19" fillId="0" borderId="0" xfId="3" applyFont="1"/>
    <xf numFmtId="44" fontId="0" fillId="0" borderId="0" xfId="3" applyFont="1"/>
    <xf numFmtId="44" fontId="5" fillId="0" borderId="0" xfId="3" applyFont="1" applyFill="1" applyBorder="1" applyAlignment="1">
      <alignment horizontal="centerContinuous"/>
    </xf>
    <xf numFmtId="44" fontId="19" fillId="0" borderId="0" xfId="3" applyFont="1" applyAlignment="1">
      <alignment horizontal="centerContinuous"/>
    </xf>
    <xf numFmtId="44" fontId="20" fillId="0" borderId="0" xfId="3" applyFont="1" applyAlignment="1">
      <alignment horizontal="centerContinuous"/>
    </xf>
    <xf numFmtId="44" fontId="89" fillId="0" borderId="0" xfId="3" applyFont="1" applyAlignment="1">
      <alignment horizontal="left"/>
    </xf>
    <xf numFmtId="44" fontId="21" fillId="0" borderId="0" xfId="3" applyFont="1" applyAlignment="1">
      <alignment horizontal="centerContinuous"/>
    </xf>
    <xf numFmtId="44" fontId="3" fillId="0" borderId="0" xfId="3" applyFont="1"/>
    <xf numFmtId="44" fontId="5" fillId="0" borderId="0" xfId="3" applyFont="1" applyAlignment="1">
      <alignment horizontal="center"/>
    </xf>
    <xf numFmtId="44" fontId="5" fillId="0" borderId="0" xfId="3" applyFont="1" applyFill="1" applyBorder="1" applyAlignment="1">
      <alignment horizontal="center"/>
    </xf>
    <xf numFmtId="44" fontId="3" fillId="0" borderId="0" xfId="3" applyFont="1" applyFill="1" applyBorder="1" applyAlignment="1">
      <alignment horizontal="center"/>
    </xf>
    <xf numFmtId="44" fontId="5" fillId="0" borderId="0" xfId="3" applyFont="1" applyBorder="1" applyAlignment="1">
      <alignment horizontal="center"/>
    </xf>
    <xf numFmtId="44" fontId="21" fillId="0" borderId="0" xfId="3" applyFont="1" applyFill="1" applyBorder="1" applyAlignment="1">
      <alignment horizontal="center"/>
    </xf>
    <xf numFmtId="44" fontId="16" fillId="0" borderId="0" xfId="3" applyFont="1" applyBorder="1"/>
    <xf numFmtId="44" fontId="16" fillId="0" borderId="0" xfId="3" applyFont="1" applyBorder="1" applyAlignment="1">
      <alignment horizontal="center"/>
    </xf>
    <xf numFmtId="44" fontId="16" fillId="0" borderId="0" xfId="3" applyFont="1" applyBorder="1" applyAlignment="1">
      <alignment horizontal="center" vertical="center"/>
    </xf>
    <xf numFmtId="44" fontId="3" fillId="0" borderId="0" xfId="3" applyFont="1" applyBorder="1" applyAlignment="1">
      <alignment horizontal="center"/>
    </xf>
    <xf numFmtId="44" fontId="5" fillId="0" borderId="4" xfId="3" applyFont="1" applyFill="1" applyBorder="1" applyAlignment="1">
      <alignment horizontal="left" indent="1"/>
    </xf>
    <xf numFmtId="44" fontId="5" fillId="0" borderId="5" xfId="3" applyFont="1" applyFill="1" applyBorder="1" applyAlignment="1">
      <alignment horizontal="left" indent="1"/>
    </xf>
    <xf numFmtId="44" fontId="1" fillId="0" borderId="5" xfId="3" applyFont="1" applyFill="1" applyBorder="1"/>
    <xf numFmtId="44" fontId="5" fillId="0" borderId="6" xfId="3" applyFont="1" applyFill="1" applyBorder="1" applyAlignment="1">
      <alignment horizontal="center"/>
    </xf>
    <xf numFmtId="44" fontId="5" fillId="0" borderId="9" xfId="3" applyFont="1" applyFill="1" applyBorder="1" applyAlignment="1">
      <alignment horizontal="left" indent="1"/>
    </xf>
    <xf numFmtId="44" fontId="5" fillId="0" borderId="10" xfId="3" applyFont="1" applyBorder="1" applyAlignment="1">
      <alignment horizontal="left" indent="1"/>
    </xf>
    <xf numFmtId="44" fontId="16" fillId="0" borderId="10" xfId="3" applyFont="1" applyBorder="1"/>
    <xf numFmtId="44" fontId="16" fillId="0" borderId="10" xfId="3" applyFont="1" applyFill="1" applyBorder="1"/>
    <xf numFmtId="44" fontId="16" fillId="0" borderId="11" xfId="3" applyFont="1" applyBorder="1"/>
    <xf numFmtId="44" fontId="3" fillId="0" borderId="0" xfId="3" applyFont="1" applyBorder="1" applyAlignment="1">
      <alignment horizontal="left" indent="1"/>
    </xf>
    <xf numFmtId="44" fontId="8" fillId="0" borderId="0" xfId="3" applyFont="1" applyFill="1" applyBorder="1"/>
    <xf numFmtId="44" fontId="1" fillId="0" borderId="0" xfId="3" applyFont="1"/>
    <xf numFmtId="44" fontId="5" fillId="0" borderId="10" xfId="3" applyFont="1" applyFill="1" applyBorder="1" applyAlignment="1">
      <alignment horizontal="left" indent="1"/>
    </xf>
    <xf numFmtId="44" fontId="3" fillId="0" borderId="10" xfId="3" applyFont="1" applyFill="1" applyBorder="1" applyAlignment="1">
      <alignment horizontal="center"/>
    </xf>
    <xf numFmtId="44" fontId="15" fillId="0" borderId="10" xfId="3" applyFont="1" applyBorder="1" applyAlignment="1">
      <alignment horizontal="center"/>
    </xf>
    <xf numFmtId="44" fontId="3" fillId="0" borderId="10" xfId="3" applyFont="1" applyBorder="1"/>
    <xf numFmtId="44" fontId="5" fillId="0" borderId="11" xfId="3" applyFont="1" applyFill="1" applyBorder="1" applyAlignment="1">
      <alignment horizontal="center"/>
    </xf>
    <xf numFmtId="44" fontId="3" fillId="0" borderId="0" xfId="3" applyFont="1" applyFill="1" applyBorder="1" applyAlignment="1">
      <alignment horizontal="left" indent="1"/>
    </xf>
    <xf numFmtId="44" fontId="19" fillId="0" borderId="0" xfId="3" applyFont="1" applyBorder="1"/>
    <xf numFmtId="44" fontId="16" fillId="0" borderId="0" xfId="3" applyFont="1" applyFill="1"/>
    <xf numFmtId="44" fontId="3" fillId="0" borderId="5" xfId="3" applyFont="1" applyFill="1" applyBorder="1" applyAlignment="1">
      <alignment horizontal="center"/>
    </xf>
    <xf numFmtId="44" fontId="19" fillId="0" borderId="0" xfId="3" applyFont="1" applyFill="1" applyBorder="1"/>
    <xf numFmtId="44" fontId="0" fillId="0" borderId="0" xfId="3" applyFont="1" applyFill="1"/>
    <xf numFmtId="44" fontId="8" fillId="0" borderId="10" xfId="3" applyFont="1" applyFill="1" applyBorder="1"/>
    <xf numFmtId="44" fontId="22" fillId="0" borderId="10" xfId="3" applyFont="1" applyFill="1" applyBorder="1"/>
    <xf numFmtId="44" fontId="5" fillId="0" borderId="5" xfId="3" applyFont="1" applyFill="1" applyBorder="1" applyAlignment="1">
      <alignment horizontal="center"/>
    </xf>
    <xf numFmtId="44" fontId="3" fillId="0" borderId="5" xfId="3" applyFont="1" applyFill="1" applyBorder="1"/>
    <xf numFmtId="44" fontId="3" fillId="0" borderId="6" xfId="3" applyFont="1" applyFill="1" applyBorder="1"/>
    <xf numFmtId="44" fontId="3" fillId="0" borderId="0" xfId="3" applyFont="1" applyBorder="1"/>
    <xf numFmtId="44" fontId="3" fillId="0" borderId="0" xfId="3" quotePrefix="1" applyFont="1" applyFill="1" applyBorder="1" applyAlignment="1">
      <alignment horizontal="right" indent="1"/>
    </xf>
    <xf numFmtId="44" fontId="1" fillId="0" borderId="0" xfId="3" applyFont="1" applyFill="1" applyBorder="1"/>
    <xf numFmtId="44" fontId="1" fillId="0" borderId="7" xfId="3" quotePrefix="1" applyFont="1" applyFill="1" applyBorder="1" applyAlignment="1">
      <alignment horizontal="right" indent="1"/>
    </xf>
    <xf numFmtId="44" fontId="5" fillId="0" borderId="0" xfId="3" applyFont="1" applyFill="1" applyBorder="1"/>
    <xf numFmtId="44" fontId="3" fillId="0" borderId="7" xfId="3" applyFont="1" applyFill="1" applyBorder="1" applyAlignment="1">
      <alignment horizontal="right" indent="1"/>
    </xf>
    <xf numFmtId="44" fontId="3" fillId="0" borderId="0" xfId="3" applyFont="1" applyFill="1" applyBorder="1" applyAlignment="1">
      <alignment horizontal="right" indent="1"/>
    </xf>
    <xf numFmtId="44" fontId="5" fillId="0" borderId="9" xfId="3" applyFont="1" applyFill="1" applyBorder="1" applyAlignment="1">
      <alignment horizontal="right" indent="1"/>
    </xf>
    <xf numFmtId="44" fontId="5" fillId="0" borderId="10" xfId="3" applyFont="1" applyFill="1" applyBorder="1" applyAlignment="1">
      <alignment horizontal="right" indent="1"/>
    </xf>
    <xf numFmtId="44" fontId="3" fillId="0" borderId="0" xfId="3" applyFont="1" applyFill="1" applyAlignment="1">
      <alignment horizontal="left" indent="1"/>
    </xf>
    <xf numFmtId="44" fontId="3" fillId="0" borderId="0" xfId="3" applyFont="1" applyFill="1"/>
    <xf numFmtId="44" fontId="3" fillId="0" borderId="6" xfId="3" applyFont="1" applyFill="1" applyBorder="1" applyAlignment="1">
      <alignment horizontal="center"/>
    </xf>
    <xf numFmtId="44" fontId="19" fillId="0" borderId="0" xfId="3" applyFont="1" applyFill="1" applyBorder="1" applyAlignment="1">
      <alignment horizontal="center"/>
    </xf>
    <xf numFmtId="44" fontId="1" fillId="0" borderId="10" xfId="3" applyFont="1" applyFill="1" applyBorder="1"/>
    <xf numFmtId="44" fontId="5" fillId="0" borderId="0" xfId="3" applyFont="1" applyFill="1" applyBorder="1" applyAlignment="1">
      <alignment horizontal="right" indent="1"/>
    </xf>
    <xf numFmtId="44" fontId="3" fillId="0" borderId="0" xfId="3" applyFont="1" applyFill="1" applyBorder="1"/>
    <xf numFmtId="44" fontId="5" fillId="0" borderId="0" xfId="3" applyFont="1" applyFill="1" applyBorder="1" applyAlignment="1">
      <alignment horizontal="left" indent="1"/>
    </xf>
    <xf numFmtId="44" fontId="1" fillId="0" borderId="17" xfId="3" applyFont="1" applyFill="1" applyBorder="1"/>
    <xf numFmtId="44" fontId="0" fillId="0" borderId="0" xfId="3" applyFont="1" applyFill="1" applyBorder="1"/>
    <xf numFmtId="44" fontId="5" fillId="0" borderId="0" xfId="3" applyFont="1"/>
    <xf numFmtId="44" fontId="70" fillId="0" borderId="0" xfId="3" applyFont="1"/>
    <xf numFmtId="44" fontId="3" fillId="0" borderId="10" xfId="3" applyFont="1" applyFill="1" applyBorder="1" applyAlignment="1">
      <alignment horizontal="centerContinuous"/>
    </xf>
    <xf numFmtId="44" fontId="1" fillId="0" borderId="0" xfId="3" applyFont="1" applyFill="1" applyBorder="1" applyAlignment="1">
      <alignment horizontal="center"/>
    </xf>
    <xf numFmtId="44" fontId="92" fillId="0" borderId="0" xfId="3" applyFont="1"/>
    <xf numFmtId="44" fontId="19" fillId="0" borderId="0" xfId="3" applyFont="1" applyFill="1"/>
    <xf numFmtId="0" fontId="19" fillId="0" borderId="0" xfId="0" applyFont="1" applyFill="1" applyBorder="1"/>
    <xf numFmtId="181" fontId="3" fillId="0" borderId="11" xfId="3" applyNumberFormat="1" applyFont="1" applyFill="1" applyBorder="1" applyAlignment="1">
      <alignment horizontal="right"/>
    </xf>
    <xf numFmtId="0" fontId="93" fillId="0" borderId="0" xfId="0" applyFont="1" applyFill="1" applyBorder="1"/>
    <xf numFmtId="181" fontId="3" fillId="0" borderId="0" xfId="3" applyNumberFormat="1" applyFont="1" applyFill="1" applyBorder="1" applyAlignment="1">
      <alignment horizontal="center"/>
    </xf>
    <xf numFmtId="164" fontId="3" fillId="0" borderId="6" xfId="3" applyNumberFormat="1" applyFont="1" applyFill="1" applyBorder="1" applyAlignment="1">
      <alignment horizontal="center"/>
    </xf>
    <xf numFmtId="164" fontId="1" fillId="0" borderId="8" xfId="3" applyNumberFormat="1" applyFont="1" applyFill="1" applyBorder="1" applyAlignment="1">
      <alignment horizontal="right"/>
    </xf>
    <xf numFmtId="181" fontId="0" fillId="0" borderId="0" xfId="3" applyNumberFormat="1" applyFont="1"/>
    <xf numFmtId="182" fontId="0" fillId="0" borderId="0" xfId="1" applyNumberFormat="1" applyFont="1" applyFill="1" applyBorder="1"/>
    <xf numFmtId="43" fontId="0" fillId="0" borderId="0" xfId="0" applyNumberFormat="1" applyFont="1" applyFill="1" applyBorder="1"/>
    <xf numFmtId="10" fontId="0" fillId="0" borderId="0" xfId="1" applyNumberFormat="1" applyFont="1" applyFill="1" applyBorder="1"/>
    <xf numFmtId="177" fontId="0" fillId="0" borderId="0" xfId="0" applyNumberFormat="1" applyFill="1"/>
    <xf numFmtId="0" fontId="94" fillId="0" borderId="0" xfId="0" applyFont="1" applyFill="1" applyBorder="1"/>
    <xf numFmtId="0" fontId="95" fillId="0" borderId="0" xfId="0" applyFont="1" applyAlignment="1">
      <alignment vertical="center"/>
    </xf>
    <xf numFmtId="171" fontId="3" fillId="0" borderId="6" xfId="1" quotePrefix="1" applyNumberFormat="1" applyFont="1" applyFill="1" applyBorder="1" applyAlignment="1">
      <alignment horizontal="right"/>
    </xf>
    <xf numFmtId="183" fontId="1" fillId="0" borderId="5" xfId="3" applyNumberFormat="1" applyFont="1" applyFill="1" applyBorder="1"/>
    <xf numFmtId="0" fontId="5" fillId="0" borderId="0" xfId="0" applyFont="1" applyFill="1" applyBorder="1" applyAlignment="1">
      <alignment horizontal="center"/>
    </xf>
    <xf numFmtId="41" fontId="20" fillId="0" borderId="0" xfId="0" applyNumberFormat="1" applyFont="1"/>
    <xf numFmtId="167" fontId="1" fillId="0" borderId="8" xfId="1" quotePrefix="1" applyNumberFormat="1" applyFont="1" applyFill="1" applyBorder="1" applyAlignment="1">
      <alignment horizontal="center"/>
    </xf>
    <xf numFmtId="167" fontId="1" fillId="0" borderId="11" xfId="1" quotePrefix="1" applyNumberFormat="1" applyFont="1" applyFill="1" applyBorder="1" applyAlignment="1">
      <alignment horizontal="center"/>
    </xf>
    <xf numFmtId="171" fontId="1" fillId="0" borderId="8" xfId="1" quotePrefix="1" applyNumberFormat="1" applyFont="1" applyFill="1" applyBorder="1" applyAlignment="1">
      <alignment horizontal="right"/>
    </xf>
    <xf numFmtId="171" fontId="1" fillId="0" borderId="11" xfId="1" quotePrefix="1" applyNumberFormat="1" applyFont="1" applyFill="1" applyBorder="1" applyAlignment="1">
      <alignment horizontal="right"/>
    </xf>
    <xf numFmtId="166" fontId="49" fillId="0" borderId="0" xfId="0" applyNumberFormat="1" applyFont="1" applyAlignment="1">
      <alignment horizontal="right" vertical="center"/>
    </xf>
    <xf numFmtId="166" fontId="19" fillId="0" borderId="0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9" fontId="40" fillId="0" borderId="0" xfId="6" applyFont="1" applyFill="1" applyBorder="1" applyAlignment="1">
      <alignment horizontal="right"/>
    </xf>
    <xf numFmtId="165" fontId="5" fillId="0" borderId="1" xfId="0" applyNumberFormat="1" applyFont="1" applyFill="1" applyBorder="1"/>
    <xf numFmtId="165" fontId="5" fillId="0" borderId="27" xfId="1" quotePrefix="1" applyNumberFormat="1" applyFont="1" applyFill="1" applyBorder="1" applyAlignment="1">
      <alignment horizontal="center"/>
    </xf>
    <xf numFmtId="44" fontId="5" fillId="0" borderId="7" xfId="3" applyFont="1" applyFill="1" applyBorder="1" applyAlignment="1">
      <alignment horizontal="left" indent="1"/>
    </xf>
    <xf numFmtId="0" fontId="2" fillId="0" borderId="0" xfId="0" applyFont="1" applyFill="1" applyBorder="1" applyProtection="1">
      <protection locked="0"/>
    </xf>
    <xf numFmtId="41" fontId="1" fillId="0" borderId="0" xfId="2" applyNumberFormat="1" applyFont="1" applyFill="1" applyBorder="1" applyAlignment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5" fillId="0" borderId="0" xfId="0" applyFont="1" applyFill="1"/>
    <xf numFmtId="165" fontId="8" fillId="0" borderId="5" xfId="1" applyNumberFormat="1" applyFont="1" applyFill="1" applyBorder="1"/>
    <xf numFmtId="165" fontId="5" fillId="0" borderId="6" xfId="1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6" fontId="49" fillId="0" borderId="0" xfId="0" applyNumberFormat="1" applyFont="1" applyBorder="1" applyAlignment="1">
      <alignment horizontal="right" vertical="center"/>
    </xf>
    <xf numFmtId="166" fontId="0" fillId="0" borderId="0" xfId="0" applyNumberFormat="1" applyFill="1"/>
    <xf numFmtId="0" fontId="5" fillId="0" borderId="0" xfId="0" applyFont="1" applyFill="1" applyBorder="1" applyAlignment="1">
      <alignment horizontal="center"/>
    </xf>
    <xf numFmtId="0" fontId="0" fillId="0" borderId="0" xfId="0" applyAlignment="1">
      <alignment horizontal="right" wrapText="1"/>
    </xf>
    <xf numFmtId="165" fontId="27" fillId="0" borderId="4" xfId="1" quotePrefix="1" applyNumberFormat="1" applyFont="1" applyFill="1" applyBorder="1" applyAlignment="1">
      <alignment horizontal="center"/>
    </xf>
    <xf numFmtId="165" fontId="27" fillId="0" borderId="5" xfId="1" quotePrefix="1" applyNumberFormat="1" applyFont="1" applyFill="1" applyBorder="1" applyAlignment="1">
      <alignment horizontal="center"/>
    </xf>
    <xf numFmtId="165" fontId="27" fillId="0" borderId="6" xfId="1" quotePrefix="1" applyNumberFormat="1" applyFont="1" applyFill="1" applyBorder="1" applyAlignment="1">
      <alignment horizontal="center"/>
    </xf>
    <xf numFmtId="165" fontId="27" fillId="0" borderId="7" xfId="1" quotePrefix="1" applyNumberFormat="1" applyFont="1" applyFill="1" applyBorder="1" applyAlignment="1">
      <alignment horizontal="center"/>
    </xf>
    <xf numFmtId="165" fontId="27" fillId="0" borderId="8" xfId="1" quotePrefix="1" applyNumberFormat="1" applyFont="1" applyFill="1" applyBorder="1" applyAlignment="1">
      <alignment horizontal="center"/>
    </xf>
    <xf numFmtId="165" fontId="1" fillId="0" borderId="28" xfId="1" quotePrefix="1" applyNumberFormat="1" applyFont="1" applyFill="1" applyBorder="1" applyAlignment="1">
      <alignment horizontal="center"/>
    </xf>
    <xf numFmtId="165" fontId="1" fillId="0" borderId="29" xfId="1" quotePrefix="1" applyNumberFormat="1" applyFont="1" applyFill="1" applyBorder="1" applyAlignment="1">
      <alignment horizontal="center"/>
    </xf>
    <xf numFmtId="165" fontId="1" fillId="0" borderId="30" xfId="1" quotePrefix="1" applyNumberFormat="1" applyFont="1" applyFill="1" applyBorder="1" applyAlignment="1">
      <alignment horizontal="center"/>
    </xf>
    <xf numFmtId="165" fontId="27" fillId="0" borderId="9" xfId="1" quotePrefix="1" applyNumberFormat="1" applyFont="1" applyFill="1" applyBorder="1" applyAlignment="1">
      <alignment horizontal="center"/>
    </xf>
    <xf numFmtId="165" fontId="27" fillId="0" borderId="10" xfId="1" quotePrefix="1" applyNumberFormat="1" applyFont="1" applyFill="1" applyBorder="1" applyAlignment="1">
      <alignment horizontal="center"/>
    </xf>
    <xf numFmtId="165" fontId="27" fillId="0" borderId="11" xfId="1" quotePrefix="1" applyNumberFormat="1" applyFont="1" applyFill="1" applyBorder="1" applyAlignment="1">
      <alignment horizontal="center"/>
    </xf>
    <xf numFmtId="165" fontId="8" fillId="0" borderId="12" xfId="1" quotePrefix="1" applyNumberFormat="1" applyFont="1" applyFill="1" applyBorder="1" applyAlignment="1">
      <alignment horizontal="center"/>
    </xf>
    <xf numFmtId="165" fontId="8" fillId="0" borderId="13" xfId="1" quotePrefix="1" applyNumberFormat="1" applyFont="1" applyFill="1" applyBorder="1" applyAlignment="1">
      <alignment horizontal="center"/>
    </xf>
    <xf numFmtId="165" fontId="8" fillId="0" borderId="14" xfId="1" quotePrefix="1" applyNumberFormat="1" applyFont="1" applyFill="1" applyBorder="1" applyAlignment="1">
      <alignment horizontal="center"/>
    </xf>
    <xf numFmtId="165" fontId="1" fillId="0" borderId="4" xfId="1" applyNumberFormat="1" applyFont="1" applyFill="1" applyBorder="1"/>
    <xf numFmtId="165" fontId="1" fillId="0" borderId="6" xfId="1" applyNumberFormat="1" applyFont="1" applyFill="1" applyBorder="1"/>
    <xf numFmtId="165" fontId="1" fillId="0" borderId="7" xfId="1" applyNumberFormat="1" applyFont="1" applyFill="1" applyBorder="1"/>
    <xf numFmtId="165" fontId="1" fillId="0" borderId="12" xfId="1" quotePrefix="1" applyNumberFormat="1" applyFont="1" applyFill="1" applyBorder="1" applyAlignment="1">
      <alignment horizontal="center"/>
    </xf>
    <xf numFmtId="165" fontId="1" fillId="0" borderId="13" xfId="1" quotePrefix="1" applyNumberFormat="1" applyFont="1" applyFill="1" applyBorder="1" applyAlignment="1">
      <alignment horizontal="center"/>
    </xf>
    <xf numFmtId="165" fontId="1" fillId="0" borderId="14" xfId="1" quotePrefix="1" applyNumberFormat="1" applyFont="1" applyFill="1" applyBorder="1" applyAlignment="1">
      <alignment horizontal="center"/>
    </xf>
    <xf numFmtId="165" fontId="8" fillId="0" borderId="4" xfId="1" quotePrefix="1" applyNumberFormat="1" applyFont="1" applyFill="1" applyBorder="1" applyAlignment="1">
      <alignment horizontal="center"/>
    </xf>
    <xf numFmtId="165" fontId="8" fillId="0" borderId="5" xfId="1" quotePrefix="1" applyNumberFormat="1" applyFont="1" applyFill="1" applyBorder="1" applyAlignment="1">
      <alignment horizontal="center"/>
    </xf>
    <xf numFmtId="165" fontId="8" fillId="0" borderId="6" xfId="1" quotePrefix="1" applyNumberFormat="1" applyFont="1" applyFill="1" applyBorder="1" applyAlignment="1">
      <alignment horizontal="center"/>
    </xf>
    <xf numFmtId="165" fontId="8" fillId="0" borderId="7" xfId="1" quotePrefix="1" applyNumberFormat="1" applyFont="1" applyFill="1" applyBorder="1" applyAlignment="1">
      <alignment horizontal="center"/>
    </xf>
    <xf numFmtId="165" fontId="8" fillId="0" borderId="8" xfId="1" quotePrefix="1" applyNumberFormat="1" applyFont="1" applyFill="1" applyBorder="1" applyAlignment="1">
      <alignment horizontal="center"/>
    </xf>
    <xf numFmtId="165" fontId="8" fillId="0" borderId="9" xfId="1" quotePrefix="1" applyNumberFormat="1" applyFont="1" applyFill="1" applyBorder="1" applyAlignment="1">
      <alignment horizontal="center"/>
    </xf>
    <xf numFmtId="165" fontId="8" fillId="0" borderId="10" xfId="1" quotePrefix="1" applyNumberFormat="1" applyFont="1" applyFill="1" applyBorder="1" applyAlignment="1">
      <alignment horizontal="center"/>
    </xf>
    <xf numFmtId="165" fontId="8" fillId="0" borderId="11" xfId="1" quotePrefix="1" applyNumberFormat="1" applyFont="1" applyFill="1" applyBorder="1" applyAlignment="1">
      <alignment horizontal="center"/>
    </xf>
    <xf numFmtId="165" fontId="5" fillId="0" borderId="12" xfId="1" quotePrefix="1" applyNumberFormat="1" applyFont="1" applyFill="1" applyBorder="1" applyAlignment="1">
      <alignment horizontal="center"/>
    </xf>
    <xf numFmtId="165" fontId="5" fillId="0" borderId="13" xfId="1" quotePrefix="1" applyNumberFormat="1" applyFont="1" applyFill="1" applyBorder="1" applyAlignment="1">
      <alignment horizontal="center"/>
    </xf>
    <xf numFmtId="165" fontId="5" fillId="0" borderId="14" xfId="1" quotePrefix="1" applyNumberFormat="1" applyFont="1" applyFill="1" applyBorder="1" applyAlignment="1">
      <alignment horizontal="center"/>
    </xf>
    <xf numFmtId="165" fontId="1" fillId="0" borderId="4" xfId="1" applyNumberFormat="1" applyFont="1" applyFill="1" applyBorder="1" applyProtection="1">
      <protection locked="0"/>
    </xf>
    <xf numFmtId="165" fontId="1" fillId="0" borderId="5" xfId="1" applyNumberFormat="1" applyFont="1" applyFill="1" applyBorder="1" applyProtection="1">
      <protection locked="0"/>
    </xf>
    <xf numFmtId="165" fontId="1" fillId="0" borderId="6" xfId="0" applyNumberFormat="1" applyFont="1" applyFill="1" applyBorder="1"/>
    <xf numFmtId="165" fontId="1" fillId="0" borderId="8" xfId="0" applyNumberFormat="1" applyFont="1" applyFill="1" applyBorder="1"/>
    <xf numFmtId="165" fontId="3" fillId="0" borderId="4" xfId="1" quotePrefix="1" applyNumberFormat="1" applyFont="1" applyFill="1" applyBorder="1" applyAlignment="1">
      <alignment horizontal="center"/>
    </xf>
    <xf numFmtId="165" fontId="3" fillId="0" borderId="5" xfId="1" quotePrefix="1" applyNumberFormat="1" applyFont="1" applyFill="1" applyBorder="1" applyAlignment="1">
      <alignment horizontal="center"/>
    </xf>
    <xf numFmtId="165" fontId="3" fillId="0" borderId="6" xfId="1" quotePrefix="1" applyNumberFormat="1" applyFont="1" applyFill="1" applyBorder="1" applyAlignment="1">
      <alignment horizontal="center"/>
    </xf>
    <xf numFmtId="165" fontId="3" fillId="0" borderId="7" xfId="1" quotePrefix="1" applyNumberFormat="1" applyFont="1" applyFill="1" applyBorder="1" applyAlignment="1">
      <alignment horizontal="center"/>
    </xf>
    <xf numFmtId="165" fontId="3" fillId="0" borderId="8" xfId="1" quotePrefix="1" applyNumberFormat="1" applyFont="1" applyFill="1" applyBorder="1" applyAlignment="1">
      <alignment horizontal="center"/>
    </xf>
    <xf numFmtId="166" fontId="1" fillId="0" borderId="12" xfId="6" applyNumberFormat="1" applyFont="1" applyFill="1" applyBorder="1" applyAlignment="1" applyProtection="1">
      <alignment horizontal="right"/>
      <protection locked="0"/>
    </xf>
    <xf numFmtId="166" fontId="1" fillId="0" borderId="13" xfId="6" applyNumberFormat="1" applyFont="1" applyFill="1" applyBorder="1" applyAlignment="1" applyProtection="1">
      <alignment horizontal="right"/>
      <protection locked="0"/>
    </xf>
    <xf numFmtId="166" fontId="1" fillId="0" borderId="14" xfId="6" applyNumberFormat="1" applyFont="1" applyFill="1" applyBorder="1" applyAlignment="1" applyProtection="1">
      <alignment horizontal="right"/>
      <protection locked="0"/>
    </xf>
    <xf numFmtId="165" fontId="1" fillId="0" borderId="8" xfId="1" applyNumberFormat="1" applyFont="1" applyFill="1" applyBorder="1" applyAlignment="1">
      <alignment horizontal="center"/>
    </xf>
    <xf numFmtId="165" fontId="5" fillId="0" borderId="7" xfId="1" quotePrefix="1" applyNumberFormat="1" applyFont="1" applyFill="1" applyBorder="1" applyAlignment="1">
      <alignment horizontal="center"/>
    </xf>
    <xf numFmtId="165" fontId="5" fillId="0" borderId="8" xfId="1" quotePrefix="1" applyNumberFormat="1" applyFont="1" applyFill="1" applyBorder="1" applyAlignment="1">
      <alignment horizontal="center"/>
    </xf>
    <xf numFmtId="165" fontId="1" fillId="0" borderId="9" xfId="1" applyNumberFormat="1" applyFont="1" applyFill="1" applyBorder="1"/>
    <xf numFmtId="165" fontId="5" fillId="0" borderId="7" xfId="1" applyNumberFormat="1" applyFont="1" applyBorder="1" applyProtection="1">
      <protection locked="0"/>
    </xf>
    <xf numFmtId="0" fontId="0" fillId="0" borderId="1" xfId="0" applyFill="1" applyBorder="1"/>
    <xf numFmtId="0" fontId="5" fillId="0" borderId="2" xfId="0" quotePrefix="1" applyFont="1" applyFill="1" applyBorder="1" applyAlignment="1">
      <alignment horizontal="center"/>
    </xf>
    <xf numFmtId="0" fontId="5" fillId="0" borderId="3" xfId="0" quotePrefix="1" applyFont="1" applyFill="1" applyBorder="1" applyAlignment="1">
      <alignment horizontal="center"/>
    </xf>
    <xf numFmtId="0" fontId="0" fillId="0" borderId="1" xfId="0" applyBorder="1"/>
    <xf numFmtId="41" fontId="1" fillId="0" borderId="0" xfId="0" applyNumberFormat="1" applyFont="1" applyBorder="1"/>
    <xf numFmtId="165" fontId="4" fillId="0" borderId="0" xfId="2" applyNumberFormat="1" applyFont="1" applyFill="1" applyBorder="1"/>
    <xf numFmtId="0" fontId="6" fillId="0" borderId="0" xfId="57" applyFont="1" applyFill="1" applyBorder="1"/>
    <xf numFmtId="165" fontId="4" fillId="0" borderId="0" xfId="57" applyNumberFormat="1" applyFont="1" applyFill="1" applyBorder="1"/>
    <xf numFmtId="165" fontId="6" fillId="0" borderId="0" xfId="57" applyNumberFormat="1" applyFont="1" applyFill="1" applyBorder="1"/>
    <xf numFmtId="164" fontId="100" fillId="0" borderId="0" xfId="9" applyNumberFormat="1" applyFont="1" applyFill="1" applyBorder="1"/>
    <xf numFmtId="166" fontId="4" fillId="0" borderId="0" xfId="10" applyNumberFormat="1" applyFont="1" applyFill="1" applyBorder="1"/>
    <xf numFmtId="0" fontId="98" fillId="0" borderId="0" xfId="57" applyFont="1" applyFill="1" applyBorder="1" applyAlignment="1">
      <alignment horizontal="center"/>
    </xf>
    <xf numFmtId="165" fontId="99" fillId="0" borderId="0" xfId="57" applyNumberFormat="1" applyFont="1" applyFill="1" applyBorder="1"/>
    <xf numFmtId="0" fontId="1" fillId="0" borderId="0" xfId="57" applyFont="1" applyFill="1" applyBorder="1" applyAlignment="1">
      <alignment horizontal="center"/>
    </xf>
    <xf numFmtId="0" fontId="1" fillId="0" borderId="0" xfId="57" applyFont="1" applyBorder="1" applyAlignment="1">
      <alignment horizontal="center"/>
    </xf>
    <xf numFmtId="37" fontId="1" fillId="0" borderId="0" xfId="57" quotePrefix="1" applyNumberFormat="1" applyFont="1" applyBorder="1" applyAlignment="1">
      <alignment horizontal="center"/>
    </xf>
    <xf numFmtId="0" fontId="6" fillId="0" borderId="0" xfId="57" applyFont="1" applyFill="1" applyBorder="1" applyAlignment="1">
      <alignment horizontal="centerContinuous"/>
    </xf>
    <xf numFmtId="0" fontId="5" fillId="0" borderId="0" xfId="57" applyFont="1" applyFill="1" applyBorder="1" applyAlignment="1">
      <alignment horizontal="centerContinuous"/>
    </xf>
    <xf numFmtId="0" fontId="1" fillId="0" borderId="0" xfId="57" applyFont="1" applyBorder="1" applyAlignment="1">
      <alignment horizontal="centerContinuous"/>
    </xf>
    <xf numFmtId="0" fontId="1" fillId="0" borderId="0" xfId="57" applyFont="1" applyFill="1" applyBorder="1" applyAlignment="1">
      <alignment horizontal="centerContinuous"/>
    </xf>
    <xf numFmtId="0" fontId="4" fillId="0" borderId="0" xfId="57" applyFont="1" applyFill="1" applyBorder="1" applyAlignment="1">
      <alignment horizontal="centerContinuous"/>
    </xf>
    <xf numFmtId="0" fontId="5" fillId="0" borderId="0" xfId="57" applyFont="1" applyBorder="1" applyAlignment="1">
      <alignment horizontal="centerContinuous"/>
    </xf>
    <xf numFmtId="0" fontId="7" fillId="0" borderId="0" xfId="57" applyFont="1" applyBorder="1" applyAlignment="1">
      <alignment horizontal="centerContinuous"/>
    </xf>
    <xf numFmtId="14" fontId="5" fillId="0" borderId="0" xfId="57" applyNumberFormat="1" applyFont="1" applyFill="1" applyBorder="1" applyAlignment="1">
      <alignment horizontal="centerContinuous"/>
    </xf>
    <xf numFmtId="0" fontId="1" fillId="0" borderId="0" xfId="57" applyFont="1" applyBorder="1"/>
    <xf numFmtId="0" fontId="5" fillId="0" borderId="0" xfId="57" applyFont="1" applyFill="1" applyBorder="1"/>
    <xf numFmtId="165" fontId="1" fillId="0" borderId="0" xfId="2" applyNumberFormat="1" applyFont="1" applyFill="1" applyBorder="1"/>
    <xf numFmtId="165" fontId="5" fillId="0" borderId="0" xfId="2" applyNumberFormat="1" applyFont="1" applyFill="1" applyBorder="1"/>
    <xf numFmtId="164" fontId="8" fillId="0" borderId="4" xfId="9" applyNumberFormat="1" applyFont="1" applyFill="1" applyBorder="1"/>
    <xf numFmtId="165" fontId="1" fillId="0" borderId="0" xfId="57" applyNumberFormat="1" applyFont="1" applyFill="1" applyBorder="1"/>
    <xf numFmtId="165" fontId="8" fillId="0" borderId="0" xfId="2" applyNumberFormat="1" applyFont="1" applyFill="1" applyBorder="1"/>
    <xf numFmtId="0" fontId="5" fillId="0" borderId="0" xfId="57" applyFont="1" applyFill="1" applyBorder="1" applyAlignment="1" applyProtection="1">
      <alignment horizontal="center"/>
      <protection locked="0"/>
    </xf>
    <xf numFmtId="165" fontId="5" fillId="0" borderId="0" xfId="2" applyNumberFormat="1" applyFont="1" applyFill="1" applyBorder="1" applyProtection="1">
      <protection locked="0"/>
    </xf>
    <xf numFmtId="165" fontId="8" fillId="0" borderId="0" xfId="2" applyNumberFormat="1" applyFont="1" applyFill="1" applyBorder="1" applyProtection="1"/>
    <xf numFmtId="164" fontId="8" fillId="0" borderId="0" xfId="9" applyNumberFormat="1" applyFont="1" applyFill="1" applyProtection="1"/>
    <xf numFmtId="164" fontId="8" fillId="0" borderId="0" xfId="9" applyNumberFormat="1" applyFont="1" applyFill="1" applyProtection="1">
      <protection locked="0"/>
    </xf>
    <xf numFmtId="165" fontId="1" fillId="0" borderId="0" xfId="2" applyNumberFormat="1" applyFont="1" applyBorder="1"/>
    <xf numFmtId="164" fontId="8" fillId="0" borderId="0" xfId="9" applyNumberFormat="1" applyFont="1" applyFill="1" applyBorder="1"/>
    <xf numFmtId="165" fontId="8" fillId="0" borderId="0" xfId="2" applyNumberFormat="1" applyFont="1" applyFill="1" applyBorder="1" applyProtection="1">
      <protection locked="0"/>
    </xf>
    <xf numFmtId="164" fontId="8" fillId="0" borderId="12" xfId="9" applyNumberFormat="1" applyFont="1" applyFill="1" applyBorder="1" applyProtection="1"/>
    <xf numFmtId="165" fontId="1" fillId="0" borderId="30" xfId="57" applyNumberFormat="1" applyFont="1" applyFill="1" applyBorder="1"/>
    <xf numFmtId="165" fontId="1" fillId="0" borderId="28" xfId="57" applyNumberFormat="1" applyFont="1" applyFill="1" applyBorder="1"/>
    <xf numFmtId="165" fontId="8" fillId="0" borderId="12" xfId="2" applyNumberFormat="1" applyFont="1" applyFill="1" applyBorder="1"/>
    <xf numFmtId="165" fontId="8" fillId="0" borderId="13" xfId="2" applyNumberFormat="1" applyFont="1" applyFill="1" applyBorder="1"/>
    <xf numFmtId="165" fontId="8" fillId="0" borderId="14" xfId="2" applyNumberFormat="1" applyFont="1" applyFill="1" applyBorder="1"/>
    <xf numFmtId="164" fontId="8" fillId="0" borderId="28" xfId="9" applyNumberFormat="1" applyFont="1" applyFill="1" applyBorder="1"/>
    <xf numFmtId="165" fontId="8" fillId="0" borderId="29" xfId="2" applyNumberFormat="1" applyFont="1" applyFill="1" applyBorder="1"/>
    <xf numFmtId="165" fontId="8" fillId="0" borderId="30" xfId="2" applyNumberFormat="1" applyFont="1" applyFill="1" applyBorder="1"/>
    <xf numFmtId="164" fontId="8" fillId="0" borderId="17" xfId="9" applyNumberFormat="1" applyFont="1" applyFill="1" applyBorder="1" applyProtection="1">
      <protection locked="0"/>
    </xf>
    <xf numFmtId="164" fontId="8" fillId="0" borderId="28" xfId="9" quotePrefix="1" applyNumberFormat="1" applyFont="1" applyFill="1" applyBorder="1" applyAlignment="1">
      <alignment horizontal="center"/>
    </xf>
    <xf numFmtId="165" fontId="8" fillId="0" borderId="29" xfId="2" quotePrefix="1" applyNumberFormat="1" applyFont="1" applyFill="1" applyBorder="1" applyAlignment="1">
      <alignment horizontal="center"/>
    </xf>
    <xf numFmtId="165" fontId="8" fillId="0" borderId="30" xfId="2" quotePrefix="1" applyNumberFormat="1" applyFont="1" applyFill="1" applyBorder="1" applyAlignment="1">
      <alignment horizontal="center"/>
    </xf>
    <xf numFmtId="164" fontId="8" fillId="31" borderId="28" xfId="9" applyNumberFormat="1" applyFont="1" applyFill="1" applyBorder="1" applyProtection="1"/>
    <xf numFmtId="165" fontId="8" fillId="31" borderId="29" xfId="2" applyNumberFormat="1" applyFont="1" applyFill="1" applyBorder="1" applyProtection="1"/>
    <xf numFmtId="165" fontId="8" fillId="31" borderId="30" xfId="2" applyNumberFormat="1" applyFont="1" applyFill="1" applyBorder="1" applyProtection="1"/>
    <xf numFmtId="41" fontId="8" fillId="0" borderId="7" xfId="9" applyNumberFormat="1" applyFont="1" applyFill="1" applyBorder="1"/>
    <xf numFmtId="41" fontId="8" fillId="0" borderId="0" xfId="9" applyNumberFormat="1" applyFont="1" applyFill="1" applyBorder="1"/>
    <xf numFmtId="41" fontId="8" fillId="0" borderId="7" xfId="2" applyNumberFormat="1" applyFont="1" applyFill="1" applyBorder="1"/>
    <xf numFmtId="41" fontId="8" fillId="0" borderId="0" xfId="2" applyNumberFormat="1" applyFont="1" applyFill="1" applyBorder="1"/>
    <xf numFmtId="41" fontId="8" fillId="0" borderId="8" xfId="2" applyNumberFormat="1" applyFont="1" applyFill="1" applyBorder="1"/>
    <xf numFmtId="41" fontId="8" fillId="0" borderId="9" xfId="2" applyNumberFormat="1" applyFont="1" applyFill="1" applyBorder="1"/>
    <xf numFmtId="41" fontId="8" fillId="0" borderId="10" xfId="2" applyNumberFormat="1" applyFont="1" applyFill="1" applyBorder="1"/>
    <xf numFmtId="41" fontId="8" fillId="0" borderId="11" xfId="2" applyNumberFormat="1" applyFont="1" applyFill="1" applyBorder="1"/>
    <xf numFmtId="41" fontId="8" fillId="0" borderId="8" xfId="9" applyNumberFormat="1" applyFont="1" applyFill="1" applyBorder="1"/>
    <xf numFmtId="165" fontId="1" fillId="0" borderId="29" xfId="57" applyNumberFormat="1" applyFont="1" applyFill="1" applyBorder="1"/>
    <xf numFmtId="164" fontId="8" fillId="0" borderId="4" xfId="9" applyNumberFormat="1" applyFont="1" applyFill="1" applyBorder="1" applyProtection="1">
      <protection locked="0"/>
    </xf>
    <xf numFmtId="164" fontId="8" fillId="0" borderId="5" xfId="9" applyNumberFormat="1" applyFont="1" applyFill="1" applyBorder="1" applyProtection="1">
      <protection locked="0"/>
    </xf>
    <xf numFmtId="164" fontId="8" fillId="0" borderId="6" xfId="9" applyNumberFormat="1" applyFont="1" applyFill="1" applyBorder="1" applyProtection="1">
      <protection locked="0"/>
    </xf>
    <xf numFmtId="165" fontId="8" fillId="0" borderId="7" xfId="2" applyNumberFormat="1" applyFont="1" applyFill="1" applyBorder="1" applyProtection="1">
      <protection locked="0"/>
    </xf>
    <xf numFmtId="165" fontId="8" fillId="0" borderId="8" xfId="2" applyNumberFormat="1" applyFont="1" applyFill="1" applyBorder="1" applyProtection="1">
      <protection locked="0"/>
    </xf>
    <xf numFmtId="165" fontId="8" fillId="0" borderId="9" xfId="2" applyNumberFormat="1" applyFont="1" applyFill="1" applyBorder="1" applyProtection="1">
      <protection locked="0"/>
    </xf>
    <xf numFmtId="165" fontId="8" fillId="0" borderId="10" xfId="2" applyNumberFormat="1" applyFont="1" applyFill="1" applyBorder="1" applyProtection="1">
      <protection locked="0"/>
    </xf>
    <xf numFmtId="165" fontId="8" fillId="0" borderId="11" xfId="2" applyNumberFormat="1" applyFont="1" applyFill="1" applyBorder="1" applyProtection="1">
      <protection locked="0"/>
    </xf>
    <xf numFmtId="165" fontId="6" fillId="0" borderId="0" xfId="2" applyNumberFormat="1" applyFont="1" applyFill="1" applyBorder="1"/>
    <xf numFmtId="0" fontId="1" fillId="0" borderId="0" xfId="57" applyFont="1" applyFill="1" applyBorder="1"/>
    <xf numFmtId="165" fontId="1" fillId="0" borderId="0" xfId="2" applyNumberFormat="1" applyFont="1" applyFill="1" applyBorder="1"/>
    <xf numFmtId="165" fontId="5" fillId="0" borderId="0" xfId="2" applyNumberFormat="1" applyFont="1" applyFill="1" applyBorder="1"/>
    <xf numFmtId="165" fontId="1" fillId="0" borderId="0" xfId="57" applyNumberFormat="1" applyFont="1" applyFill="1" applyBorder="1"/>
    <xf numFmtId="164" fontId="8" fillId="0" borderId="0" xfId="9" applyNumberFormat="1" applyFont="1" applyFill="1" applyBorder="1"/>
    <xf numFmtId="41" fontId="1" fillId="0" borderId="0" xfId="2" applyNumberFormat="1" applyFont="1" applyFill="1" applyBorder="1"/>
    <xf numFmtId="41" fontId="13" fillId="0" borderId="0" xfId="2" applyNumberFormat="1" applyFont="1" applyFill="1" applyBorder="1"/>
    <xf numFmtId="0" fontId="4" fillId="0" borderId="0" xfId="4" applyFont="1" applyFill="1" applyBorder="1"/>
    <xf numFmtId="164" fontId="1" fillId="0" borderId="0" xfId="9" applyNumberFormat="1" applyFont="1" applyFill="1" applyBorder="1" applyAlignment="1">
      <alignment horizontal="right"/>
    </xf>
    <xf numFmtId="164" fontId="8" fillId="0" borderId="0" xfId="9" applyNumberFormat="1" applyFont="1" applyFill="1" applyBorder="1" applyAlignment="1">
      <alignment horizontal="right"/>
    </xf>
    <xf numFmtId="164" fontId="5" fillId="0" borderId="0" xfId="9" applyNumberFormat="1" applyFont="1" applyFill="1" applyBorder="1" applyAlignment="1">
      <alignment horizontal="right"/>
    </xf>
    <xf numFmtId="165" fontId="1" fillId="0" borderId="0" xfId="57" applyNumberFormat="1" applyFont="1" applyFill="1" applyBorder="1" applyAlignment="1">
      <alignment horizontal="right"/>
    </xf>
    <xf numFmtId="164" fontId="1" fillId="0" borderId="0" xfId="9" applyNumberFormat="1" applyFont="1" applyFill="1" applyBorder="1"/>
    <xf numFmtId="43" fontId="1" fillId="0" borderId="0" xfId="57" applyNumberFormat="1" applyFont="1" applyFill="1" applyBorder="1" applyAlignment="1">
      <alignment horizontal="right"/>
    </xf>
    <xf numFmtId="0" fontId="97" fillId="0" borderId="0" xfId="57" applyBorder="1"/>
    <xf numFmtId="164" fontId="5" fillId="0" borderId="0" xfId="3" applyNumberFormat="1" applyFont="1" applyFill="1" applyBorder="1" applyAlignment="1">
      <alignment horizontal="center"/>
    </xf>
    <xf numFmtId="44" fontId="1" fillId="0" borderId="0" xfId="3" applyFont="1" applyFill="1" applyBorder="1" applyAlignment="1">
      <alignment horizontal="right" vertical="top"/>
    </xf>
    <xf numFmtId="44" fontId="0" fillId="0" borderId="4" xfId="3" applyFont="1" applyBorder="1"/>
    <xf numFmtId="44" fontId="1" fillId="0" borderId="5" xfId="3" applyFont="1" applyFill="1" applyBorder="1" applyAlignment="1">
      <alignment horizontal="right"/>
    </xf>
    <xf numFmtId="44" fontId="0" fillId="0" borderId="7" xfId="3" applyFont="1" applyBorder="1"/>
    <xf numFmtId="44" fontId="0" fillId="0" borderId="9" xfId="3" applyFont="1" applyBorder="1"/>
    <xf numFmtId="44" fontId="1" fillId="0" borderId="10" xfId="3" applyFont="1" applyFill="1" applyBorder="1" applyAlignment="1">
      <alignment horizontal="right"/>
    </xf>
    <xf numFmtId="164" fontId="19" fillId="0" borderId="0" xfId="3" applyNumberFormat="1" applyFont="1"/>
    <xf numFmtId="1" fontId="3" fillId="0" borderId="0" xfId="3" applyNumberFormat="1" applyFont="1" applyBorder="1" applyAlignment="1">
      <alignment horizontal="center"/>
    </xf>
    <xf numFmtId="1" fontId="1" fillId="0" borderId="0" xfId="3" applyNumberFormat="1" applyFont="1" applyBorder="1" applyAlignment="1">
      <alignment horizontal="center"/>
    </xf>
    <xf numFmtId="1" fontId="3" fillId="0" borderId="0" xfId="3" applyNumberFormat="1" applyFont="1" applyFill="1" applyBorder="1" applyAlignment="1">
      <alignment horizontal="center"/>
    </xf>
    <xf numFmtId="0" fontId="60" fillId="0" borderId="0" xfId="0" applyFont="1" applyBorder="1"/>
    <xf numFmtId="0" fontId="1" fillId="2" borderId="0" xfId="57" applyFont="1" applyFill="1" applyBorder="1" applyAlignment="1">
      <alignment horizontal="center"/>
    </xf>
    <xf numFmtId="0" fontId="1" fillId="2" borderId="0" xfId="57" applyFont="1" applyFill="1" applyBorder="1"/>
    <xf numFmtId="164" fontId="1" fillId="2" borderId="0" xfId="9" applyNumberFormat="1" applyFont="1" applyFill="1" applyBorder="1" applyAlignment="1">
      <alignment horizontal="center"/>
    </xf>
    <xf numFmtId="0" fontId="1" fillId="2" borderId="0" xfId="57" quotePrefix="1" applyFont="1" applyFill="1" applyBorder="1" applyAlignment="1">
      <alignment horizontal="center"/>
    </xf>
    <xf numFmtId="0" fontId="0" fillId="12" borderId="0" xfId="0" applyFill="1" applyBorder="1"/>
    <xf numFmtId="0" fontId="0" fillId="11" borderId="0" xfId="0" applyFill="1" applyBorder="1"/>
    <xf numFmtId="165" fontId="0" fillId="8" borderId="0" xfId="0" applyNumberFormat="1" applyFill="1"/>
    <xf numFmtId="41" fontId="0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37" fontId="5" fillId="0" borderId="0" xfId="5" applyFont="1" applyFill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10" fontId="0" fillId="0" borderId="0" xfId="0" applyNumberFormat="1" applyBorder="1"/>
    <xf numFmtId="165" fontId="15" fillId="0" borderId="0" xfId="1" applyNumberFormat="1" applyFont="1" applyBorder="1"/>
    <xf numFmtId="10" fontId="13" fillId="0" borderId="0" xfId="0" applyNumberFormat="1" applyFont="1" applyBorder="1"/>
    <xf numFmtId="10" fontId="15" fillId="0" borderId="0" xfId="0" applyNumberFormat="1" applyFont="1" applyBorder="1"/>
    <xf numFmtId="10" fontId="1" fillId="0" borderId="0" xfId="0" applyNumberFormat="1" applyFont="1" applyBorder="1"/>
    <xf numFmtId="165" fontId="67" fillId="0" borderId="0" xfId="1" applyNumberFormat="1" applyFont="1" applyBorder="1"/>
    <xf numFmtId="165" fontId="5" fillId="0" borderId="9" xfId="1" quotePrefix="1" applyNumberFormat="1" applyFont="1" applyFill="1" applyBorder="1" applyAlignment="1">
      <alignment horizontal="center"/>
    </xf>
    <xf numFmtId="165" fontId="5" fillId="0" borderId="10" xfId="1" quotePrefix="1" applyNumberFormat="1" applyFont="1" applyFill="1" applyBorder="1" applyAlignment="1">
      <alignment horizontal="center"/>
    </xf>
    <xf numFmtId="165" fontId="5" fillId="0" borderId="11" xfId="1" quotePrefix="1" applyNumberFormat="1" applyFont="1" applyFill="1" applyBorder="1" applyAlignment="1">
      <alignment horizontal="center"/>
    </xf>
    <xf numFmtId="1" fontId="16" fillId="0" borderId="0" xfId="0" applyNumberFormat="1" applyFont="1"/>
    <xf numFmtId="165" fontId="6" fillId="0" borderId="0" xfId="2" applyNumberFormat="1" applyFont="1" applyFill="1" applyBorder="1"/>
    <xf numFmtId="0" fontId="1" fillId="0" borderId="0" xfId="58" applyFont="1" applyFill="1" applyBorder="1"/>
    <xf numFmtId="0" fontId="5" fillId="0" borderId="0" xfId="58" applyFont="1" applyFill="1" applyBorder="1" applyAlignment="1">
      <alignment horizontal="center"/>
    </xf>
    <xf numFmtId="0" fontId="5" fillId="0" borderId="0" xfId="58" applyFont="1" applyBorder="1" applyAlignment="1">
      <alignment horizontal="center"/>
    </xf>
    <xf numFmtId="0" fontId="1" fillId="0" borderId="0" xfId="58" applyFont="1" applyFill="1" applyBorder="1" applyAlignment="1">
      <alignment horizontal="center"/>
    </xf>
    <xf numFmtId="0" fontId="1" fillId="0" borderId="0" xfId="58" applyFont="1" applyBorder="1"/>
    <xf numFmtId="0" fontId="1" fillId="0" borderId="0" xfId="58" applyFont="1" applyBorder="1" applyAlignment="1">
      <alignment horizontal="center"/>
    </xf>
    <xf numFmtId="0" fontId="5" fillId="0" borderId="0" xfId="58" applyFont="1" applyFill="1" applyBorder="1"/>
    <xf numFmtId="165" fontId="1" fillId="0" borderId="0" xfId="2" quotePrefix="1" applyNumberFormat="1" applyFont="1" applyFill="1" applyBorder="1" applyAlignment="1">
      <alignment horizontal="center"/>
    </xf>
    <xf numFmtId="165" fontId="1" fillId="0" borderId="0" xfId="2" applyNumberFormat="1" applyFont="1" applyFill="1" applyBorder="1"/>
    <xf numFmtId="165" fontId="5" fillId="0" borderId="0" xfId="2" quotePrefix="1" applyNumberFormat="1" applyFont="1" applyFill="1" applyBorder="1" applyAlignment="1">
      <alignment horizontal="center"/>
    </xf>
    <xf numFmtId="165" fontId="5" fillId="0" borderId="0" xfId="2" applyNumberFormat="1" applyFont="1" applyFill="1" applyBorder="1"/>
    <xf numFmtId="165" fontId="1" fillId="0" borderId="0" xfId="58" applyNumberFormat="1" applyFont="1" applyFill="1" applyBorder="1"/>
    <xf numFmtId="165" fontId="8" fillId="0" borderId="0" xfId="2" applyNumberFormat="1" applyFont="1" applyFill="1" applyBorder="1"/>
    <xf numFmtId="165" fontId="8" fillId="0" borderId="0" xfId="2" quotePrefix="1" applyNumberFormat="1" applyFont="1" applyFill="1" applyBorder="1" applyAlignment="1">
      <alignment horizontal="center"/>
    </xf>
    <xf numFmtId="0" fontId="1" fillId="0" borderId="0" xfId="58" quotePrefix="1" applyFont="1" applyFill="1" applyBorder="1" applyAlignment="1">
      <alignment horizontal="center"/>
    </xf>
    <xf numFmtId="164" fontId="1" fillId="0" borderId="0" xfId="58" applyNumberFormat="1" applyFont="1" applyFill="1" applyBorder="1" applyAlignment="1">
      <alignment horizontal="center"/>
    </xf>
    <xf numFmtId="165" fontId="5" fillId="0" borderId="0" xfId="2" applyNumberFormat="1" applyFont="1" applyFill="1" applyBorder="1" applyAlignment="1" applyProtection="1">
      <alignment horizontal="center"/>
      <protection locked="0"/>
    </xf>
    <xf numFmtId="0" fontId="5" fillId="0" borderId="0" xfId="58" applyFont="1" applyFill="1" applyBorder="1" applyAlignment="1" applyProtection="1">
      <alignment horizontal="center"/>
      <protection locked="0"/>
    </xf>
    <xf numFmtId="165" fontId="5" fillId="0" borderId="0" xfId="2" applyNumberFormat="1" applyFont="1" applyFill="1" applyBorder="1" applyProtection="1">
      <protection locked="0"/>
    </xf>
    <xf numFmtId="165" fontId="8" fillId="0" borderId="0" xfId="2" applyNumberFormat="1" applyFont="1" applyFill="1" applyBorder="1" applyProtection="1"/>
    <xf numFmtId="166" fontId="8" fillId="0" borderId="0" xfId="10" applyNumberFormat="1" applyFont="1" applyFill="1" applyBorder="1" applyProtection="1">
      <protection locked="0"/>
    </xf>
    <xf numFmtId="165" fontId="1" fillId="0" borderId="0" xfId="2" applyNumberFormat="1" applyFont="1" applyBorder="1"/>
    <xf numFmtId="165" fontId="1" fillId="0" borderId="0" xfId="2" applyNumberFormat="1" applyFont="1" applyBorder="1" applyAlignment="1">
      <alignment horizontal="center"/>
    </xf>
    <xf numFmtId="165" fontId="8" fillId="0" borderId="0" xfId="2" applyNumberFormat="1" applyFont="1" applyFill="1" applyBorder="1" applyAlignment="1">
      <alignment horizontal="center"/>
    </xf>
    <xf numFmtId="0" fontId="8" fillId="0" borderId="0" xfId="58" applyFont="1" applyBorder="1"/>
    <xf numFmtId="164" fontId="8" fillId="0" borderId="0" xfId="9" applyNumberFormat="1" applyFont="1" applyFill="1" applyBorder="1"/>
    <xf numFmtId="165" fontId="8" fillId="0" borderId="0" xfId="2" applyNumberFormat="1" applyFont="1" applyFill="1" applyBorder="1" applyProtection="1">
      <protection locked="0"/>
    </xf>
    <xf numFmtId="165" fontId="5" fillId="0" borderId="0" xfId="2" applyNumberFormat="1" applyFont="1" applyBorder="1" applyAlignment="1">
      <alignment horizontal="center"/>
    </xf>
    <xf numFmtId="41" fontId="1" fillId="0" borderId="0" xfId="2" applyNumberFormat="1" applyFont="1" applyFill="1" applyBorder="1"/>
    <xf numFmtId="41" fontId="13" fillId="0" borderId="0" xfId="2" applyNumberFormat="1" applyFont="1" applyFill="1" applyBorder="1"/>
    <xf numFmtId="165" fontId="1" fillId="0" borderId="0" xfId="2" applyNumberFormat="1" applyFont="1" applyFill="1" applyBorder="1" applyAlignment="1">
      <alignment horizontal="center"/>
    </xf>
    <xf numFmtId="165" fontId="8" fillId="0" borderId="30" xfId="2" quotePrefix="1" applyNumberFormat="1" applyFont="1" applyFill="1" applyBorder="1" applyAlignment="1">
      <alignment horizontal="center"/>
    </xf>
    <xf numFmtId="0" fontId="4" fillId="0" borderId="0" xfId="4" applyFont="1" applyFill="1" applyBorder="1"/>
    <xf numFmtId="41" fontId="8" fillId="0" borderId="0" xfId="9" applyNumberFormat="1" applyFont="1" applyFill="1" applyBorder="1"/>
    <xf numFmtId="41" fontId="8" fillId="0" borderId="0" xfId="2" applyNumberFormat="1" applyFont="1" applyFill="1" applyBorder="1"/>
    <xf numFmtId="0" fontId="5" fillId="0" borderId="0" xfId="0" applyFont="1" applyFill="1" applyBorder="1" applyAlignment="1">
      <alignment horizontal="center"/>
    </xf>
    <xf numFmtId="43" fontId="1" fillId="0" borderId="0" xfId="1" applyNumberFormat="1" applyFont="1" applyBorder="1" applyAlignment="1">
      <alignment horizontal="right"/>
    </xf>
    <xf numFmtId="43" fontId="1" fillId="0" borderId="5" xfId="1" applyFont="1" applyFill="1" applyBorder="1"/>
    <xf numFmtId="43" fontId="1" fillId="0" borderId="5" xfId="1" applyFont="1" applyBorder="1"/>
    <xf numFmtId="43" fontId="1" fillId="0" borderId="5" xfId="1" applyFont="1" applyFill="1" applyBorder="1" applyAlignment="1">
      <alignment horizontal="center"/>
    </xf>
    <xf numFmtId="43" fontId="1" fillId="0" borderId="0" xfId="1" applyFont="1" applyFill="1" applyBorder="1"/>
    <xf numFmtId="43" fontId="8" fillId="0" borderId="0" xfId="1" applyFont="1" applyFill="1" applyBorder="1"/>
    <xf numFmtId="43" fontId="5" fillId="0" borderId="8" xfId="1" applyFont="1" applyFill="1" applyBorder="1" applyAlignment="1">
      <alignment horizontal="center"/>
    </xf>
    <xf numFmtId="43" fontId="3" fillId="0" borderId="8" xfId="1" applyFont="1" applyFill="1" applyBorder="1"/>
    <xf numFmtId="43" fontId="3" fillId="0" borderId="10" xfId="1" applyFont="1" applyFill="1" applyBorder="1"/>
    <xf numFmtId="43" fontId="5" fillId="0" borderId="11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 applyProtection="1">
      <alignment horizontal="right" vertical="center"/>
      <protection locked="0"/>
    </xf>
    <xf numFmtId="164" fontId="8" fillId="32" borderId="0" xfId="9" applyNumberFormat="1" applyFont="1" applyFill="1" applyBorder="1"/>
    <xf numFmtId="165" fontId="8" fillId="32" borderId="0" xfId="2" applyNumberFormat="1" applyFont="1" applyFill="1" applyBorder="1"/>
    <xf numFmtId="164" fontId="8" fillId="30" borderId="0" xfId="9" applyNumberFormat="1" applyFont="1" applyFill="1" applyBorder="1"/>
    <xf numFmtId="165" fontId="8" fillId="30" borderId="0" xfId="2" applyNumberFormat="1" applyFont="1" applyFill="1" applyBorder="1"/>
    <xf numFmtId="164" fontId="8" fillId="32" borderId="0" xfId="9" quotePrefix="1" applyNumberFormat="1" applyFont="1" applyFill="1" applyBorder="1" applyAlignment="1">
      <alignment horizontal="center"/>
    </xf>
    <xf numFmtId="165" fontId="8" fillId="32" borderId="0" xfId="2" quotePrefix="1" applyNumberFormat="1" applyFont="1" applyFill="1" applyBorder="1" applyAlignment="1">
      <alignment horizontal="center"/>
    </xf>
    <xf numFmtId="164" fontId="8" fillId="30" borderId="0" xfId="9" quotePrefix="1" applyNumberFormat="1" applyFont="1" applyFill="1" applyBorder="1" applyAlignment="1">
      <alignment horizontal="center"/>
    </xf>
    <xf numFmtId="165" fontId="8" fillId="30" borderId="0" xfId="2" quotePrefix="1" applyNumberFormat="1" applyFont="1" applyFill="1" applyBorder="1" applyAlignment="1">
      <alignment horizontal="center"/>
    </xf>
    <xf numFmtId="164" fontId="8" fillId="30" borderId="0" xfId="9" applyNumberFormat="1" applyFont="1" applyFill="1" applyBorder="1" applyProtection="1"/>
    <xf numFmtId="165" fontId="8" fillId="30" borderId="0" xfId="2" applyNumberFormat="1" applyFont="1" applyFill="1" applyBorder="1" applyProtection="1"/>
    <xf numFmtId="164" fontId="8" fillId="0" borderId="0" xfId="9" applyNumberFormat="1" applyFont="1" applyFill="1" applyBorder="1" applyProtection="1"/>
    <xf numFmtId="42" fontId="8" fillId="30" borderId="0" xfId="9" applyNumberFormat="1" applyFont="1" applyFill="1" applyBorder="1" applyProtection="1"/>
    <xf numFmtId="41" fontId="8" fillId="30" borderId="0" xfId="9" applyNumberFormat="1" applyFont="1" applyFill="1" applyBorder="1" applyProtection="1"/>
    <xf numFmtId="41" fontId="96" fillId="30" borderId="0" xfId="9" applyNumberFormat="1" applyFont="1" applyFill="1" applyBorder="1" applyProtection="1"/>
    <xf numFmtId="41" fontId="96" fillId="30" borderId="0" xfId="2" applyNumberFormat="1" applyFont="1" applyFill="1" applyBorder="1" applyProtection="1"/>
    <xf numFmtId="164" fontId="8" fillId="0" borderId="0" xfId="9" applyNumberFormat="1" applyFont="1" applyFill="1" applyBorder="1" applyProtection="1">
      <protection locked="0"/>
    </xf>
    <xf numFmtId="166" fontId="8" fillId="30" borderId="0" xfId="10" applyNumberFormat="1" applyFont="1" applyFill="1" applyBorder="1" applyProtection="1">
      <protection locked="0"/>
    </xf>
    <xf numFmtId="42" fontId="8" fillId="30" borderId="0" xfId="2" applyNumberFormat="1" applyFont="1" applyFill="1" applyBorder="1" applyAlignment="1">
      <alignment horizontal="center"/>
    </xf>
    <xf numFmtId="165" fontId="8" fillId="30" borderId="0" xfId="2" applyNumberFormat="1" applyFont="1" applyFill="1" applyBorder="1" applyAlignment="1">
      <alignment horizontal="center"/>
    </xf>
    <xf numFmtId="165" fontId="1" fillId="30" borderId="0" xfId="2" applyNumberFormat="1" applyFont="1" applyFill="1" applyBorder="1" applyAlignment="1">
      <alignment horizontal="center"/>
    </xf>
    <xf numFmtId="164" fontId="8" fillId="30" borderId="0" xfId="9" applyNumberFormat="1" applyFont="1" applyFill="1" applyBorder="1" applyAlignment="1">
      <alignment horizontal="right"/>
    </xf>
    <xf numFmtId="165" fontId="8" fillId="30" borderId="0" xfId="2" applyNumberFormat="1" applyFont="1" applyFill="1" applyBorder="1" applyAlignment="1">
      <alignment horizontal="right"/>
    </xf>
    <xf numFmtId="164" fontId="8" fillId="30" borderId="0" xfId="9" applyNumberFormat="1" applyFont="1" applyFill="1" applyBorder="1" applyAlignment="1">
      <alignment horizontal="center"/>
    </xf>
    <xf numFmtId="42" fontId="8" fillId="30" borderId="0" xfId="2" applyNumberFormat="1" applyFont="1" applyFill="1" applyBorder="1"/>
    <xf numFmtId="41" fontId="8" fillId="30" borderId="0" xfId="2" applyNumberFormat="1" applyFont="1" applyFill="1" applyBorder="1"/>
    <xf numFmtId="164" fontId="8" fillId="31" borderId="0" xfId="9" applyNumberFormat="1" applyFont="1" applyFill="1" applyBorder="1" applyProtection="1"/>
    <xf numFmtId="165" fontId="8" fillId="31" borderId="0" xfId="2" applyNumberFormat="1" applyFont="1" applyFill="1" applyBorder="1" applyProtection="1"/>
    <xf numFmtId="164" fontId="8" fillId="0" borderId="0" xfId="9" quotePrefix="1" applyNumberFormat="1" applyFont="1" applyFill="1" applyBorder="1" applyAlignment="1">
      <alignment horizontal="center"/>
    </xf>
    <xf numFmtId="165" fontId="1" fillId="0" borderId="0" xfId="58" applyNumberFormat="1" applyFont="1" applyFill="1" applyBorder="1" applyAlignment="1">
      <alignment horizontal="right"/>
    </xf>
    <xf numFmtId="43" fontId="1" fillId="0" borderId="0" xfId="58" applyNumberFormat="1" applyFont="1" applyFill="1" applyBorder="1" applyAlignment="1">
      <alignment horizontal="right"/>
    </xf>
    <xf numFmtId="0" fontId="101" fillId="0" borderId="0" xfId="58" applyBorder="1"/>
    <xf numFmtId="0" fontId="5" fillId="0" borderId="0" xfId="0" applyFont="1" applyFill="1" applyBorder="1" applyAlignment="1">
      <alignment horizontal="center"/>
    </xf>
    <xf numFmtId="0" fontId="18" fillId="0" borderId="0" xfId="0" applyFont="1"/>
    <xf numFmtId="0" fontId="103" fillId="0" borderId="0" xfId="0" applyFont="1" applyFill="1" applyBorder="1"/>
    <xf numFmtId="0" fontId="104" fillId="0" borderId="0" xfId="0" applyFont="1"/>
    <xf numFmtId="0" fontId="1" fillId="2" borderId="18" xfId="0" applyFont="1" applyFill="1" applyBorder="1"/>
    <xf numFmtId="0" fontId="1" fillId="2" borderId="15" xfId="0" applyFont="1" applyFill="1" applyBorder="1"/>
    <xf numFmtId="0" fontId="1" fillId="2" borderId="2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41" fontId="1" fillId="0" borderId="0" xfId="0" applyNumberFormat="1" applyFont="1"/>
    <xf numFmtId="0" fontId="1" fillId="0" borderId="0" xfId="0" applyFont="1" applyBorder="1" applyAlignment="1">
      <alignment horizontal="right"/>
    </xf>
    <xf numFmtId="165" fontId="1" fillId="0" borderId="27" xfId="0" applyNumberFormat="1" applyFont="1" applyFill="1" applyBorder="1" applyAlignment="1">
      <alignment horizontal="right"/>
    </xf>
    <xf numFmtId="0" fontId="1" fillId="2" borderId="19" xfId="0" applyFont="1" applyFill="1" applyBorder="1" applyAlignment="1">
      <alignment horizontal="fill"/>
    </xf>
    <xf numFmtId="0" fontId="1" fillId="0" borderId="0" xfId="0" quotePrefix="1" applyFont="1" applyBorder="1" applyAlignment="1">
      <alignment horizontal="fill"/>
    </xf>
    <xf numFmtId="0" fontId="1" fillId="0" borderId="19" xfId="0" applyFont="1" applyFill="1" applyBorder="1"/>
    <xf numFmtId="0" fontId="1" fillId="0" borderId="21" xfId="0" applyFont="1" applyFill="1" applyBorder="1"/>
    <xf numFmtId="0" fontId="1" fillId="0" borderId="23" xfId="0" applyFont="1" applyFill="1" applyBorder="1"/>
    <xf numFmtId="165" fontId="1" fillId="0" borderId="15" xfId="1" quotePrefix="1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165" fontId="1" fillId="0" borderId="10" xfId="0" applyNumberFormat="1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1" applyNumberFormat="1" applyFont="1" applyFill="1" applyBorder="1" applyAlignment="1" applyProtection="1">
      <alignment horizontal="right"/>
      <protection locked="0"/>
    </xf>
    <xf numFmtId="165" fontId="1" fillId="0" borderId="0" xfId="0" applyNumberFormat="1" applyFont="1" applyFill="1" applyBorder="1" applyAlignment="1" applyProtection="1">
      <alignment horizontal="right"/>
      <protection locked="0"/>
    </xf>
    <xf numFmtId="43" fontId="1" fillId="0" borderId="0" xfId="0" applyNumberFormat="1" applyFont="1"/>
    <xf numFmtId="0" fontId="1" fillId="0" borderId="0" xfId="0" applyFont="1" applyFill="1" applyBorder="1" applyAlignment="1" applyProtection="1">
      <alignment horizontal="right" vertical="center"/>
      <protection locked="0"/>
    </xf>
    <xf numFmtId="166" fontId="1" fillId="0" borderId="0" xfId="6" applyNumberFormat="1" applyFont="1" applyFill="1" applyBorder="1" applyProtection="1">
      <protection locked="0"/>
    </xf>
    <xf numFmtId="166" fontId="1" fillId="0" borderId="0" xfId="6" applyNumberFormat="1" applyFont="1"/>
    <xf numFmtId="165" fontId="1" fillId="0" borderId="10" xfId="0" applyNumberFormat="1" applyFont="1" applyFill="1" applyBorder="1"/>
    <xf numFmtId="10" fontId="1" fillId="0" borderId="0" xfId="6" applyNumberFormat="1" applyFont="1" applyBorder="1" applyProtection="1">
      <protection locked="0"/>
    </xf>
    <xf numFmtId="165" fontId="5" fillId="2" borderId="39" xfId="1" applyNumberFormat="1" applyFont="1" applyFill="1" applyBorder="1"/>
    <xf numFmtId="165" fontId="5" fillId="2" borderId="40" xfId="1" applyNumberFormat="1" applyFont="1" applyFill="1" applyBorder="1"/>
    <xf numFmtId="0" fontId="5" fillId="6" borderId="12" xfId="0" applyFont="1" applyFill="1" applyBorder="1"/>
    <xf numFmtId="0" fontId="5" fillId="6" borderId="13" xfId="0" applyFont="1" applyFill="1" applyBorder="1" applyAlignment="1">
      <alignment horizontal="left"/>
    </xf>
    <xf numFmtId="165" fontId="5" fillId="6" borderId="13" xfId="1" applyNumberFormat="1" applyFont="1" applyFill="1" applyBorder="1"/>
    <xf numFmtId="165" fontId="5" fillId="6" borderId="38" xfId="1" applyNumberFormat="1" applyFont="1" applyFill="1" applyBorder="1"/>
    <xf numFmtId="165" fontId="5" fillId="6" borderId="14" xfId="0" applyNumberFormat="1" applyFont="1" applyFill="1" applyBorder="1"/>
    <xf numFmtId="165" fontId="1" fillId="0" borderId="27" xfId="1" applyNumberFormat="1" applyFont="1" applyBorder="1"/>
    <xf numFmtId="0" fontId="1" fillId="2" borderId="21" xfId="0" applyFont="1" applyFill="1" applyBorder="1"/>
    <xf numFmtId="0" fontId="1" fillId="2" borderId="16" xfId="0" applyFont="1" applyFill="1" applyBorder="1" applyAlignment="1">
      <alignment horizontal="center"/>
    </xf>
    <xf numFmtId="0" fontId="1" fillId="0" borderId="17" xfId="0" applyFont="1" applyFill="1" applyBorder="1"/>
    <xf numFmtId="41" fontId="1" fillId="0" borderId="17" xfId="0" applyNumberFormat="1" applyFont="1" applyFill="1" applyBorder="1"/>
    <xf numFmtId="41" fontId="1" fillId="0" borderId="17" xfId="1" applyNumberFormat="1" applyFont="1" applyFill="1" applyBorder="1"/>
    <xf numFmtId="41" fontId="1" fillId="3" borderId="0" xfId="0" applyNumberFormat="1" applyFont="1" applyFill="1"/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8" fillId="0" borderId="28" xfId="9" applyNumberFormat="1" applyFont="1" applyFill="1" applyBorder="1" applyProtection="1"/>
    <xf numFmtId="165" fontId="8" fillId="0" borderId="29" xfId="2" applyNumberFormat="1" applyFont="1" applyFill="1" applyBorder="1" applyProtection="1"/>
    <xf numFmtId="165" fontId="8" fillId="0" borderId="30" xfId="2" applyNumberFormat="1" applyFont="1" applyFill="1" applyBorder="1" applyProtection="1"/>
    <xf numFmtId="42" fontId="8" fillId="0" borderId="28" xfId="9" applyNumberFormat="1" applyFont="1" applyFill="1" applyBorder="1" applyProtection="1"/>
    <xf numFmtId="41" fontId="8" fillId="0" borderId="29" xfId="9" applyNumberFormat="1" applyFont="1" applyFill="1" applyBorder="1" applyProtection="1"/>
    <xf numFmtId="41" fontId="96" fillId="0" borderId="29" xfId="9" applyNumberFormat="1" applyFont="1" applyFill="1" applyBorder="1" applyProtection="1"/>
    <xf numFmtId="41" fontId="96" fillId="0" borderId="29" xfId="2" applyNumberFormat="1" applyFont="1" applyFill="1" applyBorder="1" applyProtection="1"/>
    <xf numFmtId="41" fontId="96" fillId="0" borderId="30" xfId="2" applyNumberFormat="1" applyFont="1" applyFill="1" applyBorder="1" applyProtection="1"/>
    <xf numFmtId="166" fontId="8" fillId="0" borderId="17" xfId="10" applyNumberFormat="1" applyFont="1" applyFill="1" applyBorder="1" applyProtection="1">
      <protection locked="0"/>
    </xf>
    <xf numFmtId="42" fontId="8" fillId="0" borderId="28" xfId="2" applyNumberFormat="1" applyFont="1" applyFill="1" applyBorder="1" applyAlignment="1">
      <alignment horizontal="center"/>
    </xf>
    <xf numFmtId="165" fontId="8" fillId="0" borderId="29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165" fontId="1" fillId="0" borderId="29" xfId="2" applyNumberFormat="1" applyFont="1" applyFill="1" applyBorder="1" applyAlignment="1">
      <alignment horizontal="center"/>
    </xf>
    <xf numFmtId="165" fontId="1" fillId="0" borderId="30" xfId="2" applyNumberFormat="1" applyFont="1" applyFill="1" applyBorder="1" applyAlignment="1">
      <alignment horizontal="center"/>
    </xf>
    <xf numFmtId="164" fontId="8" fillId="0" borderId="28" xfId="9" applyNumberFormat="1" applyFont="1" applyFill="1" applyBorder="1" applyAlignment="1">
      <alignment horizontal="right"/>
    </xf>
    <xf numFmtId="165" fontId="8" fillId="0" borderId="29" xfId="2" applyNumberFormat="1" applyFont="1" applyFill="1" applyBorder="1" applyAlignment="1">
      <alignment horizontal="right"/>
    </xf>
    <xf numFmtId="165" fontId="8" fillId="0" borderId="30" xfId="2" applyNumberFormat="1" applyFont="1" applyFill="1" applyBorder="1" applyAlignment="1">
      <alignment horizontal="right"/>
    </xf>
    <xf numFmtId="0" fontId="8" fillId="0" borderId="0" xfId="57" applyFont="1" applyFill="1" applyBorder="1"/>
    <xf numFmtId="164" fontId="8" fillId="0" borderId="28" xfId="9" applyNumberFormat="1" applyFont="1" applyFill="1" applyBorder="1" applyAlignment="1">
      <alignment horizontal="center"/>
    </xf>
    <xf numFmtId="42" fontId="8" fillId="0" borderId="28" xfId="2" applyNumberFormat="1" applyFont="1" applyFill="1" applyBorder="1"/>
    <xf numFmtId="41" fontId="8" fillId="0" borderId="29" xfId="2" applyNumberFormat="1" applyFont="1" applyFill="1" applyBorder="1"/>
    <xf numFmtId="41" fontId="8" fillId="0" borderId="30" xfId="2" applyNumberFormat="1" applyFont="1" applyFill="1" applyBorder="1"/>
    <xf numFmtId="0" fontId="5" fillId="0" borderId="0" xfId="0" applyFont="1" applyFill="1" applyBorder="1" applyAlignment="1">
      <alignment horizontal="center"/>
    </xf>
    <xf numFmtId="0" fontId="47" fillId="0" borderId="0" xfId="4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44" fontId="102" fillId="0" borderId="0" xfId="3" applyFont="1" applyAlignment="1">
      <alignment horizontal="center"/>
    </xf>
    <xf numFmtId="0" fontId="16" fillId="0" borderId="0" xfId="0" applyFont="1" applyAlignment="1">
      <alignment wrapText="1"/>
    </xf>
  </cellXfs>
  <cellStyles count="59">
    <cellStyle name="20% - Accent1 2" xfId="16" xr:uid="{00000000-0005-0000-0000-000000000000}"/>
    <cellStyle name="20% - Accent2 2" xfId="17" xr:uid="{00000000-0005-0000-0000-000001000000}"/>
    <cellStyle name="20% - Accent3 2" xfId="18" xr:uid="{00000000-0005-0000-0000-000002000000}"/>
    <cellStyle name="20% - Accent4 2" xfId="19" xr:uid="{00000000-0005-0000-0000-000003000000}"/>
    <cellStyle name="20% - Accent5 2" xfId="20" xr:uid="{00000000-0005-0000-0000-000004000000}"/>
    <cellStyle name="20% - Accent6 2" xfId="21" xr:uid="{00000000-0005-0000-0000-000005000000}"/>
    <cellStyle name="40% - Accent1 2" xfId="22" xr:uid="{00000000-0005-0000-0000-000006000000}"/>
    <cellStyle name="40% - Accent2 2" xfId="23" xr:uid="{00000000-0005-0000-0000-000007000000}"/>
    <cellStyle name="40% - Accent3 2" xfId="24" xr:uid="{00000000-0005-0000-0000-000008000000}"/>
    <cellStyle name="40% - Accent4 2" xfId="25" xr:uid="{00000000-0005-0000-0000-000009000000}"/>
    <cellStyle name="40% - Accent5 2" xfId="26" xr:uid="{00000000-0005-0000-0000-00000A000000}"/>
    <cellStyle name="40% - Accent6 2" xfId="27" xr:uid="{00000000-0005-0000-0000-00000B000000}"/>
    <cellStyle name="60% - Accent1 2" xfId="28" xr:uid="{00000000-0005-0000-0000-00000C000000}"/>
    <cellStyle name="60% - Accent2 2" xfId="29" xr:uid="{00000000-0005-0000-0000-00000D000000}"/>
    <cellStyle name="60% - Accent3 2" xfId="30" xr:uid="{00000000-0005-0000-0000-00000E000000}"/>
    <cellStyle name="60% - Accent4 2" xfId="31" xr:uid="{00000000-0005-0000-0000-00000F000000}"/>
    <cellStyle name="60% - Accent5 2" xfId="32" xr:uid="{00000000-0005-0000-0000-000010000000}"/>
    <cellStyle name="60% - Accent6 2" xfId="33" xr:uid="{00000000-0005-0000-0000-000011000000}"/>
    <cellStyle name="Accent1 2" xfId="34" xr:uid="{00000000-0005-0000-0000-000012000000}"/>
    <cellStyle name="Accent2 2" xfId="35" xr:uid="{00000000-0005-0000-0000-000013000000}"/>
    <cellStyle name="Accent3 2" xfId="36" xr:uid="{00000000-0005-0000-0000-000014000000}"/>
    <cellStyle name="Accent4 2" xfId="37" xr:uid="{00000000-0005-0000-0000-000015000000}"/>
    <cellStyle name="Accent5 2" xfId="38" xr:uid="{00000000-0005-0000-0000-000016000000}"/>
    <cellStyle name="Accent6 2" xfId="39" xr:uid="{00000000-0005-0000-0000-000017000000}"/>
    <cellStyle name="Bad 2" xfId="40" xr:uid="{00000000-0005-0000-0000-000018000000}"/>
    <cellStyle name="Calculation 2" xfId="41" xr:uid="{00000000-0005-0000-0000-000019000000}"/>
    <cellStyle name="Check Cell 2" xfId="42" xr:uid="{00000000-0005-0000-0000-00001A000000}"/>
    <cellStyle name="Comma" xfId="1" builtinId="3"/>
    <cellStyle name="Comma 2" xfId="2" xr:uid="{00000000-0005-0000-0000-00001C000000}"/>
    <cellStyle name="Comma 3" xfId="8" xr:uid="{00000000-0005-0000-0000-00001D000000}"/>
    <cellStyle name="Comma 4" xfId="13" xr:uid="{00000000-0005-0000-0000-00001E000000}"/>
    <cellStyle name="Currency" xfId="3" builtinId="4"/>
    <cellStyle name="Currency 2" xfId="9" xr:uid="{00000000-0005-0000-0000-000020000000}"/>
    <cellStyle name="Currency 3" xfId="14" xr:uid="{00000000-0005-0000-0000-000021000000}"/>
    <cellStyle name="Explanatory Text 2" xfId="43" xr:uid="{00000000-0005-0000-0000-000022000000}"/>
    <cellStyle name="Good 2" xfId="44" xr:uid="{00000000-0005-0000-0000-000023000000}"/>
    <cellStyle name="Heading 1 2" xfId="45" xr:uid="{00000000-0005-0000-0000-000024000000}"/>
    <cellStyle name="Heading 2 2" xfId="46" xr:uid="{00000000-0005-0000-0000-000025000000}"/>
    <cellStyle name="Heading 3 2" xfId="47" xr:uid="{00000000-0005-0000-0000-000026000000}"/>
    <cellStyle name="Heading 4 2" xfId="48" xr:uid="{00000000-0005-0000-0000-000027000000}"/>
    <cellStyle name="Input 2" xfId="49" xr:uid="{00000000-0005-0000-0000-000028000000}"/>
    <cellStyle name="Linked Cell 2" xfId="50" xr:uid="{00000000-0005-0000-0000-000029000000}"/>
    <cellStyle name="Neutral 2" xfId="51" xr:uid="{00000000-0005-0000-0000-00002A000000}"/>
    <cellStyle name="Normal" xfId="0" builtinId="0"/>
    <cellStyle name="Normal 2" xfId="4" xr:uid="{00000000-0005-0000-0000-00002C000000}"/>
    <cellStyle name="Normal 3" xfId="7" xr:uid="{00000000-0005-0000-0000-00002D000000}"/>
    <cellStyle name="Normal 4" xfId="11" xr:uid="{00000000-0005-0000-0000-00002E000000}"/>
    <cellStyle name="Normal 5" xfId="12" xr:uid="{00000000-0005-0000-0000-00002F000000}"/>
    <cellStyle name="Normal 6" xfId="57" xr:uid="{1ED2CB07-C7CD-45B2-B985-F8C82F63D682}"/>
    <cellStyle name="Normal 7" xfId="58" xr:uid="{075C3E09-B84C-43B0-8DB4-14693BDC7652}"/>
    <cellStyle name="Normal_kyret" xfId="5" xr:uid="{00000000-0005-0000-0000-000030000000}"/>
    <cellStyle name="Note 2" xfId="52" xr:uid="{00000000-0005-0000-0000-000031000000}"/>
    <cellStyle name="Output 2" xfId="53" xr:uid="{00000000-0005-0000-0000-000032000000}"/>
    <cellStyle name="Percent" xfId="6" builtinId="5"/>
    <cellStyle name="Percent 2" xfId="10" xr:uid="{00000000-0005-0000-0000-000034000000}"/>
    <cellStyle name="Percent 3" xfId="15" xr:uid="{00000000-0005-0000-0000-000035000000}"/>
    <cellStyle name="Title 2" xfId="54" xr:uid="{00000000-0005-0000-0000-000036000000}"/>
    <cellStyle name="Total 2" xfId="55" xr:uid="{00000000-0005-0000-0000-000037000000}"/>
    <cellStyle name="Warning Text 2" xfId="56" xr:uid="{00000000-0005-0000-0000-000038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strike val="0"/>
        <condense val="0"/>
        <extend val="0"/>
        <color indexed="10"/>
      </font>
    </dxf>
    <dxf>
      <font>
        <strike val="0"/>
        <condense val="0"/>
        <extend val="0"/>
        <color indexed="10"/>
      </font>
    </dxf>
    <dxf>
      <font>
        <strike val="0"/>
        <condense val="0"/>
        <extend val="0"/>
        <color indexed="10"/>
      </font>
    </dxf>
    <dxf>
      <font>
        <color auto="1"/>
      </font>
    </dxf>
  </dxfs>
  <tableStyles count="0" defaultTableStyle="TableStyleMedium9" defaultPivotStyle="PivotStyleLight16"/>
  <colors>
    <mruColors>
      <color rgb="FFFFFF99"/>
      <color rgb="FFFFFFCC"/>
      <color rgb="FFDCF1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I%20WP/WP_II-I-2.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I%20WP/WP_II-I_2.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I%20WP/WP_II-I-2.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I%20WP/WP_II-I-2.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H%20(Historic%20Billing%20Determinants)/II-H-1.4%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H%20(Historic%20Billing%20Determinants)/II-H-4_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V%20(Rate%20Design)/Section%20IV%20Workpapers/WP_IV-J-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oles"/>
      <sheetName val="Conductors"/>
      <sheetName val="Other 365-368"/>
    </sheetNames>
    <sheetDataSet>
      <sheetData sheetId="0">
        <row r="17">
          <cell r="D17">
            <v>0.84374658928178026</v>
          </cell>
          <cell r="E17">
            <v>0.15625341071821958</v>
          </cell>
        </row>
        <row r="26">
          <cell r="D26">
            <v>0.87322964576709317</v>
          </cell>
          <cell r="E26">
            <v>0.12677035423290683</v>
          </cell>
        </row>
        <row r="37">
          <cell r="D37">
            <v>0.79817703469963952</v>
          </cell>
          <cell r="E37">
            <v>0.20182296530036048</v>
          </cell>
        </row>
        <row r="50">
          <cell r="D50">
            <v>0.65957424361366734</v>
          </cell>
          <cell r="E50">
            <v>0.3404257563863326</v>
          </cell>
        </row>
        <row r="59">
          <cell r="D59">
            <v>6.9002742898359268E-2</v>
          </cell>
          <cell r="E59">
            <v>0.87797750967048482</v>
          </cell>
          <cell r="F59">
            <v>5.3019747431155867E-2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 2.5"/>
      <sheetName val="WP_II-I_2.5"/>
    </sheetNames>
    <sheetDataSet>
      <sheetData sheetId="0">
        <row r="13">
          <cell r="P13">
            <v>0.5220434734948457</v>
          </cell>
        </row>
        <row r="15">
          <cell r="P15">
            <v>7.3234910219164243E-2</v>
          </cell>
        </row>
        <row r="17">
          <cell r="P17">
            <v>0.28800912921560134</v>
          </cell>
        </row>
        <row r="19">
          <cell r="P19">
            <v>1.2128655972860062E-2</v>
          </cell>
        </row>
        <row r="21">
          <cell r="P21">
            <v>9.3397053702985858E-2</v>
          </cell>
        </row>
        <row r="23">
          <cell r="P23">
            <v>3.0645626579865848E-3</v>
          </cell>
        </row>
        <row r="25">
          <cell r="P25">
            <v>6.3923392865977858E-3</v>
          </cell>
        </row>
        <row r="27">
          <cell r="P27">
            <v>5.3233524815684392E-4</v>
          </cell>
        </row>
        <row r="29">
          <cell r="P29">
            <v>8.5912223956998443E-4</v>
          </cell>
        </row>
        <row r="31">
          <cell r="P31">
            <v>3.3841796223164748E-4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ison"/>
      <sheetName val="WP_II-I-2.3"/>
    </sheetNames>
    <sheetDataSet>
      <sheetData sheetId="0">
        <row r="12">
          <cell r="G12">
            <v>40817970445</v>
          </cell>
        </row>
        <row r="16">
          <cell r="G16">
            <v>1236620575</v>
          </cell>
        </row>
        <row r="28">
          <cell r="G28">
            <v>43461525475</v>
          </cell>
        </row>
        <row r="36">
          <cell r="G36">
            <v>836801</v>
          </cell>
        </row>
        <row r="40">
          <cell r="G40">
            <v>163627101</v>
          </cell>
        </row>
        <row r="44">
          <cell r="G44">
            <v>7032910541</v>
          </cell>
        </row>
        <row r="56">
          <cell r="G56">
            <v>1371791510</v>
          </cell>
        </row>
        <row r="68">
          <cell r="G68">
            <v>9461162554</v>
          </cell>
        </row>
        <row r="72">
          <cell r="G72">
            <v>269958301</v>
          </cell>
        </row>
        <row r="76">
          <cell r="G76">
            <v>64028533</v>
          </cell>
        </row>
        <row r="81">
          <cell r="G81">
            <v>103747400</v>
          </cell>
        </row>
        <row r="85">
          <cell r="G85">
            <v>122393400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P_II-I-2.8"/>
    </sheetNames>
    <sheetDataSet>
      <sheetData sheetId="0">
        <row r="22">
          <cell r="E22">
            <v>12679094.989879329</v>
          </cell>
          <cell r="F22">
            <v>255601.64743040886</v>
          </cell>
          <cell r="G22">
            <v>8826874.5016730912</v>
          </cell>
          <cell r="H22">
            <v>2792.4322421174811</v>
          </cell>
          <cell r="I22">
            <v>2744545.7438364113</v>
          </cell>
          <cell r="J22">
            <v>996379.58746995602</v>
          </cell>
          <cell r="K22">
            <v>3403571.9674686831</v>
          </cell>
          <cell r="L22">
            <v>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</sheetNames>
    <sheetDataSet>
      <sheetData sheetId="0">
        <row r="22">
          <cell r="H22">
            <v>15919713.533920208</v>
          </cell>
        </row>
        <row r="23">
          <cell r="H23">
            <v>8287879.7637167973</v>
          </cell>
        </row>
        <row r="24">
          <cell r="H24">
            <v>7317376.1935723377</v>
          </cell>
        </row>
        <row r="25">
          <cell r="H25">
            <v>8090895.0192927467</v>
          </cell>
        </row>
        <row r="26">
          <cell r="H26">
            <v>11218275.33367799</v>
          </cell>
        </row>
        <row r="27">
          <cell r="H27">
            <v>12552930.608607061</v>
          </cell>
        </row>
        <row r="28">
          <cell r="H28">
            <v>12342725.183295522</v>
          </cell>
        </row>
        <row r="29">
          <cell r="H29">
            <v>14969814.510673698</v>
          </cell>
        </row>
        <row r="30">
          <cell r="H30">
            <v>11435652.078624286</v>
          </cell>
        </row>
        <row r="31">
          <cell r="H31">
            <v>9723940.28550932</v>
          </cell>
        </row>
        <row r="32">
          <cell r="H32">
            <v>5981747.3540480733</v>
          </cell>
        </row>
        <row r="33">
          <cell r="H33">
            <v>8934652.1157820858</v>
          </cell>
        </row>
      </sheetData>
      <sheetData sheetId="1">
        <row r="22">
          <cell r="H22">
            <v>300765.84980009048</v>
          </cell>
        </row>
        <row r="23">
          <cell r="H23">
            <v>217908.33541200767</v>
          </cell>
        </row>
        <row r="24">
          <cell r="H24">
            <v>211593.30275397486</v>
          </cell>
        </row>
        <row r="25">
          <cell r="H25">
            <v>208190.93753213869</v>
          </cell>
        </row>
        <row r="26">
          <cell r="H26">
            <v>224177.84261521048</v>
          </cell>
        </row>
        <row r="27">
          <cell r="H27">
            <v>264273.59003355959</v>
          </cell>
        </row>
        <row r="28">
          <cell r="H28">
            <v>266096.84349977534</v>
          </cell>
        </row>
        <row r="29">
          <cell r="H29">
            <v>285766.92437535385</v>
          </cell>
        </row>
        <row r="30">
          <cell r="H30">
            <v>255403.78796578705</v>
          </cell>
        </row>
        <row r="31">
          <cell r="H31">
            <v>235314.41057235043</v>
          </cell>
        </row>
        <row r="32">
          <cell r="H32">
            <v>194822.66114175439</v>
          </cell>
        </row>
        <row r="33">
          <cell r="H33">
            <v>222290.0860874381</v>
          </cell>
        </row>
      </sheetData>
      <sheetData sheetId="2">
        <row r="22">
          <cell r="H22">
            <v>7917999.2257910557</v>
          </cell>
        </row>
        <row r="23">
          <cell r="H23">
            <v>6971509.7142845541</v>
          </cell>
        </row>
        <row r="24">
          <cell r="H24">
            <v>7002650.6864771834</v>
          </cell>
        </row>
        <row r="25">
          <cell r="H25">
            <v>7882866.1289557172</v>
          </cell>
        </row>
        <row r="26">
          <cell r="H26">
            <v>8554091.1605173722</v>
          </cell>
        </row>
        <row r="27">
          <cell r="H27">
            <v>9315276.1003653929</v>
          </cell>
        </row>
        <row r="28">
          <cell r="H28">
            <v>9212187.2938459888</v>
          </cell>
        </row>
        <row r="29">
          <cell r="H29">
            <v>10225299.230063109</v>
          </cell>
        </row>
        <row r="30">
          <cell r="H30">
            <v>9228423.054467408</v>
          </cell>
        </row>
        <row r="31">
          <cell r="H31">
            <v>8449680.6106396373</v>
          </cell>
        </row>
        <row r="32">
          <cell r="H32">
            <v>6905374.5807803655</v>
          </cell>
        </row>
        <row r="33">
          <cell r="H33">
            <v>6492837.4603327829</v>
          </cell>
        </row>
      </sheetData>
      <sheetData sheetId="3">
        <row r="22">
          <cell r="H22">
            <v>4784.8338942797454</v>
          </cell>
        </row>
        <row r="23">
          <cell r="H23">
            <v>3442.5638442360087</v>
          </cell>
        </row>
        <row r="24">
          <cell r="H24">
            <v>3089.396638562052</v>
          </cell>
        </row>
        <row r="25">
          <cell r="H25">
            <v>3250.8339113051647</v>
          </cell>
        </row>
        <row r="26">
          <cell r="H26">
            <v>4006.1477474479698</v>
          </cell>
        </row>
        <row r="27">
          <cell r="H27">
            <v>2941.3081589356198</v>
          </cell>
        </row>
        <row r="28">
          <cell r="H28">
            <v>3167.1227822293049</v>
          </cell>
        </row>
        <row r="29">
          <cell r="H29">
            <v>3133.4057381981179</v>
          </cell>
        </row>
        <row r="30">
          <cell r="H30">
            <v>2991.1736680826061</v>
          </cell>
        </row>
        <row r="31">
          <cell r="H31">
            <v>2997.9659748118411</v>
          </cell>
        </row>
        <row r="32">
          <cell r="H32">
            <v>4110.6451832255925</v>
          </cell>
        </row>
        <row r="33">
          <cell r="H33">
            <v>4228.0816037021104</v>
          </cell>
        </row>
      </sheetData>
      <sheetData sheetId="4">
        <row r="22">
          <cell r="H22">
            <v>2702558.3577933717</v>
          </cell>
        </row>
        <row r="23">
          <cell r="H23">
            <v>2799985.7874292778</v>
          </cell>
        </row>
        <row r="24">
          <cell r="H24">
            <v>2728085.8871339159</v>
          </cell>
        </row>
        <row r="25">
          <cell r="H25">
            <v>2802624.4730551001</v>
          </cell>
        </row>
        <row r="26">
          <cell r="H26">
            <v>2829760.6355566075</v>
          </cell>
        </row>
        <row r="27">
          <cell r="H27">
            <v>2910580.6710426956</v>
          </cell>
        </row>
        <row r="28">
          <cell r="H28">
            <v>2974296.1602397538</v>
          </cell>
        </row>
        <row r="29">
          <cell r="H29">
            <v>3007684.7612368348</v>
          </cell>
        </row>
        <row r="30">
          <cell r="H30">
            <v>2844542.1853388338</v>
          </cell>
        </row>
        <row r="31">
          <cell r="H31">
            <v>2880897.1963286796</v>
          </cell>
        </row>
        <row r="32">
          <cell r="H32">
            <v>2721949.8280338109</v>
          </cell>
        </row>
        <row r="33">
          <cell r="H33">
            <v>2730900.9565502899</v>
          </cell>
        </row>
      </sheetData>
      <sheetData sheetId="5">
        <row r="22">
          <cell r="H22">
            <v>1241474.0075200857</v>
          </cell>
        </row>
        <row r="23">
          <cell r="H23">
            <v>1292762.1114743971</v>
          </cell>
        </row>
        <row r="24">
          <cell r="H24">
            <v>1239394.2151390172</v>
          </cell>
        </row>
        <row r="25">
          <cell r="H25">
            <v>1218123.9799573731</v>
          </cell>
        </row>
        <row r="26">
          <cell r="H26">
            <v>1178415.485159846</v>
          </cell>
        </row>
        <row r="27">
          <cell r="H27">
            <v>1275612.2058445262</v>
          </cell>
        </row>
        <row r="28">
          <cell r="H28">
            <v>1263313.2926533939</v>
          </cell>
        </row>
        <row r="29">
          <cell r="H29">
            <v>1240931.1234971692</v>
          </cell>
        </row>
        <row r="30">
          <cell r="H30">
            <v>1216577.2007640626</v>
          </cell>
        </row>
        <row r="31">
          <cell r="H31">
            <v>1238556.324976482</v>
          </cell>
        </row>
        <row r="32">
          <cell r="H32">
            <v>1206497.4367485361</v>
          </cell>
        </row>
        <row r="33">
          <cell r="H33">
            <v>1196100.7629852102</v>
          </cell>
        </row>
      </sheetData>
      <sheetData sheetId="6">
        <row r="22">
          <cell r="H22">
            <v>4209762.7586206896</v>
          </cell>
        </row>
        <row r="23">
          <cell r="H23">
            <v>4210422.9375</v>
          </cell>
        </row>
        <row r="24">
          <cell r="H24">
            <v>4415905.2173913047</v>
          </cell>
        </row>
        <row r="25">
          <cell r="H25">
            <v>4456475.0310559003</v>
          </cell>
        </row>
        <row r="26">
          <cell r="H26">
            <v>4378300.6790123461</v>
          </cell>
        </row>
        <row r="27">
          <cell r="H27">
            <v>4472397.5460122703</v>
          </cell>
        </row>
        <row r="28">
          <cell r="H28">
            <v>4592163.7308868505</v>
          </cell>
        </row>
        <row r="29">
          <cell r="H29">
            <v>4537057.8787878789</v>
          </cell>
        </row>
        <row r="30">
          <cell r="H30">
            <v>4547874.8192771077</v>
          </cell>
        </row>
        <row r="31">
          <cell r="H31">
            <v>4624161.8072289154</v>
          </cell>
        </row>
        <row r="32">
          <cell r="H32">
            <v>4728173.3532934133</v>
          </cell>
        </row>
        <row r="33">
          <cell r="H33">
            <v>4667054</v>
          </cell>
        </row>
      </sheetData>
      <sheetData sheetId="7">
        <row r="22">
          <cell r="H22">
            <v>90934.292990564922</v>
          </cell>
        </row>
        <row r="23">
          <cell r="H23">
            <v>90934.292990564922</v>
          </cell>
        </row>
        <row r="24">
          <cell r="H24">
            <v>90934.292990564922</v>
          </cell>
        </row>
        <row r="25">
          <cell r="H25">
            <v>90934.292990564922</v>
          </cell>
        </row>
        <row r="26">
          <cell r="H26">
            <v>90934.292990564922</v>
          </cell>
        </row>
        <row r="27">
          <cell r="H27">
            <v>90934.292990564922</v>
          </cell>
        </row>
        <row r="28">
          <cell r="H28">
            <v>90934.292990564922</v>
          </cell>
        </row>
        <row r="29">
          <cell r="H29">
            <v>90934.292990564922</v>
          </cell>
        </row>
        <row r="30">
          <cell r="H30">
            <v>90934.292990564922</v>
          </cell>
        </row>
        <row r="31">
          <cell r="H31">
            <v>90934.292990564922</v>
          </cell>
        </row>
        <row r="32">
          <cell r="H32">
            <v>90934.292990564922</v>
          </cell>
        </row>
        <row r="33">
          <cell r="H33">
            <v>90934.292990564922</v>
          </cell>
        </row>
      </sheetData>
      <sheetData sheetId="8">
        <row r="22">
          <cell r="H22">
            <v>89360.767768842663</v>
          </cell>
        </row>
        <row r="23">
          <cell r="H23">
            <v>64912.699655787968</v>
          </cell>
        </row>
        <row r="24">
          <cell r="H24">
            <v>46902.906102242589</v>
          </cell>
        </row>
        <row r="25">
          <cell r="H25">
            <v>44022.171709591537</v>
          </cell>
        </row>
        <row r="26">
          <cell r="H26">
            <v>61859.800914074614</v>
          </cell>
        </row>
        <row r="27">
          <cell r="H27">
            <v>70371.890760891532</v>
          </cell>
        </row>
        <row r="28">
          <cell r="H28">
            <v>72575.336995198959</v>
          </cell>
        </row>
        <row r="29">
          <cell r="H29">
            <v>77669.672522013381</v>
          </cell>
        </row>
        <row r="30">
          <cell r="H30">
            <v>66051.819452322467</v>
          </cell>
        </row>
        <row r="31">
          <cell r="H31">
            <v>57434.505953820903</v>
          </cell>
        </row>
        <row r="32">
          <cell r="H32">
            <v>43239.049797198095</v>
          </cell>
        </row>
        <row r="33">
          <cell r="H33">
            <v>53983.728259999996</v>
          </cell>
        </row>
      </sheetData>
      <sheetData sheetId="9">
        <row r="22">
          <cell r="H22">
            <v>115405.61806833629</v>
          </cell>
        </row>
        <row r="23">
          <cell r="H23">
            <v>79989.94972666401</v>
          </cell>
        </row>
        <row r="24">
          <cell r="H24">
            <v>62098.356337041121</v>
          </cell>
        </row>
        <row r="25">
          <cell r="H25">
            <v>56796.504248876379</v>
          </cell>
        </row>
        <row r="26">
          <cell r="H26">
            <v>74792.056244914347</v>
          </cell>
        </row>
        <row r="27">
          <cell r="H27">
            <v>85539.635335083847</v>
          </cell>
        </row>
        <row r="28">
          <cell r="H28">
            <v>87509.224113561679</v>
          </cell>
        </row>
        <row r="29">
          <cell r="H29">
            <v>92229.316325092455</v>
          </cell>
        </row>
        <row r="30">
          <cell r="H30">
            <v>82633.011326629072</v>
          </cell>
        </row>
        <row r="31">
          <cell r="H31">
            <v>72446.409968448963</v>
          </cell>
        </row>
        <row r="32">
          <cell r="H32">
            <v>63395.959045696203</v>
          </cell>
        </row>
        <row r="33">
          <cell r="H33">
            <v>73761.323302170902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</sheetNames>
    <sheetDataSet>
      <sheetData sheetId="0">
        <row r="41">
          <cell r="O41">
            <v>26594344.410000004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7">
          <cell r="E17">
            <v>41545332</v>
          </cell>
          <cell r="J17">
            <v>59409825</v>
          </cell>
          <cell r="K17">
            <v>116326930</v>
          </cell>
          <cell r="L17">
            <v>1197169630</v>
          </cell>
          <cell r="M17">
            <v>272650848.40553617</v>
          </cell>
          <cell r="N17">
            <v>935348038.89999998</v>
          </cell>
          <cell r="O17">
            <v>2580905272.3055363</v>
          </cell>
        </row>
        <row r="19">
          <cell r="E19">
            <v>3446088</v>
          </cell>
          <cell r="J19">
            <v>7788159</v>
          </cell>
          <cell r="K19">
            <v>15886465</v>
          </cell>
          <cell r="L19">
            <v>33730262</v>
          </cell>
          <cell r="M19">
            <v>10175742.792601192</v>
          </cell>
          <cell r="N19">
            <v>26144528.199999996</v>
          </cell>
          <cell r="O19">
            <v>93725156.992601186</v>
          </cell>
        </row>
        <row r="21">
          <cell r="E21">
            <v>2746656</v>
          </cell>
          <cell r="J21">
            <v>30570281</v>
          </cell>
          <cell r="K21">
            <v>58503773</v>
          </cell>
          <cell r="L21">
            <v>570615464</v>
          </cell>
          <cell r="M21">
            <v>115532739.65369147</v>
          </cell>
          <cell r="N21">
            <v>484323077.38999999</v>
          </cell>
          <cell r="O21">
            <v>1259545335.0436916</v>
          </cell>
        </row>
        <row r="22">
          <cell r="E22">
            <v>69012</v>
          </cell>
          <cell r="J22">
            <v>768104</v>
          </cell>
          <cell r="K22">
            <v>1469955</v>
          </cell>
          <cell r="L22">
            <v>248867199</v>
          </cell>
          <cell r="M22">
            <v>50388240.48058784</v>
          </cell>
          <cell r="N22">
            <v>195641185.22999999</v>
          </cell>
          <cell r="O22">
            <v>497134683.71058786</v>
          </cell>
        </row>
        <row r="24">
          <cell r="E24">
            <v>37620</v>
          </cell>
          <cell r="J24">
            <v>354756</v>
          </cell>
          <cell r="K24">
            <v>737352</v>
          </cell>
          <cell r="L24">
            <v>256208</v>
          </cell>
          <cell r="M24">
            <v>137505.65684530223</v>
          </cell>
          <cell r="N24">
            <v>270413.38</v>
          </cell>
          <cell r="O24">
            <v>1756235.0368453022</v>
          </cell>
        </row>
        <row r="26">
          <cell r="E26">
            <v>59892</v>
          </cell>
          <cell r="J26">
            <v>912155</v>
          </cell>
          <cell r="K26">
            <v>2790967</v>
          </cell>
          <cell r="L26">
            <v>19579330</v>
          </cell>
          <cell r="M26">
            <v>2938075.29614441</v>
          </cell>
          <cell r="N26">
            <v>28876427.77</v>
          </cell>
          <cell r="O26">
            <v>55096955.066144414</v>
          </cell>
        </row>
        <row r="27">
          <cell r="E27">
            <v>24324</v>
          </cell>
          <cell r="J27">
            <v>370454</v>
          </cell>
          <cell r="K27">
            <v>1133498</v>
          </cell>
          <cell r="L27">
            <v>158896048</v>
          </cell>
          <cell r="M27">
            <v>23843958.551116996</v>
          </cell>
          <cell r="N27">
            <v>142072791.11000001</v>
          </cell>
          <cell r="O27">
            <v>326316749.66111702</v>
          </cell>
        </row>
        <row r="28">
          <cell r="E28">
            <v>1956</v>
          </cell>
          <cell r="J28">
            <v>373694</v>
          </cell>
          <cell r="K28">
            <v>653949</v>
          </cell>
          <cell r="L28">
            <v>18911803</v>
          </cell>
          <cell r="M28">
            <v>2598476.4607927599</v>
          </cell>
          <cell r="N28">
            <v>55988900.620000005</v>
          </cell>
          <cell r="O28">
            <v>78526823.08079277</v>
          </cell>
        </row>
        <row r="29">
          <cell r="E29">
            <v>4080</v>
          </cell>
          <cell r="J29">
            <v>869937</v>
          </cell>
          <cell r="K29">
            <v>1379366</v>
          </cell>
          <cell r="L29">
            <v>37203543</v>
          </cell>
          <cell r="M29">
            <v>600923.66016365902</v>
          </cell>
          <cell r="N29">
            <v>169988373.36000001</v>
          </cell>
          <cell r="O29">
            <v>210042143.02016366</v>
          </cell>
        </row>
        <row r="35">
          <cell r="E35">
            <v>614652</v>
          </cell>
          <cell r="J35">
            <v>1093612.02</v>
          </cell>
          <cell r="K35">
            <v>42965</v>
          </cell>
          <cell r="L35">
            <v>60996254.057776004</v>
          </cell>
          <cell r="M35">
            <v>2449104.006003066</v>
          </cell>
          <cell r="N35">
            <v>0</v>
          </cell>
          <cell r="O35">
            <v>64581935.083779067</v>
          </cell>
        </row>
        <row r="37">
          <cell r="E37">
            <v>216</v>
          </cell>
          <cell r="J37">
            <v>34424</v>
          </cell>
          <cell r="K37">
            <v>73909</v>
          </cell>
          <cell r="L37">
            <v>1378901</v>
          </cell>
          <cell r="M37">
            <v>308976.6128</v>
          </cell>
          <cell r="N37">
            <v>0</v>
          </cell>
          <cell r="O37">
            <v>1796210.6128</v>
          </cell>
        </row>
        <row r="38">
          <cell r="E38">
            <v>624</v>
          </cell>
          <cell r="J38">
            <v>72521</v>
          </cell>
          <cell r="K38">
            <v>155788</v>
          </cell>
          <cell r="L38">
            <v>7149799</v>
          </cell>
          <cell r="M38">
            <v>1483292.77174</v>
          </cell>
          <cell r="N38">
            <v>0</v>
          </cell>
          <cell r="O38">
            <v>8861400.7717400007</v>
          </cell>
        </row>
        <row r="41">
          <cell r="O41">
            <v>25731613</v>
          </cell>
        </row>
        <row r="42">
          <cell r="O42">
            <v>18078304.75999999</v>
          </cell>
        </row>
        <row r="45">
          <cell r="J45">
            <v>102617922.01999995</v>
          </cell>
          <cell r="K45">
            <v>199154917</v>
          </cell>
          <cell r="L45">
            <v>2379183208.3857679</v>
          </cell>
          <cell r="M45">
            <v>483107884.34802294</v>
          </cell>
          <cell r="N45">
            <v>2038653735.9600003</v>
          </cell>
          <cell r="O45">
            <v>5246527585.4737921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ec &gt; 10 NIDR PF ADJ"/>
      <sheetName val="Sec &gt; 10 NIDR OTH ADJ"/>
      <sheetName val="Sec &gt; 10 IDR PF ADJ "/>
      <sheetName val="Sec &gt; 10 IDR OTH ADJ "/>
      <sheetName val="Pri &gt; 10 NIDR PF ADJ "/>
      <sheetName val="Pri &gt; 10 NIDR OTH ADJ "/>
      <sheetName val="Pri &gt; 10 IDR PF ADJ "/>
      <sheetName val="Pri &gt; 10 IDR OTH ADJ"/>
      <sheetName val="Pri &gt; 10 IDR SUB PF ADJ "/>
      <sheetName val="Pri &gt; 10 IDR SUB OTH ADJ"/>
      <sheetName val="TRANSMISSION"/>
      <sheetName val="TRANSMISSION OTH ADJ"/>
      <sheetName val="XFMR"/>
      <sheetName val="DLS"/>
      <sheetName val="DISTRIBUTION KW ADJ"/>
      <sheetName val="Annualization"/>
      <sheetName val="Annualization -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6">
          <cell r="G36">
            <v>6799260.089261231</v>
          </cell>
          <cell r="I36">
            <v>8798831.5178604648</v>
          </cell>
          <cell r="K36">
            <v>980230.8665248832</v>
          </cell>
          <cell r="M36">
            <v>6323979.7270681597</v>
          </cell>
          <cell r="O36">
            <v>297287.7366279267</v>
          </cell>
          <cell r="Q36">
            <v>1229177.3906491736</v>
          </cell>
          <cell r="S36">
            <v>24428767.327991843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9"/>
  <sheetViews>
    <sheetView view="pageBreakPreview" zoomScale="75" zoomScaleNormal="75" zoomScaleSheetLayoutView="75" workbookViewId="0">
      <selection activeCell="K41" sqref="K41"/>
    </sheetView>
  </sheetViews>
  <sheetFormatPr defaultRowHeight="14.25" x14ac:dyDescent="0.2"/>
  <cols>
    <col min="1" max="2" width="1.5" customWidth="1"/>
    <col min="3" max="3" width="5.625" customWidth="1"/>
    <col min="4" max="4" width="41" customWidth="1"/>
    <col min="5" max="5" width="3.625" customWidth="1"/>
    <col min="6" max="6" width="15.25" customWidth="1"/>
    <col min="7" max="7" width="16.625" customWidth="1"/>
    <col min="8" max="8" width="13.625" customWidth="1"/>
    <col min="9" max="9" width="16.25" customWidth="1"/>
    <col min="10" max="10" width="14.375" customWidth="1"/>
    <col min="11" max="11" width="14.75" customWidth="1"/>
    <col min="12" max="12" width="12.875" customWidth="1"/>
    <col min="13" max="13" width="14.375" customWidth="1"/>
    <col min="14" max="14" width="14.125" bestFit="1" customWidth="1"/>
    <col min="15" max="15" width="11.5" bestFit="1" customWidth="1"/>
    <col min="16" max="16" width="13" bestFit="1" customWidth="1"/>
    <col min="17" max="17" width="1.625" customWidth="1"/>
    <col min="18" max="18" width="2.625" customWidth="1"/>
    <col min="19" max="19" width="28.25" customWidth="1"/>
  </cols>
  <sheetData>
    <row r="1" spans="1:19" ht="15" x14ac:dyDescent="0.2">
      <c r="D1" s="1064"/>
      <c r="H1" s="305"/>
    </row>
    <row r="2" spans="1:19" ht="15" thickBot="1" x14ac:dyDescent="0.25"/>
    <row r="3" spans="1:19" x14ac:dyDescent="0.2">
      <c r="A3" s="491" t="s">
        <v>0</v>
      </c>
      <c r="B3" s="491"/>
      <c r="C3" s="481"/>
      <c r="D3" s="482"/>
      <c r="E3" s="482"/>
      <c r="F3" s="483"/>
      <c r="G3" s="482"/>
      <c r="H3" s="482"/>
      <c r="I3" s="482"/>
      <c r="J3" s="482"/>
      <c r="K3" s="482"/>
      <c r="L3" s="482"/>
      <c r="M3" s="482"/>
      <c r="N3" s="483"/>
      <c r="O3" s="483"/>
      <c r="P3" s="483"/>
      <c r="Q3" s="481"/>
    </row>
    <row r="4" spans="1:19" x14ac:dyDescent="0.2">
      <c r="A4" s="481"/>
      <c r="B4" s="481"/>
      <c r="C4" s="481"/>
      <c r="D4" s="484" t="s">
        <v>4</v>
      </c>
      <c r="E4" s="484"/>
      <c r="F4" s="484" t="s">
        <v>10</v>
      </c>
      <c r="G4" s="484" t="s">
        <v>387</v>
      </c>
      <c r="H4" s="484" t="s">
        <v>388</v>
      </c>
      <c r="I4" s="484" t="s">
        <v>388</v>
      </c>
      <c r="J4" s="484" t="s">
        <v>93</v>
      </c>
      <c r="K4" s="484" t="s">
        <v>93</v>
      </c>
      <c r="L4" s="484" t="s">
        <v>389</v>
      </c>
      <c r="M4" s="484" t="s">
        <v>390</v>
      </c>
      <c r="N4" s="484" t="s">
        <v>391</v>
      </c>
      <c r="O4" s="484" t="s">
        <v>386</v>
      </c>
      <c r="P4" s="484" t="s">
        <v>386</v>
      </c>
      <c r="Q4" s="481"/>
    </row>
    <row r="5" spans="1:19" x14ac:dyDescent="0.2">
      <c r="A5" s="481"/>
      <c r="B5" s="481"/>
      <c r="C5" s="481"/>
      <c r="D5" s="484"/>
      <c r="E5" s="484"/>
      <c r="F5" s="484"/>
      <c r="G5" s="484"/>
      <c r="H5" s="485" t="s">
        <v>395</v>
      </c>
      <c r="I5" s="485" t="s">
        <v>396</v>
      </c>
      <c r="J5" s="485" t="s">
        <v>395</v>
      </c>
      <c r="K5" s="485" t="s">
        <v>396</v>
      </c>
      <c r="L5" s="485" t="s">
        <v>393</v>
      </c>
      <c r="M5" s="484"/>
      <c r="N5" s="484"/>
      <c r="O5" s="484" t="s">
        <v>393</v>
      </c>
      <c r="P5" s="484" t="s">
        <v>394</v>
      </c>
      <c r="Q5" s="481"/>
    </row>
    <row r="6" spans="1:19" ht="15" thickBot="1" x14ac:dyDescent="0.25">
      <c r="A6" s="481"/>
      <c r="B6" s="481"/>
      <c r="C6" s="481"/>
      <c r="D6" s="486"/>
      <c r="E6" s="486"/>
      <c r="F6" s="487"/>
      <c r="G6" s="486"/>
      <c r="H6" s="486"/>
      <c r="I6" s="486"/>
      <c r="J6" s="486"/>
      <c r="K6" s="486"/>
      <c r="L6" s="486"/>
      <c r="M6" s="486"/>
      <c r="N6" s="487"/>
      <c r="O6" s="487"/>
      <c r="P6" s="487"/>
      <c r="Q6" s="481"/>
    </row>
    <row r="7" spans="1:19" x14ac:dyDescent="0.2">
      <c r="A7" s="481"/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</row>
    <row r="8" spans="1:19" x14ac:dyDescent="0.2">
      <c r="A8" s="481"/>
      <c r="B8" s="481"/>
      <c r="C8" s="488"/>
      <c r="D8" s="785" t="s">
        <v>1315</v>
      </c>
      <c r="E8" s="492"/>
      <c r="F8" s="493">
        <f ca="1">SUM(G8:P8)</f>
        <v>3459251164.5932693</v>
      </c>
      <c r="G8" s="493">
        <f ca="1">'WP II-I-1.7'!E23</f>
        <v>1808863015.7172115</v>
      </c>
      <c r="H8" s="493">
        <f ca="1">'WP II-I-1.7'!F23</f>
        <v>51193085.431880623</v>
      </c>
      <c r="I8" s="493">
        <f ca="1">'WP II-I-1.7'!G23</f>
        <v>1207580120.741354</v>
      </c>
      <c r="J8" s="493">
        <f ca="1">'WP II-I-1.7'!H23</f>
        <v>533883.97708080732</v>
      </c>
      <c r="K8" s="493">
        <f ca="1">'WP II-I-1.7'!I23</f>
        <v>235145734.55356389</v>
      </c>
      <c r="L8" s="493">
        <f ca="1">'WP II-I-1.7'!J23</f>
        <v>26160818.439228907</v>
      </c>
      <c r="M8" s="493">
        <f ca="1">'WP II-I-1.7'!K23</f>
        <v>26746602.143922776</v>
      </c>
      <c r="N8" s="493">
        <f ca="1">'WP II-I-1.7'!L23</f>
        <v>92687433.402685627</v>
      </c>
      <c r="O8" s="493">
        <f ca="1">'WP II-I-1.7'!M23</f>
        <v>1834322.4234604596</v>
      </c>
      <c r="P8" s="494">
        <f ca="1">'WP II-I-1.7'!N23</f>
        <v>8506147.7628804408</v>
      </c>
      <c r="Q8" s="481"/>
      <c r="S8" s="992" t="b">
        <f ca="1">IF(ROUND(F45+F46+F8-'WP II-I-1.1'!G489,1)=0,TRUE,F45+F46+F8-'WP II-I-1.1'!G489)</f>
        <v>1</v>
      </c>
    </row>
    <row r="9" spans="1:19" x14ac:dyDescent="0.2">
      <c r="A9" s="481"/>
      <c r="B9" s="481"/>
      <c r="C9" s="488"/>
      <c r="D9" s="495"/>
      <c r="E9" s="488"/>
      <c r="F9" s="488"/>
      <c r="G9" s="496"/>
      <c r="H9" s="496"/>
      <c r="I9" s="496"/>
      <c r="J9" s="496"/>
      <c r="K9" s="496"/>
      <c r="L9" s="496"/>
      <c r="M9" s="496"/>
      <c r="N9" s="496"/>
      <c r="O9" s="496"/>
      <c r="P9" s="497"/>
      <c r="Q9" s="481"/>
    </row>
    <row r="10" spans="1:19" x14ac:dyDescent="0.2">
      <c r="A10" s="481"/>
      <c r="B10" s="481"/>
      <c r="C10" s="488"/>
      <c r="D10" s="498" t="s">
        <v>876</v>
      </c>
      <c r="E10" s="489"/>
      <c r="F10" s="490">
        <f ca="1">SUM(G10:P10)</f>
        <v>205242613.15531737</v>
      </c>
      <c r="G10" s="490">
        <f ca="1">'WP II-I-1.7'!E25</f>
        <v>107128369.71654037</v>
      </c>
      <c r="H10" s="490">
        <f ca="1">'WP II-I-1.7'!F25</f>
        <v>15024827.075282607</v>
      </c>
      <c r="I10" s="490">
        <f ca="1">'WP II-I-1.7'!G25</f>
        <v>59094145.324412614</v>
      </c>
      <c r="J10" s="490">
        <f ca="1">'WP II-I-1.7'!H25</f>
        <v>2487758.3204837111</v>
      </c>
      <c r="K10" s="490">
        <f ca="1">'WP II-I-1.7'!I25</f>
        <v>19159478.061950289</v>
      </c>
      <c r="L10" s="490">
        <f ca="1">'WP II-I-1.7'!J25</f>
        <v>628890.65007431689</v>
      </c>
      <c r="M10" s="490">
        <f ca="1">'WP II-I-1.7'!K25</f>
        <v>1312242.3470040681</v>
      </c>
      <c r="N10" s="490">
        <f ca="1">'WP II-I-1.7'!L25</f>
        <v>144408.8608343357</v>
      </c>
      <c r="O10" s="490">
        <f ca="1">'WP II-I-1.7'!M25</f>
        <v>74189.556561552148</v>
      </c>
      <c r="P10" s="499">
        <f ca="1">'WP II-I-1.7'!N25</f>
        <v>188303.24217351509</v>
      </c>
      <c r="Q10" s="481"/>
      <c r="S10" t="b">
        <f ca="1">IF(ROUND(F10-'WP II-I-1.1'!H489,1)=0,TRUE,F10-'WP II-I-1.1'!H489)</f>
        <v>1</v>
      </c>
    </row>
    <row r="11" spans="1:19" x14ac:dyDescent="0.2">
      <c r="A11" s="481"/>
      <c r="B11" s="481"/>
      <c r="C11" s="488"/>
      <c r="D11" s="495"/>
      <c r="E11" s="488"/>
      <c r="F11" s="488"/>
      <c r="G11" s="496"/>
      <c r="H11" s="496"/>
      <c r="I11" s="496"/>
      <c r="J11" s="496"/>
      <c r="K11" s="496"/>
      <c r="L11" s="496"/>
      <c r="M11" s="496"/>
      <c r="N11" s="496"/>
      <c r="O11" s="496"/>
      <c r="P11" s="497"/>
      <c r="Q11" s="481"/>
    </row>
    <row r="12" spans="1:19" x14ac:dyDescent="0.2">
      <c r="A12" s="481"/>
      <c r="B12" s="481"/>
      <c r="C12" s="488"/>
      <c r="D12" s="500" t="s">
        <v>877</v>
      </c>
      <c r="E12" s="501"/>
      <c r="F12" s="502">
        <f ca="1">SUM(G12:P12)</f>
        <v>121664346.90782787</v>
      </c>
      <c r="G12" s="502">
        <f ca="1">'WP II-I-1.7'!E27</f>
        <v>61413320.278503731</v>
      </c>
      <c r="H12" s="502">
        <f ca="1">'WP II-I-1.7'!F27</f>
        <v>8072044.3509532567</v>
      </c>
      <c r="I12" s="502">
        <f ca="1">'WP II-I-1.7'!G27</f>
        <v>33901630.912658975</v>
      </c>
      <c r="J12" s="502">
        <f ca="1">'WP II-I-1.7'!H27</f>
        <v>1296712.1714855914</v>
      </c>
      <c r="K12" s="502">
        <f ca="1">'WP II-I-1.7'!I27</f>
        <v>10639949.738875244</v>
      </c>
      <c r="L12" s="502">
        <f ca="1">'WP II-I-1.7'!J27</f>
        <v>465386.72416250466</v>
      </c>
      <c r="M12" s="502">
        <f ca="1">'WP II-I-1.7'!K27</f>
        <v>1055899.508167366</v>
      </c>
      <c r="N12" s="502">
        <f ca="1">'WP II-I-1.7'!L27</f>
        <v>4692561.9931837013</v>
      </c>
      <c r="O12" s="502">
        <f ca="1">'WP II-I-1.7'!M27</f>
        <v>35862.94831318986</v>
      </c>
      <c r="P12" s="503">
        <f ca="1">'WP II-I-1.7'!N27</f>
        <v>90978.281524309466</v>
      </c>
      <c r="Q12" s="481"/>
      <c r="S12" t="b">
        <f ca="1">IF(ROUND(F12-'WP II-I-1.1'!I489,1)=0,TRUE,F12-'WP II-I-1.1'!I489)</f>
        <v>1</v>
      </c>
    </row>
    <row r="13" spans="1:19" x14ac:dyDescent="0.2">
      <c r="A13" s="481"/>
      <c r="B13" s="481"/>
      <c r="C13" s="488"/>
      <c r="D13" s="488"/>
      <c r="E13" s="488"/>
      <c r="F13" s="488"/>
      <c r="G13" s="489"/>
      <c r="H13" s="489"/>
      <c r="I13" s="489"/>
      <c r="J13" s="489"/>
      <c r="K13" s="489"/>
      <c r="L13" s="489"/>
      <c r="M13" s="489"/>
      <c r="N13" s="489"/>
      <c r="O13" s="489"/>
      <c r="P13" s="489"/>
      <c r="Q13" s="481"/>
    </row>
    <row r="14" spans="1:19" ht="15" x14ac:dyDescent="0.25">
      <c r="A14" s="481"/>
      <c r="B14" s="481"/>
      <c r="C14" s="488"/>
      <c r="D14" s="504" t="s">
        <v>867</v>
      </c>
      <c r="E14" s="505"/>
      <c r="F14" s="505"/>
      <c r="G14" s="492"/>
      <c r="H14" s="492"/>
      <c r="I14" s="492"/>
      <c r="J14" s="492"/>
      <c r="K14" s="492"/>
      <c r="L14" s="492"/>
      <c r="M14" s="492"/>
      <c r="N14" s="492"/>
      <c r="O14" s="492"/>
      <c r="P14" s="506"/>
      <c r="Q14" s="481"/>
    </row>
    <row r="15" spans="1:19" x14ac:dyDescent="0.2">
      <c r="A15" s="481"/>
      <c r="B15" s="481"/>
      <c r="C15" s="488"/>
      <c r="D15" s="498" t="s">
        <v>865</v>
      </c>
      <c r="E15" s="488"/>
      <c r="F15" s="490">
        <f ca="1">SUM(G15:P15)</f>
        <v>21831886876.860001</v>
      </c>
      <c r="G15" s="490">
        <f ca="1">'II-I-Total'!J60</f>
        <v>11697828611.586966</v>
      </c>
      <c r="H15" s="490">
        <f ca="1">'II-I-Total'!K60</f>
        <v>448204171.50986189</v>
      </c>
      <c r="I15" s="490">
        <f ca="1">'II-I-Total'!L60</f>
        <v>7342588921.5391846</v>
      </c>
      <c r="J15" s="490">
        <f ca="1">'II-I-Total'!M60</f>
        <v>17112245.01252747</v>
      </c>
      <c r="K15" s="490">
        <f ca="1">'II-I-Total'!N60</f>
        <v>1386102278.0593946</v>
      </c>
      <c r="L15" s="490">
        <f ca="1">'II-I-Total'!O60</f>
        <v>141928619.17566586</v>
      </c>
      <c r="M15" s="490">
        <f ca="1">'II-I-Total'!P60</f>
        <v>31880328.910868958</v>
      </c>
      <c r="N15" s="490">
        <f ca="1">'II-I-Total'!Q60</f>
        <v>706478309.52641892</v>
      </c>
      <c r="O15" s="490">
        <f ca="1">'II-I-Total'!R60</f>
        <v>9968151.8678078037</v>
      </c>
      <c r="P15" s="499">
        <f ca="1">'II-I-Total'!S60</f>
        <v>49795239.671303645</v>
      </c>
      <c r="Q15" s="481"/>
    </row>
    <row r="16" spans="1:19" x14ac:dyDescent="0.2">
      <c r="A16" s="481"/>
      <c r="B16" s="481"/>
      <c r="C16" s="488"/>
      <c r="D16" s="507" t="s">
        <v>857</v>
      </c>
      <c r="E16" s="488"/>
      <c r="F16" s="490">
        <f ca="1">SUM(G16:P16)</f>
        <v>1059157322.9243675</v>
      </c>
      <c r="G16" s="490">
        <f ca="1">'II-I-Total'!J83</f>
        <v>575281985.23256433</v>
      </c>
      <c r="H16" s="490">
        <f ca="1">'II-I-Total'!K83</f>
        <v>18004271.595711999</v>
      </c>
      <c r="I16" s="490">
        <f ca="1">'II-I-Total'!L83</f>
        <v>365709439.32302266</v>
      </c>
      <c r="J16" s="490">
        <f ca="1">'II-I-Total'!M83</f>
        <v>698376.14431185985</v>
      </c>
      <c r="K16" s="490">
        <f ca="1">'II-I-Total'!N83</f>
        <v>71151671.419516057</v>
      </c>
      <c r="L16" s="490">
        <f ca="1">'II-I-Total'!O83</f>
        <v>7977532.6448662793</v>
      </c>
      <c r="M16" s="490">
        <f ca="1">'II-I-Total'!P83</f>
        <v>2278161.2512788735</v>
      </c>
      <c r="N16" s="490">
        <f ca="1">'II-I-Total'!Q83</f>
        <v>14910475.501088111</v>
      </c>
      <c r="O16" s="490">
        <f ca="1">'II-I-Total'!R83</f>
        <v>561325.44376306981</v>
      </c>
      <c r="P16" s="499">
        <f ca="1">'II-I-Total'!S83</f>
        <v>2584084.3682442927</v>
      </c>
      <c r="Q16" s="481"/>
      <c r="S16" s="866">
        <f ca="1">IF(F16-(SUM('WP II-I-1.1'!G494:I494))=0,TRUE,F16-(SUM('WP II-I-1.1'!G494:I494)))</f>
        <v>-1.1920928955078125E-7</v>
      </c>
    </row>
    <row r="17" spans="1:19" x14ac:dyDescent="0.2">
      <c r="A17" s="481"/>
      <c r="B17" s="481"/>
      <c r="C17" s="488"/>
      <c r="D17" s="498" t="s">
        <v>858</v>
      </c>
      <c r="E17" s="488"/>
      <c r="F17" s="490">
        <f ca="1">SUM(G17:P17)</f>
        <v>762136905.15999997</v>
      </c>
      <c r="G17" s="490">
        <f ca="1">'II-I-Total'!J22</f>
        <v>401613302.49240291</v>
      </c>
      <c r="H17" s="490">
        <f ca="1">'II-I-Total'!K22</f>
        <v>18899507.391811844</v>
      </c>
      <c r="I17" s="490">
        <f ca="1">'II-I-Total'!L22</f>
        <v>249378316.79489201</v>
      </c>
      <c r="J17" s="490">
        <f ca="1">'II-I-Total'!M22</f>
        <v>1187788.2823090376</v>
      </c>
      <c r="K17" s="490">
        <f ca="1">'II-I-Total'!N22</f>
        <v>49419746.386770152</v>
      </c>
      <c r="L17" s="490">
        <f ca="1">'II-I-Total'!O22</f>
        <v>4133939.8125006431</v>
      </c>
      <c r="M17" s="490">
        <f ca="1">'II-I-Total'!P22</f>
        <v>1259119.7806453251</v>
      </c>
      <c r="N17" s="490">
        <f ca="1">'II-I-Total'!Q22</f>
        <v>34303678.031727694</v>
      </c>
      <c r="O17" s="490">
        <f ca="1">'II-I-Total'!R22</f>
        <v>297471.7574427214</v>
      </c>
      <c r="P17" s="499">
        <f ca="1">'II-I-Total'!S22</f>
        <v>1644034.4294976783</v>
      </c>
      <c r="Q17" s="481"/>
    </row>
    <row r="18" spans="1:19" x14ac:dyDescent="0.2">
      <c r="A18" s="481"/>
      <c r="B18" s="481"/>
      <c r="C18" s="488"/>
      <c r="D18" s="507" t="s">
        <v>866</v>
      </c>
      <c r="E18" s="488"/>
      <c r="F18" s="490">
        <f ca="1">SUM(G18:P18)</f>
        <v>144739017.62204707</v>
      </c>
      <c r="G18" s="490">
        <f ca="1">'II-I-Total'!J25</f>
        <v>78668226.00244163</v>
      </c>
      <c r="H18" s="490">
        <f ca="1">'II-I-Total'!K25</f>
        <v>2333594.427766101</v>
      </c>
      <c r="I18" s="490">
        <f ca="1">'II-I-Total'!L25</f>
        <v>50108867.645949163</v>
      </c>
      <c r="J18" s="490">
        <f ca="1">'II-I-Total'!M25</f>
        <v>68143.324360190891</v>
      </c>
      <c r="K18" s="490">
        <f ca="1">'II-I-Total'!N25</f>
        <v>9622190.457594797</v>
      </c>
      <c r="L18" s="490">
        <f ca="1">'II-I-Total'!O25</f>
        <v>1093406.307408148</v>
      </c>
      <c r="M18" s="490">
        <f ca="1">'II-I-Total'!P25</f>
        <v>303017.13884001854</v>
      </c>
      <c r="N18" s="490">
        <f ca="1">'II-I-Total'!Q25</f>
        <v>2109357.0916509507</v>
      </c>
      <c r="O18" s="490">
        <f ca="1">'II-I-Total'!R25</f>
        <v>76708.788146471969</v>
      </c>
      <c r="P18" s="499">
        <f ca="1">'II-I-Total'!S25</f>
        <v>355506.43788959295</v>
      </c>
      <c r="Q18" s="481"/>
      <c r="S18" s="866">
        <f ca="1">IF(ROUND(F18-(SUM('WP II-I-1.1'!G498:I498)-'WP II-I-1.1'!F498),1)=0,TRUE,F18-(SUM('WP II-I-1.1'!G498:I498)-'WP II-I-1.1'!F39))</f>
        <v>0</v>
      </c>
    </row>
    <row r="19" spans="1:19" x14ac:dyDescent="0.2">
      <c r="A19" s="481"/>
      <c r="B19" s="481"/>
      <c r="C19" s="488"/>
      <c r="D19" s="508" t="s">
        <v>404</v>
      </c>
      <c r="E19" s="509"/>
      <c r="F19" s="502">
        <f ca="1">SUM(G19:P19)</f>
        <v>494986759.41999984</v>
      </c>
      <c r="G19" s="502">
        <f ca="1">'II-I-Total'!J24</f>
        <v>222233924.70047188</v>
      </c>
      <c r="H19" s="502">
        <f ca="1">'II-I-Total'!K24</f>
        <v>7470560.263339892</v>
      </c>
      <c r="I19" s="502">
        <f ca="1">'II-I-Total'!L24</f>
        <v>191033863.42283911</v>
      </c>
      <c r="J19" s="502">
        <f ca="1">'II-I-Total'!M24</f>
        <v>174043.73206691365</v>
      </c>
      <c r="K19" s="502">
        <f ca="1">'II-I-Total'!N24</f>
        <v>33593410.134052433</v>
      </c>
      <c r="L19" s="502">
        <f ca="1">'II-I-Total'!O24</f>
        <v>5306944.0024591312</v>
      </c>
      <c r="M19" s="502">
        <f ca="1">'II-I-Total'!P24</f>
        <v>27571463.792722713</v>
      </c>
      <c r="N19" s="502">
        <f ca="1">'II-I-Total'!Q24</f>
        <v>6397694.4369190978</v>
      </c>
      <c r="O19" s="502">
        <f ca="1">'II-I-Total'!R24</f>
        <v>394111.51413296396</v>
      </c>
      <c r="P19" s="503">
        <f ca="1">'II-I-Total'!S24</f>
        <v>810743.42099572916</v>
      </c>
      <c r="Q19" s="481"/>
    </row>
    <row r="20" spans="1:19" x14ac:dyDescent="0.2">
      <c r="A20" s="481"/>
      <c r="B20" s="481"/>
      <c r="C20" s="481"/>
      <c r="D20" s="481"/>
      <c r="E20" s="481"/>
      <c r="F20" s="481"/>
      <c r="G20" s="491"/>
      <c r="H20" s="491"/>
      <c r="I20" s="491"/>
      <c r="J20" s="491"/>
      <c r="K20" s="491"/>
      <c r="L20" s="491"/>
      <c r="M20" s="491"/>
      <c r="N20" s="491"/>
      <c r="O20" s="491"/>
      <c r="P20" s="491"/>
      <c r="Q20" s="481"/>
    </row>
    <row r="21" spans="1:19" ht="15" x14ac:dyDescent="0.25">
      <c r="A21" s="481"/>
      <c r="B21" s="481"/>
      <c r="C21" s="504" t="s">
        <v>911</v>
      </c>
      <c r="D21" s="510"/>
      <c r="E21" s="505"/>
      <c r="F21" s="505"/>
      <c r="G21" s="492"/>
      <c r="H21" s="492"/>
      <c r="I21" s="492"/>
      <c r="J21" s="492"/>
      <c r="K21" s="492"/>
      <c r="L21" s="492"/>
      <c r="M21" s="492"/>
      <c r="N21" s="492"/>
      <c r="O21" s="492"/>
      <c r="P21" s="506"/>
      <c r="Q21" s="481"/>
    </row>
    <row r="22" spans="1:19" x14ac:dyDescent="0.2">
      <c r="A22" s="481"/>
      <c r="B22" s="481"/>
      <c r="C22" s="507"/>
      <c r="D22" s="488" t="s">
        <v>868</v>
      </c>
      <c r="E22" s="488"/>
      <c r="F22" s="490">
        <f ca="1">SUM(G22:P22)</f>
        <v>13196087259.399998</v>
      </c>
      <c r="G22" s="490">
        <f ca="1">'II-I-DIST'!J325</f>
        <v>7210529404.2564735</v>
      </c>
      <c r="H22" s="490">
        <f ca="1">'II-I-DIST'!K325</f>
        <v>192169640.05727232</v>
      </c>
      <c r="I22" s="490">
        <f ca="1">'II-I-DIST'!L325</f>
        <v>4589596677.2763844</v>
      </c>
      <c r="J22" s="490">
        <f ca="1">'II-I-DIST'!M325</f>
        <v>1364418.2152273343</v>
      </c>
      <c r="K22" s="490">
        <f ca="1">'II-I-DIST'!N325</f>
        <v>857655660.48159432</v>
      </c>
      <c r="L22" s="490">
        <f ca="1">'II-I-DIST'!O325</f>
        <v>90070166.026693881</v>
      </c>
      <c r="M22" s="490">
        <f ca="1">'II-I-DIST'!P325</f>
        <v>17552731.658930041</v>
      </c>
      <c r="N22" s="490">
        <f ca="1">'II-I-DIST'!Q325</f>
        <v>198014097.02475357</v>
      </c>
      <c r="O22" s="490">
        <f ca="1">'II-I-DIST'!R325</f>
        <v>6226001.7661199057</v>
      </c>
      <c r="P22" s="499">
        <f ca="1">'II-I-DIST'!S325</f>
        <v>32908462.636550792</v>
      </c>
      <c r="Q22" s="481"/>
    </row>
    <row r="23" spans="1:19" x14ac:dyDescent="0.2">
      <c r="A23" s="481"/>
      <c r="B23" s="481"/>
      <c r="C23" s="507" t="s">
        <v>59</v>
      </c>
      <c r="D23" s="488" t="s">
        <v>861</v>
      </c>
      <c r="E23" s="488"/>
      <c r="F23" s="490">
        <f ca="1">SUM(G23:P23)</f>
        <v>16818708.479999997</v>
      </c>
      <c r="G23" s="490">
        <f ca="1">'II-I-DIST'!J136-'II-I-DIST'!J290</f>
        <v>9040973.4869729467</v>
      </c>
      <c r="H23" s="490">
        <f ca="1">'II-I-DIST'!K136-'II-I-DIST'!K290</f>
        <v>296691.80041561683</v>
      </c>
      <c r="I23" s="490">
        <f ca="1">'II-I-DIST'!L136-'II-I-DIST'!L290</f>
        <v>5713094.5660274616</v>
      </c>
      <c r="J23" s="490">
        <f ca="1">'II-I-DIST'!M136-'II-I-DIST'!M290</f>
        <v>1626.3533345894266</v>
      </c>
      <c r="K23" s="490">
        <f ca="1">'II-I-DIST'!N136-'II-I-DIST'!N290</f>
        <v>1022304.6920561182</v>
      </c>
      <c r="L23" s="490">
        <f ca="1">'II-I-DIST'!O136-'II-I-DIST'!O290</f>
        <v>98265.925978870975</v>
      </c>
      <c r="M23" s="490">
        <f ca="1">'II-I-DIST'!P136-'II-I-DIST'!P290</f>
        <v>19970.073824043069</v>
      </c>
      <c r="N23" s="490">
        <f ca="1">'II-I-DIST'!Q136-'II-I-DIST'!Q290</f>
        <v>579762.96943469613</v>
      </c>
      <c r="O23" s="490">
        <f ca="1">'II-I-DIST'!R136-'II-I-DIST'!R290</f>
        <v>6792.5247135942864</v>
      </c>
      <c r="P23" s="499">
        <f ca="1">'II-I-DIST'!S136-'II-I-DIST'!S290</f>
        <v>39226.087242062</v>
      </c>
      <c r="Q23" s="481"/>
    </row>
    <row r="24" spans="1:19" x14ac:dyDescent="0.2">
      <c r="A24" s="481"/>
      <c r="B24" s="481"/>
      <c r="C24" s="507" t="s">
        <v>60</v>
      </c>
      <c r="D24" s="488" t="s">
        <v>862</v>
      </c>
      <c r="E24" s="488"/>
      <c r="F24" s="490">
        <f ca="1">SUM(G24:P24)</f>
        <v>212618033.88</v>
      </c>
      <c r="G24" s="490">
        <f ca="1">'II-I-DIST'!J137-'II-I-DIST'!J291</f>
        <v>114293794.28552862</v>
      </c>
      <c r="H24" s="490">
        <f ca="1">'II-I-DIST'!K137-'II-I-DIST'!K291</f>
        <v>3750705.7897876017</v>
      </c>
      <c r="I24" s="490">
        <f ca="1">'II-I-DIST'!L137-'II-I-DIST'!L291</f>
        <v>72223556.014645368</v>
      </c>
      <c r="J24" s="490">
        <f ca="1">'II-I-DIST'!M137-'II-I-DIST'!M291</f>
        <v>20559.964447078979</v>
      </c>
      <c r="K24" s="490">
        <f ca="1">'II-I-DIST'!N137-'II-I-DIST'!N291</f>
        <v>12923727.996697562</v>
      </c>
      <c r="L24" s="490">
        <f ca="1">'II-I-DIST'!O137-'II-I-DIST'!O291</f>
        <v>1242254.0056431948</v>
      </c>
      <c r="M24" s="490">
        <f ca="1">'II-I-DIST'!P137-'II-I-DIST'!P291</f>
        <v>252456.83031819161</v>
      </c>
      <c r="N24" s="490">
        <f ca="1">'II-I-DIST'!Q137-'II-I-DIST'!Q291</f>
        <v>7329222.8606150169</v>
      </c>
      <c r="O24" s="490">
        <f ca="1">'II-I-DIST'!R137-'II-I-DIST'!R291</f>
        <v>85869.450166349954</v>
      </c>
      <c r="P24" s="499">
        <f ca="1">'II-I-DIST'!S137-'II-I-DIST'!S291</f>
        <v>495886.68215102889</v>
      </c>
      <c r="Q24" s="481"/>
    </row>
    <row r="25" spans="1:19" x14ac:dyDescent="0.2">
      <c r="A25" s="481"/>
      <c r="B25" s="481"/>
      <c r="C25" s="507" t="s">
        <v>61</v>
      </c>
      <c r="D25" s="488" t="s">
        <v>863</v>
      </c>
      <c r="E25" s="488"/>
      <c r="F25" s="490">
        <f>SUM(G25:P25)</f>
        <v>1968928857.9000018</v>
      </c>
      <c r="G25" s="490">
        <f>'II-I-DIST'!J138-'II-I-DIST'!J292</f>
        <v>1009600771.7927856</v>
      </c>
      <c r="H25" s="490">
        <f>'II-I-DIST'!K138-'II-I-DIST'!K292</f>
        <v>19074051.391696759</v>
      </c>
      <c r="I25" s="490">
        <f>'II-I-DIST'!L138-'II-I-DIST'!L292</f>
        <v>648470839.15722656</v>
      </c>
      <c r="J25" s="490">
        <f>'II-I-DIST'!M138-'II-I-DIST'!M292</f>
        <v>303445.91203052516</v>
      </c>
      <c r="K25" s="490">
        <f>'II-I-DIST'!N138-'II-I-DIST'!N292</f>
        <v>190742179.4860878</v>
      </c>
      <c r="L25" s="490">
        <f>'II-I-DIST'!O138-'II-I-DIST'!O292</f>
        <v>81984743.174434841</v>
      </c>
      <c r="M25" s="490">
        <f>'II-I-DIST'!P138-'II-I-DIST'!P292</f>
        <v>0</v>
      </c>
      <c r="N25" s="490">
        <f>'II-I-DIST'!Q138-'II-I-DIST'!Q292</f>
        <v>5766896.0053892527</v>
      </c>
      <c r="O25" s="490">
        <f>'II-I-DIST'!R138-'II-I-DIST'!R292</f>
        <v>5667105.7500620252</v>
      </c>
      <c r="P25" s="499">
        <f>'II-I-DIST'!S138-'II-I-DIST'!S292</f>
        <v>7318825.2302882029</v>
      </c>
      <c r="Q25" s="481"/>
    </row>
    <row r="26" spans="1:19" x14ac:dyDescent="0.2">
      <c r="A26" s="481"/>
      <c r="B26" s="481"/>
      <c r="C26" s="508"/>
      <c r="D26" s="509" t="s">
        <v>869</v>
      </c>
      <c r="E26" s="509"/>
      <c r="F26" s="511">
        <f>SUM(G26:P26)</f>
        <v>0.99999999999999978</v>
      </c>
      <c r="G26" s="511">
        <f>'II-I-DIST'!J1377</f>
        <v>0.43858853681215043</v>
      </c>
      <c r="H26" s="511">
        <f>'II-I-DIST'!K1377</f>
        <v>8.8416367763441694E-3</v>
      </c>
      <c r="I26" s="511">
        <f>'II-I-DIST'!L1377</f>
        <v>0.30533456649733054</v>
      </c>
      <c r="J26" s="511">
        <f>'II-I-DIST'!M1377</f>
        <v>9.6594336756288847E-5</v>
      </c>
      <c r="K26" s="511">
        <f>'II-I-DIST'!N1377</f>
        <v>9.4937872376858259E-2</v>
      </c>
      <c r="L26" s="511">
        <f>'II-I-DIST'!O1377</f>
        <v>3.446623483196265E-2</v>
      </c>
      <c r="M26" s="511">
        <f>'II-I-DIST'!P1377</f>
        <v>0.11773455836859764</v>
      </c>
      <c r="N26" s="511">
        <f>'II-I-DIST'!Q1377</f>
        <v>0</v>
      </c>
      <c r="O26" s="512">
        <v>0</v>
      </c>
      <c r="P26" s="513">
        <v>0</v>
      </c>
      <c r="Q26" s="481"/>
    </row>
    <row r="27" spans="1:19" x14ac:dyDescent="0.2">
      <c r="A27" s="481"/>
      <c r="B27" s="481"/>
      <c r="C27" s="488"/>
      <c r="D27" s="488"/>
      <c r="E27" s="488"/>
      <c r="F27" s="488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81"/>
    </row>
    <row r="28" spans="1:19" ht="15" x14ac:dyDescent="0.25">
      <c r="A28" s="481"/>
      <c r="B28" s="481"/>
      <c r="C28" s="481"/>
      <c r="D28" s="603" t="s">
        <v>859</v>
      </c>
      <c r="E28" s="604"/>
      <c r="F28" s="604"/>
      <c r="G28" s="605">
        <f>'WP II-I-2.2'!E37</f>
        <v>15919713.533920208</v>
      </c>
      <c r="H28" s="605">
        <f>'WP II-I-2.2'!F37</f>
        <v>300765.84980009048</v>
      </c>
      <c r="I28" s="605">
        <f>'WP II-I-2.2'!G37</f>
        <v>10225299.230063109</v>
      </c>
      <c r="J28" s="605">
        <f>'WP II-I-2.2'!H37</f>
        <v>4784.8338942797454</v>
      </c>
      <c r="K28" s="605">
        <f>'WP II-I-2.2'!I37</f>
        <v>3007684.7612368348</v>
      </c>
      <c r="L28" s="605">
        <f>'WP II-I-2.2'!J37</f>
        <v>1292762.1114743971</v>
      </c>
      <c r="M28" s="605">
        <f>'WP II-I-2.2'!K37</f>
        <v>4728173.3532934133</v>
      </c>
      <c r="N28" s="605">
        <f>'WP II-I-2.2'!L37</f>
        <v>90934.292990564922</v>
      </c>
      <c r="O28" s="605">
        <f>'WP II-I-2.2'!M37</f>
        <v>89360.767768842663</v>
      </c>
      <c r="P28" s="606">
        <f>'WP II-I-2.2'!N37</f>
        <v>115405.61806833629</v>
      </c>
      <c r="Q28" s="481"/>
    </row>
    <row r="30" spans="1:19" x14ac:dyDescent="0.2">
      <c r="D30" s="785" t="s">
        <v>1314</v>
      </c>
      <c r="E30" s="492"/>
      <c r="F30" s="493">
        <f ca="1">SUM(G30:P30)</f>
        <v>5560092637.2532682</v>
      </c>
      <c r="G30" s="493">
        <f ca="1">'II-I-DIST'!J37</f>
        <v>2730268003.2854443</v>
      </c>
      <c r="H30" s="493">
        <f ca="1">'II-I-DIST'!K37</f>
        <v>69767962.657820329</v>
      </c>
      <c r="I30" s="493">
        <f ca="1">'II-I-DIST'!L37</f>
        <v>1849039641.0756085</v>
      </c>
      <c r="J30" s="493">
        <f ca="1">'II-I-DIST'!M37</f>
        <v>736813.36576250521</v>
      </c>
      <c r="K30" s="493">
        <f ca="1">'II-I-DIST'!N37</f>
        <v>434595154.16896993</v>
      </c>
      <c r="L30" s="493">
        <f ca="1">'II-I-DIST'!O37</f>
        <v>98568913.980654716</v>
      </c>
      <c r="M30" s="493">
        <f ca="1">'II-I-DIST'!P37</f>
        <v>274088245.12998217</v>
      </c>
      <c r="N30" s="493">
        <f ca="1">'II-I-DIST'!Q37</f>
        <v>92687433.402685627</v>
      </c>
      <c r="O30" s="493">
        <f ca="1">'II-I-DIST'!R37</f>
        <v>1834322.4234604596</v>
      </c>
      <c r="P30" s="494">
        <f ca="1">'II-I-DIST'!S37</f>
        <v>8506147.7628804408</v>
      </c>
      <c r="S30" s="866" t="b">
        <f ca="1">IF(ROUND(F30-'WP II-I-1.1'!G489,2)=0,TRUE,F30-'WP II-I-1.1'!G489)</f>
        <v>1</v>
      </c>
    </row>
    <row r="31" spans="1:19" x14ac:dyDescent="0.2">
      <c r="D31" s="519" t="s">
        <v>878</v>
      </c>
      <c r="E31" s="357"/>
      <c r="F31" s="490">
        <f>'WP II-I-1.1'!F489</f>
        <v>1911456212.2359519</v>
      </c>
      <c r="G31" s="522"/>
      <c r="H31" s="522"/>
      <c r="I31" s="522"/>
      <c r="J31" s="522"/>
      <c r="K31" s="522"/>
      <c r="L31" s="522"/>
      <c r="M31" s="522"/>
      <c r="N31" s="522"/>
      <c r="O31" s="522"/>
      <c r="P31" s="523"/>
    </row>
    <row r="32" spans="1:19" x14ac:dyDescent="0.2">
      <c r="D32" s="520"/>
      <c r="E32" s="521"/>
      <c r="F32" s="502"/>
      <c r="G32" s="524"/>
      <c r="H32" s="524"/>
      <c r="I32" s="524"/>
      <c r="J32" s="524"/>
      <c r="K32" s="524"/>
      <c r="L32" s="524"/>
      <c r="M32" s="524"/>
      <c r="N32" s="524"/>
      <c r="O32" s="524"/>
      <c r="P32" s="525"/>
    </row>
    <row r="34" spans="3:19" ht="15" x14ac:dyDescent="0.25">
      <c r="C34" s="541" t="s">
        <v>860</v>
      </c>
      <c r="D34" s="510"/>
      <c r="E34" s="510"/>
      <c r="F34" s="510"/>
      <c r="G34" s="510"/>
      <c r="H34" s="510"/>
      <c r="I34" s="510"/>
      <c r="J34" s="510"/>
      <c r="K34" s="510"/>
      <c r="L34" s="510"/>
      <c r="M34" s="510"/>
      <c r="N34" s="510"/>
      <c r="O34" s="510"/>
      <c r="P34" s="569"/>
    </row>
    <row r="35" spans="3:19" x14ac:dyDescent="0.2">
      <c r="C35" s="519"/>
      <c r="D35" s="572" t="s">
        <v>912</v>
      </c>
      <c r="E35" s="357"/>
      <c r="F35" s="570">
        <f ca="1">SUM(G35:P35)</f>
        <v>2465845937.0400004</v>
      </c>
      <c r="G35" s="570">
        <f ca="1">'II-I-DIST'!J15</f>
        <v>1112581185.372129</v>
      </c>
      <c r="H35" s="570">
        <f ca="1">'II-I-DIST'!K15</f>
        <v>22758119.058724228</v>
      </c>
      <c r="I35" s="570">
        <f ca="1">'II-I-DIST'!L15</f>
        <v>763826290.56078959</v>
      </c>
      <c r="J35" s="570">
        <f ca="1">'II-I-DIST'!M15</f>
        <v>359979.97054501635</v>
      </c>
      <c r="K35" s="570">
        <f ca="1">'II-I-DIST'!N15</f>
        <v>230273708.01729742</v>
      </c>
      <c r="L35" s="570">
        <f ca="1">'II-I-DIST'!O15</f>
        <v>75448314.761212856</v>
      </c>
      <c r="M35" s="570">
        <f ca="1">'II-I-DIST'!P15</f>
        <v>247426885.69303074</v>
      </c>
      <c r="N35" s="570">
        <f ca="1">'II-I-DIST'!Q15</f>
        <v>11812786.618961325</v>
      </c>
      <c r="O35" s="570">
        <f ca="1">'II-I-DIST'!R15</f>
        <v>208241.91539838881</v>
      </c>
      <c r="P35" s="607">
        <f ca="1">'II-I-DIST'!S15</f>
        <v>1150425.0719113618</v>
      </c>
    </row>
    <row r="36" spans="3:19" x14ac:dyDescent="0.2">
      <c r="C36" s="519"/>
      <c r="D36" s="572" t="s">
        <v>913</v>
      </c>
      <c r="E36" s="357"/>
      <c r="F36" s="570">
        <f t="shared" ref="F36:F47" si="0">SUM(G36:P36)</f>
        <v>339790.12000000005</v>
      </c>
      <c r="G36" s="570">
        <f>'II-I-DIST'!J16</f>
        <v>254774.27288305075</v>
      </c>
      <c r="H36" s="570">
        <f>'II-I-DIST'!K16</f>
        <v>24361.402553575645</v>
      </c>
      <c r="I36" s="570">
        <f>'II-I-DIST'!L16</f>
        <v>44514.918085944752</v>
      </c>
      <c r="J36" s="570">
        <f>'II-I-DIST'!M16</f>
        <v>1487.8884383889208</v>
      </c>
      <c r="K36" s="570">
        <f>'II-I-DIST'!N16</f>
        <v>10475.930717435942</v>
      </c>
      <c r="L36" s="570">
        <f>'II-I-DIST'!O16</f>
        <v>339.8816775007831</v>
      </c>
      <c r="M36" s="570">
        <f>'II-I-DIST'!P16</f>
        <v>708.95564632065214</v>
      </c>
      <c r="N36" s="570">
        <f>'II-I-DIST'!Q16</f>
        <v>2993.6929123193609</v>
      </c>
      <c r="O36" s="570">
        <f>'II-I-DIST'!R16</f>
        <v>37.532945981681586</v>
      </c>
      <c r="P36" s="607">
        <f>'II-I-DIST'!S16</f>
        <v>95.644139481518749</v>
      </c>
      <c r="S36" s="305"/>
    </row>
    <row r="37" spans="3:19" x14ac:dyDescent="0.2">
      <c r="C37" s="519"/>
      <c r="D37" s="572" t="s">
        <v>914</v>
      </c>
      <c r="E37" s="357"/>
      <c r="F37" s="570">
        <f t="shared" ca="1" si="0"/>
        <v>862254076.07999992</v>
      </c>
      <c r="G37" s="570">
        <f ca="1">'II-I-DIST'!J17</f>
        <v>459862606.186961</v>
      </c>
      <c r="H37" s="570">
        <f ca="1">'II-I-DIST'!K17</f>
        <v>13373498.161593666</v>
      </c>
      <c r="I37" s="570">
        <f ca="1">'II-I-DIST'!L17</f>
        <v>291760409.98486793</v>
      </c>
      <c r="J37" s="570">
        <f ca="1">'II-I-DIST'!M17</f>
        <v>182914.30028372907</v>
      </c>
      <c r="K37" s="570">
        <f ca="1">'II-I-DIST'!N17</f>
        <v>59664370.198566064</v>
      </c>
      <c r="L37" s="570">
        <f ca="1">'II-I-DIST'!O17</f>
        <v>6384539.4460068978</v>
      </c>
      <c r="M37" s="570">
        <f ca="1">'II-I-DIST'!P17</f>
        <v>825460.57770532405</v>
      </c>
      <c r="N37" s="570">
        <f ca="1">'II-I-DIST'!Q17</f>
        <v>27500798.555158991</v>
      </c>
      <c r="O37" s="570">
        <f ca="1">'II-I-DIST'!R17</f>
        <v>438479.81412157789</v>
      </c>
      <c r="P37" s="607">
        <f ca="1">'II-I-DIST'!S17</f>
        <v>2260998.8547346657</v>
      </c>
      <c r="S37" s="305"/>
    </row>
    <row r="38" spans="3:19" x14ac:dyDescent="0.2">
      <c r="C38" s="519"/>
      <c r="D38" s="573" t="s">
        <v>916</v>
      </c>
      <c r="E38" s="357"/>
      <c r="F38" s="570">
        <f t="shared" ca="1" si="0"/>
        <v>651417051.77999985</v>
      </c>
      <c r="G38" s="570">
        <f ca="1">'II-I-DIST'!J20</f>
        <v>344614149.32039005</v>
      </c>
      <c r="H38" s="570">
        <f ca="1">'II-I-DIST'!K20</f>
        <v>11876247.33674439</v>
      </c>
      <c r="I38" s="570">
        <f ca="1">'II-I-DIST'!L20</f>
        <v>217342209.16610709</v>
      </c>
      <c r="J38" s="570">
        <f ca="1">'II-I-DIST'!M20</f>
        <v>63251.400844966229</v>
      </c>
      <c r="K38" s="570">
        <f ca="1">'II-I-DIST'!N20</f>
        <v>39759013.301531591</v>
      </c>
      <c r="L38" s="570">
        <f ca="1">'II-I-DIST'!O20</f>
        <v>3731667.6100232075</v>
      </c>
      <c r="M38" s="570">
        <f ca="1">'II-I-DIST'!P20</f>
        <v>647373.09331261017</v>
      </c>
      <c r="N38" s="570">
        <f ca="1">'II-I-DIST'!Q20</f>
        <v>31599629.802086275</v>
      </c>
      <c r="O38" s="570">
        <f ca="1">'II-I-DIST'!R20</f>
        <v>257947.44425908255</v>
      </c>
      <c r="P38" s="607">
        <f ca="1">'II-I-DIST'!S20</f>
        <v>1525563.3047007185</v>
      </c>
    </row>
    <row r="39" spans="3:19" x14ac:dyDescent="0.2">
      <c r="C39" s="519"/>
      <c r="D39" s="573" t="s">
        <v>915</v>
      </c>
      <c r="E39" s="357"/>
      <c r="F39" s="570">
        <f t="shared" ca="1" si="0"/>
        <v>15428625.759999996</v>
      </c>
      <c r="G39" s="570">
        <f ca="1">'II-I-DIST'!J21</f>
        <v>8417584.3285156284</v>
      </c>
      <c r="H39" s="570">
        <f ca="1">'II-I-DIST'!K21</f>
        <v>222821.52119660002</v>
      </c>
      <c r="I39" s="570">
        <f ca="1">'II-I-DIST'!L21</f>
        <v>5359035.7768390821</v>
      </c>
      <c r="J39" s="570">
        <f ca="1">'II-I-DIST'!M21</f>
        <v>1614.6021155010158</v>
      </c>
      <c r="K39" s="570">
        <f ca="1">'II-I-DIST'!N21</f>
        <v>1014918.0275743222</v>
      </c>
      <c r="L39" s="570">
        <f ca="1">'II-I-DIST'!O21</f>
        <v>118589.02953894621</v>
      </c>
      <c r="M39" s="570">
        <f ca="1">'II-I-DIST'!P21</f>
        <v>20014.915559177683</v>
      </c>
      <c r="N39" s="570">
        <f ca="1">'II-I-DIST'!Q21</f>
        <v>226907.56255514783</v>
      </c>
      <c r="O39" s="570">
        <f ca="1">'II-I-DIST'!R21</f>
        <v>8197.3370309221591</v>
      </c>
      <c r="P39" s="607">
        <f ca="1">'II-I-DIST'!S21</f>
        <v>38942.659074665055</v>
      </c>
      <c r="S39" s="305"/>
    </row>
    <row r="40" spans="3:19" x14ac:dyDescent="0.2">
      <c r="C40" s="519"/>
      <c r="D40" s="357" t="s">
        <v>343</v>
      </c>
      <c r="E40" s="357"/>
      <c r="F40" s="570">
        <f t="shared" ca="1" si="0"/>
        <v>482520278.13999987</v>
      </c>
      <c r="G40" s="570">
        <f ca="1">'II-I-DIST'!J24</f>
        <v>215827986.13671395</v>
      </c>
      <c r="H40" s="570">
        <f ca="1">'II-I-DIST'!K24</f>
        <v>6574075.104681477</v>
      </c>
      <c r="I40" s="570">
        <f ca="1">'II-I-DIST'!L24</f>
        <v>187509281.95644155</v>
      </c>
      <c r="J40" s="570">
        <f ca="1">'II-I-DIST'!M24</f>
        <v>25914.633512580356</v>
      </c>
      <c r="K40" s="570">
        <f ca="1">'II-I-DIST'!N24</f>
        <v>32451643.596668117</v>
      </c>
      <c r="L40" s="570">
        <f ca="1">'II-I-DIST'!O24</f>
        <v>5269286.3101618178</v>
      </c>
      <c r="M40" s="570">
        <f ca="1">'II-I-DIST'!P24</f>
        <v>27492618.247865502</v>
      </c>
      <c r="N40" s="570">
        <f ca="1">'II-I-DIST'!Q24</f>
        <v>6179210.5714292023</v>
      </c>
      <c r="O40" s="570">
        <f ca="1">'II-I-DIST'!R24</f>
        <v>389986.78307634249</v>
      </c>
      <c r="P40" s="607">
        <f ca="1">'II-I-DIST'!S24</f>
        <v>800274.79944930295</v>
      </c>
      <c r="S40" t="b">
        <f ca="1">IF(ROUND(F40-'WP II-I-1.1'!G497,2)=0,TRUE,F40-'WP II-I-1.1'!G497)</f>
        <v>1</v>
      </c>
    </row>
    <row r="41" spans="3:19" x14ac:dyDescent="0.2">
      <c r="C41" s="519"/>
      <c r="D41" s="357" t="s">
        <v>460</v>
      </c>
      <c r="E41" s="357"/>
      <c r="F41" s="570">
        <f t="shared" ca="1" si="0"/>
        <v>140081472.55408648</v>
      </c>
      <c r="G41" s="570">
        <f ca="1">'II-I-DIST'!J25</f>
        <v>76325937.319654435</v>
      </c>
      <c r="H41" s="570">
        <f ca="1">'II-I-DIST'!K25</f>
        <v>2004781.4404716871</v>
      </c>
      <c r="I41" s="570">
        <f ca="1">'II-I-DIST'!L25</f>
        <v>48825551.701539032</v>
      </c>
      <c r="J41" s="570">
        <f ca="1">'II-I-DIST'!M25</f>
        <v>13856.39916743188</v>
      </c>
      <c r="K41" s="570">
        <f ca="1">'II-I-DIST'!N25</f>
        <v>9205940.8116862103</v>
      </c>
      <c r="L41" s="570">
        <f ca="1">'II-I-DIST'!O25</f>
        <v>1080092.5453297673</v>
      </c>
      <c r="M41" s="570">
        <f ca="1">'II-I-DIST'!P25</f>
        <v>274962.90126592247</v>
      </c>
      <c r="N41" s="570">
        <f ca="1">'II-I-DIST'!Q25</f>
        <v>1923365.5054662486</v>
      </c>
      <c r="O41" s="570">
        <f ca="1">'II-I-DIST'!R25</f>
        <v>75227.976490025219</v>
      </c>
      <c r="P41" s="607">
        <f ca="1">'II-I-DIST'!S25</f>
        <v>351755.95301570604</v>
      </c>
      <c r="S41" t="b">
        <f ca="1">IF(ROUND(F41-'WP II-I-1.1'!G498,2)=0,TRUE,F41-'WP II-I-1.1'!G498)</f>
        <v>1</v>
      </c>
    </row>
    <row r="42" spans="3:19" x14ac:dyDescent="0.2">
      <c r="C42" s="519"/>
      <c r="D42" s="357" t="s">
        <v>461</v>
      </c>
      <c r="E42" s="357"/>
      <c r="F42" s="570">
        <f ca="1">SUM(G42:P42)</f>
        <v>1009018361.9291826</v>
      </c>
      <c r="G42" s="570">
        <f ca="1">'II-I-DIST'!J27</f>
        <v>549611440.66317976</v>
      </c>
      <c r="H42" s="570">
        <f ca="1">'II-I-DIST'!K27</f>
        <v>14413198.600904902</v>
      </c>
      <c r="I42" s="570">
        <f ca="1">'II-I-DIST'!L27</f>
        <v>351583283.63591522</v>
      </c>
      <c r="J42" s="570">
        <f ca="1">'II-I-DIST'!M27</f>
        <v>105279.46949266038</v>
      </c>
      <c r="K42" s="570">
        <f ca="1">'II-I-DIST'!N27</f>
        <v>66579264.172825649</v>
      </c>
      <c r="L42" s="570">
        <f ca="1">'II-I-DIST'!O27</f>
        <v>7827010.9114561304</v>
      </c>
      <c r="M42" s="570">
        <f ca="1">'II-I-DIST'!P27</f>
        <v>1959955.0315976443</v>
      </c>
      <c r="N42" s="570">
        <f ca="1">'II-I-DIST'!Q27</f>
        <v>13851282.928219566</v>
      </c>
      <c r="O42" s="570">
        <f ca="1">'II-I-DIST'!R27</f>
        <v>544989.95810095873</v>
      </c>
      <c r="P42" s="607">
        <f ca="1">'II-I-DIST'!S27</f>
        <v>2542656.5574902082</v>
      </c>
    </row>
    <row r="43" spans="3:19" x14ac:dyDescent="0.2">
      <c r="C43" s="519"/>
      <c r="D43" s="571" t="s">
        <v>917</v>
      </c>
      <c r="E43" s="357"/>
      <c r="F43" s="570">
        <f t="shared" ca="1" si="0"/>
        <v>66812956.150000006</v>
      </c>
      <c r="G43" s="570">
        <f ca="1">'II-I-DIST'!J31</f>
        <v>37227660.314982563</v>
      </c>
      <c r="H43" s="570">
        <f ca="1">'II-I-DIST'!K31</f>
        <v>1479139.9690501953</v>
      </c>
      <c r="I43" s="570">
        <f ca="1">'II-I-DIST'!L31</f>
        <v>17210936.624977179</v>
      </c>
      <c r="J43" s="570">
        <f ca="1">'II-I-DIST'!M31</f>
        <v>17485.298637768941</v>
      </c>
      <c r="K43" s="570">
        <f ca="1">'II-I-DIST'!N31</f>
        <v>4364179.887896887</v>
      </c>
      <c r="L43" s="570">
        <f ca="1">'II-I-DIST'!O31</f>
        <v>1290926.5147523861</v>
      </c>
      <c r="M43" s="570">
        <f ca="1">'II-I-DIST'!P31</f>
        <v>4559734.2860010667</v>
      </c>
      <c r="N43" s="570">
        <f ca="1">'II-I-DIST'!Q31</f>
        <v>409541.83410346473</v>
      </c>
      <c r="O43" s="570">
        <f ca="1">'II-I-DIST'!R31</f>
        <v>88786.337962819947</v>
      </c>
      <c r="P43" s="607">
        <f ca="1">'II-I-DIST'!S31</f>
        <v>164565.08163566972</v>
      </c>
    </row>
    <row r="44" spans="3:19" x14ac:dyDescent="0.2">
      <c r="C44" s="519"/>
      <c r="D44" s="357"/>
      <c r="E44" s="357"/>
      <c r="F44" s="570"/>
      <c r="G44" s="570"/>
      <c r="H44" s="570"/>
      <c r="I44" s="570"/>
      <c r="J44" s="570"/>
      <c r="K44" s="570"/>
      <c r="L44" s="570"/>
      <c r="M44" s="570"/>
      <c r="N44" s="570"/>
      <c r="O44" s="570"/>
      <c r="P44" s="607"/>
    </row>
    <row r="45" spans="3:19" x14ac:dyDescent="0.2">
      <c r="C45" s="519"/>
      <c r="D45" s="880" t="s">
        <v>1354</v>
      </c>
      <c r="E45" s="357"/>
      <c r="F45" s="305">
        <f>SUM(G45:P45)</f>
        <v>0</v>
      </c>
      <c r="G45" s="570">
        <f>'WP II-I-1.7'!E21</f>
        <v>0</v>
      </c>
      <c r="H45" s="570">
        <f>'WP II-I-1.7'!F21</f>
        <v>0</v>
      </c>
      <c r="I45" s="570">
        <f>'WP II-I-1.7'!G21</f>
        <v>0</v>
      </c>
      <c r="J45" s="570">
        <f>'WP II-I-1.7'!H21</f>
        <v>0</v>
      </c>
      <c r="K45" s="570">
        <f>'WP II-I-1.7'!I21</f>
        <v>0</v>
      </c>
      <c r="L45" s="570">
        <f>'WP II-I-1.7'!J21</f>
        <v>0</v>
      </c>
      <c r="M45" s="570">
        <f>'WP II-I-1.7'!K21</f>
        <v>0</v>
      </c>
      <c r="N45" s="570">
        <f>'WP II-I-1.7'!L21</f>
        <v>0</v>
      </c>
      <c r="O45" s="570">
        <f>'WP II-I-1.7'!M21</f>
        <v>0</v>
      </c>
      <c r="P45" s="607">
        <f>'WP II-I-1.7'!N21</f>
        <v>0</v>
      </c>
    </row>
    <row r="46" spans="3:19" s="321" customFormat="1" ht="13.5" customHeight="1" x14ac:dyDescent="0.2">
      <c r="C46" s="1185"/>
      <c r="D46" s="647" t="s">
        <v>1350</v>
      </c>
      <c r="E46" s="339"/>
      <c r="F46" s="1113">
        <f>SUM(G46:P46)</f>
        <v>2100841472.6599998</v>
      </c>
      <c r="G46" s="1113">
        <f>'II-I-DIST'!J645</f>
        <v>921404987.56823277</v>
      </c>
      <c r="H46" s="1113">
        <f>'II-I-DIST'!K645</f>
        <v>18574877.225939702</v>
      </c>
      <c r="I46" s="1113">
        <f>'II-I-DIST'!L645</f>
        <v>641459520.33425462</v>
      </c>
      <c r="J46" s="1113">
        <f>'II-I-DIST'!M645</f>
        <v>202929.38868169783</v>
      </c>
      <c r="K46" s="1113">
        <f>'II-I-DIST'!N645</f>
        <v>199449419.61540604</v>
      </c>
      <c r="L46" s="1113">
        <f>'II-I-DIST'!O645</f>
        <v>72408095.541425809</v>
      </c>
      <c r="M46" s="1113">
        <f>'II-I-DIST'!P645</f>
        <v>247341642.9860594</v>
      </c>
      <c r="N46" s="1113">
        <f>'II-I-DIST'!Q645</f>
        <v>0</v>
      </c>
      <c r="O46" s="1113">
        <f>'II-I-DIST'!R645</f>
        <v>0</v>
      </c>
      <c r="P46" s="1186">
        <f>'II-I-DIST'!S645</f>
        <v>0</v>
      </c>
    </row>
    <row r="47" spans="3:19" x14ac:dyDescent="0.2">
      <c r="C47" s="520"/>
      <c r="D47" s="574" t="s">
        <v>1192</v>
      </c>
      <c r="E47" s="521"/>
      <c r="F47" s="575">
        <f t="shared" ca="1" si="0"/>
        <v>3459251164.5932693</v>
      </c>
      <c r="G47" s="575">
        <f ca="1">'WP II-I-1.7'!E23</f>
        <v>1808863015.7172115</v>
      </c>
      <c r="H47" s="575">
        <f ca="1">'WP II-I-1.7'!F23</f>
        <v>51193085.431880623</v>
      </c>
      <c r="I47" s="575">
        <f ca="1">'WP II-I-1.7'!G23</f>
        <v>1207580120.741354</v>
      </c>
      <c r="J47" s="575">
        <f ca="1">'WP II-I-1.7'!H23</f>
        <v>533883.97708080732</v>
      </c>
      <c r="K47" s="575">
        <f ca="1">'WP II-I-1.7'!I23</f>
        <v>235145734.55356389</v>
      </c>
      <c r="L47" s="575">
        <f ca="1">'WP II-I-1.7'!J23</f>
        <v>26160818.439228907</v>
      </c>
      <c r="M47" s="575">
        <f ca="1">'WP II-I-1.7'!K23</f>
        <v>26746602.143922776</v>
      </c>
      <c r="N47" s="575">
        <f ca="1">'WP II-I-1.7'!L23</f>
        <v>92687433.402685627</v>
      </c>
      <c r="O47" s="575">
        <f ca="1">'WP II-I-1.7'!M23</f>
        <v>1834322.4234604596</v>
      </c>
      <c r="P47" s="608">
        <f ca="1">'WP II-I-1.7'!N23</f>
        <v>8506147.7628804408</v>
      </c>
    </row>
    <row r="48" spans="3:19" x14ac:dyDescent="0.2">
      <c r="C48" s="357"/>
      <c r="D48" s="571"/>
      <c r="E48" s="357"/>
      <c r="F48" s="570"/>
      <c r="G48" s="570"/>
      <c r="H48" s="570"/>
      <c r="I48" s="570"/>
      <c r="J48" s="570"/>
      <c r="K48" s="570"/>
      <c r="L48" s="570"/>
      <c r="M48" s="570"/>
      <c r="N48" s="570"/>
      <c r="O48" s="570"/>
      <c r="P48" s="570"/>
    </row>
    <row r="49" spans="8:8" x14ac:dyDescent="0.2">
      <c r="H49" s="305"/>
    </row>
  </sheetData>
  <phoneticPr fontId="2" type="noConversion"/>
  <printOptions horizontalCentered="1"/>
  <pageMargins left="0.5" right="0.5" top="1.75" bottom="0.5" header="1.5" footer="0.5"/>
  <pageSetup scale="54" orientation="landscape" r:id="rId1"/>
  <headerFooter alignWithMargins="0">
    <oddHeader>&amp;RII-I LinkSheet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E632"/>
  <sheetViews>
    <sheetView view="pageBreakPreview" topLeftCell="A92" zoomScaleNormal="75" zoomScaleSheetLayoutView="100" workbookViewId="0">
      <selection activeCell="K99" sqref="K99"/>
    </sheetView>
  </sheetViews>
  <sheetFormatPr defaultRowHeight="14.25" x14ac:dyDescent="0.2"/>
  <cols>
    <col min="1" max="1" width="2.25" customWidth="1"/>
    <col min="2" max="2" width="9.5" style="321" customWidth="1"/>
    <col min="3" max="3" width="14.75" style="321" customWidth="1"/>
    <col min="4" max="4" width="52" style="321" customWidth="1"/>
    <col min="5" max="5" width="9" style="321" customWidth="1"/>
    <col min="6" max="6" width="14.75" style="321" customWidth="1"/>
    <col min="7" max="7" width="16.625" style="321" customWidth="1"/>
    <col min="8" max="8" width="14.875" style="321" customWidth="1"/>
    <col min="9" max="9" width="16.875" style="321" customWidth="1"/>
    <col min="10" max="10" width="17.375" style="321" customWidth="1"/>
    <col min="11" max="11" width="18.375" customWidth="1"/>
    <col min="12" max="12" width="11.375" style="357" customWidth="1"/>
    <col min="13" max="15" width="7.5" style="357" customWidth="1"/>
    <col min="16" max="16" width="6.625" style="357" customWidth="1"/>
    <col min="17" max="17" width="6.875" style="357" customWidth="1"/>
    <col min="18" max="18" width="8.5" style="357" customWidth="1"/>
    <col min="19" max="19" width="6.5" style="357" customWidth="1"/>
    <col min="20" max="20" width="2" style="357" customWidth="1"/>
    <col min="21" max="21" width="8.125" style="357" customWidth="1"/>
    <col min="22" max="22" width="10.625" style="357" hidden="1" customWidth="1"/>
    <col min="23" max="23" width="57.625" style="357" hidden="1" customWidth="1"/>
    <col min="24" max="24" width="8.625" style="357"/>
    <col min="25" max="25" width="16.375" style="357" customWidth="1"/>
    <col min="26" max="26" width="16.25" style="357" bestFit="1" customWidth="1"/>
    <col min="27" max="28" width="14.75" style="357" bestFit="1" customWidth="1"/>
    <col min="29" max="31" width="8.625" style="357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U1" s="1439"/>
      <c r="V1" s="1439"/>
      <c r="W1" s="1439"/>
      <c r="X1" s="1439"/>
      <c r="Y1" s="1439"/>
      <c r="Z1" s="1439"/>
      <c r="AA1" s="1439"/>
      <c r="AB1" s="1439"/>
      <c r="AC1" s="1439"/>
    </row>
    <row r="2" spans="1:31" s="1055" customFormat="1" ht="18.75" x14ac:dyDescent="0.3">
      <c r="A2" s="1054"/>
      <c r="B2" s="1054"/>
      <c r="C2" s="1054"/>
      <c r="D2" s="1278"/>
      <c r="F2" s="1054"/>
      <c r="G2" s="1054"/>
      <c r="I2" s="1054"/>
      <c r="J2" s="1054"/>
      <c r="K2" s="1054"/>
      <c r="L2" s="1054"/>
      <c r="M2" s="1054"/>
      <c r="N2" s="1054"/>
      <c r="O2" s="1054"/>
      <c r="P2" s="1465"/>
      <c r="Q2" s="1465"/>
      <c r="R2" s="1465"/>
      <c r="S2" s="1465"/>
      <c r="T2" s="1465"/>
      <c r="U2" s="1439"/>
      <c r="V2" s="1439"/>
      <c r="W2" s="1439"/>
      <c r="X2" s="1439"/>
      <c r="Y2" s="1439"/>
      <c r="Z2" s="1439"/>
      <c r="AA2" s="1439"/>
      <c r="AB2" s="1439"/>
      <c r="AC2" s="1439"/>
      <c r="AD2" s="1465"/>
      <c r="AE2" s="1465"/>
    </row>
    <row r="3" spans="1:31" ht="15" x14ac:dyDescent="0.25">
      <c r="A3" s="1"/>
      <c r="B3" s="3" t="str">
        <f>'II-I-1'!B2</f>
        <v>2025 RATE CASE</v>
      </c>
      <c r="C3" s="5"/>
      <c r="D3" s="5"/>
      <c r="E3" s="5"/>
      <c r="F3" s="6"/>
      <c r="G3" s="5"/>
      <c r="H3" s="5"/>
      <c r="I3" s="5"/>
      <c r="J3" s="5"/>
      <c r="K3" s="2"/>
      <c r="L3" s="2"/>
      <c r="M3" s="2"/>
      <c r="N3" s="2"/>
      <c r="O3" s="2"/>
      <c r="U3" s="1382"/>
      <c r="V3" s="1383"/>
      <c r="W3" s="1383"/>
      <c r="X3" s="1384"/>
      <c r="Y3" s="1385"/>
      <c r="Z3" s="1384"/>
      <c r="AA3" s="1383"/>
      <c r="AB3" s="1383"/>
      <c r="AC3" s="1383"/>
    </row>
    <row r="4" spans="1:31" ht="15" x14ac:dyDescent="0.25">
      <c r="A4" s="1"/>
      <c r="B4" s="3" t="str">
        <f>'II-I-1'!B3</f>
        <v>ONCOR ELECTRIC DELIVERY COMPANY LLC</v>
      </c>
      <c r="C4" s="5"/>
      <c r="D4" s="5"/>
      <c r="E4" s="5"/>
      <c r="F4" s="6"/>
      <c r="G4" s="5"/>
      <c r="H4" s="5"/>
      <c r="I4" s="5"/>
      <c r="J4" s="5"/>
      <c r="K4" s="2"/>
      <c r="L4" s="2"/>
      <c r="M4" s="2"/>
      <c r="N4" s="2"/>
      <c r="O4" s="2"/>
      <c r="U4" s="1382"/>
      <c r="V4" s="1384"/>
      <c r="W4" s="1384"/>
      <c r="X4" s="1383"/>
      <c r="Y4" s="1385"/>
      <c r="Z4" s="1384"/>
      <c r="AA4" s="1383"/>
      <c r="AB4" s="1383"/>
      <c r="AC4" s="1383"/>
    </row>
    <row r="5" spans="1:31" ht="15" x14ac:dyDescent="0.25">
      <c r="A5" s="1"/>
      <c r="B5" s="3" t="s">
        <v>924</v>
      </c>
      <c r="C5" s="3"/>
      <c r="D5" s="5"/>
      <c r="E5" s="5"/>
      <c r="F5" s="6"/>
      <c r="G5" s="5"/>
      <c r="H5" s="5"/>
      <c r="I5" s="102"/>
      <c r="J5" s="5"/>
      <c r="K5" s="2"/>
      <c r="L5" s="2"/>
      <c r="M5" s="2"/>
      <c r="N5" s="2"/>
      <c r="O5" s="2"/>
      <c r="U5" s="1382"/>
      <c r="V5" s="1382"/>
      <c r="W5" s="1384"/>
      <c r="X5" s="1384"/>
      <c r="Y5" s="1385"/>
      <c r="Z5" s="1384"/>
      <c r="AA5" s="1383"/>
      <c r="AB5" s="1383"/>
      <c r="AC5" s="1383"/>
    </row>
    <row r="6" spans="1:31" ht="15" x14ac:dyDescent="0.25">
      <c r="A6" s="1"/>
      <c r="B6" s="3" t="str">
        <f>'II-I-1'!B5</f>
        <v>TEST YEAR ENDING 12/31/2024</v>
      </c>
      <c r="C6" s="3"/>
      <c r="D6" s="5"/>
      <c r="E6" s="5"/>
      <c r="F6" s="6"/>
      <c r="G6" s="5"/>
      <c r="H6" s="5"/>
      <c r="I6" s="102"/>
      <c r="J6" s="5"/>
      <c r="K6" s="2"/>
      <c r="L6" s="2"/>
      <c r="M6" s="2"/>
      <c r="N6" s="2"/>
      <c r="O6" s="2"/>
      <c r="U6" s="1388"/>
      <c r="V6" s="1382"/>
      <c r="W6" s="1384"/>
      <c r="X6" s="1384"/>
      <c r="Y6" s="1385"/>
      <c r="Z6" s="1384"/>
      <c r="AA6" s="1383"/>
      <c r="AB6" s="1383"/>
      <c r="AC6" s="1383"/>
    </row>
    <row r="7" spans="1:31" ht="15" x14ac:dyDescent="0.25">
      <c r="A7" s="1"/>
      <c r="B7" s="3" t="str">
        <f>'II-I-1'!B6</f>
        <v>SPONSOR:  MATTHEW A. TROXLE</v>
      </c>
      <c r="C7" s="3"/>
      <c r="D7" s="5"/>
      <c r="E7" s="5"/>
      <c r="F7" s="6"/>
      <c r="G7" s="5"/>
      <c r="H7" s="5"/>
      <c r="I7" s="102"/>
      <c r="J7" s="5"/>
      <c r="K7" s="2"/>
      <c r="L7" s="2"/>
      <c r="M7" s="2"/>
      <c r="N7" s="2"/>
      <c r="O7" s="2"/>
      <c r="U7" s="1382"/>
      <c r="V7" s="1382"/>
      <c r="W7" s="1384"/>
      <c r="X7" s="1384"/>
      <c r="Y7" s="1385"/>
      <c r="Z7" s="1384"/>
      <c r="AA7" s="1383"/>
      <c r="AB7" s="1383"/>
      <c r="AC7" s="1383"/>
    </row>
    <row r="8" spans="1:31" ht="20.25" x14ac:dyDescent="0.3">
      <c r="A8" s="8"/>
      <c r="B8" s="3"/>
      <c r="C8" s="3"/>
      <c r="D8" s="1187"/>
      <c r="E8" s="5"/>
      <c r="F8" s="1199"/>
      <c r="G8" s="5"/>
      <c r="H8" s="5"/>
      <c r="I8" s="5"/>
      <c r="J8" s="5"/>
      <c r="K8" s="9"/>
      <c r="L8" s="9"/>
      <c r="M8" s="9"/>
      <c r="N8" s="9"/>
      <c r="O8" s="9"/>
      <c r="U8" s="1382"/>
      <c r="V8" s="1382"/>
      <c r="W8" s="1384"/>
      <c r="X8" s="1384"/>
      <c r="Y8" s="1381"/>
      <c r="Z8" s="1384"/>
      <c r="AA8" s="1383"/>
      <c r="AB8" s="1383"/>
      <c r="AC8" s="1383"/>
    </row>
    <row r="9" spans="1:31" ht="15" x14ac:dyDescent="0.25">
      <c r="A9" s="1"/>
      <c r="B9" s="5"/>
      <c r="C9" s="3"/>
      <c r="D9" s="5"/>
      <c r="E9" s="5"/>
      <c r="F9" s="1200"/>
      <c r="G9" s="5"/>
      <c r="H9" s="5"/>
      <c r="I9" s="5"/>
      <c r="J9" s="5"/>
      <c r="K9" s="2"/>
      <c r="L9" s="2"/>
      <c r="M9" s="2"/>
      <c r="N9" s="2"/>
      <c r="O9" s="2"/>
      <c r="U9" s="1383"/>
      <c r="V9" s="1382"/>
      <c r="W9" s="1384"/>
      <c r="X9" s="1383"/>
      <c r="Y9" s="1386"/>
      <c r="Z9" s="1383"/>
      <c r="AA9" s="1383"/>
      <c r="AB9" s="1383"/>
      <c r="AC9" s="1383"/>
    </row>
    <row r="10" spans="1:31" ht="15" x14ac:dyDescent="0.25">
      <c r="A10" s="8"/>
      <c r="B10" s="3" t="s">
        <v>949</v>
      </c>
      <c r="C10" s="1011"/>
      <c r="D10" s="5"/>
      <c r="E10" s="5"/>
      <c r="F10" s="5"/>
      <c r="G10" s="5"/>
      <c r="H10" s="5"/>
      <c r="I10" s="5"/>
      <c r="J10" s="5"/>
      <c r="K10" s="9"/>
      <c r="L10" s="9"/>
      <c r="M10" s="9"/>
      <c r="N10" s="9"/>
      <c r="O10" s="9"/>
      <c r="U10" s="1382"/>
      <c r="V10" s="1387"/>
      <c r="W10" s="1383"/>
      <c r="X10" s="1384"/>
      <c r="Y10" s="1384"/>
      <c r="Z10" s="1384"/>
      <c r="AA10" s="1383"/>
      <c r="AB10" s="1383"/>
      <c r="AC10" s="1383"/>
    </row>
    <row r="11" spans="1:31" ht="15.75" thickBot="1" x14ac:dyDescent="0.3">
      <c r="A11" s="8"/>
      <c r="B11" s="16"/>
      <c r="C11" s="1"/>
      <c r="D11" s="1"/>
      <c r="E11" s="16"/>
      <c r="F11" s="322"/>
      <c r="G11" s="322"/>
      <c r="H11" s="322"/>
      <c r="J11" s="16"/>
      <c r="K11" s="9"/>
      <c r="L11" s="9"/>
      <c r="M11" s="9"/>
      <c r="N11" s="9"/>
      <c r="O11" s="9"/>
      <c r="U11" s="1379"/>
      <c r="V11" s="1389"/>
      <c r="W11" s="1389"/>
      <c r="X11" s="1379"/>
      <c r="Y11" s="1380"/>
      <c r="Z11" s="1380"/>
      <c r="AA11" s="1380"/>
      <c r="AB11" s="1379"/>
      <c r="AC11" s="1379"/>
    </row>
    <row r="12" spans="1:31" ht="15" x14ac:dyDescent="0.25">
      <c r="A12" s="8"/>
      <c r="B12" s="92"/>
      <c r="C12" s="91"/>
      <c r="D12" s="91"/>
      <c r="E12" s="91"/>
      <c r="F12" s="92"/>
      <c r="G12" s="92"/>
      <c r="H12" s="92"/>
      <c r="I12" s="92"/>
      <c r="J12" s="92"/>
      <c r="K12" s="9"/>
      <c r="L12" s="9"/>
      <c r="M12" s="9"/>
      <c r="N12" s="9"/>
      <c r="O12" s="9"/>
      <c r="U12" s="1466"/>
      <c r="V12" s="1467"/>
      <c r="W12" s="1467"/>
      <c r="X12" s="1467"/>
      <c r="Y12" s="1466"/>
      <c r="Z12" s="1466"/>
      <c r="AA12" s="1466"/>
      <c r="AB12" s="1466"/>
      <c r="AC12" s="1466"/>
    </row>
    <row r="13" spans="1:31" x14ac:dyDescent="0.2">
      <c r="A13" s="1"/>
      <c r="B13" s="93" t="s">
        <v>2</v>
      </c>
      <c r="C13" s="93" t="s">
        <v>3</v>
      </c>
      <c r="D13" s="93" t="s">
        <v>4</v>
      </c>
      <c r="E13" s="93" t="s">
        <v>5</v>
      </c>
      <c r="F13" s="1012" t="s">
        <v>6</v>
      </c>
      <c r="G13" s="1012" t="s">
        <v>7</v>
      </c>
      <c r="H13" s="1012" t="s">
        <v>8</v>
      </c>
      <c r="I13" s="1012" t="s">
        <v>9</v>
      </c>
      <c r="J13" s="93" t="s">
        <v>10</v>
      </c>
      <c r="K13" s="2"/>
      <c r="L13" s="2"/>
      <c r="M13" s="2"/>
      <c r="N13" s="2"/>
      <c r="O13" s="2"/>
      <c r="U13" s="1466"/>
      <c r="V13" s="1466"/>
      <c r="W13" s="1466"/>
      <c r="X13" s="1466"/>
      <c r="Y13" s="1468"/>
      <c r="Z13" s="1468"/>
      <c r="AA13" s="1468"/>
      <c r="AB13" s="1468"/>
      <c r="AC13" s="1466"/>
    </row>
    <row r="14" spans="1:31" ht="15" x14ac:dyDescent="0.25">
      <c r="A14" s="8"/>
      <c r="B14" s="93"/>
      <c r="C14" s="93" t="s">
        <v>11</v>
      </c>
      <c r="D14" s="93"/>
      <c r="E14" s="93" t="s">
        <v>12</v>
      </c>
      <c r="F14" s="93"/>
      <c r="G14" s="94"/>
      <c r="H14" s="93"/>
      <c r="I14" s="93"/>
      <c r="J14" s="93"/>
      <c r="K14" s="9"/>
      <c r="L14" s="9"/>
      <c r="M14" s="9"/>
      <c r="N14" s="9"/>
      <c r="O14" s="9"/>
      <c r="U14" s="1466"/>
      <c r="V14" s="1466"/>
      <c r="W14" s="1466"/>
      <c r="X14" s="1466"/>
      <c r="Y14" s="1466"/>
      <c r="Z14" s="1469"/>
      <c r="AA14" s="1466"/>
      <c r="AB14" s="1466"/>
      <c r="AC14" s="1466"/>
    </row>
    <row r="15" spans="1:31" ht="15.75" thickBot="1" x14ac:dyDescent="0.3">
      <c r="A15" s="8"/>
      <c r="B15" s="95"/>
      <c r="C15" s="95" t="s">
        <v>13</v>
      </c>
      <c r="D15" s="95" t="s">
        <v>14</v>
      </c>
      <c r="E15" s="95" t="s">
        <v>15</v>
      </c>
      <c r="F15" s="95" t="s">
        <v>16</v>
      </c>
      <c r="G15" s="95" t="s">
        <v>17</v>
      </c>
      <c r="H15" s="95" t="s">
        <v>18</v>
      </c>
      <c r="I15" s="95" t="s">
        <v>21</v>
      </c>
      <c r="J15" s="95" t="s">
        <v>22</v>
      </c>
      <c r="K15" s="9"/>
      <c r="L15" s="9"/>
      <c r="M15" s="9"/>
      <c r="N15" s="9"/>
      <c r="O15" s="9"/>
      <c r="U15" s="1466"/>
      <c r="V15" s="1466"/>
      <c r="W15" s="1466"/>
      <c r="X15" s="1466"/>
      <c r="Y15" s="1466"/>
      <c r="Z15" s="1466"/>
      <c r="AA15" s="1466"/>
      <c r="AB15" s="1466"/>
      <c r="AC15" s="1466"/>
    </row>
    <row r="16" spans="1:31" ht="15" x14ac:dyDescent="0.25">
      <c r="A16" s="8"/>
      <c r="B16" s="16"/>
      <c r="C16" s="1"/>
      <c r="D16" s="1"/>
      <c r="E16" s="16"/>
      <c r="F16" s="17"/>
      <c r="G16" s="18"/>
      <c r="H16" s="18"/>
      <c r="I16" s="1"/>
      <c r="J16" s="1"/>
      <c r="K16" s="9"/>
      <c r="L16" s="571"/>
      <c r="M16" s="9"/>
      <c r="N16" s="9"/>
      <c r="O16" s="9"/>
      <c r="U16" s="1378"/>
      <c r="V16" s="1439"/>
      <c r="W16" s="1439"/>
      <c r="X16" s="1378"/>
      <c r="Y16" s="1499"/>
      <c r="Z16" s="1500"/>
      <c r="AA16" s="1500"/>
      <c r="AB16" s="1439"/>
      <c r="AC16" s="1439"/>
    </row>
    <row r="17" spans="1:29" ht="15" x14ac:dyDescent="0.25">
      <c r="A17" s="1"/>
      <c r="B17" s="16">
        <f t="shared" ref="B17" si="0">B16+1</f>
        <v>1</v>
      </c>
      <c r="C17" s="8" t="s">
        <v>23</v>
      </c>
      <c r="D17" s="8"/>
      <c r="E17" s="1315" t="s">
        <v>24</v>
      </c>
      <c r="F17" s="804"/>
      <c r="G17" s="805"/>
      <c r="H17" s="80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493"/>
      <c r="Y17" s="1501"/>
      <c r="Z17" s="1502"/>
      <c r="AA17" s="1502"/>
      <c r="AB17" s="1498"/>
      <c r="AC17" s="1498"/>
    </row>
    <row r="18" spans="1:29" ht="15" x14ac:dyDescent="0.25">
      <c r="A18" s="8"/>
      <c r="B18" s="16">
        <v>2</v>
      </c>
      <c r="C18" s="1" t="s">
        <v>25</v>
      </c>
      <c r="D18" s="1" t="s">
        <v>26</v>
      </c>
      <c r="E18" s="16"/>
      <c r="F18" s="1410">
        <v>0</v>
      </c>
      <c r="G18" s="1410">
        <v>0</v>
      </c>
      <c r="H18" s="1410">
        <v>0</v>
      </c>
      <c r="I18" s="1410">
        <v>0</v>
      </c>
      <c r="J18" s="1394">
        <v>0</v>
      </c>
      <c r="K18" s="734">
        <f t="shared" ref="K18:K81" si="1">J18-SUM(F18:I18)</f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495"/>
      <c r="Y18" s="1540"/>
      <c r="Z18" s="1540"/>
      <c r="AA18" s="1540"/>
      <c r="AB18" s="1540"/>
      <c r="AC18" s="1503"/>
    </row>
    <row r="19" spans="1:29" x14ac:dyDescent="0.2">
      <c r="A19" s="1"/>
      <c r="B19" s="16">
        <v>3</v>
      </c>
      <c r="C19" s="1" t="s">
        <v>27</v>
      </c>
      <c r="D19" s="1" t="s">
        <v>28</v>
      </c>
      <c r="E19" s="16"/>
      <c r="F19" s="1411">
        <v>0</v>
      </c>
      <c r="G19" s="1411">
        <v>0</v>
      </c>
      <c r="H19" s="1411">
        <v>0</v>
      </c>
      <c r="I19" s="1411">
        <v>0</v>
      </c>
      <c r="J19" s="1394">
        <v>0</v>
      </c>
      <c r="K19" s="734">
        <f t="shared" si="1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495"/>
      <c r="Y19" s="1541"/>
      <c r="Z19" s="1541"/>
      <c r="AA19" s="1541"/>
      <c r="AB19" s="1541"/>
      <c r="AC19" s="1503"/>
    </row>
    <row r="20" spans="1:29" x14ac:dyDescent="0.2">
      <c r="A20" s="1"/>
      <c r="B20" s="16">
        <v>4</v>
      </c>
      <c r="C20" s="1" t="s">
        <v>29</v>
      </c>
      <c r="D20" s="1" t="s">
        <v>32</v>
      </c>
      <c r="E20" s="16"/>
      <c r="F20" s="1412">
        <v>6784530</v>
      </c>
      <c r="G20" s="1412">
        <v>8645784</v>
      </c>
      <c r="H20" s="1412">
        <v>324360</v>
      </c>
      <c r="I20" s="1412">
        <v>145326</v>
      </c>
      <c r="J20" s="1394">
        <v>15900000</v>
      </c>
      <c r="K20" s="734">
        <f t="shared" si="1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495"/>
      <c r="Y20" s="1541"/>
      <c r="Z20" s="1541"/>
      <c r="AA20" s="1541"/>
      <c r="AB20" s="1541"/>
      <c r="AC20" s="1503"/>
    </row>
    <row r="21" spans="1:29" ht="15" x14ac:dyDescent="0.25">
      <c r="A21" s="1"/>
      <c r="B21" s="16">
        <v>5</v>
      </c>
      <c r="C21" s="8" t="s">
        <v>33</v>
      </c>
      <c r="D21" s="24"/>
      <c r="E21" s="1315" t="s">
        <v>34</v>
      </c>
      <c r="F21" s="1501"/>
      <c r="G21" s="1501"/>
      <c r="H21" s="1501"/>
      <c r="I21" s="1501"/>
      <c r="J21" s="1394"/>
      <c r="K21" s="734">
        <f t="shared" si="1"/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493"/>
      <c r="Y21" s="1501"/>
      <c r="Z21" s="1501"/>
      <c r="AA21" s="1501"/>
      <c r="AB21" s="1501"/>
      <c r="AC21" s="1503"/>
    </row>
    <row r="22" spans="1:29" ht="15" x14ac:dyDescent="0.25">
      <c r="A22" s="1"/>
      <c r="B22" s="16">
        <v>6</v>
      </c>
      <c r="C22" s="1" t="s">
        <v>25</v>
      </c>
      <c r="D22" s="1" t="s">
        <v>26</v>
      </c>
      <c r="E22" s="1315"/>
      <c r="F22" s="1410">
        <v>0</v>
      </c>
      <c r="G22" s="1410">
        <v>0</v>
      </c>
      <c r="H22" s="1410">
        <v>0</v>
      </c>
      <c r="I22" s="1410">
        <v>0</v>
      </c>
      <c r="J22" s="1394">
        <v>0</v>
      </c>
      <c r="K22" s="734">
        <f t="shared" si="1"/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493"/>
      <c r="Y22" s="1542"/>
      <c r="Z22" s="1542"/>
      <c r="AA22" s="1542"/>
      <c r="AB22" s="1542"/>
      <c r="AC22" s="1503"/>
    </row>
    <row r="23" spans="1:29" ht="15" x14ac:dyDescent="0.25">
      <c r="A23" s="1"/>
      <c r="B23" s="16">
        <v>7</v>
      </c>
      <c r="C23" s="1" t="s">
        <v>27</v>
      </c>
      <c r="D23" s="1" t="s">
        <v>35</v>
      </c>
      <c r="E23" s="1315"/>
      <c r="F23" s="1411">
        <v>0</v>
      </c>
      <c r="G23" s="1411">
        <v>0</v>
      </c>
      <c r="H23" s="1411">
        <v>0</v>
      </c>
      <c r="I23" s="1411">
        <v>0</v>
      </c>
      <c r="J23" s="1394">
        <v>0</v>
      </c>
      <c r="K23" s="734">
        <f t="shared" si="1"/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493"/>
      <c r="Y23" s="1543"/>
      <c r="Z23" s="1543"/>
      <c r="AA23" s="1543"/>
      <c r="AB23" s="1543"/>
      <c r="AC23" s="1503"/>
    </row>
    <row r="24" spans="1:29" x14ac:dyDescent="0.2">
      <c r="A24" s="1"/>
      <c r="B24" s="16">
        <v>8</v>
      </c>
      <c r="C24" s="1" t="s">
        <v>29</v>
      </c>
      <c r="D24" s="1" t="s">
        <v>32</v>
      </c>
      <c r="E24" s="16"/>
      <c r="F24" s="1412">
        <v>2514612.29</v>
      </c>
      <c r="G24" s="1412">
        <v>3204465.84</v>
      </c>
      <c r="H24" s="1412">
        <v>120220.51</v>
      </c>
      <c r="I24" s="1412">
        <v>53863.5</v>
      </c>
      <c r="J24" s="1394">
        <v>5893162.1399999997</v>
      </c>
      <c r="K24" s="734">
        <f t="shared" si="1"/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495"/>
      <c r="Y24" s="1543"/>
      <c r="Z24" s="1543"/>
      <c r="AA24" s="1543"/>
      <c r="AB24" s="1543"/>
      <c r="AC24" s="1503"/>
    </row>
    <row r="25" spans="1:29" ht="15" x14ac:dyDescent="0.25">
      <c r="A25" s="1"/>
      <c r="B25" s="16">
        <v>9</v>
      </c>
      <c r="C25" s="8" t="s">
        <v>36</v>
      </c>
      <c r="D25" s="8"/>
      <c r="E25" s="1315" t="s">
        <v>24</v>
      </c>
      <c r="F25" s="1499"/>
      <c r="G25" s="1499"/>
      <c r="H25" s="1499"/>
      <c r="I25" s="1390"/>
      <c r="J25" s="1394"/>
      <c r="K25" s="734">
        <f t="shared" si="1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493"/>
      <c r="Y25" s="1499"/>
      <c r="Z25" s="1499"/>
      <c r="AA25" s="1499"/>
      <c r="AB25" s="1498"/>
      <c r="AC25" s="1503"/>
    </row>
    <row r="26" spans="1:29" ht="15" x14ac:dyDescent="0.25">
      <c r="A26" s="1"/>
      <c r="B26" s="16">
        <v>10</v>
      </c>
      <c r="C26" s="1" t="s">
        <v>37</v>
      </c>
      <c r="D26" s="1" t="s">
        <v>38</v>
      </c>
      <c r="E26" s="1315"/>
      <c r="F26" s="1414">
        <v>159848557.65000001</v>
      </c>
      <c r="G26" s="1414">
        <v>0</v>
      </c>
      <c r="H26" s="1414">
        <v>0</v>
      </c>
      <c r="I26" s="1414">
        <v>0</v>
      </c>
      <c r="J26" s="1394">
        <v>159848557.65000001</v>
      </c>
      <c r="K26" s="734">
        <f t="shared" si="1"/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493"/>
      <c r="Y26" s="1544"/>
      <c r="Z26" s="1544"/>
      <c r="AA26" s="1544"/>
      <c r="AB26" s="1544"/>
      <c r="AC26" s="1503"/>
    </row>
    <row r="27" spans="1:29" x14ac:dyDescent="0.2">
      <c r="A27" s="1"/>
      <c r="B27" s="16">
        <v>11</v>
      </c>
      <c r="C27" s="1" t="s">
        <v>39</v>
      </c>
      <c r="D27" s="1" t="s">
        <v>40</v>
      </c>
      <c r="E27" s="16"/>
      <c r="F27" s="1415">
        <v>675723772.92999995</v>
      </c>
      <c r="G27" s="1415">
        <v>0</v>
      </c>
      <c r="H27" s="1415">
        <v>0</v>
      </c>
      <c r="I27" s="1415">
        <v>0</v>
      </c>
      <c r="J27" s="1394">
        <v>675723772.92999995</v>
      </c>
      <c r="K27" s="734">
        <f t="shared" si="1"/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495"/>
      <c r="Y27" s="1545"/>
      <c r="Z27" s="1545"/>
      <c r="AA27" s="1545"/>
      <c r="AB27" s="1545"/>
      <c r="AC27" s="1503"/>
    </row>
    <row r="28" spans="1:29" x14ac:dyDescent="0.2">
      <c r="A28" s="1"/>
      <c r="B28" s="16">
        <v>12</v>
      </c>
      <c r="C28" s="1" t="s">
        <v>1229</v>
      </c>
      <c r="D28" s="1" t="s">
        <v>1230</v>
      </c>
      <c r="E28" s="16"/>
      <c r="F28" s="1415">
        <v>0</v>
      </c>
      <c r="G28" s="1415">
        <v>0</v>
      </c>
      <c r="H28" s="1415">
        <v>0</v>
      </c>
      <c r="I28" s="1415">
        <v>0</v>
      </c>
      <c r="J28" s="1394">
        <v>0</v>
      </c>
      <c r="K28" s="734">
        <f t="shared" si="1"/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495"/>
      <c r="Y28" s="1545"/>
      <c r="Z28" s="1545"/>
      <c r="AA28" s="1545"/>
      <c r="AB28" s="1545"/>
      <c r="AC28" s="1503"/>
    </row>
    <row r="29" spans="1:29" x14ac:dyDescent="0.2">
      <c r="A29" s="1"/>
      <c r="B29" s="16">
        <v>13</v>
      </c>
      <c r="C29" s="1" t="s">
        <v>1231</v>
      </c>
      <c r="D29" s="1" t="s">
        <v>1232</v>
      </c>
      <c r="E29" s="16"/>
      <c r="F29" s="1415">
        <v>150825746.09999999</v>
      </c>
      <c r="G29" s="1415">
        <v>0</v>
      </c>
      <c r="H29" s="1415">
        <v>0</v>
      </c>
      <c r="I29" s="1415">
        <v>0</v>
      </c>
      <c r="J29" s="1394">
        <v>150825746.09999999</v>
      </c>
      <c r="K29" s="734">
        <f t="shared" si="1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495"/>
      <c r="Y29" s="1545"/>
      <c r="Z29" s="1545"/>
      <c r="AA29" s="1545"/>
      <c r="AB29" s="1545"/>
      <c r="AC29" s="1503"/>
    </row>
    <row r="30" spans="1:29" x14ac:dyDescent="0.2">
      <c r="A30" s="1"/>
      <c r="B30" s="16">
        <v>14</v>
      </c>
      <c r="C30" s="1" t="s">
        <v>1233</v>
      </c>
      <c r="D30" s="1" t="s">
        <v>103</v>
      </c>
      <c r="E30" s="16"/>
      <c r="F30" s="1415">
        <v>3528604.25</v>
      </c>
      <c r="G30" s="1415">
        <v>0</v>
      </c>
      <c r="H30" s="1415">
        <v>0</v>
      </c>
      <c r="I30" s="1415">
        <v>0</v>
      </c>
      <c r="J30" s="1394">
        <v>3528604.25</v>
      </c>
      <c r="K30" s="734">
        <f t="shared" si="1"/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495"/>
      <c r="Y30" s="1545"/>
      <c r="Z30" s="1545"/>
      <c r="AA30" s="1545"/>
      <c r="AB30" s="1545"/>
      <c r="AC30" s="1503"/>
    </row>
    <row r="31" spans="1:29" x14ac:dyDescent="0.2">
      <c r="A31" s="1"/>
      <c r="B31" s="16">
        <v>15</v>
      </c>
      <c r="C31" s="1" t="s">
        <v>41</v>
      </c>
      <c r="D31" s="1" t="s">
        <v>42</v>
      </c>
      <c r="E31" s="16"/>
      <c r="F31" s="1415">
        <v>654785374.42999995</v>
      </c>
      <c r="G31" s="1415">
        <v>0</v>
      </c>
      <c r="H31" s="1415">
        <v>0</v>
      </c>
      <c r="I31" s="1415">
        <v>0</v>
      </c>
      <c r="J31" s="1394">
        <v>654785374.42999995</v>
      </c>
      <c r="K31" s="734">
        <f t="shared" si="1"/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495"/>
      <c r="Y31" s="1545"/>
      <c r="Z31" s="1545"/>
      <c r="AA31" s="1545"/>
      <c r="AB31" s="1545"/>
      <c r="AC31" s="1503"/>
    </row>
    <row r="32" spans="1:29" ht="15" x14ac:dyDescent="0.25">
      <c r="A32" s="8"/>
      <c r="B32" s="16">
        <v>16</v>
      </c>
      <c r="C32" s="1" t="s">
        <v>43</v>
      </c>
      <c r="D32" s="1" t="s">
        <v>44</v>
      </c>
      <c r="E32" s="16"/>
      <c r="F32" s="1415">
        <v>4499775077.6599998</v>
      </c>
      <c r="G32" s="1415">
        <v>468976125.50999999</v>
      </c>
      <c r="H32" s="1415">
        <v>0</v>
      </c>
      <c r="I32" s="1415">
        <v>0</v>
      </c>
      <c r="J32" s="1394">
        <v>4968751203.1700001</v>
      </c>
      <c r="K32" s="734">
        <f t="shared" si="1"/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495"/>
      <c r="Y32" s="1545"/>
      <c r="Z32" s="1545"/>
      <c r="AA32" s="1545"/>
      <c r="AB32" s="1545"/>
      <c r="AC32" s="1503"/>
    </row>
    <row r="33" spans="1:29" x14ac:dyDescent="0.2">
      <c r="A33" s="1"/>
      <c r="B33" s="16">
        <v>17</v>
      </c>
      <c r="C33" s="1" t="s">
        <v>45</v>
      </c>
      <c r="D33" s="1" t="s">
        <v>46</v>
      </c>
      <c r="E33" s="16"/>
      <c r="F33" s="1415">
        <v>2153423296.3499999</v>
      </c>
      <c r="G33" s="1415">
        <v>0</v>
      </c>
      <c r="H33" s="1415">
        <v>0</v>
      </c>
      <c r="I33" s="1415">
        <v>0</v>
      </c>
      <c r="J33" s="1394">
        <v>2153423296.3499999</v>
      </c>
      <c r="K33" s="734">
        <f t="shared" si="1"/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495"/>
      <c r="Y33" s="1545"/>
      <c r="Z33" s="1545"/>
      <c r="AA33" s="1545"/>
      <c r="AB33" s="1545"/>
      <c r="AC33" s="1503"/>
    </row>
    <row r="34" spans="1:29" ht="15" x14ac:dyDescent="0.25">
      <c r="A34" s="8"/>
      <c r="B34" s="16">
        <v>18</v>
      </c>
      <c r="C34" s="1" t="s">
        <v>47</v>
      </c>
      <c r="D34" s="1" t="s">
        <v>48</v>
      </c>
      <c r="E34" s="16"/>
      <c r="F34" s="1415">
        <v>4073573578.29</v>
      </c>
      <c r="G34" s="1415">
        <v>0</v>
      </c>
      <c r="H34" s="1415">
        <v>0</v>
      </c>
      <c r="I34" s="1415">
        <v>0</v>
      </c>
      <c r="J34" s="1394">
        <v>4073573578.29</v>
      </c>
      <c r="K34" s="734">
        <f t="shared" si="1"/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495"/>
      <c r="Y34" s="1545"/>
      <c r="Z34" s="1545"/>
      <c r="AA34" s="1545"/>
      <c r="AB34" s="1545"/>
      <c r="AC34" s="1503"/>
    </row>
    <row r="35" spans="1:29" x14ac:dyDescent="0.2">
      <c r="A35" s="1"/>
      <c r="B35" s="16">
        <v>19</v>
      </c>
      <c r="C35" s="1" t="s">
        <v>49</v>
      </c>
      <c r="D35" s="1" t="s">
        <v>50</v>
      </c>
      <c r="E35" s="16"/>
      <c r="F35" s="1415">
        <v>3734793370.8099999</v>
      </c>
      <c r="G35" s="1415">
        <v>0</v>
      </c>
      <c r="H35" s="1415">
        <v>0</v>
      </c>
      <c r="I35" s="1415">
        <v>0</v>
      </c>
      <c r="J35" s="1394">
        <v>3734793370.8099999</v>
      </c>
      <c r="K35" s="734">
        <f t="shared" si="1"/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495"/>
      <c r="Y35" s="1545"/>
      <c r="Z35" s="1545"/>
      <c r="AA35" s="1545"/>
      <c r="AB35" s="1545"/>
      <c r="AC35" s="1503"/>
    </row>
    <row r="36" spans="1:29" x14ac:dyDescent="0.2">
      <c r="A36" s="1"/>
      <c r="B36" s="16">
        <v>20</v>
      </c>
      <c r="C36" s="1" t="s">
        <v>51</v>
      </c>
      <c r="D36" s="647" t="s">
        <v>644</v>
      </c>
      <c r="E36" s="16"/>
      <c r="F36" s="1415">
        <v>61796401.399999999</v>
      </c>
      <c r="G36" s="1415">
        <v>0</v>
      </c>
      <c r="H36" s="1415">
        <v>0</v>
      </c>
      <c r="I36" s="1415">
        <v>0</v>
      </c>
      <c r="J36" s="1394">
        <v>61796401.399999999</v>
      </c>
      <c r="K36" s="734">
        <f t="shared" si="1"/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495"/>
      <c r="Y36" s="1545"/>
      <c r="Z36" s="1545"/>
      <c r="AA36" s="1545"/>
      <c r="AB36" s="1545"/>
      <c r="AC36" s="1503"/>
    </row>
    <row r="37" spans="1:29" x14ac:dyDescent="0.2">
      <c r="A37" s="1"/>
      <c r="B37" s="16">
        <v>21</v>
      </c>
      <c r="C37" s="1" t="s">
        <v>53</v>
      </c>
      <c r="D37" s="26" t="s">
        <v>54</v>
      </c>
      <c r="E37" s="16"/>
      <c r="F37" s="1415">
        <v>96633109.489999995</v>
      </c>
      <c r="G37" s="1415">
        <v>0</v>
      </c>
      <c r="H37" s="1415">
        <v>0</v>
      </c>
      <c r="I37" s="1415">
        <v>0</v>
      </c>
      <c r="J37" s="1394">
        <v>96633109.489999995</v>
      </c>
      <c r="K37" s="734">
        <f t="shared" si="1"/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495"/>
      <c r="Y37" s="1545"/>
      <c r="Z37" s="1545"/>
      <c r="AA37" s="1545"/>
      <c r="AB37" s="1545"/>
      <c r="AC37" s="1503"/>
    </row>
    <row r="38" spans="1:29" x14ac:dyDescent="0.2">
      <c r="A38" s="1"/>
      <c r="B38" s="16">
        <v>22</v>
      </c>
      <c r="C38" s="1" t="s">
        <v>55</v>
      </c>
      <c r="D38" s="1" t="s">
        <v>56</v>
      </c>
      <c r="E38" s="16"/>
      <c r="F38" s="1523">
        <v>0</v>
      </c>
      <c r="G38" s="1523">
        <v>0</v>
      </c>
      <c r="H38" s="1523">
        <v>0</v>
      </c>
      <c r="I38" s="1523">
        <v>0</v>
      </c>
      <c r="J38" s="1394">
        <v>0</v>
      </c>
      <c r="K38" s="734">
        <f t="shared" si="1"/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495"/>
      <c r="Y38" s="1545"/>
      <c r="Z38" s="1545"/>
      <c r="AA38" s="1545"/>
      <c r="AB38" s="1545"/>
      <c r="AC38" s="1503"/>
    </row>
    <row r="39" spans="1:29" ht="15" x14ac:dyDescent="0.25">
      <c r="A39" s="1"/>
      <c r="B39" s="16">
        <v>23</v>
      </c>
      <c r="C39" s="8" t="s">
        <v>57</v>
      </c>
      <c r="D39" s="8"/>
      <c r="E39" s="1315" t="s">
        <v>34</v>
      </c>
      <c r="F39" s="1499"/>
      <c r="G39" s="1499"/>
      <c r="H39" s="1499"/>
      <c r="I39" s="1390"/>
      <c r="J39" s="1394"/>
      <c r="K39" s="734">
        <f t="shared" si="1"/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493"/>
      <c r="Y39" s="1499"/>
      <c r="Z39" s="1499"/>
      <c r="AA39" s="1499"/>
      <c r="AB39" s="1498"/>
      <c r="AC39" s="1503"/>
    </row>
    <row r="40" spans="1:29" x14ac:dyDescent="0.2">
      <c r="A40" s="1"/>
      <c r="B40" s="16">
        <v>24</v>
      </c>
      <c r="C40" s="1" t="s">
        <v>37</v>
      </c>
      <c r="D40" s="1" t="s">
        <v>38</v>
      </c>
      <c r="E40" s="16"/>
      <c r="F40" s="1414">
        <v>0</v>
      </c>
      <c r="G40" s="1414">
        <v>0</v>
      </c>
      <c r="H40" s="1414">
        <v>0</v>
      </c>
      <c r="I40" s="1414">
        <v>0</v>
      </c>
      <c r="J40" s="1394">
        <v>0</v>
      </c>
      <c r="K40" s="734">
        <f t="shared" si="1"/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495"/>
      <c r="Y40" s="1546"/>
      <c r="Z40" s="1546"/>
      <c r="AA40" s="1546"/>
      <c r="AB40" s="1546"/>
      <c r="AC40" s="1503"/>
    </row>
    <row r="41" spans="1:29" x14ac:dyDescent="0.2">
      <c r="A41" s="1"/>
      <c r="B41" s="16">
        <v>25</v>
      </c>
      <c r="C41" s="1" t="s">
        <v>39</v>
      </c>
      <c r="D41" s="1" t="s">
        <v>40</v>
      </c>
      <c r="E41" s="16"/>
      <c r="F41" s="1415">
        <v>140778734.75999999</v>
      </c>
      <c r="G41" s="1415">
        <v>0</v>
      </c>
      <c r="H41" s="1415">
        <v>0</v>
      </c>
      <c r="I41" s="1415">
        <v>0</v>
      </c>
      <c r="J41" s="1394">
        <v>140778734.75999999</v>
      </c>
      <c r="K41" s="734">
        <f t="shared" si="1"/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495"/>
      <c r="Y41" s="1547"/>
      <c r="Z41" s="1547"/>
      <c r="AA41" s="1547"/>
      <c r="AB41" s="1547"/>
      <c r="AC41" s="1503"/>
    </row>
    <row r="42" spans="1:29" x14ac:dyDescent="0.2">
      <c r="A42" s="1"/>
      <c r="B42" s="16">
        <v>26</v>
      </c>
      <c r="C42" s="321" t="s">
        <v>1229</v>
      </c>
      <c r="D42" s="321" t="s">
        <v>1230</v>
      </c>
      <c r="F42" s="1415">
        <v>0</v>
      </c>
      <c r="G42" s="1415">
        <v>0</v>
      </c>
      <c r="H42" s="1415">
        <v>0</v>
      </c>
      <c r="I42" s="1415">
        <v>0</v>
      </c>
      <c r="J42" s="1394">
        <v>0</v>
      </c>
      <c r="K42" s="734">
        <f t="shared" si="1"/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495"/>
      <c r="Y42" s="1547"/>
      <c r="Z42" s="1547"/>
      <c r="AA42" s="1547"/>
      <c r="AB42" s="1547"/>
      <c r="AC42" s="1503"/>
    </row>
    <row r="43" spans="1:29" x14ac:dyDescent="0.2">
      <c r="A43" s="1"/>
      <c r="B43" s="16">
        <v>27</v>
      </c>
      <c r="C43" s="321" t="s">
        <v>1231</v>
      </c>
      <c r="D43" s="321" t="s">
        <v>1232</v>
      </c>
      <c r="F43" s="1415">
        <v>56291412.899999999</v>
      </c>
      <c r="G43" s="1415">
        <v>0</v>
      </c>
      <c r="H43" s="1415">
        <v>0</v>
      </c>
      <c r="I43" s="1415">
        <v>0</v>
      </c>
      <c r="J43" s="1394">
        <v>56291412.899999999</v>
      </c>
      <c r="K43" s="734">
        <f t="shared" si="1"/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495"/>
      <c r="Y43" s="1547"/>
      <c r="Z43" s="1547"/>
      <c r="AA43" s="1547"/>
      <c r="AB43" s="1547"/>
      <c r="AC43" s="1503"/>
    </row>
    <row r="44" spans="1:29" x14ac:dyDescent="0.2">
      <c r="A44" s="1"/>
      <c r="B44" s="16">
        <v>28</v>
      </c>
      <c r="C44" s="321" t="s">
        <v>1233</v>
      </c>
      <c r="D44" s="321" t="s">
        <v>103</v>
      </c>
      <c r="F44" s="1415">
        <v>1213664.3</v>
      </c>
      <c r="G44" s="1415">
        <v>0</v>
      </c>
      <c r="H44" s="1415">
        <v>0</v>
      </c>
      <c r="I44" s="1415">
        <v>0</v>
      </c>
      <c r="J44" s="1394">
        <v>1213664.3</v>
      </c>
      <c r="K44" s="734">
        <f t="shared" si="1"/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495"/>
      <c r="Y44" s="1547"/>
      <c r="Z44" s="1547"/>
      <c r="AA44" s="1547"/>
      <c r="AB44" s="1547"/>
      <c r="AC44" s="1503"/>
    </row>
    <row r="45" spans="1:29" x14ac:dyDescent="0.2">
      <c r="A45" s="1"/>
      <c r="B45" s="16">
        <v>29</v>
      </c>
      <c r="C45" s="1" t="s">
        <v>41</v>
      </c>
      <c r="D45" s="1" t="s">
        <v>42</v>
      </c>
      <c r="E45" s="16"/>
      <c r="F45" s="1415">
        <v>164438992.55000001</v>
      </c>
      <c r="G45" s="1415">
        <v>0</v>
      </c>
      <c r="H45" s="1415">
        <v>0</v>
      </c>
      <c r="I45" s="1415">
        <v>0</v>
      </c>
      <c r="J45" s="1394">
        <v>164438992.55000001</v>
      </c>
      <c r="K45" s="734">
        <f t="shared" si="1"/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495"/>
      <c r="Y45" s="1547"/>
      <c r="Z45" s="1547"/>
      <c r="AA45" s="1547"/>
      <c r="AB45" s="1547"/>
      <c r="AC45" s="1503"/>
    </row>
    <row r="46" spans="1:29" x14ac:dyDescent="0.2">
      <c r="A46" s="1"/>
      <c r="B46" s="16">
        <v>30</v>
      </c>
      <c r="C46" s="1" t="s">
        <v>43</v>
      </c>
      <c r="D46" s="1" t="s">
        <v>44</v>
      </c>
      <c r="E46" s="16"/>
      <c r="F46" s="1415">
        <v>962965077.25999999</v>
      </c>
      <c r="G46" s="1415">
        <v>134427843.09999999</v>
      </c>
      <c r="H46" s="1415">
        <v>0</v>
      </c>
      <c r="I46" s="1415">
        <v>0</v>
      </c>
      <c r="J46" s="1394">
        <v>1097392920.3599999</v>
      </c>
      <c r="K46" s="734">
        <f t="shared" si="1"/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495"/>
      <c r="Y46" s="1547"/>
      <c r="Z46" s="1547"/>
      <c r="AA46" s="1547"/>
      <c r="AB46" s="1547"/>
      <c r="AC46" s="1503"/>
    </row>
    <row r="47" spans="1:29" ht="15" x14ac:dyDescent="0.25">
      <c r="A47" s="27"/>
      <c r="B47" s="16">
        <v>31</v>
      </c>
      <c r="C47" s="1" t="s">
        <v>45</v>
      </c>
      <c r="D47" s="1" t="s">
        <v>46</v>
      </c>
      <c r="E47" s="16"/>
      <c r="F47" s="1415">
        <v>648032224.47000003</v>
      </c>
      <c r="G47" s="1415">
        <v>0</v>
      </c>
      <c r="H47" s="1415">
        <v>0</v>
      </c>
      <c r="I47" s="1415">
        <v>0</v>
      </c>
      <c r="J47" s="1394">
        <v>648032224.47000003</v>
      </c>
      <c r="K47" s="734">
        <f t="shared" si="1"/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495"/>
      <c r="Y47" s="1547"/>
      <c r="Z47" s="1547"/>
      <c r="AA47" s="1547"/>
      <c r="AB47" s="1547"/>
      <c r="AC47" s="1503"/>
    </row>
    <row r="48" spans="1:29" x14ac:dyDescent="0.2">
      <c r="A48" s="1"/>
      <c r="B48" s="16">
        <v>32</v>
      </c>
      <c r="C48" s="1" t="s">
        <v>47</v>
      </c>
      <c r="D48" s="1" t="s">
        <v>48</v>
      </c>
      <c r="E48" s="16"/>
      <c r="F48" s="1415">
        <v>1024421623.0999999</v>
      </c>
      <c r="G48" s="1415">
        <v>0</v>
      </c>
      <c r="H48" s="1415">
        <v>0</v>
      </c>
      <c r="I48" s="1415">
        <v>0</v>
      </c>
      <c r="J48" s="1394">
        <v>1024421623.0999999</v>
      </c>
      <c r="K48" s="734">
        <f t="shared" si="1"/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495"/>
      <c r="Y48" s="1547"/>
      <c r="Z48" s="1547"/>
      <c r="AA48" s="1547"/>
      <c r="AB48" s="1547"/>
      <c r="AC48" s="1503"/>
    </row>
    <row r="49" spans="1:29" ht="15" x14ac:dyDescent="0.25">
      <c r="A49" s="8"/>
      <c r="B49" s="16">
        <v>33</v>
      </c>
      <c r="C49" s="1" t="s">
        <v>49</v>
      </c>
      <c r="D49" s="1" t="s">
        <v>50</v>
      </c>
      <c r="E49" s="28"/>
      <c r="F49" s="1415">
        <v>869670013.72000003</v>
      </c>
      <c r="G49" s="1415">
        <v>0</v>
      </c>
      <c r="H49" s="1415">
        <v>0</v>
      </c>
      <c r="I49" s="1415">
        <v>0</v>
      </c>
      <c r="J49" s="1394">
        <v>869670013.72000003</v>
      </c>
      <c r="K49" s="734">
        <f t="shared" si="1"/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506"/>
      <c r="Y49" s="1547"/>
      <c r="Z49" s="1547"/>
      <c r="AA49" s="1547"/>
      <c r="AB49" s="1547"/>
      <c r="AC49" s="1503"/>
    </row>
    <row r="50" spans="1:29" x14ac:dyDescent="0.2">
      <c r="A50" s="1"/>
      <c r="B50" s="16">
        <v>34</v>
      </c>
      <c r="C50" s="1" t="s">
        <v>51</v>
      </c>
      <c r="D50" s="647" t="s">
        <v>644</v>
      </c>
      <c r="E50" s="16"/>
      <c r="F50" s="1415">
        <v>24828550.920000002</v>
      </c>
      <c r="G50" s="1415">
        <v>0</v>
      </c>
      <c r="H50" s="1415">
        <v>0</v>
      </c>
      <c r="I50" s="1415">
        <v>0</v>
      </c>
      <c r="J50" s="1394">
        <v>24828550.920000002</v>
      </c>
      <c r="K50" s="734">
        <f t="shared" si="1"/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495"/>
      <c r="Y50" s="1547"/>
      <c r="Z50" s="1547"/>
      <c r="AA50" s="1547"/>
      <c r="AB50" s="1547"/>
      <c r="AC50" s="1503"/>
    </row>
    <row r="51" spans="1:29" x14ac:dyDescent="0.2">
      <c r="A51" s="1"/>
      <c r="B51" s="16">
        <v>35</v>
      </c>
      <c r="C51" s="1" t="s">
        <v>53</v>
      </c>
      <c r="D51" s="26" t="s">
        <v>54</v>
      </c>
      <c r="E51" s="16"/>
      <c r="F51" s="1415">
        <v>35777645.020000003</v>
      </c>
      <c r="G51" s="1415">
        <v>0</v>
      </c>
      <c r="H51" s="1415">
        <v>0</v>
      </c>
      <c r="I51" s="1415">
        <v>0</v>
      </c>
      <c r="J51" s="1394">
        <v>35777645.020000003</v>
      </c>
      <c r="K51" s="734">
        <f t="shared" si="1"/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495"/>
      <c r="Y51" s="1547"/>
      <c r="Z51" s="1547"/>
      <c r="AA51" s="1547"/>
      <c r="AB51" s="1547"/>
      <c r="AC51" s="1503"/>
    </row>
    <row r="52" spans="1:29" ht="15" x14ac:dyDescent="0.25">
      <c r="A52" s="8"/>
      <c r="B52" s="16">
        <v>36</v>
      </c>
      <c r="C52" s="1" t="s">
        <v>55</v>
      </c>
      <c r="D52" s="1" t="s">
        <v>56</v>
      </c>
      <c r="E52" s="16"/>
      <c r="F52" s="1523">
        <v>0</v>
      </c>
      <c r="G52" s="1523">
        <v>0</v>
      </c>
      <c r="H52" s="1523">
        <v>0</v>
      </c>
      <c r="I52" s="1523">
        <v>0</v>
      </c>
      <c r="J52" s="1394">
        <v>0</v>
      </c>
      <c r="K52" s="734">
        <f t="shared" si="1"/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495"/>
      <c r="Y52" s="1547"/>
      <c r="Z52" s="1547"/>
      <c r="AA52" s="1547"/>
      <c r="AB52" s="1547"/>
      <c r="AC52" s="1503"/>
    </row>
    <row r="53" spans="1:29" ht="15" x14ac:dyDescent="0.25">
      <c r="A53" s="8"/>
      <c r="B53" s="16"/>
      <c r="C53" s="1"/>
      <c r="D53" s="1"/>
      <c r="E53" s="16"/>
      <c r="F53" s="1505"/>
      <c r="G53" s="1505"/>
      <c r="H53" s="1505"/>
      <c r="I53" s="1505"/>
      <c r="J53" s="1394"/>
      <c r="K53" s="734">
        <f t="shared" si="1"/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495"/>
      <c r="Y53" s="1505"/>
      <c r="Z53" s="1505"/>
      <c r="AA53" s="1505"/>
      <c r="AB53" s="1505"/>
      <c r="AC53" s="1503"/>
    </row>
    <row r="54" spans="1:29" ht="15" x14ac:dyDescent="0.25">
      <c r="A54" s="8"/>
      <c r="B54" s="16"/>
      <c r="C54" s="1"/>
      <c r="D54" s="1"/>
      <c r="E54" s="16"/>
      <c r="F54" s="1505"/>
      <c r="G54" s="1505"/>
      <c r="H54" s="1505"/>
      <c r="I54" s="1505"/>
      <c r="J54" s="1394"/>
      <c r="K54" s="734">
        <f t="shared" si="1"/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495"/>
      <c r="Y54" s="1505"/>
      <c r="Z54" s="1505"/>
      <c r="AA54" s="1505"/>
      <c r="AB54" s="1505"/>
      <c r="AC54" s="1503"/>
    </row>
    <row r="55" spans="1:29" ht="15" x14ac:dyDescent="0.25">
      <c r="A55" s="1"/>
      <c r="B55" s="16">
        <v>1</v>
      </c>
      <c r="C55" s="8" t="s">
        <v>58</v>
      </c>
      <c r="D55" s="8"/>
      <c r="E55" s="1315" t="s">
        <v>24</v>
      </c>
      <c r="F55" s="1499"/>
      <c r="G55" s="1499"/>
      <c r="H55" s="1499"/>
      <c r="I55" s="1390"/>
      <c r="J55" s="1394"/>
      <c r="K55" s="734">
        <f t="shared" si="1"/>
        <v>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493"/>
      <c r="Y55" s="1499"/>
      <c r="Z55" s="1499"/>
      <c r="AA55" s="1499"/>
      <c r="AB55" s="1498"/>
      <c r="AC55" s="1503"/>
    </row>
    <row r="56" spans="1:29" x14ac:dyDescent="0.2">
      <c r="A56" s="1"/>
      <c r="B56" s="16">
        <v>2</v>
      </c>
      <c r="C56" s="1" t="s">
        <v>59</v>
      </c>
      <c r="D56" s="1" t="s">
        <v>40</v>
      </c>
      <c r="E56" s="16"/>
      <c r="F56" s="1414">
        <v>2551204.7000000002</v>
      </c>
      <c r="G56" s="1414">
        <v>26320548.329999998</v>
      </c>
      <c r="H56" s="1414">
        <v>0</v>
      </c>
      <c r="I56" s="1414">
        <v>0</v>
      </c>
      <c r="J56" s="1394">
        <v>28871753.029999997</v>
      </c>
      <c r="K56" s="734">
        <f t="shared" si="1"/>
        <v>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495"/>
      <c r="Y56" s="1544"/>
      <c r="Z56" s="1544"/>
      <c r="AA56" s="1544"/>
      <c r="AB56" s="1544"/>
      <c r="AC56" s="1503"/>
    </row>
    <row r="57" spans="1:29" x14ac:dyDescent="0.2">
      <c r="A57" s="1"/>
      <c r="B57" s="16">
        <v>3</v>
      </c>
      <c r="C57" s="1" t="s">
        <v>60</v>
      </c>
      <c r="D57" s="29" t="s">
        <v>42</v>
      </c>
      <c r="E57" s="30"/>
      <c r="F57" s="1415">
        <v>135093650.06999999</v>
      </c>
      <c r="G57" s="1415">
        <v>262616639.71000001</v>
      </c>
      <c r="H57" s="1415">
        <v>0</v>
      </c>
      <c r="I57" s="1415">
        <v>0</v>
      </c>
      <c r="J57" s="1394">
        <v>397710289.77999997</v>
      </c>
      <c r="K57" s="734">
        <f t="shared" si="1"/>
        <v>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507"/>
      <c r="Y57" s="1545"/>
      <c r="Z57" s="1545"/>
      <c r="AA57" s="1545"/>
      <c r="AB57" s="1545"/>
      <c r="AC57" s="1503"/>
    </row>
    <row r="58" spans="1:29" x14ac:dyDescent="0.2">
      <c r="A58" s="1"/>
      <c r="B58" s="16">
        <v>4</v>
      </c>
      <c r="C58" s="1" t="s">
        <v>61</v>
      </c>
      <c r="D58" s="1" t="s">
        <v>44</v>
      </c>
      <c r="E58" s="30"/>
      <c r="F58" s="1415">
        <v>909625324.47999954</v>
      </c>
      <c r="G58" s="1415">
        <v>2475128207.190002</v>
      </c>
      <c r="H58" s="1415">
        <v>0</v>
      </c>
      <c r="I58" s="1415">
        <v>0</v>
      </c>
      <c r="J58" s="1394">
        <v>3384753531.6700015</v>
      </c>
      <c r="K58" s="734">
        <f t="shared" si="1"/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507"/>
      <c r="Y58" s="1545"/>
      <c r="Z58" s="1545"/>
      <c r="AA58" s="1545"/>
      <c r="AB58" s="1545"/>
      <c r="AC58" s="1503"/>
    </row>
    <row r="59" spans="1:29" x14ac:dyDescent="0.2">
      <c r="A59" s="1"/>
      <c r="B59" s="16">
        <v>5</v>
      </c>
      <c r="C59" s="1" t="s">
        <v>1234</v>
      </c>
      <c r="D59" s="1" t="s">
        <v>1230</v>
      </c>
      <c r="E59" s="30"/>
      <c r="F59" s="1415">
        <v>0</v>
      </c>
      <c r="G59" s="1415">
        <v>0</v>
      </c>
      <c r="H59" s="1415">
        <v>0</v>
      </c>
      <c r="I59" s="1415">
        <v>0</v>
      </c>
      <c r="J59" s="1394">
        <v>0</v>
      </c>
      <c r="K59" s="734">
        <f t="shared" si="1"/>
        <v>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495"/>
      <c r="Y59" s="1545"/>
      <c r="Z59" s="1545"/>
      <c r="AA59" s="1545"/>
      <c r="AB59" s="1545"/>
      <c r="AC59" s="1503"/>
    </row>
    <row r="60" spans="1:29" x14ac:dyDescent="0.2">
      <c r="A60" s="1"/>
      <c r="B60" s="16">
        <v>6</v>
      </c>
      <c r="C60" s="1" t="s">
        <v>1235</v>
      </c>
      <c r="D60" s="1" t="s">
        <v>1232</v>
      </c>
      <c r="E60" s="30"/>
      <c r="F60" s="1415">
        <v>0</v>
      </c>
      <c r="G60" s="1415">
        <v>327580421.52000022</v>
      </c>
      <c r="H60" s="1415">
        <v>121073893.45000005</v>
      </c>
      <c r="I60" s="1415">
        <v>334873235.67999995</v>
      </c>
      <c r="J60" s="1394">
        <v>783527550.65000021</v>
      </c>
      <c r="K60" s="734">
        <f t="shared" si="1"/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495"/>
      <c r="Y60" s="1545"/>
      <c r="Z60" s="1545"/>
      <c r="AA60" s="1545"/>
      <c r="AB60" s="1545"/>
      <c r="AC60" s="1503"/>
    </row>
    <row r="61" spans="1:29" x14ac:dyDescent="0.2">
      <c r="A61" s="1"/>
      <c r="B61" s="16">
        <v>7</v>
      </c>
      <c r="C61" s="1" t="s">
        <v>1236</v>
      </c>
      <c r="D61" s="1" t="s">
        <v>103</v>
      </c>
      <c r="E61" s="16"/>
      <c r="F61" s="1415">
        <v>0</v>
      </c>
      <c r="G61" s="1415">
        <v>0</v>
      </c>
      <c r="H61" s="1415">
        <v>38191350.260000005</v>
      </c>
      <c r="I61" s="1415">
        <v>0</v>
      </c>
      <c r="J61" s="1394">
        <v>38191350.260000005</v>
      </c>
      <c r="K61" s="734">
        <f t="shared" si="1"/>
        <v>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495"/>
      <c r="Y61" s="1545"/>
      <c r="Z61" s="1545"/>
      <c r="AA61" s="1545"/>
      <c r="AB61" s="1545"/>
      <c r="AC61" s="1503"/>
    </row>
    <row r="62" spans="1:29" x14ac:dyDescent="0.2">
      <c r="A62" s="1"/>
      <c r="B62" s="16">
        <v>8</v>
      </c>
      <c r="C62" s="29" t="s">
        <v>62</v>
      </c>
      <c r="D62" s="29" t="s">
        <v>63</v>
      </c>
      <c r="E62" s="16"/>
      <c r="F62" s="1415">
        <v>0</v>
      </c>
      <c r="G62" s="1415">
        <v>3523411256.3600001</v>
      </c>
      <c r="H62" s="1415">
        <v>0</v>
      </c>
      <c r="I62" s="1415">
        <v>0</v>
      </c>
      <c r="J62" s="1394">
        <v>3523411256.3600001</v>
      </c>
      <c r="K62" s="734">
        <f t="shared" si="1"/>
        <v>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495"/>
      <c r="Y62" s="1545"/>
      <c r="Z62" s="1545"/>
      <c r="AA62" s="1545"/>
      <c r="AB62" s="1545"/>
      <c r="AC62" s="1503"/>
    </row>
    <row r="63" spans="1:29" x14ac:dyDescent="0.2">
      <c r="A63" s="1"/>
      <c r="B63" s="16">
        <v>9</v>
      </c>
      <c r="C63" s="29" t="s">
        <v>64</v>
      </c>
      <c r="D63" s="29" t="s">
        <v>65</v>
      </c>
      <c r="E63" s="16"/>
      <c r="F63" s="1415">
        <v>0</v>
      </c>
      <c r="G63" s="1415">
        <v>2182618392.98</v>
      </c>
      <c r="H63" s="1415">
        <v>0</v>
      </c>
      <c r="I63" s="1415">
        <v>0</v>
      </c>
      <c r="J63" s="1394">
        <v>2182618392.98</v>
      </c>
      <c r="K63" s="734">
        <f t="shared" si="1"/>
        <v>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495"/>
      <c r="Y63" s="1545"/>
      <c r="Z63" s="1545"/>
      <c r="AA63" s="1545"/>
      <c r="AB63" s="1545"/>
      <c r="AC63" s="1503"/>
    </row>
    <row r="64" spans="1:29" x14ac:dyDescent="0.2">
      <c r="A64" s="1"/>
      <c r="B64" s="16">
        <v>10</v>
      </c>
      <c r="C64" s="29" t="s">
        <v>66</v>
      </c>
      <c r="D64" s="29" t="s">
        <v>67</v>
      </c>
      <c r="E64" s="16"/>
      <c r="F64" s="1415">
        <v>0</v>
      </c>
      <c r="G64" s="1415">
        <v>1637322838.0899999</v>
      </c>
      <c r="H64" s="1415">
        <v>0</v>
      </c>
      <c r="I64" s="1415">
        <v>0</v>
      </c>
      <c r="J64" s="1394">
        <v>1637322838.0899999</v>
      </c>
      <c r="K64" s="734">
        <f t="shared" si="1"/>
        <v>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495"/>
      <c r="Y64" s="1545"/>
      <c r="Z64" s="1545"/>
      <c r="AA64" s="1545"/>
      <c r="AB64" s="1545"/>
      <c r="AC64" s="1503"/>
    </row>
    <row r="65" spans="1:29" x14ac:dyDescent="0.2">
      <c r="A65" s="1"/>
      <c r="B65" s="16">
        <v>11</v>
      </c>
      <c r="C65" s="29" t="s">
        <v>68</v>
      </c>
      <c r="D65" s="29" t="s">
        <v>69</v>
      </c>
      <c r="E65" s="28"/>
      <c r="F65" s="1415">
        <v>0</v>
      </c>
      <c r="G65" s="1415">
        <v>3176923318.8099999</v>
      </c>
      <c r="H65" s="1415">
        <v>0</v>
      </c>
      <c r="I65" s="1415">
        <v>0</v>
      </c>
      <c r="J65" s="1394">
        <v>3176923318.8099999</v>
      </c>
      <c r="K65" s="734">
        <f t="shared" si="1"/>
        <v>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506"/>
      <c r="Y65" s="1545"/>
      <c r="Z65" s="1545"/>
      <c r="AA65" s="1545"/>
      <c r="AB65" s="1545"/>
      <c r="AC65" s="1503"/>
    </row>
    <row r="66" spans="1:29" x14ac:dyDescent="0.2">
      <c r="A66" s="1"/>
      <c r="B66" s="16">
        <v>12</v>
      </c>
      <c r="C66" s="29" t="s">
        <v>70</v>
      </c>
      <c r="D66" s="29" t="s">
        <v>71</v>
      </c>
      <c r="E66" s="16"/>
      <c r="F66" s="1415">
        <v>0</v>
      </c>
      <c r="G66" s="1415">
        <v>3167665925.5700002</v>
      </c>
      <c r="H66" s="1415">
        <v>0</v>
      </c>
      <c r="I66" s="1415">
        <v>0</v>
      </c>
      <c r="J66" s="1394">
        <v>3167665925.5700002</v>
      </c>
      <c r="K66" s="734">
        <f t="shared" si="1"/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495"/>
      <c r="Y66" s="1545"/>
      <c r="Z66" s="1545"/>
      <c r="AA66" s="1545"/>
      <c r="AB66" s="1545"/>
      <c r="AC66" s="1503"/>
    </row>
    <row r="67" spans="1:29" x14ac:dyDescent="0.2">
      <c r="A67" s="1"/>
      <c r="B67" s="16">
        <v>13</v>
      </c>
      <c r="C67" s="1" t="s">
        <v>72</v>
      </c>
      <c r="D67" s="29" t="s">
        <v>73</v>
      </c>
      <c r="E67" s="28"/>
      <c r="F67" s="1415">
        <v>0</v>
      </c>
      <c r="G67" s="1415">
        <v>1970343942.5799999</v>
      </c>
      <c r="H67" s="1415">
        <v>0</v>
      </c>
      <c r="I67" s="1415">
        <v>0</v>
      </c>
      <c r="J67" s="1394">
        <v>1970343942.5799999</v>
      </c>
      <c r="K67" s="734">
        <f t="shared" si="1"/>
        <v>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506"/>
      <c r="Y67" s="1545"/>
      <c r="Z67" s="1545"/>
      <c r="AA67" s="1545"/>
      <c r="AB67" s="1545"/>
      <c r="AC67" s="1503"/>
    </row>
    <row r="68" spans="1:29" x14ac:dyDescent="0.2">
      <c r="A68" s="1"/>
      <c r="B68" s="16">
        <v>14</v>
      </c>
      <c r="C68" s="1" t="s">
        <v>74</v>
      </c>
      <c r="D68" s="1" t="s">
        <v>75</v>
      </c>
      <c r="E68" s="16"/>
      <c r="F68" s="1415">
        <v>0</v>
      </c>
      <c r="G68" s="1415">
        <v>0</v>
      </c>
      <c r="H68" s="1415">
        <v>625718350.30999994</v>
      </c>
      <c r="I68" s="1415">
        <v>0</v>
      </c>
      <c r="J68" s="1394">
        <v>625718350.30999994</v>
      </c>
      <c r="K68" s="734">
        <f t="shared" si="1"/>
        <v>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495"/>
      <c r="Y68" s="1545"/>
      <c r="Z68" s="1545"/>
      <c r="AA68" s="1545"/>
      <c r="AB68" s="1545"/>
      <c r="AC68" s="1503"/>
    </row>
    <row r="69" spans="1:29" x14ac:dyDescent="0.2">
      <c r="A69" s="1"/>
      <c r="B69" s="16">
        <v>15</v>
      </c>
      <c r="C69" s="1" t="s">
        <v>76</v>
      </c>
      <c r="D69" s="1" t="s">
        <v>77</v>
      </c>
      <c r="E69" s="16"/>
      <c r="F69" s="1415">
        <v>0</v>
      </c>
      <c r="G69" s="1415">
        <v>56332960.560000002</v>
      </c>
      <c r="H69" s="1415">
        <v>0</v>
      </c>
      <c r="I69" s="1415">
        <v>0</v>
      </c>
      <c r="J69" s="1394">
        <v>56332960.560000002</v>
      </c>
      <c r="K69" s="734">
        <f t="shared" si="1"/>
        <v>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495"/>
      <c r="Y69" s="1545"/>
      <c r="Z69" s="1545"/>
      <c r="AA69" s="1545"/>
      <c r="AB69" s="1545"/>
      <c r="AC69" s="1503"/>
    </row>
    <row r="70" spans="1:29" x14ac:dyDescent="0.2">
      <c r="A70" s="1"/>
      <c r="B70" s="16">
        <v>16</v>
      </c>
      <c r="C70" s="1" t="s">
        <v>78</v>
      </c>
      <c r="D70" s="1" t="s">
        <v>79</v>
      </c>
      <c r="E70" s="16"/>
      <c r="F70" s="1415">
        <v>0</v>
      </c>
      <c r="G70" s="1415">
        <v>0</v>
      </c>
      <c r="H70" s="1415">
        <v>0</v>
      </c>
      <c r="I70" s="1415">
        <v>0</v>
      </c>
      <c r="J70" s="1394">
        <v>0</v>
      </c>
      <c r="K70" s="734">
        <f t="shared" si="1"/>
        <v>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1495"/>
      <c r="Y70" s="1545"/>
      <c r="Z70" s="1545"/>
      <c r="AA70" s="1545"/>
      <c r="AB70" s="1545"/>
      <c r="AC70" s="1503"/>
    </row>
    <row r="71" spans="1:29" ht="13.5" customHeight="1" x14ac:dyDescent="0.2">
      <c r="A71" s="1"/>
      <c r="B71" s="16">
        <v>17</v>
      </c>
      <c r="C71" s="1" t="s">
        <v>80</v>
      </c>
      <c r="D71" s="1" t="s">
        <v>81</v>
      </c>
      <c r="E71" s="16"/>
      <c r="F71" s="1415">
        <v>0</v>
      </c>
      <c r="G71" s="1415">
        <v>543768085.23000002</v>
      </c>
      <c r="H71" s="1415">
        <v>0</v>
      </c>
      <c r="I71" s="1415">
        <v>0</v>
      </c>
      <c r="J71" s="1394">
        <v>543768085.23000002</v>
      </c>
      <c r="K71" s="734">
        <f t="shared" si="1"/>
        <v>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1495"/>
      <c r="Y71" s="1545"/>
      <c r="Z71" s="1545"/>
      <c r="AA71" s="1545"/>
      <c r="AB71" s="1545"/>
      <c r="AC71" s="1503"/>
    </row>
    <row r="72" spans="1:29" x14ac:dyDescent="0.2">
      <c r="A72" s="1"/>
      <c r="B72" s="16">
        <v>18</v>
      </c>
      <c r="C72" s="1" t="s">
        <v>82</v>
      </c>
      <c r="D72" s="1" t="s">
        <v>38</v>
      </c>
      <c r="E72" s="16"/>
      <c r="F72" s="1523">
        <v>35890398.07</v>
      </c>
      <c r="G72" s="1523">
        <v>88171655.439999998</v>
      </c>
      <c r="H72" s="1523">
        <v>0</v>
      </c>
      <c r="I72" s="1523">
        <v>0</v>
      </c>
      <c r="J72" s="1394">
        <v>124062053.50999999</v>
      </c>
      <c r="K72" s="734">
        <f t="shared" si="1"/>
        <v>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1495"/>
      <c r="Y72" s="1545"/>
      <c r="Z72" s="1545"/>
      <c r="AA72" s="1545"/>
      <c r="AB72" s="1545"/>
      <c r="AC72" s="1503"/>
    </row>
    <row r="73" spans="1:29" ht="15" x14ac:dyDescent="0.25">
      <c r="A73" s="1"/>
      <c r="B73" s="16">
        <v>19</v>
      </c>
      <c r="C73" s="8" t="s">
        <v>83</v>
      </c>
      <c r="D73" s="8"/>
      <c r="E73" s="1315" t="s">
        <v>34</v>
      </c>
      <c r="F73" s="1499"/>
      <c r="G73" s="1499"/>
      <c r="H73" s="1499"/>
      <c r="I73" s="1390"/>
      <c r="J73" s="1394"/>
      <c r="K73" s="734">
        <f t="shared" si="1"/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1493"/>
      <c r="Y73" s="1499"/>
      <c r="Z73" s="1499"/>
      <c r="AA73" s="1499"/>
      <c r="AB73" s="1498"/>
      <c r="AC73" s="1503"/>
    </row>
    <row r="74" spans="1:29" x14ac:dyDescent="0.2">
      <c r="A74" s="1"/>
      <c r="B74" s="16">
        <v>20</v>
      </c>
      <c r="C74" s="1" t="s">
        <v>59</v>
      </c>
      <c r="D74" s="1" t="s">
        <v>40</v>
      </c>
      <c r="E74" s="16"/>
      <c r="F74" s="1410">
        <v>339719.3</v>
      </c>
      <c r="G74" s="1410">
        <v>9501839.8499999996</v>
      </c>
      <c r="H74" s="1410">
        <v>0</v>
      </c>
      <c r="I74" s="1410">
        <v>0</v>
      </c>
      <c r="J74" s="1394">
        <v>9841559.1500000004</v>
      </c>
      <c r="K74" s="734">
        <f t="shared" si="1"/>
        <v>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1495"/>
      <c r="Y74" s="1542"/>
      <c r="Z74" s="1542"/>
      <c r="AA74" s="1542"/>
      <c r="AB74" s="1542"/>
      <c r="AC74" s="1503"/>
    </row>
    <row r="75" spans="1:29" x14ac:dyDescent="0.2">
      <c r="A75" s="1"/>
      <c r="B75" s="16">
        <v>21</v>
      </c>
      <c r="C75" s="1" t="s">
        <v>60</v>
      </c>
      <c r="D75" s="29" t="s">
        <v>42</v>
      </c>
      <c r="E75" s="30"/>
      <c r="F75" s="1411">
        <v>22759234.809999999</v>
      </c>
      <c r="G75" s="1411">
        <v>49998605.829999998</v>
      </c>
      <c r="H75" s="1411">
        <v>0</v>
      </c>
      <c r="I75" s="1411">
        <v>0</v>
      </c>
      <c r="J75" s="1394">
        <v>72757840.640000001</v>
      </c>
      <c r="K75" s="734">
        <f t="shared" si="1"/>
        <v>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507"/>
      <c r="Y75" s="1543"/>
      <c r="Z75" s="1543"/>
      <c r="AA75" s="1543"/>
      <c r="AB75" s="1543"/>
      <c r="AC75" s="1503"/>
    </row>
    <row r="76" spans="1:29" x14ac:dyDescent="0.2">
      <c r="A76" s="1"/>
      <c r="B76" s="16">
        <v>22</v>
      </c>
      <c r="C76" s="1" t="s">
        <v>61</v>
      </c>
      <c r="D76" s="1" t="s">
        <v>44</v>
      </c>
      <c r="E76" s="30"/>
      <c r="F76" s="1411">
        <v>141628851.40000001</v>
      </c>
      <c r="G76" s="1411">
        <v>506199349.29000002</v>
      </c>
      <c r="H76" s="1411">
        <v>0</v>
      </c>
      <c r="I76" s="1411">
        <v>0</v>
      </c>
      <c r="J76" s="1394">
        <v>647828200.69000006</v>
      </c>
      <c r="K76" s="734">
        <f t="shared" si="1"/>
        <v>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507"/>
      <c r="Y76" s="1543"/>
      <c r="Z76" s="1543"/>
      <c r="AA76" s="1543"/>
      <c r="AB76" s="1543"/>
      <c r="AC76" s="1503"/>
    </row>
    <row r="77" spans="1:29" x14ac:dyDescent="0.2">
      <c r="A77" s="1"/>
      <c r="B77" s="16">
        <v>23</v>
      </c>
      <c r="C77" s="1" t="s">
        <v>1234</v>
      </c>
      <c r="D77" s="1" t="s">
        <v>1230</v>
      </c>
      <c r="E77" s="30"/>
      <c r="F77" s="1411">
        <v>0</v>
      </c>
      <c r="G77" s="1411">
        <v>0</v>
      </c>
      <c r="H77" s="1411">
        <v>0</v>
      </c>
      <c r="I77" s="1411">
        <v>0</v>
      </c>
      <c r="J77" s="1394">
        <v>0</v>
      </c>
      <c r="K77" s="734">
        <f t="shared" si="1"/>
        <v>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1495"/>
      <c r="Y77" s="1543"/>
      <c r="Z77" s="1543"/>
      <c r="AA77" s="1543"/>
      <c r="AB77" s="1543"/>
      <c r="AC77" s="1503"/>
    </row>
    <row r="78" spans="1:29" x14ac:dyDescent="0.2">
      <c r="A78" s="1"/>
      <c r="B78" s="16">
        <v>24</v>
      </c>
      <c r="C78" s="1" t="s">
        <v>1235</v>
      </c>
      <c r="D78" s="1" t="s">
        <v>1232</v>
      </c>
      <c r="E78" s="30"/>
      <c r="F78" s="1411">
        <v>0</v>
      </c>
      <c r="G78" s="1411">
        <v>90241525.159999996</v>
      </c>
      <c r="H78" s="1411">
        <v>89519192.670000002</v>
      </c>
      <c r="I78" s="1411">
        <v>108843000.56</v>
      </c>
      <c r="J78" s="1394">
        <v>288603718.38999999</v>
      </c>
      <c r="K78" s="734">
        <f t="shared" si="1"/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495"/>
      <c r="Y78" s="1543"/>
      <c r="Z78" s="1543"/>
      <c r="AA78" s="1543"/>
      <c r="AB78" s="1543"/>
      <c r="AC78" s="1503"/>
    </row>
    <row r="79" spans="1:29" x14ac:dyDescent="0.2">
      <c r="A79" s="1"/>
      <c r="B79" s="16">
        <v>25</v>
      </c>
      <c r="C79" s="1" t="s">
        <v>1236</v>
      </c>
      <c r="D79" s="1" t="s">
        <v>103</v>
      </c>
      <c r="E79" s="16"/>
      <c r="F79" s="1411">
        <v>0</v>
      </c>
      <c r="G79" s="1411">
        <v>0</v>
      </c>
      <c r="H79" s="1411">
        <v>39392672.700000003</v>
      </c>
      <c r="I79" s="1411">
        <v>0</v>
      </c>
      <c r="J79" s="1394">
        <v>39392672.700000003</v>
      </c>
      <c r="K79" s="734">
        <f t="shared" si="1"/>
        <v>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1495"/>
      <c r="Y79" s="1543"/>
      <c r="Z79" s="1543"/>
      <c r="AA79" s="1543"/>
      <c r="AB79" s="1543"/>
      <c r="AC79" s="1503"/>
    </row>
    <row r="80" spans="1:29" x14ac:dyDescent="0.2">
      <c r="A80" s="1"/>
      <c r="B80" s="16">
        <v>26</v>
      </c>
      <c r="C80" s="29" t="s">
        <v>62</v>
      </c>
      <c r="D80" s="29" t="s">
        <v>63</v>
      </c>
      <c r="E80" s="16"/>
      <c r="F80" s="1411">
        <v>0</v>
      </c>
      <c r="G80" s="1411">
        <v>1202556648.3599999</v>
      </c>
      <c r="H80" s="1411">
        <v>0</v>
      </c>
      <c r="I80" s="1411">
        <v>0</v>
      </c>
      <c r="J80" s="1394">
        <v>1202556648.3599999</v>
      </c>
      <c r="K80" s="734">
        <f t="shared" si="1"/>
        <v>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1495"/>
      <c r="Y80" s="1543"/>
      <c r="Z80" s="1543"/>
      <c r="AA80" s="1543"/>
      <c r="AB80" s="1543"/>
      <c r="AC80" s="1503"/>
    </row>
    <row r="81" spans="1:29" x14ac:dyDescent="0.2">
      <c r="A81" s="1"/>
      <c r="B81" s="16">
        <v>27</v>
      </c>
      <c r="C81" s="29" t="s">
        <v>64</v>
      </c>
      <c r="D81" s="29" t="s">
        <v>65</v>
      </c>
      <c r="E81" s="16"/>
      <c r="F81" s="1411">
        <v>0</v>
      </c>
      <c r="G81" s="1411">
        <v>689155456.41999996</v>
      </c>
      <c r="H81" s="1411">
        <v>0</v>
      </c>
      <c r="I81" s="1411">
        <v>0</v>
      </c>
      <c r="J81" s="1394">
        <v>689155456.41999996</v>
      </c>
      <c r="K81" s="734">
        <f t="shared" si="1"/>
        <v>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1495"/>
      <c r="Y81" s="1543"/>
      <c r="Z81" s="1543"/>
      <c r="AA81" s="1543"/>
      <c r="AB81" s="1543"/>
      <c r="AC81" s="1503"/>
    </row>
    <row r="82" spans="1:29" x14ac:dyDescent="0.2">
      <c r="A82" s="1"/>
      <c r="B82" s="16">
        <v>28</v>
      </c>
      <c r="C82" s="29" t="s">
        <v>66</v>
      </c>
      <c r="D82" s="29" t="s">
        <v>67</v>
      </c>
      <c r="E82" s="16"/>
      <c r="F82" s="1411">
        <v>0</v>
      </c>
      <c r="G82" s="1411">
        <v>550241099.80999994</v>
      </c>
      <c r="H82" s="1411">
        <v>0</v>
      </c>
      <c r="I82" s="1411">
        <v>0</v>
      </c>
      <c r="J82" s="1394">
        <v>550241099.80999994</v>
      </c>
      <c r="K82" s="734">
        <f t="shared" ref="K82:K145" si="2">J82-SUM(F82:I82)</f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495"/>
      <c r="Y82" s="1543"/>
      <c r="Z82" s="1543"/>
      <c r="AA82" s="1543"/>
      <c r="AB82" s="1543"/>
      <c r="AC82" s="1503"/>
    </row>
    <row r="83" spans="1:29" x14ac:dyDescent="0.2">
      <c r="A83" s="1"/>
      <c r="B83" s="16">
        <v>29</v>
      </c>
      <c r="C83" s="29" t="s">
        <v>68</v>
      </c>
      <c r="D83" s="29" t="s">
        <v>69</v>
      </c>
      <c r="E83" s="28"/>
      <c r="F83" s="1411">
        <v>0</v>
      </c>
      <c r="G83" s="1411">
        <v>691245457.77999997</v>
      </c>
      <c r="H83" s="1411">
        <v>0</v>
      </c>
      <c r="I83" s="1411">
        <v>0</v>
      </c>
      <c r="J83" s="1394">
        <v>691245457.77999997</v>
      </c>
      <c r="K83" s="734">
        <f t="shared" si="2"/>
        <v>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1506"/>
      <c r="Y83" s="1543"/>
      <c r="Z83" s="1543"/>
      <c r="AA83" s="1543"/>
      <c r="AB83" s="1543"/>
      <c r="AC83" s="1503"/>
    </row>
    <row r="84" spans="1:29" x14ac:dyDescent="0.2">
      <c r="A84" s="1"/>
      <c r="B84" s="16">
        <v>30</v>
      </c>
      <c r="C84" s="29" t="s">
        <v>70</v>
      </c>
      <c r="D84" s="29" t="s">
        <v>71</v>
      </c>
      <c r="E84" s="16"/>
      <c r="F84" s="1411">
        <v>0</v>
      </c>
      <c r="G84" s="1411">
        <v>761627190.17999995</v>
      </c>
      <c r="H84" s="1411">
        <v>0</v>
      </c>
      <c r="I84" s="1411">
        <v>0</v>
      </c>
      <c r="J84" s="1394">
        <v>761627190.17999995</v>
      </c>
      <c r="K84" s="734">
        <f t="shared" si="2"/>
        <v>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495"/>
      <c r="Y84" s="1543"/>
      <c r="Z84" s="1543"/>
      <c r="AA84" s="1543"/>
      <c r="AB84" s="1543"/>
      <c r="AC84" s="1503"/>
    </row>
    <row r="85" spans="1:29" x14ac:dyDescent="0.2">
      <c r="A85" s="31"/>
      <c r="B85" s="16">
        <v>31</v>
      </c>
      <c r="C85" s="1" t="s">
        <v>72</v>
      </c>
      <c r="D85" s="29" t="s">
        <v>73</v>
      </c>
      <c r="E85" s="28"/>
      <c r="F85" s="1411">
        <v>0</v>
      </c>
      <c r="G85" s="1411">
        <v>1237313769.03</v>
      </c>
      <c r="H85" s="1411">
        <v>0</v>
      </c>
      <c r="I85" s="1411">
        <v>0</v>
      </c>
      <c r="J85" s="1394">
        <v>1237313769.03</v>
      </c>
      <c r="K85" s="734">
        <f t="shared" si="2"/>
        <v>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506"/>
      <c r="Y85" s="1543"/>
      <c r="Z85" s="1543"/>
      <c r="AA85" s="1543"/>
      <c r="AB85" s="1543"/>
      <c r="AC85" s="1503"/>
    </row>
    <row r="86" spans="1:29" ht="15" x14ac:dyDescent="0.25">
      <c r="A86" s="8"/>
      <c r="B86" s="16">
        <v>32</v>
      </c>
      <c r="C86" s="1" t="s">
        <v>74</v>
      </c>
      <c r="D86" s="1" t="s">
        <v>75</v>
      </c>
      <c r="E86" s="16"/>
      <c r="F86" s="1411">
        <v>0</v>
      </c>
      <c r="G86" s="1411">
        <v>0</v>
      </c>
      <c r="H86" s="1411">
        <v>298670487.00999999</v>
      </c>
      <c r="I86" s="1411">
        <v>0</v>
      </c>
      <c r="J86" s="1394">
        <v>298670487.00999999</v>
      </c>
      <c r="K86" s="734">
        <f t="shared" si="2"/>
        <v>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495"/>
      <c r="Y86" s="1543"/>
      <c r="Z86" s="1543"/>
      <c r="AA86" s="1543"/>
      <c r="AB86" s="1543"/>
      <c r="AC86" s="1503"/>
    </row>
    <row r="87" spans="1:29" x14ac:dyDescent="0.2">
      <c r="A87" s="1"/>
      <c r="B87" s="16">
        <v>33</v>
      </c>
      <c r="C87" s="1" t="s">
        <v>76</v>
      </c>
      <c r="D87" s="1" t="s">
        <v>77</v>
      </c>
      <c r="E87" s="16"/>
      <c r="F87" s="1411">
        <v>0</v>
      </c>
      <c r="G87" s="1411">
        <v>74784255.819999993</v>
      </c>
      <c r="H87" s="1411">
        <v>0</v>
      </c>
      <c r="I87" s="1411">
        <v>0</v>
      </c>
      <c r="J87" s="1394">
        <v>74784255.819999993</v>
      </c>
      <c r="K87" s="734">
        <f t="shared" si="2"/>
        <v>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1495"/>
      <c r="Y87" s="1543"/>
      <c r="Z87" s="1543"/>
      <c r="AA87" s="1543"/>
      <c r="AB87" s="1543"/>
      <c r="AC87" s="1503"/>
    </row>
    <row r="88" spans="1:29" ht="15" x14ac:dyDescent="0.25">
      <c r="A88" s="8"/>
      <c r="B88" s="16">
        <v>34</v>
      </c>
      <c r="C88" s="1" t="s">
        <v>78</v>
      </c>
      <c r="D88" s="1" t="s">
        <v>79</v>
      </c>
      <c r="E88" s="16"/>
      <c r="F88" s="1411">
        <v>0</v>
      </c>
      <c r="G88" s="1411">
        <v>0</v>
      </c>
      <c r="H88" s="1411">
        <v>0</v>
      </c>
      <c r="I88" s="1411">
        <v>0</v>
      </c>
      <c r="J88" s="1394">
        <v>0</v>
      </c>
      <c r="K88" s="734">
        <f t="shared" si="2"/>
        <v>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495"/>
      <c r="Y88" s="1543"/>
      <c r="Z88" s="1543"/>
      <c r="AA88" s="1543"/>
      <c r="AB88" s="1543"/>
      <c r="AC88" s="1503"/>
    </row>
    <row r="89" spans="1:29" x14ac:dyDescent="0.2">
      <c r="A89" s="1"/>
      <c r="B89" s="16">
        <v>35</v>
      </c>
      <c r="C89" s="1" t="s">
        <v>80</v>
      </c>
      <c r="D89" s="1" t="s">
        <v>84</v>
      </c>
      <c r="E89" s="16"/>
      <c r="F89" s="1412">
        <v>0</v>
      </c>
      <c r="G89" s="1412">
        <v>379251735.44</v>
      </c>
      <c r="H89" s="1412">
        <v>0</v>
      </c>
      <c r="I89" s="1412">
        <v>0</v>
      </c>
      <c r="J89" s="1394">
        <v>379251735.44</v>
      </c>
      <c r="K89" s="734">
        <f t="shared" si="2"/>
        <v>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1495"/>
      <c r="Y89" s="1543"/>
      <c r="Z89" s="1543"/>
      <c r="AA89" s="1543"/>
      <c r="AB89" s="1543"/>
      <c r="AC89" s="1503"/>
    </row>
    <row r="90" spans="1:29" x14ac:dyDescent="0.2">
      <c r="A90" s="1"/>
      <c r="B90" s="16"/>
      <c r="C90" s="1"/>
      <c r="D90" s="1"/>
      <c r="E90" s="16"/>
      <c r="F90" s="1504"/>
      <c r="G90" s="1504"/>
      <c r="H90" s="1504"/>
      <c r="I90" s="1504"/>
      <c r="J90" s="1394"/>
      <c r="K90" s="734">
        <f t="shared" si="2"/>
        <v>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1495"/>
      <c r="Y90" s="1504"/>
      <c r="Z90" s="1504"/>
      <c r="AA90" s="1504"/>
      <c r="AB90" s="1504"/>
      <c r="AC90" s="1503"/>
    </row>
    <row r="91" spans="1:29" x14ac:dyDescent="0.2">
      <c r="A91" s="1"/>
      <c r="B91" s="16"/>
      <c r="C91" s="1"/>
      <c r="D91" s="1"/>
      <c r="E91" s="16"/>
      <c r="F91" s="1504"/>
      <c r="G91" s="1504"/>
      <c r="H91" s="1504"/>
      <c r="I91" s="1504"/>
      <c r="J91" s="1394"/>
      <c r="K91" s="734">
        <f t="shared" si="2"/>
        <v>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1495"/>
      <c r="Y91" s="1504"/>
      <c r="Z91" s="1504"/>
      <c r="AA91" s="1504"/>
      <c r="AB91" s="1504"/>
      <c r="AC91" s="1503"/>
    </row>
    <row r="92" spans="1:29" ht="15" x14ac:dyDescent="0.25">
      <c r="A92" s="1"/>
      <c r="B92" s="16">
        <v>1</v>
      </c>
      <c r="C92" s="32" t="s">
        <v>85</v>
      </c>
      <c r="D92" s="8"/>
      <c r="E92" s="1315" t="s">
        <v>86</v>
      </c>
      <c r="F92" s="1499"/>
      <c r="G92" s="1499"/>
      <c r="H92" s="1499"/>
      <c r="I92" s="1390"/>
      <c r="J92" s="1394"/>
      <c r="K92" s="734">
        <f t="shared" si="2"/>
        <v>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493"/>
      <c r="Y92" s="1499"/>
      <c r="Z92" s="1499"/>
      <c r="AA92" s="1499"/>
      <c r="AB92" s="1498"/>
      <c r="AC92" s="1503"/>
    </row>
    <row r="93" spans="1:29" x14ac:dyDescent="0.2">
      <c r="A93" s="1"/>
      <c r="B93" s="16">
        <v>2</v>
      </c>
      <c r="C93" s="1" t="s">
        <v>87</v>
      </c>
      <c r="D93" s="1" t="s">
        <v>38</v>
      </c>
      <c r="E93" s="16"/>
      <c r="F93" s="1414">
        <v>9811323.5500000045</v>
      </c>
      <c r="G93" s="1414">
        <v>25309317.540000007</v>
      </c>
      <c r="H93" s="1414">
        <v>4008542.709999999</v>
      </c>
      <c r="I93" s="1414">
        <v>2615601.4699999988</v>
      </c>
      <c r="J93" s="1394">
        <v>41744785.270000011</v>
      </c>
      <c r="K93" s="734">
        <f t="shared" si="2"/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495"/>
      <c r="Y93" s="1544"/>
      <c r="Z93" s="1544"/>
      <c r="AA93" s="1544"/>
      <c r="AB93" s="1544"/>
      <c r="AC93" s="1503"/>
    </row>
    <row r="94" spans="1:29" x14ac:dyDescent="0.2">
      <c r="A94" s="1"/>
      <c r="B94" s="16">
        <v>3</v>
      </c>
      <c r="C94" s="1" t="s">
        <v>88</v>
      </c>
      <c r="D94" s="1" t="s">
        <v>40</v>
      </c>
      <c r="E94" s="16"/>
      <c r="F94" s="1415">
        <v>60382.02</v>
      </c>
      <c r="G94" s="1415">
        <v>77649.91</v>
      </c>
      <c r="H94" s="1415">
        <v>3248.17</v>
      </c>
      <c r="I94" s="1415">
        <v>1318.1000000000001</v>
      </c>
      <c r="J94" s="1394">
        <v>142598.20000000001</v>
      </c>
      <c r="K94" s="734">
        <f t="shared" si="2"/>
        <v>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1495"/>
      <c r="Y94" s="1545"/>
      <c r="Z94" s="1545"/>
      <c r="AA94" s="1545"/>
      <c r="AB94" s="1545"/>
      <c r="AC94" s="1503"/>
    </row>
    <row r="95" spans="1:29" x14ac:dyDescent="0.2">
      <c r="A95" s="1"/>
      <c r="B95" s="16">
        <v>4</v>
      </c>
      <c r="C95" s="1" t="s">
        <v>89</v>
      </c>
      <c r="D95" s="1" t="s">
        <v>42</v>
      </c>
      <c r="E95" s="16"/>
      <c r="F95" s="1415">
        <v>120851001.34</v>
      </c>
      <c r="G95" s="1415">
        <v>212329938.52999988</v>
      </c>
      <c r="H95" s="1415">
        <v>32267267.569999993</v>
      </c>
      <c r="I95" s="1415">
        <v>18151522.199999988</v>
      </c>
      <c r="J95" s="1394">
        <v>383599729.63999987</v>
      </c>
      <c r="K95" s="734">
        <f t="shared" si="2"/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1495"/>
      <c r="Y95" s="1545"/>
      <c r="Z95" s="1545"/>
      <c r="AA95" s="1545"/>
      <c r="AB95" s="1545"/>
      <c r="AC95" s="1503"/>
    </row>
    <row r="96" spans="1:29" x14ac:dyDescent="0.2">
      <c r="A96" s="1"/>
      <c r="B96" s="16">
        <v>5</v>
      </c>
      <c r="C96" s="1" t="s">
        <v>90</v>
      </c>
      <c r="D96" s="1" t="s">
        <v>91</v>
      </c>
      <c r="E96" s="16"/>
      <c r="F96" s="1415">
        <v>12493434.429999992</v>
      </c>
      <c r="G96" s="1415">
        <v>13217077.590000005</v>
      </c>
      <c r="H96" s="1415">
        <v>1565800.9000000006</v>
      </c>
      <c r="I96" s="1415">
        <v>1076747.3500000006</v>
      </c>
      <c r="J96" s="1394">
        <v>28353060.27</v>
      </c>
      <c r="K96" s="734">
        <f t="shared" si="2"/>
        <v>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495"/>
      <c r="Y96" s="1545"/>
      <c r="Z96" s="1545"/>
      <c r="AA96" s="1545"/>
      <c r="AB96" s="1545"/>
      <c r="AC96" s="1503"/>
    </row>
    <row r="97" spans="1:29" x14ac:dyDescent="0.2">
      <c r="A97" s="1"/>
      <c r="B97" s="16">
        <v>6</v>
      </c>
      <c r="C97" s="1" t="s">
        <v>92</v>
      </c>
      <c r="D97" s="1" t="s">
        <v>94</v>
      </c>
      <c r="E97" s="16"/>
      <c r="F97" s="1415">
        <v>10018623.910000002</v>
      </c>
      <c r="G97" s="1415">
        <v>10180663.920000006</v>
      </c>
      <c r="H97" s="1415">
        <v>0</v>
      </c>
      <c r="I97" s="1415">
        <v>0</v>
      </c>
      <c r="J97" s="1394">
        <v>20199287.830000006</v>
      </c>
      <c r="K97" s="734">
        <f t="shared" si="2"/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1495"/>
      <c r="Y97" s="1545"/>
      <c r="Z97" s="1545"/>
      <c r="AA97" s="1545"/>
      <c r="AB97" s="1545"/>
      <c r="AC97" s="1503"/>
    </row>
    <row r="98" spans="1:29" x14ac:dyDescent="0.2">
      <c r="A98" s="1"/>
      <c r="B98" s="16">
        <v>7</v>
      </c>
      <c r="C98" s="1" t="s">
        <v>95</v>
      </c>
      <c r="D98" s="1" t="s">
        <v>96</v>
      </c>
      <c r="E98" s="16"/>
      <c r="F98" s="1415">
        <v>3579102.600000001</v>
      </c>
      <c r="G98" s="1415">
        <v>5998112.8099999931</v>
      </c>
      <c r="H98" s="1415">
        <v>468889.48</v>
      </c>
      <c r="I98" s="1415">
        <v>0</v>
      </c>
      <c r="J98" s="1394">
        <v>10046104.889999995</v>
      </c>
      <c r="K98" s="734">
        <f t="shared" si="2"/>
        <v>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1495"/>
      <c r="Y98" s="1545"/>
      <c r="Z98" s="1545"/>
      <c r="AA98" s="1545"/>
      <c r="AB98" s="1545"/>
      <c r="AC98" s="1503"/>
    </row>
    <row r="99" spans="1:29" x14ac:dyDescent="0.2">
      <c r="A99" s="1"/>
      <c r="B99" s="16">
        <v>8</v>
      </c>
      <c r="C99" s="1" t="s">
        <v>97</v>
      </c>
      <c r="D99" s="1" t="s">
        <v>98</v>
      </c>
      <c r="E99" s="16"/>
      <c r="F99" s="1415">
        <v>13465046.320000002</v>
      </c>
      <c r="G99" s="1415">
        <v>21790023.310000058</v>
      </c>
      <c r="H99" s="1415">
        <v>1794789.6000000022</v>
      </c>
      <c r="I99" s="1415">
        <v>0</v>
      </c>
      <c r="J99" s="1394">
        <v>37049859.230000064</v>
      </c>
      <c r="K99" s="734">
        <f t="shared" si="2"/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1495"/>
      <c r="Y99" s="1545"/>
      <c r="Z99" s="1545"/>
      <c r="AA99" s="1545"/>
      <c r="AB99" s="1545"/>
      <c r="AC99" s="1503"/>
    </row>
    <row r="100" spans="1:29" x14ac:dyDescent="0.2">
      <c r="A100" s="1"/>
      <c r="B100" s="16">
        <v>9</v>
      </c>
      <c r="C100" s="1" t="s">
        <v>99</v>
      </c>
      <c r="D100" s="1" t="s">
        <v>100</v>
      </c>
      <c r="E100" s="16"/>
      <c r="F100" s="1415">
        <v>35716452.379999958</v>
      </c>
      <c r="G100" s="1415">
        <v>22852989.259999957</v>
      </c>
      <c r="H100" s="1415">
        <v>2971389.4799999963</v>
      </c>
      <c r="I100" s="1415">
        <v>0</v>
      </c>
      <c r="J100" s="1394">
        <v>61540831.119999908</v>
      </c>
      <c r="K100" s="734">
        <f t="shared" si="2"/>
        <v>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1495"/>
      <c r="Y100" s="1545"/>
      <c r="Z100" s="1545"/>
      <c r="AA100" s="1545"/>
      <c r="AB100" s="1545"/>
      <c r="AC100" s="1503"/>
    </row>
    <row r="101" spans="1:29" x14ac:dyDescent="0.2">
      <c r="A101" s="1"/>
      <c r="B101" s="16">
        <v>10</v>
      </c>
      <c r="C101" s="1" t="s">
        <v>101</v>
      </c>
      <c r="D101" s="1" t="s">
        <v>102</v>
      </c>
      <c r="E101" s="16"/>
      <c r="F101" s="1415">
        <v>2683861.8499999996</v>
      </c>
      <c r="G101" s="1415">
        <v>8159482.280000004</v>
      </c>
      <c r="H101" s="1415">
        <v>910269.58000000031</v>
      </c>
      <c r="I101" s="1415">
        <v>0</v>
      </c>
      <c r="J101" s="1394">
        <v>11753613.710000003</v>
      </c>
      <c r="K101" s="734">
        <f t="shared" si="2"/>
        <v>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495"/>
      <c r="Y101" s="1545"/>
      <c r="Z101" s="1545"/>
      <c r="AA101" s="1545"/>
      <c r="AB101" s="1545"/>
      <c r="AC101" s="1503"/>
    </row>
    <row r="102" spans="1:29" ht="15" x14ac:dyDescent="0.25">
      <c r="A102" s="1"/>
      <c r="B102" s="16">
        <v>11</v>
      </c>
      <c r="C102" s="1" t="s">
        <v>1237</v>
      </c>
      <c r="D102" s="1" t="s">
        <v>1230</v>
      </c>
      <c r="E102" s="1315" t="s">
        <v>104</v>
      </c>
      <c r="F102" s="1415">
        <v>42064361.090000004</v>
      </c>
      <c r="G102" s="1415">
        <v>68043568.759999901</v>
      </c>
      <c r="H102" s="1415">
        <v>16420909.21000002</v>
      </c>
      <c r="I102" s="1415">
        <v>43509118.869999982</v>
      </c>
      <c r="J102" s="1394">
        <v>170037957.92999992</v>
      </c>
      <c r="K102" s="734">
        <f t="shared" si="2"/>
        <v>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493"/>
      <c r="Y102" s="1545"/>
      <c r="Z102" s="1545"/>
      <c r="AA102" s="1545"/>
      <c r="AB102" s="1545"/>
      <c r="AC102" s="1503"/>
    </row>
    <row r="103" spans="1:29" ht="15" x14ac:dyDescent="0.25">
      <c r="A103" s="1"/>
      <c r="B103" s="16">
        <v>12</v>
      </c>
      <c r="C103" s="1" t="s">
        <v>1238</v>
      </c>
      <c r="D103" s="1" t="s">
        <v>1232</v>
      </c>
      <c r="E103" s="16"/>
      <c r="F103" s="1415">
        <v>166633757.63999996</v>
      </c>
      <c r="G103" s="1415">
        <v>188210803.86999995</v>
      </c>
      <c r="H103" s="1415">
        <v>5189735.49</v>
      </c>
      <c r="I103" s="1415">
        <v>364002.32</v>
      </c>
      <c r="J103" s="1394">
        <v>360398299.31999987</v>
      </c>
      <c r="K103" s="734">
        <f t="shared" si="2"/>
        <v>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493"/>
      <c r="Y103" s="1545"/>
      <c r="Z103" s="1545"/>
      <c r="AA103" s="1545"/>
      <c r="AB103" s="1545"/>
      <c r="AC103" s="1503"/>
    </row>
    <row r="104" spans="1:29" ht="15" x14ac:dyDescent="0.25">
      <c r="A104" s="1"/>
      <c r="B104" s="16">
        <v>13</v>
      </c>
      <c r="C104" s="1" t="s">
        <v>1239</v>
      </c>
      <c r="D104" s="1" t="s">
        <v>103</v>
      </c>
      <c r="E104" s="1315"/>
      <c r="F104" s="1415">
        <v>42536570.810000002</v>
      </c>
      <c r="G104" s="1415">
        <v>58294861.840000004</v>
      </c>
      <c r="H104" s="1415">
        <v>11299012.679999974</v>
      </c>
      <c r="I104" s="1415">
        <v>7491197.5099999998</v>
      </c>
      <c r="J104" s="1394">
        <v>119621642.83999999</v>
      </c>
      <c r="K104" s="734">
        <f t="shared" si="2"/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493"/>
      <c r="Y104" s="1545"/>
      <c r="Z104" s="1545"/>
      <c r="AA104" s="1545"/>
      <c r="AB104" s="1545"/>
      <c r="AC104" s="1503"/>
    </row>
    <row r="105" spans="1:29" x14ac:dyDescent="0.2">
      <c r="A105" s="1"/>
      <c r="B105" s="16">
        <v>14</v>
      </c>
      <c r="C105" s="1" t="s">
        <v>105</v>
      </c>
      <c r="D105" s="1" t="s">
        <v>106</v>
      </c>
      <c r="E105" s="16"/>
      <c r="F105" s="1415">
        <v>6510164.6499999994</v>
      </c>
      <c r="G105" s="1415">
        <v>9639077.560000021</v>
      </c>
      <c r="H105" s="1415">
        <v>1521329.4100000004</v>
      </c>
      <c r="I105" s="1415">
        <v>0</v>
      </c>
      <c r="J105" s="1394">
        <v>17670571.62000002</v>
      </c>
      <c r="K105" s="734">
        <f t="shared" si="2"/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495"/>
      <c r="Y105" s="1545"/>
      <c r="Z105" s="1545"/>
      <c r="AA105" s="1545"/>
      <c r="AB105" s="1545"/>
      <c r="AC105" s="1503"/>
    </row>
    <row r="106" spans="1:29" x14ac:dyDescent="0.2">
      <c r="A106" s="1"/>
      <c r="B106" s="16">
        <v>15</v>
      </c>
      <c r="C106" s="1" t="s">
        <v>107</v>
      </c>
      <c r="D106" s="1" t="s">
        <v>108</v>
      </c>
      <c r="E106" s="16"/>
      <c r="F106" s="1523">
        <v>0</v>
      </c>
      <c r="G106" s="1523">
        <v>0</v>
      </c>
      <c r="H106" s="1523">
        <v>0</v>
      </c>
      <c r="I106" s="1523">
        <v>0</v>
      </c>
      <c r="J106" s="1394">
        <v>0</v>
      </c>
      <c r="K106" s="734">
        <f t="shared" si="2"/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495"/>
      <c r="Y106" s="1545"/>
      <c r="Z106" s="1545"/>
      <c r="AA106" s="1545"/>
      <c r="AB106" s="1545"/>
      <c r="AC106" s="1503"/>
    </row>
    <row r="107" spans="1:29" ht="15" x14ac:dyDescent="0.25">
      <c r="A107" s="1"/>
      <c r="B107" s="16">
        <v>16</v>
      </c>
      <c r="C107" s="8" t="s">
        <v>109</v>
      </c>
      <c r="D107" s="8"/>
      <c r="E107" s="1315" t="s">
        <v>34</v>
      </c>
      <c r="F107" s="1499"/>
      <c r="G107" s="1499"/>
      <c r="H107" s="1499"/>
      <c r="I107" s="1390"/>
      <c r="J107" s="1394"/>
      <c r="K107" s="734">
        <f t="shared" si="2"/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493"/>
      <c r="Y107" s="1499"/>
      <c r="Z107" s="1499"/>
      <c r="AA107" s="1499"/>
      <c r="AB107" s="1498"/>
      <c r="AC107" s="1503"/>
    </row>
    <row r="108" spans="1:29" ht="15" x14ac:dyDescent="0.25">
      <c r="A108" s="1"/>
      <c r="B108" s="16">
        <v>17</v>
      </c>
      <c r="C108" s="1" t="s">
        <v>87</v>
      </c>
      <c r="D108" s="1" t="s">
        <v>38</v>
      </c>
      <c r="F108" s="1414">
        <v>0</v>
      </c>
      <c r="G108" s="1414">
        <v>0</v>
      </c>
      <c r="H108" s="1414">
        <v>0</v>
      </c>
      <c r="I108" s="1414">
        <v>0</v>
      </c>
      <c r="J108" s="1394">
        <v>0</v>
      </c>
      <c r="K108" s="734">
        <f t="shared" si="2"/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493"/>
      <c r="Y108" s="1546"/>
      <c r="Z108" s="1546"/>
      <c r="AA108" s="1546"/>
      <c r="AB108" s="1546"/>
      <c r="AC108" s="1503"/>
    </row>
    <row r="109" spans="1:29" ht="15" x14ac:dyDescent="0.25">
      <c r="A109" s="1"/>
      <c r="B109" s="16">
        <v>18</v>
      </c>
      <c r="C109" s="1" t="s">
        <v>88</v>
      </c>
      <c r="D109" s="1" t="s">
        <v>40</v>
      </c>
      <c r="E109" s="1315"/>
      <c r="F109" s="1415">
        <v>14265.92</v>
      </c>
      <c r="G109" s="1415">
        <v>18457.990000000002</v>
      </c>
      <c r="H109" s="1415">
        <v>799.17</v>
      </c>
      <c r="I109" s="1415">
        <v>315.04000000000002</v>
      </c>
      <c r="J109" s="1394">
        <v>33838.120000000003</v>
      </c>
      <c r="K109" s="734">
        <f t="shared" si="2"/>
        <v>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493"/>
      <c r="Y109" s="1547"/>
      <c r="Z109" s="1547"/>
      <c r="AA109" s="1547"/>
      <c r="AB109" s="1547"/>
      <c r="AC109" s="1503"/>
    </row>
    <row r="110" spans="1:29" ht="15" x14ac:dyDescent="0.25">
      <c r="A110" s="1"/>
      <c r="B110" s="16">
        <v>19</v>
      </c>
      <c r="C110" s="1" t="s">
        <v>89</v>
      </c>
      <c r="D110" s="1" t="s">
        <v>42</v>
      </c>
      <c r="E110" s="1315"/>
      <c r="F110" s="1415">
        <v>11952440.51</v>
      </c>
      <c r="G110" s="1415">
        <v>21370930.170000002</v>
      </c>
      <c r="H110" s="1415">
        <v>2970219.48</v>
      </c>
      <c r="I110" s="1415">
        <v>1393656.98</v>
      </c>
      <c r="J110" s="1394">
        <v>37687247.139999993</v>
      </c>
      <c r="K110" s="734">
        <f t="shared" si="2"/>
        <v>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493"/>
      <c r="Y110" s="1547"/>
      <c r="Z110" s="1547"/>
      <c r="AA110" s="1547"/>
      <c r="AB110" s="1547"/>
      <c r="AC110" s="1503"/>
    </row>
    <row r="111" spans="1:29" ht="15" x14ac:dyDescent="0.25">
      <c r="A111" s="1"/>
      <c r="B111" s="16">
        <v>20</v>
      </c>
      <c r="C111" s="1" t="s">
        <v>90</v>
      </c>
      <c r="D111" s="1" t="s">
        <v>91</v>
      </c>
      <c r="E111" s="1315"/>
      <c r="F111" s="1415">
        <v>2480124.16</v>
      </c>
      <c r="G111" s="1415">
        <v>2172899.64</v>
      </c>
      <c r="H111" s="1415">
        <v>240727.43</v>
      </c>
      <c r="I111" s="1415">
        <v>164071.5</v>
      </c>
      <c r="J111" s="1394">
        <v>5057822.7300000004</v>
      </c>
      <c r="K111" s="734">
        <f t="shared" si="2"/>
        <v>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493"/>
      <c r="Y111" s="1547"/>
      <c r="Z111" s="1547"/>
      <c r="AA111" s="1547"/>
      <c r="AB111" s="1547"/>
      <c r="AC111" s="1503"/>
    </row>
    <row r="112" spans="1:29" ht="15" x14ac:dyDescent="0.25">
      <c r="A112" s="1"/>
      <c r="B112" s="16">
        <v>21</v>
      </c>
      <c r="C112" s="1" t="s">
        <v>92</v>
      </c>
      <c r="D112" s="1" t="s">
        <v>94</v>
      </c>
      <c r="E112" s="1315"/>
      <c r="F112" s="1415">
        <v>2447749.25</v>
      </c>
      <c r="G112" s="1415">
        <v>1911250.96</v>
      </c>
      <c r="H112" s="1415">
        <v>0</v>
      </c>
      <c r="I112" s="1415">
        <v>0</v>
      </c>
      <c r="J112" s="1394">
        <v>4359000.21</v>
      </c>
      <c r="K112" s="734">
        <f t="shared" si="2"/>
        <v>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1493"/>
      <c r="Y112" s="1547"/>
      <c r="Z112" s="1547"/>
      <c r="AA112" s="1547"/>
      <c r="AB112" s="1547"/>
      <c r="AC112" s="1503"/>
    </row>
    <row r="113" spans="1:29" ht="15" x14ac:dyDescent="0.25">
      <c r="A113" s="1"/>
      <c r="B113" s="16">
        <v>22</v>
      </c>
      <c r="C113" s="1" t="s">
        <v>95</v>
      </c>
      <c r="D113" s="1" t="s">
        <v>96</v>
      </c>
      <c r="E113" s="1315"/>
      <c r="F113" s="1415">
        <v>327968.01</v>
      </c>
      <c r="G113" s="1415">
        <v>897247.06</v>
      </c>
      <c r="H113" s="1415">
        <v>85306.45</v>
      </c>
      <c r="I113" s="1415">
        <v>0</v>
      </c>
      <c r="J113" s="1394">
        <v>1310521.52</v>
      </c>
      <c r="K113" s="734">
        <f t="shared" si="2"/>
        <v>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1493"/>
      <c r="Y113" s="1547"/>
      <c r="Z113" s="1547"/>
      <c r="AA113" s="1547"/>
      <c r="AB113" s="1547"/>
      <c r="AC113" s="1503"/>
    </row>
    <row r="114" spans="1:29" ht="15" x14ac:dyDescent="0.25">
      <c r="A114" s="1"/>
      <c r="B114" s="16">
        <v>23</v>
      </c>
      <c r="C114" s="1" t="s">
        <v>97</v>
      </c>
      <c r="D114" s="1" t="s">
        <v>98</v>
      </c>
      <c r="E114" s="1315"/>
      <c r="F114" s="1415">
        <v>3335625.43</v>
      </c>
      <c r="G114" s="1415">
        <v>5513977.5</v>
      </c>
      <c r="H114" s="1415">
        <v>452222.55</v>
      </c>
      <c r="I114" s="1415">
        <v>0</v>
      </c>
      <c r="J114" s="1394">
        <v>9301825.4800000004</v>
      </c>
      <c r="K114" s="734">
        <f t="shared" si="2"/>
        <v>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1493"/>
      <c r="Y114" s="1547"/>
      <c r="Z114" s="1547"/>
      <c r="AA114" s="1547"/>
      <c r="AB114" s="1547"/>
      <c r="AC114" s="1503"/>
    </row>
    <row r="115" spans="1:29" ht="15" x14ac:dyDescent="0.25">
      <c r="A115" s="1"/>
      <c r="B115" s="16">
        <v>24</v>
      </c>
      <c r="C115" s="1" t="s">
        <v>99</v>
      </c>
      <c r="D115" s="1" t="s">
        <v>100</v>
      </c>
      <c r="E115" s="1315"/>
      <c r="F115" s="1415">
        <v>7783144.54</v>
      </c>
      <c r="G115" s="1415">
        <v>4724590.0999999996</v>
      </c>
      <c r="H115" s="1415">
        <v>537112.02</v>
      </c>
      <c r="I115" s="1415">
        <v>0</v>
      </c>
      <c r="J115" s="1394">
        <v>13044846.66</v>
      </c>
      <c r="K115" s="734">
        <f t="shared" si="2"/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1493"/>
      <c r="Y115" s="1547"/>
      <c r="Z115" s="1547"/>
      <c r="AA115" s="1547"/>
      <c r="AB115" s="1547"/>
      <c r="AC115" s="1503"/>
    </row>
    <row r="116" spans="1:29" ht="15" x14ac:dyDescent="0.25">
      <c r="A116" s="1"/>
      <c r="B116" s="16">
        <v>25</v>
      </c>
      <c r="C116" s="1" t="s">
        <v>101</v>
      </c>
      <c r="D116" s="1" t="s">
        <v>102</v>
      </c>
      <c r="E116" s="1315"/>
      <c r="F116" s="1415">
        <v>844389.01</v>
      </c>
      <c r="G116" s="1415">
        <v>1865874.33</v>
      </c>
      <c r="H116" s="1415">
        <v>193798.38</v>
      </c>
      <c r="I116" s="1415">
        <v>0</v>
      </c>
      <c r="J116" s="1394">
        <v>2904061.7199999997</v>
      </c>
      <c r="K116" s="734">
        <f t="shared" si="2"/>
        <v>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493"/>
      <c r="Y116" s="1547"/>
      <c r="Z116" s="1547"/>
      <c r="AA116" s="1547"/>
      <c r="AB116" s="1547"/>
      <c r="AC116" s="1503"/>
    </row>
    <row r="117" spans="1:29" ht="15" x14ac:dyDescent="0.25">
      <c r="A117" s="1"/>
      <c r="B117" s="16">
        <v>26</v>
      </c>
      <c r="C117" s="1" t="s">
        <v>1237</v>
      </c>
      <c r="D117" s="1" t="s">
        <v>1230</v>
      </c>
      <c r="E117" s="1315"/>
      <c r="F117" s="1415">
        <v>17243264.449999999</v>
      </c>
      <c r="G117" s="1415">
        <v>27983615.629999999</v>
      </c>
      <c r="H117" s="1415">
        <v>6754448.7999999998</v>
      </c>
      <c r="I117" s="1415">
        <v>17896701.699999999</v>
      </c>
      <c r="J117" s="1394">
        <v>69878030.579999998</v>
      </c>
      <c r="K117" s="734">
        <f t="shared" si="2"/>
        <v>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493"/>
      <c r="Y117" s="1547"/>
      <c r="Z117" s="1547"/>
      <c r="AA117" s="1547"/>
      <c r="AB117" s="1547"/>
      <c r="AC117" s="1503"/>
    </row>
    <row r="118" spans="1:29" ht="12.95" customHeight="1" x14ac:dyDescent="0.25">
      <c r="A118" s="1"/>
      <c r="B118" s="16">
        <v>27</v>
      </c>
      <c r="C118" s="1" t="s">
        <v>1238</v>
      </c>
      <c r="D118" s="1" t="s">
        <v>1232</v>
      </c>
      <c r="E118" s="1315"/>
      <c r="F118" s="1415">
        <v>45880881.789999999</v>
      </c>
      <c r="G118" s="1415">
        <v>51821898.32</v>
      </c>
      <c r="H118" s="1415">
        <v>1428939.99</v>
      </c>
      <c r="I118" s="1415">
        <v>100224.27</v>
      </c>
      <c r="J118" s="1394">
        <v>99231944.36999999</v>
      </c>
      <c r="K118" s="734">
        <f t="shared" si="2"/>
        <v>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493"/>
      <c r="Y118" s="1547"/>
      <c r="Z118" s="1547"/>
      <c r="AA118" s="1547"/>
      <c r="AB118" s="1547"/>
      <c r="AC118" s="1503"/>
    </row>
    <row r="119" spans="1:29" ht="15" x14ac:dyDescent="0.25">
      <c r="A119" s="1"/>
      <c r="B119" s="16">
        <v>28</v>
      </c>
      <c r="C119" s="1" t="s">
        <v>1239</v>
      </c>
      <c r="D119" s="1" t="s">
        <v>103</v>
      </c>
      <c r="E119" s="1315"/>
      <c r="F119" s="1415">
        <v>7975629.3399999999</v>
      </c>
      <c r="G119" s="1415">
        <v>9583076.1699999999</v>
      </c>
      <c r="H119" s="1415">
        <v>2013076.53</v>
      </c>
      <c r="I119" s="1415">
        <v>1372485.37</v>
      </c>
      <c r="J119" s="1394">
        <v>20944267.41</v>
      </c>
      <c r="K119" s="734">
        <f t="shared" si="2"/>
        <v>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1493"/>
      <c r="Y119" s="1547"/>
      <c r="Z119" s="1547"/>
      <c r="AA119" s="1547"/>
      <c r="AB119" s="1547"/>
      <c r="AC119" s="1503"/>
    </row>
    <row r="120" spans="1:29" ht="16.5" customHeight="1" x14ac:dyDescent="0.25">
      <c r="A120" s="1"/>
      <c r="B120" s="16">
        <v>29</v>
      </c>
      <c r="C120" s="1" t="s">
        <v>105</v>
      </c>
      <c r="D120" s="1" t="s">
        <v>106</v>
      </c>
      <c r="E120" s="1315"/>
      <c r="F120" s="1415">
        <v>1123106.33</v>
      </c>
      <c r="G120" s="1415">
        <v>1226435.93</v>
      </c>
      <c r="H120" s="1415">
        <v>211936.69</v>
      </c>
      <c r="I120" s="1415">
        <v>0</v>
      </c>
      <c r="J120" s="1394">
        <v>2561478.9499999997</v>
      </c>
      <c r="K120" s="734">
        <f t="shared" si="2"/>
        <v>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1493"/>
      <c r="Y120" s="1547"/>
      <c r="Z120" s="1547"/>
      <c r="AA120" s="1547"/>
      <c r="AB120" s="1547"/>
      <c r="AC120" s="1503"/>
    </row>
    <row r="121" spans="1:29" ht="15" x14ac:dyDescent="0.25">
      <c r="A121" s="8"/>
      <c r="B121" s="16">
        <v>30</v>
      </c>
      <c r="C121" s="1" t="s">
        <v>107</v>
      </c>
      <c r="D121" s="1" t="s">
        <v>108</v>
      </c>
      <c r="E121" s="1315"/>
      <c r="F121" s="1523">
        <v>0</v>
      </c>
      <c r="G121" s="1523">
        <v>0</v>
      </c>
      <c r="H121" s="1523">
        <v>0</v>
      </c>
      <c r="I121" s="1523">
        <v>0</v>
      </c>
      <c r="J121" s="1394">
        <v>0</v>
      </c>
      <c r="K121" s="734">
        <f t="shared" si="2"/>
        <v>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493"/>
      <c r="Y121" s="1547"/>
      <c r="Z121" s="1547"/>
      <c r="AA121" s="1547"/>
      <c r="AB121" s="1547"/>
      <c r="AC121" s="1503"/>
    </row>
    <row r="122" spans="1:29" ht="15" x14ac:dyDescent="0.25">
      <c r="A122" s="8"/>
      <c r="B122" s="16"/>
      <c r="C122" s="1"/>
      <c r="D122" s="1"/>
      <c r="E122" s="1315"/>
      <c r="F122" s="1505"/>
      <c r="G122" s="1505"/>
      <c r="H122" s="1505"/>
      <c r="I122" s="1505"/>
      <c r="J122" s="1394"/>
      <c r="K122" s="734">
        <f t="shared" si="2"/>
        <v>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493"/>
      <c r="Y122" s="1505"/>
      <c r="Z122" s="1505"/>
      <c r="AA122" s="1505"/>
      <c r="AB122" s="1505"/>
      <c r="AC122" s="1503"/>
    </row>
    <row r="123" spans="1:29" ht="15" x14ac:dyDescent="0.25">
      <c r="A123" s="8"/>
      <c r="B123" s="16"/>
      <c r="C123" s="1"/>
      <c r="D123" s="1"/>
      <c r="E123" s="1315"/>
      <c r="F123" s="1505"/>
      <c r="G123" s="1505"/>
      <c r="H123" s="1505"/>
      <c r="I123" s="1505"/>
      <c r="J123" s="1394"/>
      <c r="K123" s="734">
        <f t="shared" si="2"/>
        <v>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493"/>
      <c r="Y123" s="1505"/>
      <c r="Z123" s="1505"/>
      <c r="AA123" s="1505"/>
      <c r="AB123" s="1505"/>
      <c r="AC123" s="1503"/>
    </row>
    <row r="124" spans="1:29" ht="15" x14ac:dyDescent="0.25">
      <c r="A124" s="1"/>
      <c r="B124" s="16">
        <v>1</v>
      </c>
      <c r="C124" s="33" t="s">
        <v>110</v>
      </c>
      <c r="D124" s="34"/>
      <c r="E124" s="806"/>
      <c r="F124" s="1396"/>
      <c r="G124" s="1510"/>
      <c r="H124" s="1510"/>
      <c r="I124" s="1510"/>
      <c r="J124" s="1394"/>
      <c r="K124" s="734">
        <f t="shared" si="2"/>
        <v>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1508"/>
      <c r="Y124" s="1509"/>
      <c r="Z124" s="1510"/>
      <c r="AA124" s="1510"/>
      <c r="AB124" s="1510"/>
      <c r="AC124" s="1503"/>
    </row>
    <row r="125" spans="1:29" ht="15" x14ac:dyDescent="0.25">
      <c r="A125" s="8"/>
      <c r="B125" s="16">
        <v>2</v>
      </c>
      <c r="C125" s="38">
        <v>107</v>
      </c>
      <c r="D125" s="40" t="s">
        <v>111</v>
      </c>
      <c r="E125" s="36" t="s">
        <v>112</v>
      </c>
      <c r="F125" s="1619">
        <v>0</v>
      </c>
      <c r="G125" s="1619">
        <v>0</v>
      </c>
      <c r="H125" s="1619">
        <v>0</v>
      </c>
      <c r="I125" s="1619">
        <v>0</v>
      </c>
      <c r="J125" s="1394">
        <v>0</v>
      </c>
      <c r="K125" s="734">
        <f t="shared" si="2"/>
        <v>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1509"/>
      <c r="Y125" s="1548"/>
      <c r="Z125" s="1548"/>
      <c r="AA125" s="1548"/>
      <c r="AB125" s="1548"/>
      <c r="AC125" s="1503"/>
    </row>
    <row r="126" spans="1:29" ht="15" x14ac:dyDescent="0.25">
      <c r="A126" s="1"/>
      <c r="B126" s="16">
        <v>3</v>
      </c>
      <c r="C126" s="38">
        <v>105</v>
      </c>
      <c r="D126" s="40" t="s">
        <v>113</v>
      </c>
      <c r="E126" s="36" t="s">
        <v>114</v>
      </c>
      <c r="F126" s="1620">
        <v>61450357.970000021</v>
      </c>
      <c r="G126" s="1620">
        <v>6705448.3699999982</v>
      </c>
      <c r="H126" s="1620">
        <v>0</v>
      </c>
      <c r="I126" s="1620">
        <v>0</v>
      </c>
      <c r="J126" s="1394">
        <v>68155806.340000018</v>
      </c>
      <c r="K126" s="734">
        <f t="shared" si="2"/>
        <v>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1509"/>
      <c r="Y126" s="1549"/>
      <c r="Z126" s="1549"/>
      <c r="AA126" s="1549"/>
      <c r="AB126" s="1549"/>
      <c r="AC126" s="1503"/>
    </row>
    <row r="127" spans="1:29" ht="15" x14ac:dyDescent="0.25">
      <c r="A127" s="8"/>
      <c r="B127" s="16">
        <v>4</v>
      </c>
      <c r="C127" s="38">
        <v>154</v>
      </c>
      <c r="D127" s="40" t="s">
        <v>115</v>
      </c>
      <c r="E127" s="36" t="s">
        <v>116</v>
      </c>
      <c r="F127" s="1620">
        <v>204573945.84</v>
      </c>
      <c r="G127" s="1620">
        <v>138215277.31999999</v>
      </c>
      <c r="H127" s="1620">
        <v>1087596.75</v>
      </c>
      <c r="I127" s="1620">
        <v>0</v>
      </c>
      <c r="J127" s="1394">
        <v>343876819.90999997</v>
      </c>
      <c r="K127" s="734">
        <f t="shared" si="2"/>
        <v>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1509"/>
      <c r="Y127" s="1549"/>
      <c r="Z127" s="1549"/>
      <c r="AA127" s="1549"/>
      <c r="AB127" s="1549"/>
      <c r="AC127" s="1503"/>
    </row>
    <row r="128" spans="1:29" ht="15" x14ac:dyDescent="0.25">
      <c r="A128" s="8"/>
      <c r="B128" s="16">
        <v>5</v>
      </c>
      <c r="C128" s="38">
        <v>163</v>
      </c>
      <c r="D128" s="40" t="s">
        <v>117</v>
      </c>
      <c r="E128" s="36" t="s">
        <v>116</v>
      </c>
      <c r="F128" s="1620">
        <v>14554761.67</v>
      </c>
      <c r="G128" s="1620">
        <v>19742788.43</v>
      </c>
      <c r="H128" s="1620">
        <v>154202.72</v>
      </c>
      <c r="I128" s="1620">
        <v>0</v>
      </c>
      <c r="J128" s="1394">
        <v>34451752.82</v>
      </c>
      <c r="K128" s="734">
        <f t="shared" si="2"/>
        <v>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1509"/>
      <c r="Y128" s="1549"/>
      <c r="Z128" s="1549"/>
      <c r="AA128" s="1549"/>
      <c r="AB128" s="1549"/>
      <c r="AC128" s="1503"/>
    </row>
    <row r="129" spans="1:31" ht="15" x14ac:dyDescent="0.25">
      <c r="A129" s="8"/>
      <c r="B129" s="16">
        <v>6</v>
      </c>
      <c r="C129" s="38"/>
      <c r="D129" s="40" t="s">
        <v>118</v>
      </c>
      <c r="E129" s="36" t="s">
        <v>119</v>
      </c>
      <c r="F129" s="1620">
        <v>-56089574.129999995</v>
      </c>
      <c r="G129" s="1620">
        <v>-25613472.190000005</v>
      </c>
      <c r="H129" s="1620">
        <v>-298798.5199999999</v>
      </c>
      <c r="I129" s="1620">
        <v>175757.58000000461</v>
      </c>
      <c r="J129" s="1394">
        <v>-81826087.25999999</v>
      </c>
      <c r="K129" s="734">
        <f t="shared" si="2"/>
        <v>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1509"/>
      <c r="Y129" s="1549"/>
      <c r="Z129" s="1549"/>
      <c r="AA129" s="1549"/>
      <c r="AB129" s="1549"/>
      <c r="AC129" s="1503"/>
      <c r="AD129" s="339"/>
    </row>
    <row r="130" spans="1:31" ht="15" x14ac:dyDescent="0.25">
      <c r="A130" s="8"/>
      <c r="B130" s="16">
        <v>7</v>
      </c>
      <c r="C130" s="38">
        <v>165</v>
      </c>
      <c r="D130" s="40" t="s">
        <v>120</v>
      </c>
      <c r="E130" s="36" t="s">
        <v>121</v>
      </c>
      <c r="F130" s="1620">
        <v>17382401.434679456</v>
      </c>
      <c r="G130" s="1620">
        <v>127742955.85948826</v>
      </c>
      <c r="H130" s="1620">
        <v>584939.38897891541</v>
      </c>
      <c r="I130" s="1620">
        <v>529501.175314861</v>
      </c>
      <c r="J130" s="1394">
        <v>146239797.85846153</v>
      </c>
      <c r="K130" s="734">
        <f t="shared" si="2"/>
        <v>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1509"/>
      <c r="Y130" s="1549"/>
      <c r="Z130" s="1549"/>
      <c r="AA130" s="1549"/>
      <c r="AB130" s="1549"/>
      <c r="AC130" s="1503"/>
      <c r="AD130" s="339"/>
    </row>
    <row r="131" spans="1:31" ht="15" x14ac:dyDescent="0.25">
      <c r="A131" s="8"/>
      <c r="B131" s="16">
        <v>8</v>
      </c>
      <c r="C131" s="610">
        <v>114</v>
      </c>
      <c r="D131" s="647" t="s">
        <v>925</v>
      </c>
      <c r="E131" s="36" t="s">
        <v>123</v>
      </c>
      <c r="F131" s="1620">
        <v>517979.78</v>
      </c>
      <c r="G131" s="1620">
        <v>-1971551.94</v>
      </c>
      <c r="H131" s="1620">
        <v>0</v>
      </c>
      <c r="I131" s="1620">
        <v>0</v>
      </c>
      <c r="J131" s="1394">
        <v>-1453572.16</v>
      </c>
      <c r="K131" s="734">
        <f t="shared" si="2"/>
        <v>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1509"/>
      <c r="Y131" s="1549"/>
      <c r="Z131" s="1549"/>
      <c r="AA131" s="1549"/>
      <c r="AB131" s="1549"/>
      <c r="AC131" s="1503"/>
      <c r="AD131" s="339"/>
    </row>
    <row r="132" spans="1:31" s="321" customFormat="1" ht="15" x14ac:dyDescent="0.25">
      <c r="A132" s="1"/>
      <c r="B132" s="16">
        <v>9</v>
      </c>
      <c r="C132" s="610">
        <v>283</v>
      </c>
      <c r="D132" s="647" t="s">
        <v>1118</v>
      </c>
      <c r="E132" s="36" t="s">
        <v>123</v>
      </c>
      <c r="F132" s="1620">
        <v>0</v>
      </c>
      <c r="G132" s="1620">
        <v>-6409.94</v>
      </c>
      <c r="H132" s="1620">
        <v>-302530.2</v>
      </c>
      <c r="I132" s="1620">
        <v>0</v>
      </c>
      <c r="J132" s="1394">
        <v>-308940.14</v>
      </c>
      <c r="K132" s="734">
        <f t="shared" si="2"/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1509"/>
      <c r="Y132" s="1549"/>
      <c r="Z132" s="1549"/>
      <c r="AA132" s="1549"/>
      <c r="AB132" s="1549"/>
      <c r="AC132" s="1503"/>
      <c r="AD132" s="339"/>
      <c r="AE132" s="339"/>
    </row>
    <row r="133" spans="1:31" s="321" customFormat="1" ht="15" x14ac:dyDescent="0.25">
      <c r="A133" s="1"/>
      <c r="B133" s="16">
        <v>10</v>
      </c>
      <c r="C133" s="38"/>
      <c r="D133" s="40" t="s">
        <v>124</v>
      </c>
      <c r="E133" s="36" t="s">
        <v>1169</v>
      </c>
      <c r="F133" s="1621">
        <v>1258956234.8500001</v>
      </c>
      <c r="G133" s="1621">
        <v>1434321915.47</v>
      </c>
      <c r="H133" s="1621">
        <v>11971648.140000001</v>
      </c>
      <c r="I133" s="1621">
        <v>52031200.460000001</v>
      </c>
      <c r="J133" s="1394">
        <v>2757280998.9200001</v>
      </c>
      <c r="K133" s="734">
        <f t="shared" si="2"/>
        <v>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1509"/>
      <c r="Y133" s="1549"/>
      <c r="Z133" s="1549"/>
      <c r="AA133" s="1549"/>
      <c r="AB133" s="1549"/>
      <c r="AC133" s="1503"/>
      <c r="AD133" s="339"/>
      <c r="AE133" s="339"/>
    </row>
    <row r="134" spans="1:31" s="321" customFormat="1" ht="15" x14ac:dyDescent="0.25">
      <c r="A134" s="1"/>
      <c r="B134" s="16"/>
      <c r="C134" s="41"/>
      <c r="D134" s="40"/>
      <c r="E134" s="36"/>
      <c r="F134" s="1399"/>
      <c r="G134" s="1399"/>
      <c r="H134" s="1399"/>
      <c r="I134" s="1399"/>
      <c r="J134" s="1394"/>
      <c r="K134" s="734">
        <f t="shared" si="2"/>
        <v>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1509"/>
      <c r="Y134" s="1550"/>
      <c r="Z134" s="1550"/>
      <c r="AA134" s="1550"/>
      <c r="AB134" s="1550"/>
      <c r="AC134" s="1503"/>
      <c r="AD134" s="357"/>
      <c r="AE134" s="339"/>
    </row>
    <row r="135" spans="1:31" ht="15" x14ac:dyDescent="0.25">
      <c r="A135" s="31"/>
      <c r="B135" s="16">
        <v>1</v>
      </c>
      <c r="C135" s="34" t="s">
        <v>126</v>
      </c>
      <c r="D135" s="42"/>
      <c r="E135" s="806" t="s">
        <v>127</v>
      </c>
      <c r="F135" s="1399"/>
      <c r="G135" s="1399"/>
      <c r="H135" s="1399"/>
      <c r="I135" s="1399"/>
      <c r="J135" s="1394"/>
      <c r="K135" s="734">
        <f t="shared" si="2"/>
        <v>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508"/>
      <c r="Y135" s="1550"/>
      <c r="Z135" s="1550"/>
      <c r="AA135" s="1550"/>
      <c r="AB135" s="1550"/>
      <c r="AC135" s="1503"/>
    </row>
    <row r="136" spans="1:31" ht="15" x14ac:dyDescent="0.25">
      <c r="A136" s="31"/>
      <c r="B136" s="16">
        <v>2</v>
      </c>
      <c r="C136" s="1008">
        <v>189</v>
      </c>
      <c r="D136" s="321" t="s">
        <v>1324</v>
      </c>
      <c r="F136" s="1619">
        <v>0</v>
      </c>
      <c r="G136" s="1619">
        <v>0</v>
      </c>
      <c r="H136" s="1619">
        <v>0</v>
      </c>
      <c r="I136" s="1619">
        <v>0</v>
      </c>
      <c r="J136" s="1394">
        <v>0</v>
      </c>
      <c r="K136" s="734">
        <f t="shared" si="2"/>
        <v>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509"/>
      <c r="Y136" s="1548"/>
      <c r="Z136" s="1548"/>
      <c r="AA136" s="1548"/>
      <c r="AB136" s="1548"/>
      <c r="AC136" s="1503"/>
    </row>
    <row r="137" spans="1:31" ht="15" x14ac:dyDescent="0.25">
      <c r="A137" s="31"/>
      <c r="B137" s="16">
        <v>3</v>
      </c>
      <c r="C137" s="1008">
        <v>182</v>
      </c>
      <c r="D137" s="321" t="s">
        <v>1325</v>
      </c>
      <c r="F137" s="1620">
        <v>0</v>
      </c>
      <c r="G137" s="1620">
        <v>493721</v>
      </c>
      <c r="H137" s="1620">
        <v>0</v>
      </c>
      <c r="I137" s="1620">
        <v>0</v>
      </c>
      <c r="J137" s="1394">
        <v>493721</v>
      </c>
      <c r="K137" s="734">
        <f t="shared" si="2"/>
        <v>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1509"/>
      <c r="Y137" s="1549"/>
      <c r="Z137" s="1549"/>
      <c r="AA137" s="1549"/>
      <c r="AB137" s="1549"/>
      <c r="AC137" s="1503"/>
    </row>
    <row r="138" spans="1:31" ht="15" x14ac:dyDescent="0.25">
      <c r="A138" s="31"/>
      <c r="B138" s="16">
        <v>4</v>
      </c>
      <c r="C138" s="1008">
        <v>182</v>
      </c>
      <c r="D138" s="321" t="s">
        <v>1243</v>
      </c>
      <c r="F138" s="1620">
        <v>0</v>
      </c>
      <c r="G138" s="1620">
        <v>727219.48</v>
      </c>
      <c r="H138" s="1620">
        <v>0</v>
      </c>
      <c r="I138" s="1620">
        <v>0</v>
      </c>
      <c r="J138" s="1394">
        <v>727219.48</v>
      </c>
      <c r="K138" s="734">
        <f t="shared" si="2"/>
        <v>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1509"/>
      <c r="Y138" s="1549"/>
      <c r="Z138" s="1549"/>
      <c r="AA138" s="1549"/>
      <c r="AB138" s="1549"/>
      <c r="AC138" s="1503"/>
    </row>
    <row r="139" spans="1:31" ht="12.95" customHeight="1" x14ac:dyDescent="0.25">
      <c r="A139" s="31"/>
      <c r="B139" s="16">
        <v>5</v>
      </c>
      <c r="C139" s="1008">
        <v>182</v>
      </c>
      <c r="D139" s="321" t="s">
        <v>1244</v>
      </c>
      <c r="F139" s="1620">
        <v>1012598.52</v>
      </c>
      <c r="G139" s="1620">
        <v>0</v>
      </c>
      <c r="H139" s="1620">
        <v>0</v>
      </c>
      <c r="I139" s="1620">
        <v>0</v>
      </c>
      <c r="J139" s="1394">
        <v>1012598.52</v>
      </c>
      <c r="K139" s="734">
        <f t="shared" si="2"/>
        <v>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1509"/>
      <c r="Y139" s="1549"/>
      <c r="Z139" s="1549"/>
      <c r="AA139" s="1549"/>
      <c r="AB139" s="1549"/>
      <c r="AC139" s="1503"/>
    </row>
    <row r="140" spans="1:31" ht="15" x14ac:dyDescent="0.25">
      <c r="A140" s="31"/>
      <c r="B140" s="16">
        <v>6</v>
      </c>
      <c r="C140" s="1008">
        <v>182</v>
      </c>
      <c r="D140" s="321" t="s">
        <v>1245</v>
      </c>
      <c r="F140" s="1620">
        <v>0</v>
      </c>
      <c r="G140" s="1620">
        <v>0</v>
      </c>
      <c r="H140" s="1620">
        <v>0</v>
      </c>
      <c r="I140" s="1620">
        <v>0</v>
      </c>
      <c r="J140" s="1394">
        <v>0</v>
      </c>
      <c r="K140" s="734">
        <f t="shared" si="2"/>
        <v>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509"/>
      <c r="Y140" s="1549"/>
      <c r="Z140" s="1549"/>
      <c r="AA140" s="1549"/>
      <c r="AB140" s="1549"/>
      <c r="AC140" s="1503"/>
    </row>
    <row r="141" spans="1:31" ht="15" x14ac:dyDescent="0.25">
      <c r="A141" s="31"/>
      <c r="B141" s="16">
        <v>7</v>
      </c>
      <c r="C141" s="1008">
        <v>182</v>
      </c>
      <c r="D141" s="321" t="s">
        <v>1246</v>
      </c>
      <c r="E141" s="36"/>
      <c r="F141" s="1620">
        <v>484273.18</v>
      </c>
      <c r="G141" s="1620">
        <v>213256.8</v>
      </c>
      <c r="H141" s="1620">
        <v>0</v>
      </c>
      <c r="I141" s="1620">
        <v>0</v>
      </c>
      <c r="J141" s="1394">
        <v>697529.98</v>
      </c>
      <c r="K141" s="734">
        <f t="shared" si="2"/>
        <v>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1509"/>
      <c r="Y141" s="1549"/>
      <c r="Z141" s="1549"/>
      <c r="AA141" s="1549"/>
      <c r="AB141" s="1549"/>
      <c r="AC141" s="1503"/>
    </row>
    <row r="142" spans="1:31" ht="15" x14ac:dyDescent="0.25">
      <c r="A142" s="31"/>
      <c r="B142" s="16">
        <v>8</v>
      </c>
      <c r="C142" s="38">
        <v>182</v>
      </c>
      <c r="D142" s="41" t="s">
        <v>1247</v>
      </c>
      <c r="E142" s="36"/>
      <c r="F142" s="1620">
        <v>0</v>
      </c>
      <c r="G142" s="1620">
        <v>0</v>
      </c>
      <c r="H142" s="1620">
        <v>0</v>
      </c>
      <c r="I142" s="1620">
        <v>0</v>
      </c>
      <c r="J142" s="1394">
        <v>0</v>
      </c>
      <c r="K142" s="734">
        <f t="shared" si="2"/>
        <v>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509"/>
      <c r="Y142" s="1549"/>
      <c r="Z142" s="1549"/>
      <c r="AA142" s="1549"/>
      <c r="AB142" s="1549"/>
      <c r="AC142" s="1503"/>
    </row>
    <row r="143" spans="1:31" ht="15" x14ac:dyDescent="0.25">
      <c r="A143" s="31"/>
      <c r="B143" s="16">
        <v>9</v>
      </c>
      <c r="C143" s="38">
        <v>182</v>
      </c>
      <c r="D143" s="41" t="s">
        <v>1248</v>
      </c>
      <c r="E143" s="36"/>
      <c r="F143" s="1620">
        <v>0</v>
      </c>
      <c r="G143" s="1620">
        <v>0</v>
      </c>
      <c r="H143" s="1620">
        <v>0</v>
      </c>
      <c r="I143" s="1620">
        <v>5231900.28</v>
      </c>
      <c r="J143" s="1394">
        <v>5231900.28</v>
      </c>
      <c r="K143" s="734">
        <f t="shared" si="2"/>
        <v>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509"/>
      <c r="Y143" s="1549"/>
      <c r="Z143" s="1549"/>
      <c r="AA143" s="1549"/>
      <c r="AB143" s="1549"/>
      <c r="AC143" s="1503"/>
    </row>
    <row r="144" spans="1:31" ht="15" x14ac:dyDescent="0.25">
      <c r="A144" s="31"/>
      <c r="B144" s="16">
        <v>10</v>
      </c>
      <c r="C144" s="38">
        <v>182</v>
      </c>
      <c r="D144" s="41" t="s">
        <v>1249</v>
      </c>
      <c r="E144" s="36"/>
      <c r="F144" s="1620">
        <v>0</v>
      </c>
      <c r="G144" s="1620">
        <v>0</v>
      </c>
      <c r="H144" s="1620">
        <v>0</v>
      </c>
      <c r="I144" s="1620">
        <v>2661400.7999999998</v>
      </c>
      <c r="J144" s="1394">
        <v>2661400.7999999998</v>
      </c>
      <c r="K144" s="734">
        <f t="shared" si="2"/>
        <v>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1509"/>
      <c r="Y144" s="1549"/>
      <c r="Z144" s="1549"/>
      <c r="AA144" s="1549"/>
      <c r="AB144" s="1549"/>
      <c r="AC144" s="1503"/>
    </row>
    <row r="145" spans="1:31" ht="15" x14ac:dyDescent="0.25">
      <c r="A145" s="31"/>
      <c r="B145" s="16">
        <v>11</v>
      </c>
      <c r="C145" s="38">
        <v>182</v>
      </c>
      <c r="D145" s="41" t="s">
        <v>1250</v>
      </c>
      <c r="E145" s="36"/>
      <c r="F145" s="1620">
        <v>2004410</v>
      </c>
      <c r="G145" s="1620">
        <v>19230434.850000001</v>
      </c>
      <c r="H145" s="1620">
        <v>1056229.6200000001</v>
      </c>
      <c r="I145" s="1620">
        <v>863133.80999999959</v>
      </c>
      <c r="J145" s="1394">
        <v>23154208.280000001</v>
      </c>
      <c r="K145" s="734">
        <f t="shared" si="2"/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1509"/>
      <c r="Y145" s="1549"/>
      <c r="Z145" s="1549"/>
      <c r="AA145" s="1549"/>
      <c r="AB145" s="1549"/>
      <c r="AC145" s="1503"/>
    </row>
    <row r="146" spans="1:31" ht="15" x14ac:dyDescent="0.25">
      <c r="A146" s="31"/>
      <c r="B146" s="16">
        <v>12</v>
      </c>
      <c r="C146" s="38">
        <v>182</v>
      </c>
      <c r="D146" s="41" t="s">
        <v>1251</v>
      </c>
      <c r="E146" s="36"/>
      <c r="F146" s="1620">
        <v>176646.1</v>
      </c>
      <c r="G146" s="1620">
        <v>2056413.07</v>
      </c>
      <c r="H146" s="1620">
        <v>88897.44</v>
      </c>
      <c r="I146" s="1620">
        <v>80472.110000000044</v>
      </c>
      <c r="J146" s="1394">
        <v>2402428.7199999997</v>
      </c>
      <c r="K146" s="734">
        <f t="shared" ref="K146:K209" si="3">J146-SUM(F146:I146)</f>
        <v>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1509"/>
      <c r="Y146" s="1549"/>
      <c r="Z146" s="1549"/>
      <c r="AA146" s="1549"/>
      <c r="AB146" s="1549"/>
      <c r="AC146" s="1503"/>
    </row>
    <row r="147" spans="1:31" ht="15" x14ac:dyDescent="0.25">
      <c r="A147" s="31"/>
      <c r="B147" s="16">
        <v>13</v>
      </c>
      <c r="C147" s="1008">
        <v>182</v>
      </c>
      <c r="D147" s="321" t="s">
        <v>128</v>
      </c>
      <c r="E147" s="36"/>
      <c r="F147" s="1620">
        <v>13037180.210000001</v>
      </c>
      <c r="G147" s="1620">
        <v>38234998.909999996</v>
      </c>
      <c r="H147" s="1620">
        <v>9012931</v>
      </c>
      <c r="I147" s="1620">
        <v>2538145.9800000042</v>
      </c>
      <c r="J147" s="1394">
        <v>62823256.100000001</v>
      </c>
      <c r="K147" s="734">
        <f t="shared" si="3"/>
        <v>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1509"/>
      <c r="Y147" s="1549"/>
      <c r="Z147" s="1549"/>
      <c r="AA147" s="1549"/>
      <c r="AB147" s="1549"/>
      <c r="AC147" s="1503"/>
    </row>
    <row r="148" spans="1:31" ht="15" x14ac:dyDescent="0.25">
      <c r="A148" s="31"/>
      <c r="B148" s="16">
        <v>14</v>
      </c>
      <c r="C148" s="1008">
        <v>182</v>
      </c>
      <c r="D148" s="321" t="s">
        <v>129</v>
      </c>
      <c r="E148" s="36"/>
      <c r="F148" s="1620">
        <v>-10123221.470000001</v>
      </c>
      <c r="G148" s="1620">
        <v>-27035354.199999999</v>
      </c>
      <c r="H148" s="1620">
        <v>-7559811.7300000004</v>
      </c>
      <c r="I148" s="1620">
        <v>-309878.14999999851</v>
      </c>
      <c r="J148" s="1394">
        <v>-45028265.550000004</v>
      </c>
      <c r="K148" s="734">
        <f t="shared" si="3"/>
        <v>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1509"/>
      <c r="Y148" s="1549"/>
      <c r="Z148" s="1549"/>
      <c r="AA148" s="1549"/>
      <c r="AB148" s="1549"/>
      <c r="AC148" s="1503"/>
    </row>
    <row r="149" spans="1:31" ht="15" x14ac:dyDescent="0.25">
      <c r="A149" s="31"/>
      <c r="B149" s="16">
        <v>15</v>
      </c>
      <c r="C149" s="38">
        <v>182</v>
      </c>
      <c r="D149" s="41" t="s">
        <v>1171</v>
      </c>
      <c r="E149" s="36"/>
      <c r="F149" s="1620">
        <v>0</v>
      </c>
      <c r="G149" s="1620">
        <v>0</v>
      </c>
      <c r="H149" s="1620">
        <v>0</v>
      </c>
      <c r="I149" s="1620">
        <v>0</v>
      </c>
      <c r="J149" s="1394">
        <v>0</v>
      </c>
      <c r="K149" s="734">
        <f t="shared" si="3"/>
        <v>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1509"/>
      <c r="Y149" s="1549"/>
      <c r="Z149" s="1549"/>
      <c r="AA149" s="1549"/>
      <c r="AB149" s="1549"/>
      <c r="AC149" s="1503"/>
      <c r="AD149" s="1470"/>
    </row>
    <row r="150" spans="1:31" s="1074" customFormat="1" ht="15" x14ac:dyDescent="0.25">
      <c r="A150" s="1076"/>
      <c r="B150" s="16">
        <v>16</v>
      </c>
      <c r="C150" s="990">
        <v>182</v>
      </c>
      <c r="D150" s="321" t="s">
        <v>1172</v>
      </c>
      <c r="E150" s="36"/>
      <c r="F150" s="1620">
        <v>0</v>
      </c>
      <c r="G150" s="1620">
        <v>0</v>
      </c>
      <c r="H150" s="1620">
        <v>0</v>
      </c>
      <c r="I150" s="1620">
        <v>0</v>
      </c>
      <c r="J150" s="1394">
        <v>0</v>
      </c>
      <c r="K150" s="734">
        <f t="shared" si="3"/>
        <v>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1509"/>
      <c r="Y150" s="1549"/>
      <c r="Z150" s="1549"/>
      <c r="AA150" s="1549"/>
      <c r="AB150" s="1549"/>
      <c r="AC150" s="1503"/>
      <c r="AD150" s="357"/>
      <c r="AE150" s="357"/>
    </row>
    <row r="151" spans="1:31" ht="14.25" customHeight="1" x14ac:dyDescent="0.25">
      <c r="A151" s="31"/>
      <c r="B151" s="16">
        <v>17</v>
      </c>
      <c r="C151" s="990">
        <v>182</v>
      </c>
      <c r="D151" s="321" t="s">
        <v>1252</v>
      </c>
      <c r="E151" s="36"/>
      <c r="F151" s="1620">
        <v>0</v>
      </c>
      <c r="G151" s="1620">
        <v>0</v>
      </c>
      <c r="H151" s="1620">
        <v>0</v>
      </c>
      <c r="I151" s="1620">
        <v>0</v>
      </c>
      <c r="J151" s="1394">
        <v>0</v>
      </c>
      <c r="K151" s="734">
        <f t="shared" si="3"/>
        <v>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509"/>
      <c r="Y151" s="1549"/>
      <c r="Z151" s="1549"/>
      <c r="AA151" s="1549"/>
      <c r="AB151" s="1549"/>
      <c r="AC151" s="1503"/>
    </row>
    <row r="152" spans="1:31" ht="15" x14ac:dyDescent="0.25">
      <c r="A152" s="31"/>
      <c r="B152" s="16">
        <v>18</v>
      </c>
      <c r="C152" s="990">
        <v>182</v>
      </c>
      <c r="D152" s="321" t="s">
        <v>1253</v>
      </c>
      <c r="E152" s="36"/>
      <c r="F152" s="1620">
        <v>0</v>
      </c>
      <c r="G152" s="1620">
        <v>0</v>
      </c>
      <c r="H152" s="1620">
        <v>57624800.789999999</v>
      </c>
      <c r="I152" s="1620">
        <v>0</v>
      </c>
      <c r="J152" s="1394">
        <v>57624800.789999999</v>
      </c>
      <c r="K152" s="734">
        <f t="shared" si="3"/>
        <v>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509"/>
      <c r="Y152" s="1549"/>
      <c r="Z152" s="1549"/>
      <c r="AA152" s="1549"/>
      <c r="AB152" s="1549"/>
      <c r="AC152" s="1503"/>
      <c r="AE152" s="1470"/>
    </row>
    <row r="153" spans="1:31" ht="15" x14ac:dyDescent="0.25">
      <c r="A153" s="31"/>
      <c r="B153" s="16">
        <v>19</v>
      </c>
      <c r="C153" s="990">
        <v>182</v>
      </c>
      <c r="D153" s="321" t="s">
        <v>1254</v>
      </c>
      <c r="E153" s="36"/>
      <c r="F153" s="1620">
        <v>0</v>
      </c>
      <c r="G153" s="1620">
        <v>50356914.099999994</v>
      </c>
      <c r="H153" s="1620">
        <v>0</v>
      </c>
      <c r="I153" s="1620">
        <v>0</v>
      </c>
      <c r="J153" s="1394">
        <v>50356914.099999994</v>
      </c>
      <c r="K153" s="734">
        <f t="shared" si="3"/>
        <v>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509"/>
      <c r="Y153" s="1549"/>
      <c r="Z153" s="1549"/>
      <c r="AA153" s="1549"/>
      <c r="AB153" s="1549"/>
      <c r="AC153" s="1503"/>
    </row>
    <row r="154" spans="1:31" ht="15" x14ac:dyDescent="0.25">
      <c r="A154" s="31"/>
      <c r="B154" s="16">
        <v>20</v>
      </c>
      <c r="C154" s="990">
        <v>182</v>
      </c>
      <c r="D154" s="321" t="s">
        <v>1255</v>
      </c>
      <c r="E154" s="36"/>
      <c r="F154" s="1620">
        <v>0</v>
      </c>
      <c r="G154" s="1620">
        <v>27940735.449999999</v>
      </c>
      <c r="H154" s="1620">
        <v>0</v>
      </c>
      <c r="I154" s="1620">
        <v>0</v>
      </c>
      <c r="J154" s="1394">
        <v>27940735.449999999</v>
      </c>
      <c r="K154" s="734">
        <f t="shared" si="3"/>
        <v>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509"/>
      <c r="Y154" s="1549"/>
      <c r="Z154" s="1549"/>
      <c r="AA154" s="1549"/>
      <c r="AB154" s="1549"/>
      <c r="AC154" s="1503"/>
      <c r="AD154" s="339"/>
    </row>
    <row r="155" spans="1:31" s="321" customFormat="1" ht="15" x14ac:dyDescent="0.25">
      <c r="A155" s="31"/>
      <c r="B155" s="16">
        <v>21</v>
      </c>
      <c r="C155" s="990">
        <v>182</v>
      </c>
      <c r="D155" s="321" t="s">
        <v>1256</v>
      </c>
      <c r="E155" s="36"/>
      <c r="F155" s="1620">
        <v>0</v>
      </c>
      <c r="G155" s="1620">
        <v>419733.02</v>
      </c>
      <c r="H155" s="1620">
        <v>0</v>
      </c>
      <c r="I155" s="1620">
        <v>0</v>
      </c>
      <c r="J155" s="1394">
        <v>419733.02</v>
      </c>
      <c r="K155" s="734">
        <f t="shared" si="3"/>
        <v>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509"/>
      <c r="Y155" s="1549"/>
      <c r="Z155" s="1549"/>
      <c r="AA155" s="1549"/>
      <c r="AB155" s="1549"/>
      <c r="AC155" s="1503"/>
      <c r="AD155" s="339"/>
      <c r="AE155" s="357"/>
    </row>
    <row r="156" spans="1:31" s="321" customFormat="1" ht="15" x14ac:dyDescent="0.25">
      <c r="A156" s="31"/>
      <c r="B156" s="16">
        <v>22</v>
      </c>
      <c r="C156" s="990">
        <v>182</v>
      </c>
      <c r="D156" s="321" t="s">
        <v>1257</v>
      </c>
      <c r="E156" s="36"/>
      <c r="F156" s="1620">
        <v>609847.32999999996</v>
      </c>
      <c r="G156" s="1620">
        <v>0</v>
      </c>
      <c r="H156" s="1620">
        <v>0</v>
      </c>
      <c r="I156" s="1620">
        <v>0</v>
      </c>
      <c r="J156" s="1394">
        <v>609847.32999999996</v>
      </c>
      <c r="K156" s="734">
        <f t="shared" si="3"/>
        <v>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1509"/>
      <c r="Y156" s="1549"/>
      <c r="Z156" s="1549"/>
      <c r="AA156" s="1549"/>
      <c r="AB156" s="1549"/>
      <c r="AC156" s="1503"/>
      <c r="AD156" s="1471"/>
      <c r="AE156" s="357"/>
    </row>
    <row r="157" spans="1:31" s="1111" customFormat="1" ht="15" x14ac:dyDescent="0.25">
      <c r="A157" s="1112"/>
      <c r="B157" s="16">
        <v>23</v>
      </c>
      <c r="C157" s="990">
        <v>182</v>
      </c>
      <c r="D157" s="321" t="s">
        <v>1258</v>
      </c>
      <c r="E157" s="36"/>
      <c r="F157" s="1620">
        <v>4600129.0100000007</v>
      </c>
      <c r="G157" s="1620">
        <v>410261.63999999966</v>
      </c>
      <c r="H157" s="1620">
        <v>0</v>
      </c>
      <c r="I157" s="1620">
        <v>0</v>
      </c>
      <c r="J157" s="1394">
        <v>5010390.6500000004</v>
      </c>
      <c r="K157" s="734">
        <f t="shared" si="3"/>
        <v>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1509"/>
      <c r="Y157" s="1549"/>
      <c r="Z157" s="1549"/>
      <c r="AA157" s="1549"/>
      <c r="AB157" s="1549"/>
      <c r="AC157" s="1503"/>
      <c r="AD157" s="357"/>
      <c r="AE157" s="339"/>
    </row>
    <row r="158" spans="1:31" ht="15" x14ac:dyDescent="0.25">
      <c r="A158" s="31"/>
      <c r="B158" s="16">
        <v>24</v>
      </c>
      <c r="C158" s="990">
        <v>182</v>
      </c>
      <c r="D158" s="321" t="s">
        <v>1259</v>
      </c>
      <c r="E158" s="36"/>
      <c r="F158" s="1620">
        <v>3434788.3799999994</v>
      </c>
      <c r="G158" s="1620">
        <v>32906.64000000013</v>
      </c>
      <c r="H158" s="1620">
        <v>0</v>
      </c>
      <c r="I158" s="1620">
        <v>0</v>
      </c>
      <c r="J158" s="1394">
        <v>3467695.0199999996</v>
      </c>
      <c r="K158" s="734">
        <f t="shared" si="3"/>
        <v>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1509"/>
      <c r="Y158" s="1549"/>
      <c r="Z158" s="1549"/>
      <c r="AA158" s="1549"/>
      <c r="AB158" s="1549"/>
      <c r="AC158" s="1503"/>
      <c r="AE158" s="339"/>
    </row>
    <row r="159" spans="1:31" ht="15" x14ac:dyDescent="0.25">
      <c r="A159" s="31"/>
      <c r="B159" s="16">
        <v>25</v>
      </c>
      <c r="C159" s="990">
        <v>186</v>
      </c>
      <c r="D159" s="321" t="s">
        <v>1260</v>
      </c>
      <c r="E159" s="36"/>
      <c r="F159" s="1620">
        <v>17004701.379999999</v>
      </c>
      <c r="G159" s="1620">
        <v>319335368.44999999</v>
      </c>
      <c r="H159" s="1620">
        <v>0</v>
      </c>
      <c r="I159" s="1620">
        <v>0</v>
      </c>
      <c r="J159" s="1394">
        <v>336340069.82999998</v>
      </c>
      <c r="K159" s="734">
        <f t="shared" si="3"/>
        <v>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509"/>
      <c r="Y159" s="1549"/>
      <c r="Z159" s="1549"/>
      <c r="AA159" s="1549"/>
      <c r="AB159" s="1549"/>
      <c r="AC159" s="1503"/>
      <c r="AE159" s="1471"/>
    </row>
    <row r="160" spans="1:31" ht="15" x14ac:dyDescent="0.25">
      <c r="A160" s="31"/>
      <c r="B160" s="16">
        <v>26</v>
      </c>
      <c r="C160" s="991">
        <v>186</v>
      </c>
      <c r="D160" s="41" t="s">
        <v>1261</v>
      </c>
      <c r="E160" s="36"/>
      <c r="F160" s="1620">
        <v>31571798.559999999</v>
      </c>
      <c r="G160" s="1620">
        <v>726291097.57999992</v>
      </c>
      <c r="H160" s="1620">
        <v>0</v>
      </c>
      <c r="I160" s="1620">
        <v>0</v>
      </c>
      <c r="J160" s="1394">
        <v>757862896.13999987</v>
      </c>
      <c r="K160" s="734">
        <f t="shared" si="3"/>
        <v>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509"/>
      <c r="Y160" s="1549"/>
      <c r="Z160" s="1549"/>
      <c r="AA160" s="1549"/>
      <c r="AB160" s="1549"/>
      <c r="AC160" s="1503"/>
    </row>
    <row r="161" spans="1:31" ht="15" x14ac:dyDescent="0.25">
      <c r="A161" s="31"/>
      <c r="B161" s="16">
        <v>27</v>
      </c>
      <c r="C161" s="38">
        <v>186</v>
      </c>
      <c r="D161" s="41" t="s">
        <v>1120</v>
      </c>
      <c r="E161" s="36"/>
      <c r="F161" s="1620">
        <v>0</v>
      </c>
      <c r="G161" s="1620">
        <v>0</v>
      </c>
      <c r="H161" s="1620">
        <v>0</v>
      </c>
      <c r="I161" s="1620">
        <v>0</v>
      </c>
      <c r="J161" s="1394">
        <v>0</v>
      </c>
      <c r="K161" s="734">
        <f t="shared" si="3"/>
        <v>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1509"/>
      <c r="Y161" s="1549"/>
      <c r="Z161" s="1549"/>
      <c r="AA161" s="1549"/>
      <c r="AB161" s="1549"/>
      <c r="AC161" s="1503"/>
    </row>
    <row r="162" spans="1:31" ht="15" x14ac:dyDescent="0.25">
      <c r="A162" s="31"/>
      <c r="B162" s="16">
        <v>28</v>
      </c>
      <c r="C162" s="38">
        <v>186</v>
      </c>
      <c r="D162" s="41" t="s">
        <v>1262</v>
      </c>
      <c r="E162" s="36"/>
      <c r="F162" s="1620">
        <v>0</v>
      </c>
      <c r="G162" s="1620">
        <v>0</v>
      </c>
      <c r="H162" s="1620">
        <v>0</v>
      </c>
      <c r="I162" s="1620">
        <v>0</v>
      </c>
      <c r="J162" s="1394">
        <v>0</v>
      </c>
      <c r="K162" s="734">
        <f t="shared" si="3"/>
        <v>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1509"/>
      <c r="Y162" s="1549"/>
      <c r="Z162" s="1549"/>
      <c r="AA162" s="1549"/>
      <c r="AB162" s="1549"/>
      <c r="AC162" s="1503"/>
      <c r="AD162" s="339"/>
    </row>
    <row r="163" spans="1:31" s="339" customFormat="1" ht="15" x14ac:dyDescent="0.25">
      <c r="A163" s="31"/>
      <c r="B163" s="16">
        <v>29</v>
      </c>
      <c r="C163" s="38">
        <v>186</v>
      </c>
      <c r="D163" s="41" t="s">
        <v>1263</v>
      </c>
      <c r="E163" s="36"/>
      <c r="F163" s="1620">
        <v>0</v>
      </c>
      <c r="G163" s="1620">
        <v>0</v>
      </c>
      <c r="H163" s="1620">
        <v>0</v>
      </c>
      <c r="I163" s="1620">
        <v>0</v>
      </c>
      <c r="J163" s="1394">
        <v>0</v>
      </c>
      <c r="K163" s="734">
        <f t="shared" si="3"/>
        <v>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1509"/>
      <c r="Y163" s="1549"/>
      <c r="Z163" s="1549"/>
      <c r="AA163" s="1549"/>
      <c r="AB163" s="1549"/>
      <c r="AC163" s="1503"/>
      <c r="AE163" s="357"/>
    </row>
    <row r="164" spans="1:31" s="339" customFormat="1" ht="15" x14ac:dyDescent="0.25">
      <c r="A164" s="31"/>
      <c r="B164" s="16">
        <v>30</v>
      </c>
      <c r="C164" s="38">
        <v>186</v>
      </c>
      <c r="D164" s="41" t="s">
        <v>1264</v>
      </c>
      <c r="E164" s="36"/>
      <c r="F164" s="1620">
        <v>0</v>
      </c>
      <c r="G164" s="1620">
        <v>0</v>
      </c>
      <c r="H164" s="1620">
        <v>0</v>
      </c>
      <c r="I164" s="1620">
        <v>0</v>
      </c>
      <c r="J164" s="1394">
        <v>0</v>
      </c>
      <c r="K164" s="734">
        <f t="shared" si="3"/>
        <v>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509"/>
      <c r="Y164" s="1549"/>
      <c r="Z164" s="1549"/>
      <c r="AA164" s="1549"/>
      <c r="AB164" s="1549"/>
      <c r="AC164" s="1503"/>
      <c r="AE164" s="357"/>
    </row>
    <row r="165" spans="1:31" s="1115" customFormat="1" ht="15" x14ac:dyDescent="0.25">
      <c r="A165" s="1114"/>
      <c r="B165" s="16">
        <v>31</v>
      </c>
      <c r="C165" s="38">
        <v>186</v>
      </c>
      <c r="D165" s="41" t="s">
        <v>1265</v>
      </c>
      <c r="E165" s="36"/>
      <c r="F165" s="1620">
        <v>0</v>
      </c>
      <c r="G165" s="1620">
        <v>0</v>
      </c>
      <c r="H165" s="1620">
        <v>0</v>
      </c>
      <c r="I165" s="1620">
        <v>0</v>
      </c>
      <c r="J165" s="1394">
        <v>0</v>
      </c>
      <c r="K165" s="734">
        <f t="shared" si="3"/>
        <v>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509"/>
      <c r="Y165" s="1549"/>
      <c r="Z165" s="1549"/>
      <c r="AA165" s="1549"/>
      <c r="AB165" s="1549"/>
      <c r="AC165" s="1503"/>
      <c r="AD165" s="339"/>
      <c r="AE165" s="339"/>
    </row>
    <row r="166" spans="1:31" s="321" customFormat="1" ht="15" x14ac:dyDescent="0.25">
      <c r="A166" s="31"/>
      <c r="B166" s="16">
        <v>32</v>
      </c>
      <c r="C166" s="610">
        <v>186</v>
      </c>
      <c r="D166" s="611" t="s">
        <v>1266</v>
      </c>
      <c r="E166" s="36"/>
      <c r="F166" s="1620">
        <v>0</v>
      </c>
      <c r="G166" s="1620">
        <v>0</v>
      </c>
      <c r="H166" s="1620">
        <v>0</v>
      </c>
      <c r="I166" s="1620">
        <v>0</v>
      </c>
      <c r="J166" s="1394">
        <v>0</v>
      </c>
      <c r="K166" s="734">
        <f t="shared" si="3"/>
        <v>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509"/>
      <c r="Y166" s="1549"/>
      <c r="Z166" s="1549"/>
      <c r="AA166" s="1549"/>
      <c r="AB166" s="1549"/>
      <c r="AC166" s="1503"/>
      <c r="AD166" s="339"/>
      <c r="AE166" s="339"/>
    </row>
    <row r="167" spans="1:31" s="321" customFormat="1" ht="15" x14ac:dyDescent="0.25">
      <c r="A167" s="31"/>
      <c r="B167" s="16">
        <v>33</v>
      </c>
      <c r="C167" s="610">
        <v>186</v>
      </c>
      <c r="D167" s="611" t="s">
        <v>1267</v>
      </c>
      <c r="E167" s="36"/>
      <c r="F167" s="1620">
        <v>0</v>
      </c>
      <c r="G167" s="1620">
        <v>0</v>
      </c>
      <c r="H167" s="1620">
        <v>0</v>
      </c>
      <c r="I167" s="1620">
        <v>0</v>
      </c>
      <c r="J167" s="1394">
        <v>0</v>
      </c>
      <c r="K167" s="734">
        <f t="shared" si="3"/>
        <v>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509"/>
      <c r="Y167" s="1549"/>
      <c r="Z167" s="1549"/>
      <c r="AA167" s="1549"/>
      <c r="AB167" s="1549"/>
      <c r="AC167" s="1503"/>
      <c r="AD167" s="339"/>
      <c r="AE167" s="339"/>
    </row>
    <row r="168" spans="1:31" s="321" customFormat="1" ht="15" x14ac:dyDescent="0.25">
      <c r="A168" s="31"/>
      <c r="B168" s="16">
        <v>34</v>
      </c>
      <c r="C168" s="38">
        <v>186</v>
      </c>
      <c r="D168" s="41" t="s">
        <v>1326</v>
      </c>
      <c r="E168" s="36"/>
      <c r="F168" s="1620">
        <v>0</v>
      </c>
      <c r="G168" s="1620">
        <v>4823828.9400000004</v>
      </c>
      <c r="H168" s="1620">
        <v>0</v>
      </c>
      <c r="I168" s="1620">
        <v>0</v>
      </c>
      <c r="J168" s="1394">
        <v>4823828.9400000004</v>
      </c>
      <c r="K168" s="734">
        <f t="shared" si="3"/>
        <v>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509"/>
      <c r="Y168" s="1549"/>
      <c r="Z168" s="1549"/>
      <c r="AA168" s="1549"/>
      <c r="AB168" s="1549"/>
      <c r="AC168" s="1503"/>
      <c r="AD168" s="339"/>
      <c r="AE168" s="339"/>
    </row>
    <row r="169" spans="1:31" s="321" customFormat="1" ht="15" x14ac:dyDescent="0.25">
      <c r="A169" s="31"/>
      <c r="B169" s="16">
        <v>35</v>
      </c>
      <c r="C169" s="38">
        <v>187</v>
      </c>
      <c r="D169" s="41" t="s">
        <v>1268</v>
      </c>
      <c r="E169" s="36"/>
      <c r="F169" s="1620">
        <v>0</v>
      </c>
      <c r="G169" s="1620">
        <v>0</v>
      </c>
      <c r="H169" s="1620">
        <v>0</v>
      </c>
      <c r="I169" s="1620">
        <v>0</v>
      </c>
      <c r="J169" s="1394">
        <v>0</v>
      </c>
      <c r="K169" s="734">
        <f t="shared" si="3"/>
        <v>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509"/>
      <c r="Y169" s="1549"/>
      <c r="Z169" s="1549"/>
      <c r="AA169" s="1549"/>
      <c r="AB169" s="1549"/>
      <c r="AC169" s="1503"/>
      <c r="AD169" s="339"/>
      <c r="AE169" s="339"/>
    </row>
    <row r="170" spans="1:31" s="321" customFormat="1" ht="15" x14ac:dyDescent="0.25">
      <c r="A170" s="31"/>
      <c r="B170" s="16">
        <v>36</v>
      </c>
      <c r="C170" s="38">
        <v>186</v>
      </c>
      <c r="D170" s="41" t="s">
        <v>1327</v>
      </c>
      <c r="E170" s="36"/>
      <c r="F170" s="1620">
        <v>0</v>
      </c>
      <c r="G170" s="1620">
        <v>146499.54999999999</v>
      </c>
      <c r="H170" s="1620">
        <v>0</v>
      </c>
      <c r="I170" s="1620">
        <v>0</v>
      </c>
      <c r="J170" s="1394">
        <v>146499.54999999999</v>
      </c>
      <c r="K170" s="734">
        <f t="shared" si="3"/>
        <v>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509"/>
      <c r="Y170" s="1549"/>
      <c r="Z170" s="1549"/>
      <c r="AA170" s="1549"/>
      <c r="AB170" s="1549"/>
      <c r="AC170" s="1503"/>
      <c r="AD170" s="339"/>
      <c r="AE170" s="339"/>
    </row>
    <row r="171" spans="1:31" s="321" customFormat="1" ht="15" x14ac:dyDescent="0.25">
      <c r="A171" s="31"/>
      <c r="B171" s="16">
        <v>37</v>
      </c>
      <c r="C171" s="38">
        <v>186</v>
      </c>
      <c r="D171" s="41" t="s">
        <v>1269</v>
      </c>
      <c r="E171" s="36"/>
      <c r="F171" s="1620">
        <v>0</v>
      </c>
      <c r="G171" s="1620">
        <v>0</v>
      </c>
      <c r="H171" s="1620">
        <v>0</v>
      </c>
      <c r="I171" s="1620">
        <v>0</v>
      </c>
      <c r="J171" s="1394">
        <v>0</v>
      </c>
      <c r="K171" s="734">
        <f t="shared" si="3"/>
        <v>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1509"/>
      <c r="Y171" s="1549"/>
      <c r="Z171" s="1549"/>
      <c r="AA171" s="1549"/>
      <c r="AB171" s="1549"/>
      <c r="AC171" s="1503"/>
      <c r="AD171" s="339"/>
      <c r="AE171" s="339"/>
    </row>
    <row r="172" spans="1:31" s="321" customFormat="1" ht="15" x14ac:dyDescent="0.25">
      <c r="A172" s="31"/>
      <c r="B172" s="16">
        <v>38</v>
      </c>
      <c r="C172" s="38">
        <v>186</v>
      </c>
      <c r="D172" s="41" t="s">
        <v>1328</v>
      </c>
      <c r="E172" s="36"/>
      <c r="F172" s="1621">
        <v>0</v>
      </c>
      <c r="G172" s="1621">
        <v>0</v>
      </c>
      <c r="H172" s="1621">
        <v>0</v>
      </c>
      <c r="I172" s="1621">
        <v>0</v>
      </c>
      <c r="J172" s="1394">
        <v>0</v>
      </c>
      <c r="K172" s="734">
        <f t="shared" si="3"/>
        <v>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1509"/>
      <c r="Y172" s="1549"/>
      <c r="Z172" s="1549"/>
      <c r="AA172" s="1549"/>
      <c r="AB172" s="1549"/>
      <c r="AC172" s="1503"/>
      <c r="AD172" s="339"/>
      <c r="AE172" s="339"/>
    </row>
    <row r="173" spans="1:31" s="321" customFormat="1" ht="15" x14ac:dyDescent="0.25">
      <c r="A173" s="31"/>
      <c r="B173" s="16">
        <v>39</v>
      </c>
      <c r="C173" s="34" t="s">
        <v>130</v>
      </c>
      <c r="D173" s="44"/>
      <c r="E173" s="806" t="s">
        <v>127</v>
      </c>
      <c r="F173" s="1399"/>
      <c r="G173" s="1399"/>
      <c r="H173" s="1399"/>
      <c r="I173" s="1399"/>
      <c r="J173" s="1394"/>
      <c r="K173" s="734">
        <f t="shared" si="3"/>
        <v>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1508"/>
      <c r="Y173" s="1550"/>
      <c r="Z173" s="1550"/>
      <c r="AA173" s="1550"/>
      <c r="AB173" s="1550"/>
      <c r="AC173" s="1503"/>
      <c r="AD173" s="339"/>
      <c r="AE173" s="339"/>
    </row>
    <row r="174" spans="1:31" s="321" customFormat="1" ht="15" x14ac:dyDescent="0.25">
      <c r="A174" s="31"/>
      <c r="B174" s="16">
        <v>40</v>
      </c>
      <c r="C174" s="1008">
        <v>254</v>
      </c>
      <c r="D174" s="1015" t="s">
        <v>1173</v>
      </c>
      <c r="E174" s="36"/>
      <c r="F174" s="1619">
        <v>0</v>
      </c>
      <c r="G174" s="1619">
        <v>0</v>
      </c>
      <c r="H174" s="1619">
        <v>0</v>
      </c>
      <c r="I174" s="1619">
        <v>0</v>
      </c>
      <c r="J174" s="1394">
        <v>0</v>
      </c>
      <c r="K174" s="734">
        <f t="shared" si="3"/>
        <v>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1509"/>
      <c r="Y174" s="1548"/>
      <c r="Z174" s="1548"/>
      <c r="AA174" s="1548"/>
      <c r="AB174" s="1548"/>
      <c r="AC174" s="1503"/>
      <c r="AD174" s="339"/>
      <c r="AE174" s="339"/>
    </row>
    <row r="175" spans="1:31" s="321" customFormat="1" ht="15" x14ac:dyDescent="0.25">
      <c r="A175" s="31"/>
      <c r="B175" s="16">
        <v>41</v>
      </c>
      <c r="C175" s="1008" t="s">
        <v>1121</v>
      </c>
      <c r="D175" s="321" t="s">
        <v>926</v>
      </c>
      <c r="E175" s="36"/>
      <c r="F175" s="1620">
        <v>0</v>
      </c>
      <c r="G175" s="1620">
        <v>0</v>
      </c>
      <c r="H175" s="1620">
        <v>0</v>
      </c>
      <c r="I175" s="1620">
        <v>0</v>
      </c>
      <c r="J175" s="1394">
        <v>0</v>
      </c>
      <c r="K175" s="734">
        <f t="shared" si="3"/>
        <v>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1509"/>
      <c r="Y175" s="1549"/>
      <c r="Z175" s="1549"/>
      <c r="AA175" s="1549"/>
      <c r="AB175" s="1549"/>
      <c r="AC175" s="1503"/>
      <c r="AD175" s="339"/>
      <c r="AE175" s="339"/>
    </row>
    <row r="176" spans="1:31" s="321" customFormat="1" ht="18" x14ac:dyDescent="0.25">
      <c r="A176" s="31"/>
      <c r="B176" s="16">
        <v>42</v>
      </c>
      <c r="C176" s="1008">
        <v>254</v>
      </c>
      <c r="D176" s="321" t="s">
        <v>1272</v>
      </c>
      <c r="E176" s="1117"/>
      <c r="F176" s="1620">
        <v>-108746.6</v>
      </c>
      <c r="G176" s="1620">
        <v>-8947664.1099999994</v>
      </c>
      <c r="H176" s="1620">
        <v>0</v>
      </c>
      <c r="I176" s="1620">
        <v>0</v>
      </c>
      <c r="J176" s="1394">
        <v>-9056410.709999999</v>
      </c>
      <c r="K176" s="734">
        <f t="shared" si="3"/>
        <v>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509"/>
      <c r="Y176" s="1549"/>
      <c r="Z176" s="1549"/>
      <c r="AA176" s="1549"/>
      <c r="AB176" s="1549"/>
      <c r="AC176" s="1503"/>
      <c r="AD176" s="339"/>
      <c r="AE176" s="339"/>
    </row>
    <row r="177" spans="1:31" s="321" customFormat="1" ht="18" x14ac:dyDescent="0.25">
      <c r="A177" s="31"/>
      <c r="B177" s="16">
        <v>43</v>
      </c>
      <c r="C177" s="1008">
        <v>254</v>
      </c>
      <c r="D177" s="321" t="s">
        <v>1273</v>
      </c>
      <c r="E177" s="1117"/>
      <c r="F177" s="1620">
        <v>-52539.200000000004</v>
      </c>
      <c r="G177" s="1620">
        <v>-4987970.08</v>
      </c>
      <c r="H177" s="1620">
        <v>0</v>
      </c>
      <c r="I177" s="1620">
        <v>0</v>
      </c>
      <c r="J177" s="1394">
        <v>-5040509.28</v>
      </c>
      <c r="K177" s="734">
        <f t="shared" si="3"/>
        <v>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509"/>
      <c r="Y177" s="1549"/>
      <c r="Z177" s="1549"/>
      <c r="AA177" s="1549"/>
      <c r="AB177" s="1549"/>
      <c r="AC177" s="1503"/>
      <c r="AD177" s="339"/>
      <c r="AE177" s="339"/>
    </row>
    <row r="178" spans="1:31" s="321" customFormat="1" ht="15" x14ac:dyDescent="0.25">
      <c r="A178" s="31"/>
      <c r="B178" s="16">
        <v>44</v>
      </c>
      <c r="C178" s="1008">
        <v>254</v>
      </c>
      <c r="D178" s="620" t="s">
        <v>1329</v>
      </c>
      <c r="E178" s="36"/>
      <c r="F178" s="1620">
        <v>0</v>
      </c>
      <c r="G178" s="1620">
        <v>0</v>
      </c>
      <c r="H178" s="1620">
        <v>0</v>
      </c>
      <c r="I178" s="1620">
        <v>0</v>
      </c>
      <c r="J178" s="1394">
        <v>0</v>
      </c>
      <c r="K178" s="734">
        <f t="shared" si="3"/>
        <v>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509"/>
      <c r="Y178" s="1549"/>
      <c r="Z178" s="1549"/>
      <c r="AA178" s="1549"/>
      <c r="AB178" s="1549"/>
      <c r="AC178" s="1503"/>
      <c r="AD178" s="339"/>
      <c r="AE178" s="339"/>
    </row>
    <row r="179" spans="1:31" s="321" customFormat="1" ht="15" x14ac:dyDescent="0.25">
      <c r="A179" s="31"/>
      <c r="B179" s="16">
        <v>45</v>
      </c>
      <c r="C179" s="991">
        <v>254</v>
      </c>
      <c r="D179" s="611" t="s">
        <v>1174</v>
      </c>
      <c r="E179" s="36"/>
      <c r="F179" s="1620">
        <v>0</v>
      </c>
      <c r="G179" s="1620">
        <v>0</v>
      </c>
      <c r="H179" s="1620">
        <v>0</v>
      </c>
      <c r="I179" s="1620">
        <v>0</v>
      </c>
      <c r="J179" s="1394">
        <v>0</v>
      </c>
      <c r="K179" s="734">
        <f t="shared" si="3"/>
        <v>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509"/>
      <c r="Y179" s="1549"/>
      <c r="Z179" s="1549"/>
      <c r="AA179" s="1549"/>
      <c r="AB179" s="1549"/>
      <c r="AC179" s="1503"/>
      <c r="AD179" s="339"/>
      <c r="AE179" s="339"/>
    </row>
    <row r="180" spans="1:31" s="321" customFormat="1" ht="15" x14ac:dyDescent="0.25">
      <c r="A180" s="31"/>
      <c r="B180" s="16">
        <v>46</v>
      </c>
      <c r="C180" s="991">
        <v>254</v>
      </c>
      <c r="D180" s="611" t="s">
        <v>1175</v>
      </c>
      <c r="E180" s="36"/>
      <c r="F180" s="1620">
        <v>0</v>
      </c>
      <c r="G180" s="1620">
        <v>0</v>
      </c>
      <c r="H180" s="1620">
        <v>0</v>
      </c>
      <c r="I180" s="1620">
        <v>0</v>
      </c>
      <c r="J180" s="1394">
        <v>0</v>
      </c>
      <c r="K180" s="734">
        <f t="shared" si="3"/>
        <v>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509"/>
      <c r="Y180" s="1549"/>
      <c r="Z180" s="1549"/>
      <c r="AA180" s="1549"/>
      <c r="AB180" s="1549"/>
      <c r="AC180" s="1503"/>
      <c r="AD180" s="339"/>
      <c r="AE180" s="339"/>
    </row>
    <row r="181" spans="1:31" s="321" customFormat="1" ht="15" x14ac:dyDescent="0.25">
      <c r="A181" s="31"/>
      <c r="B181" s="16">
        <v>47</v>
      </c>
      <c r="C181" s="991">
        <v>254</v>
      </c>
      <c r="D181" s="611" t="s">
        <v>1275</v>
      </c>
      <c r="E181" s="36"/>
      <c r="F181" s="1620">
        <v>0</v>
      </c>
      <c r="G181" s="1620">
        <v>0</v>
      </c>
      <c r="H181" s="1620">
        <v>0</v>
      </c>
      <c r="I181" s="1620">
        <v>0</v>
      </c>
      <c r="J181" s="1394">
        <v>0</v>
      </c>
      <c r="K181" s="734">
        <f t="shared" si="3"/>
        <v>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509"/>
      <c r="Y181" s="1549"/>
      <c r="Z181" s="1549"/>
      <c r="AA181" s="1549"/>
      <c r="AB181" s="1549"/>
      <c r="AC181" s="1503"/>
      <c r="AD181" s="339"/>
      <c r="AE181" s="339"/>
    </row>
    <row r="182" spans="1:31" s="321" customFormat="1" ht="15" x14ac:dyDescent="0.25">
      <c r="A182" s="31"/>
      <c r="B182" s="16">
        <v>48</v>
      </c>
      <c r="C182" s="991">
        <v>254</v>
      </c>
      <c r="D182" s="611" t="s">
        <v>1276</v>
      </c>
      <c r="E182" s="36"/>
      <c r="F182" s="1620">
        <v>0</v>
      </c>
      <c r="G182" s="1620">
        <v>54569.880000000114</v>
      </c>
      <c r="H182" s="1620">
        <v>0</v>
      </c>
      <c r="I182" s="1620">
        <v>0</v>
      </c>
      <c r="J182" s="1394">
        <v>54569.880000000114</v>
      </c>
      <c r="K182" s="734">
        <f t="shared" si="3"/>
        <v>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509"/>
      <c r="Y182" s="1549"/>
      <c r="Z182" s="1549"/>
      <c r="AA182" s="1549"/>
      <c r="AB182" s="1549"/>
      <c r="AC182" s="1503"/>
      <c r="AD182" s="339"/>
      <c r="AE182" s="339"/>
    </row>
    <row r="183" spans="1:31" s="321" customFormat="1" ht="15" x14ac:dyDescent="0.25">
      <c r="A183" s="31"/>
      <c r="B183" s="16">
        <v>49</v>
      </c>
      <c r="C183" s="990">
        <v>254</v>
      </c>
      <c r="D183" s="620" t="s">
        <v>1277</v>
      </c>
      <c r="E183" s="36"/>
      <c r="F183" s="1620">
        <v>0</v>
      </c>
      <c r="G183" s="1620">
        <v>1583754.909999989</v>
      </c>
      <c r="H183" s="1620">
        <v>0</v>
      </c>
      <c r="I183" s="1620">
        <v>0</v>
      </c>
      <c r="J183" s="1394">
        <v>1583754.909999989</v>
      </c>
      <c r="K183" s="734">
        <f t="shared" si="3"/>
        <v>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509"/>
      <c r="Y183" s="1549"/>
      <c r="Z183" s="1549"/>
      <c r="AA183" s="1549"/>
      <c r="AB183" s="1549"/>
      <c r="AC183" s="1503"/>
      <c r="AD183" s="339"/>
      <c r="AE183" s="339"/>
    </row>
    <row r="184" spans="1:31" s="321" customFormat="1" ht="15" x14ac:dyDescent="0.25">
      <c r="A184" s="31"/>
      <c r="B184" s="16">
        <v>50</v>
      </c>
      <c r="C184" s="990">
        <v>254</v>
      </c>
      <c r="D184" s="1015" t="s">
        <v>1278</v>
      </c>
      <c r="E184" s="1168"/>
      <c r="F184" s="1620">
        <v>0</v>
      </c>
      <c r="G184" s="1620">
        <v>-25859.240000000005</v>
      </c>
      <c r="H184" s="1620">
        <v>0</v>
      </c>
      <c r="I184" s="1620">
        <v>0</v>
      </c>
      <c r="J184" s="1394">
        <v>-25859.240000000005</v>
      </c>
      <c r="K184" s="734">
        <f t="shared" si="3"/>
        <v>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509"/>
      <c r="Y184" s="1549"/>
      <c r="Z184" s="1549"/>
      <c r="AA184" s="1549"/>
      <c r="AB184" s="1549"/>
      <c r="AC184" s="1503"/>
      <c r="AD184" s="357"/>
      <c r="AE184" s="339"/>
    </row>
    <row r="185" spans="1:31" s="321" customFormat="1" ht="15" x14ac:dyDescent="0.25">
      <c r="A185" s="31"/>
      <c r="B185" s="16">
        <v>51</v>
      </c>
      <c r="C185" s="991">
        <v>254</v>
      </c>
      <c r="D185" s="41" t="s">
        <v>1279</v>
      </c>
      <c r="E185" s="36"/>
      <c r="F185" s="1620">
        <v>-4469613.0999999996</v>
      </c>
      <c r="G185" s="1620">
        <v>-11752973.43</v>
      </c>
      <c r="H185" s="1620">
        <v>-3564248.35</v>
      </c>
      <c r="I185" s="1620">
        <v>411033.34000000032</v>
      </c>
      <c r="J185" s="1394">
        <v>-19375801.539999999</v>
      </c>
      <c r="K185" s="734">
        <f t="shared" si="3"/>
        <v>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509"/>
      <c r="Y185" s="1549"/>
      <c r="Z185" s="1549"/>
      <c r="AA185" s="1549"/>
      <c r="AB185" s="1549"/>
      <c r="AC185" s="1503"/>
      <c r="AD185" s="357"/>
      <c r="AE185" s="339"/>
    </row>
    <row r="186" spans="1:31" s="321" customFormat="1" ht="15" x14ac:dyDescent="0.25">
      <c r="A186" s="31"/>
      <c r="B186" s="16">
        <v>52</v>
      </c>
      <c r="C186" s="38">
        <v>254</v>
      </c>
      <c r="D186" s="41" t="s">
        <v>1176</v>
      </c>
      <c r="E186" s="36"/>
      <c r="F186" s="1620">
        <v>-8957564.5299999993</v>
      </c>
      <c r="G186" s="1620">
        <v>-23922318.68</v>
      </c>
      <c r="H186" s="1620">
        <v>-6689323.3200000003</v>
      </c>
      <c r="I186" s="1620">
        <v>-274196.65999999642</v>
      </c>
      <c r="J186" s="1394">
        <v>-39843403.189999998</v>
      </c>
      <c r="K186" s="734">
        <f t="shared" si="3"/>
        <v>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509"/>
      <c r="Y186" s="1549"/>
      <c r="Z186" s="1549"/>
      <c r="AA186" s="1549"/>
      <c r="AB186" s="1549"/>
      <c r="AC186" s="1503"/>
      <c r="AD186" s="357"/>
      <c r="AE186" s="339"/>
    </row>
    <row r="187" spans="1:31" s="321" customFormat="1" ht="15" x14ac:dyDescent="0.25">
      <c r="A187" s="31"/>
      <c r="B187" s="16">
        <v>53</v>
      </c>
      <c r="C187" s="38">
        <v>257</v>
      </c>
      <c r="D187" s="41" t="s">
        <v>1122</v>
      </c>
      <c r="E187" s="36"/>
      <c r="F187" s="1621">
        <v>0</v>
      </c>
      <c r="G187" s="1621">
        <v>0</v>
      </c>
      <c r="H187" s="1621">
        <v>0</v>
      </c>
      <c r="I187" s="1621">
        <v>0</v>
      </c>
      <c r="J187" s="1394">
        <v>0</v>
      </c>
      <c r="K187" s="734">
        <f t="shared" si="3"/>
        <v>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509"/>
      <c r="Y187" s="1549"/>
      <c r="Z187" s="1549"/>
      <c r="AA187" s="1549"/>
      <c r="AB187" s="1549"/>
      <c r="AC187" s="1503"/>
      <c r="AD187" s="357"/>
      <c r="AE187" s="339"/>
    </row>
    <row r="188" spans="1:31" ht="15" x14ac:dyDescent="0.25">
      <c r="A188" s="31"/>
      <c r="B188" s="16"/>
      <c r="C188" s="38"/>
      <c r="D188" s="41"/>
      <c r="E188" s="36"/>
      <c r="F188" s="1511"/>
      <c r="G188" s="1511"/>
      <c r="H188" s="1511"/>
      <c r="I188" s="1511"/>
      <c r="J188" s="1394"/>
      <c r="K188" s="734">
        <f t="shared" si="3"/>
        <v>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509"/>
      <c r="Y188" s="1511"/>
      <c r="Z188" s="1511"/>
      <c r="AA188" s="1511"/>
      <c r="AB188" s="1511"/>
      <c r="AC188" s="1503"/>
      <c r="AE188" s="339"/>
    </row>
    <row r="189" spans="1:31" ht="15" x14ac:dyDescent="0.25">
      <c r="A189" s="31"/>
      <c r="B189" s="16"/>
      <c r="C189" s="38"/>
      <c r="D189" s="41"/>
      <c r="E189" s="36"/>
      <c r="F189" s="1511"/>
      <c r="G189" s="1511"/>
      <c r="H189" s="1511"/>
      <c r="I189" s="1511"/>
      <c r="J189" s="1394"/>
      <c r="K189" s="734">
        <f t="shared" si="3"/>
        <v>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509"/>
      <c r="Y189" s="1511"/>
      <c r="Z189" s="1511"/>
      <c r="AA189" s="1511"/>
      <c r="AB189" s="1511"/>
      <c r="AC189" s="1503"/>
      <c r="AE189" s="339"/>
    </row>
    <row r="190" spans="1:31" ht="15" x14ac:dyDescent="0.25">
      <c r="A190" s="31"/>
      <c r="B190" s="16">
        <v>1</v>
      </c>
      <c r="C190" s="34" t="s">
        <v>132</v>
      </c>
      <c r="D190" s="41"/>
      <c r="E190" s="806" t="s">
        <v>127</v>
      </c>
      <c r="F190" s="1399"/>
      <c r="G190" s="1399"/>
      <c r="H190" s="1399"/>
      <c r="I190" s="1399"/>
      <c r="J190" s="1394"/>
      <c r="K190" s="734">
        <f t="shared" si="3"/>
        <v>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508"/>
      <c r="Y190" s="1550"/>
      <c r="Z190" s="1550"/>
      <c r="AA190" s="1550"/>
      <c r="AB190" s="1550"/>
      <c r="AC190" s="1503"/>
      <c r="AE190" s="339"/>
    </row>
    <row r="191" spans="1:31" ht="15" x14ac:dyDescent="0.25">
      <c r="A191" s="31"/>
      <c r="B191" s="16">
        <v>2</v>
      </c>
      <c r="C191" s="43">
        <v>182</v>
      </c>
      <c r="D191" s="620" t="s">
        <v>1330</v>
      </c>
      <c r="E191" s="36"/>
      <c r="F191" s="1619">
        <v>0</v>
      </c>
      <c r="G191" s="1619">
        <v>0</v>
      </c>
      <c r="H191" s="1619">
        <v>0</v>
      </c>
      <c r="I191" s="1619">
        <v>0</v>
      </c>
      <c r="J191" s="1394">
        <v>0</v>
      </c>
      <c r="K191" s="734">
        <f t="shared" si="3"/>
        <v>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509"/>
      <c r="Y191" s="1548"/>
      <c r="Z191" s="1548"/>
      <c r="AA191" s="1548"/>
      <c r="AB191" s="1548"/>
      <c r="AC191" s="1503"/>
      <c r="AE191" s="339"/>
    </row>
    <row r="192" spans="1:31" ht="15" x14ac:dyDescent="0.25">
      <c r="A192" s="31"/>
      <c r="B192" s="16">
        <v>3</v>
      </c>
      <c r="C192" s="43">
        <v>182</v>
      </c>
      <c r="D192" s="620" t="s">
        <v>1331</v>
      </c>
      <c r="E192" s="36"/>
      <c r="F192" s="1620">
        <v>0</v>
      </c>
      <c r="G192" s="1620">
        <v>0</v>
      </c>
      <c r="H192" s="1620">
        <v>0</v>
      </c>
      <c r="I192" s="1620">
        <v>0</v>
      </c>
      <c r="J192" s="1394">
        <v>0</v>
      </c>
      <c r="K192" s="734">
        <f t="shared" si="3"/>
        <v>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509"/>
      <c r="Y192" s="1549"/>
      <c r="Z192" s="1549"/>
      <c r="AA192" s="1549"/>
      <c r="AB192" s="1549"/>
      <c r="AC192" s="1503"/>
      <c r="AE192" s="339"/>
    </row>
    <row r="193" spans="1:30" ht="15" x14ac:dyDescent="0.25">
      <c r="A193" s="31"/>
      <c r="B193" s="16">
        <v>4</v>
      </c>
      <c r="C193" s="43">
        <v>182</v>
      </c>
      <c r="D193" s="620" t="s">
        <v>1332</v>
      </c>
      <c r="E193" s="36"/>
      <c r="F193" s="1620">
        <v>0</v>
      </c>
      <c r="G193" s="1620">
        <v>0</v>
      </c>
      <c r="H193" s="1620">
        <v>0</v>
      </c>
      <c r="I193" s="1620">
        <v>0</v>
      </c>
      <c r="J193" s="1394">
        <v>0</v>
      </c>
      <c r="K193" s="734">
        <f t="shared" si="3"/>
        <v>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509"/>
      <c r="Y193" s="1549"/>
      <c r="Z193" s="1549"/>
      <c r="AA193" s="1549"/>
      <c r="AB193" s="1549"/>
      <c r="AC193" s="1503"/>
    </row>
    <row r="194" spans="1:30" ht="15" x14ac:dyDescent="0.25">
      <c r="A194" s="31"/>
      <c r="B194" s="16">
        <v>5</v>
      </c>
      <c r="C194" s="43">
        <v>182</v>
      </c>
      <c r="D194" s="620" t="s">
        <v>1333</v>
      </c>
      <c r="E194" s="36"/>
      <c r="F194" s="1620">
        <v>0</v>
      </c>
      <c r="G194" s="1620">
        <v>0</v>
      </c>
      <c r="H194" s="1620">
        <v>0</v>
      </c>
      <c r="I194" s="1620">
        <v>0</v>
      </c>
      <c r="J194" s="1394">
        <v>0</v>
      </c>
      <c r="K194" s="734">
        <f t="shared" si="3"/>
        <v>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509"/>
      <c r="Y194" s="1549"/>
      <c r="Z194" s="1549"/>
      <c r="AA194" s="1549"/>
      <c r="AB194" s="1549"/>
      <c r="AC194" s="1503"/>
    </row>
    <row r="195" spans="1:30" ht="15" x14ac:dyDescent="0.25">
      <c r="A195" s="31"/>
      <c r="B195" s="16">
        <v>6</v>
      </c>
      <c r="C195" s="43">
        <v>182</v>
      </c>
      <c r="D195" s="620" t="s">
        <v>1209</v>
      </c>
      <c r="E195" s="36"/>
      <c r="F195" s="1620">
        <v>14142284.48</v>
      </c>
      <c r="G195" s="1620">
        <v>26451686</v>
      </c>
      <c r="H195" s="1620">
        <v>7599446.8099999996</v>
      </c>
      <c r="I195" s="1620">
        <v>2671995.9100000011</v>
      </c>
      <c r="J195" s="1394">
        <v>50865413.20000001</v>
      </c>
      <c r="K195" s="734">
        <f t="shared" si="3"/>
        <v>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509"/>
      <c r="Y195" s="1549"/>
      <c r="Z195" s="1549"/>
      <c r="AA195" s="1549"/>
      <c r="AB195" s="1549"/>
      <c r="AC195" s="1503"/>
    </row>
    <row r="196" spans="1:30" ht="15" x14ac:dyDescent="0.25">
      <c r="A196" s="31"/>
      <c r="B196" s="16">
        <v>7</v>
      </c>
      <c r="C196" s="38">
        <v>182</v>
      </c>
      <c r="D196" s="620" t="s">
        <v>1210</v>
      </c>
      <c r="E196" s="36"/>
      <c r="F196" s="1621">
        <v>0</v>
      </c>
      <c r="G196" s="1621">
        <v>0</v>
      </c>
      <c r="H196" s="1621">
        <v>0</v>
      </c>
      <c r="I196" s="1621">
        <v>0</v>
      </c>
      <c r="J196" s="1394">
        <v>0</v>
      </c>
      <c r="K196" s="734">
        <f t="shared" si="3"/>
        <v>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509"/>
      <c r="Y196" s="1549"/>
      <c r="Z196" s="1549"/>
      <c r="AA196" s="1549"/>
      <c r="AB196" s="1549"/>
      <c r="AC196" s="1503"/>
    </row>
    <row r="197" spans="1:30" ht="15" x14ac:dyDescent="0.25">
      <c r="A197" s="31"/>
      <c r="B197" s="16">
        <v>8</v>
      </c>
      <c r="C197" s="38"/>
      <c r="D197" s="45"/>
      <c r="E197" s="36"/>
      <c r="F197" s="1511"/>
      <c r="G197" s="1511"/>
      <c r="H197" s="1511"/>
      <c r="I197" s="1511"/>
      <c r="J197" s="1394"/>
      <c r="K197" s="734">
        <f t="shared" si="3"/>
        <v>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509"/>
      <c r="Y197" s="1511"/>
      <c r="Z197" s="1511"/>
      <c r="AA197" s="1511"/>
      <c r="AB197" s="1511"/>
      <c r="AC197" s="1503"/>
    </row>
    <row r="198" spans="1:30" ht="15" x14ac:dyDescent="0.25">
      <c r="A198" s="31"/>
      <c r="B198" s="16">
        <v>9</v>
      </c>
      <c r="C198" s="38"/>
      <c r="D198" s="45"/>
      <c r="E198" s="36"/>
      <c r="F198" s="1511"/>
      <c r="G198" s="1511"/>
      <c r="H198" s="1511"/>
      <c r="I198" s="1511"/>
      <c r="J198" s="1394"/>
      <c r="K198" s="734">
        <f t="shared" si="3"/>
        <v>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509"/>
      <c r="Y198" s="1511"/>
      <c r="Z198" s="1511"/>
      <c r="AA198" s="1511"/>
      <c r="AB198" s="1511"/>
      <c r="AC198" s="1503"/>
    </row>
    <row r="199" spans="1:30" ht="15" x14ac:dyDescent="0.25">
      <c r="A199" s="31"/>
      <c r="B199" s="16">
        <v>10</v>
      </c>
      <c r="C199" s="34" t="s">
        <v>137</v>
      </c>
      <c r="D199" s="41"/>
      <c r="E199" s="806" t="s">
        <v>127</v>
      </c>
      <c r="F199" s="1399"/>
      <c r="G199" s="1399"/>
      <c r="H199" s="1399"/>
      <c r="I199" s="1399"/>
      <c r="J199" s="1394"/>
      <c r="K199" s="734">
        <f t="shared" si="3"/>
        <v>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508"/>
      <c r="Y199" s="1550"/>
      <c r="Z199" s="1550"/>
      <c r="AA199" s="1550"/>
      <c r="AB199" s="1550"/>
      <c r="AC199" s="1503"/>
    </row>
    <row r="200" spans="1:30" ht="15" x14ac:dyDescent="0.25">
      <c r="A200" s="31"/>
      <c r="B200" s="16">
        <v>11</v>
      </c>
      <c r="C200" s="38">
        <v>254</v>
      </c>
      <c r="D200" s="45" t="s">
        <v>1124</v>
      </c>
      <c r="E200" s="36"/>
      <c r="F200" s="1622">
        <v>0</v>
      </c>
      <c r="G200" s="1622">
        <v>0</v>
      </c>
      <c r="H200" s="1622">
        <v>0</v>
      </c>
      <c r="I200" s="1622">
        <v>0</v>
      </c>
      <c r="J200" s="1394">
        <v>0</v>
      </c>
      <c r="K200" s="734">
        <f t="shared" si="3"/>
        <v>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509"/>
      <c r="Y200" s="1551"/>
      <c r="Z200" s="1551"/>
      <c r="AA200" s="1551"/>
      <c r="AB200" s="1551"/>
      <c r="AC200" s="1503"/>
    </row>
    <row r="201" spans="1:30" ht="15" x14ac:dyDescent="0.25">
      <c r="A201" s="31"/>
      <c r="B201" s="16">
        <v>12</v>
      </c>
      <c r="C201" s="38">
        <v>254</v>
      </c>
      <c r="D201" s="321" t="s">
        <v>1211</v>
      </c>
      <c r="E201" s="36"/>
      <c r="F201" s="1623">
        <v>-4956454.9700000007</v>
      </c>
      <c r="G201" s="1623">
        <v>-31722510.170000002</v>
      </c>
      <c r="H201" s="1623">
        <v>-12140445.57</v>
      </c>
      <c r="I201" s="1623">
        <v>-911807.07</v>
      </c>
      <c r="J201" s="1394">
        <v>-49731217.780000001</v>
      </c>
      <c r="K201" s="734">
        <f t="shared" si="3"/>
        <v>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509"/>
      <c r="Y201" s="1552"/>
      <c r="Z201" s="1552"/>
      <c r="AA201" s="1552"/>
      <c r="AB201" s="1552"/>
      <c r="AC201" s="1503"/>
    </row>
    <row r="202" spans="1:30" ht="15" x14ac:dyDescent="0.25">
      <c r="A202" s="31"/>
      <c r="B202" s="16">
        <v>13</v>
      </c>
      <c r="C202" s="38">
        <v>254</v>
      </c>
      <c r="D202" s="321" t="s">
        <v>1212</v>
      </c>
      <c r="E202" s="36"/>
      <c r="F202" s="1623">
        <v>0</v>
      </c>
      <c r="G202" s="1623">
        <v>0</v>
      </c>
      <c r="H202" s="1623">
        <v>0</v>
      </c>
      <c r="I202" s="1623">
        <v>0</v>
      </c>
      <c r="J202" s="1394">
        <v>0</v>
      </c>
      <c r="K202" s="734">
        <f t="shared" si="3"/>
        <v>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509"/>
      <c r="Y202" s="1552"/>
      <c r="Z202" s="1552"/>
      <c r="AA202" s="1552"/>
      <c r="AB202" s="1552"/>
      <c r="AC202" s="1503"/>
    </row>
    <row r="203" spans="1:30" ht="15" x14ac:dyDescent="0.25">
      <c r="A203" s="31"/>
      <c r="B203" s="16">
        <v>14</v>
      </c>
      <c r="C203" s="610">
        <v>254</v>
      </c>
      <c r="D203" s="620" t="s">
        <v>1123</v>
      </c>
      <c r="E203" s="36"/>
      <c r="F203" s="1623">
        <v>-506640926.07000005</v>
      </c>
      <c r="G203" s="1623">
        <v>-525569091.14000005</v>
      </c>
      <c r="H203" s="1623">
        <v>-15752308.300000001</v>
      </c>
      <c r="I203" s="1623">
        <v>-10413455.779999999</v>
      </c>
      <c r="J203" s="1394">
        <v>-1058375781.29</v>
      </c>
      <c r="K203" s="734">
        <f t="shared" si="3"/>
        <v>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509"/>
      <c r="Y203" s="1552"/>
      <c r="Z203" s="1552"/>
      <c r="AA203" s="1552"/>
      <c r="AB203" s="1552"/>
      <c r="AC203" s="1503"/>
    </row>
    <row r="204" spans="1:30" ht="15" x14ac:dyDescent="0.25">
      <c r="A204" s="31"/>
      <c r="B204" s="16">
        <v>15</v>
      </c>
      <c r="C204" s="610">
        <v>254</v>
      </c>
      <c r="D204" s="620" t="s">
        <v>1334</v>
      </c>
      <c r="E204" s="36"/>
      <c r="F204" s="1623">
        <v>0</v>
      </c>
      <c r="G204" s="1623">
        <v>0</v>
      </c>
      <c r="H204" s="1623">
        <v>0</v>
      </c>
      <c r="I204" s="1623">
        <v>0</v>
      </c>
      <c r="J204" s="1394">
        <v>0</v>
      </c>
      <c r="K204" s="734">
        <f t="shared" si="3"/>
        <v>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509"/>
      <c r="Y204" s="1552"/>
      <c r="Z204" s="1552"/>
      <c r="AA204" s="1552"/>
      <c r="AB204" s="1552"/>
      <c r="AC204" s="1503"/>
    </row>
    <row r="205" spans="1:30" ht="15" x14ac:dyDescent="0.25">
      <c r="A205" s="31"/>
      <c r="B205" s="16">
        <v>16</v>
      </c>
      <c r="C205" s="610">
        <v>254</v>
      </c>
      <c r="D205" s="1015" t="s">
        <v>1177</v>
      </c>
      <c r="E205" s="36"/>
      <c r="F205" s="1624">
        <v>29623991.289999999</v>
      </c>
      <c r="G205" s="1624">
        <v>28226615.820000011</v>
      </c>
      <c r="H205" s="1624">
        <v>680974.82</v>
      </c>
      <c r="I205" s="1624">
        <v>183687.79000000004</v>
      </c>
      <c r="J205" s="1394">
        <v>58715269.720000014</v>
      </c>
      <c r="K205" s="734">
        <f t="shared" si="3"/>
        <v>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509"/>
      <c r="Y205" s="1553"/>
      <c r="Z205" s="1553"/>
      <c r="AA205" s="1553"/>
      <c r="AB205" s="1553"/>
      <c r="AC205" s="1503"/>
    </row>
    <row r="206" spans="1:30" ht="15" x14ac:dyDescent="0.25">
      <c r="A206" s="31"/>
      <c r="B206" s="16">
        <v>17</v>
      </c>
      <c r="C206" s="610">
        <v>254</v>
      </c>
      <c r="D206" s="620" t="s">
        <v>1126</v>
      </c>
      <c r="E206" s="36"/>
      <c r="F206" s="1625">
        <v>4055575.7200000016</v>
      </c>
      <c r="G206" s="1625">
        <v>12959024.599999996</v>
      </c>
      <c r="H206" s="1625">
        <v>388406.78</v>
      </c>
      <c r="I206" s="1625">
        <v>256765.98</v>
      </c>
      <c r="J206" s="1394">
        <v>17659773.079999998</v>
      </c>
      <c r="K206" s="734">
        <f t="shared" si="3"/>
        <v>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509"/>
      <c r="Y206" s="1554"/>
      <c r="Z206" s="1554"/>
      <c r="AA206" s="1554"/>
      <c r="AB206" s="1554"/>
      <c r="AC206" s="1503"/>
      <c r="AD206" s="339"/>
    </row>
    <row r="207" spans="1:30" ht="15" x14ac:dyDescent="0.25">
      <c r="A207" s="31"/>
      <c r="B207" s="16">
        <v>18</v>
      </c>
      <c r="C207" s="38">
        <v>254</v>
      </c>
      <c r="D207" s="45" t="s">
        <v>1127</v>
      </c>
      <c r="E207" s="36"/>
      <c r="F207" s="1625">
        <v>0</v>
      </c>
      <c r="G207" s="1625">
        <v>0</v>
      </c>
      <c r="H207" s="1625">
        <v>0</v>
      </c>
      <c r="I207" s="1625">
        <v>0</v>
      </c>
      <c r="J207" s="1394">
        <v>0</v>
      </c>
      <c r="K207" s="734">
        <f t="shared" si="3"/>
        <v>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509"/>
      <c r="Y207" s="1554"/>
      <c r="Z207" s="1554"/>
      <c r="AA207" s="1554"/>
      <c r="AB207" s="1554"/>
      <c r="AC207" s="1503"/>
      <c r="AD207" s="339"/>
    </row>
    <row r="208" spans="1:30" ht="15" x14ac:dyDescent="0.25">
      <c r="A208" s="31"/>
      <c r="B208" s="16">
        <v>19</v>
      </c>
      <c r="C208" s="38">
        <v>254</v>
      </c>
      <c r="D208" s="620" t="s">
        <v>1213</v>
      </c>
      <c r="E208" s="36"/>
      <c r="F208" s="1625">
        <v>0</v>
      </c>
      <c r="G208" s="1625">
        <v>0</v>
      </c>
      <c r="H208" s="1625">
        <v>0</v>
      </c>
      <c r="I208" s="1625">
        <v>0</v>
      </c>
      <c r="J208" s="1394">
        <v>0</v>
      </c>
      <c r="K208" s="734">
        <f t="shared" si="3"/>
        <v>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509"/>
      <c r="Y208" s="1554"/>
      <c r="Z208" s="1554"/>
      <c r="AA208" s="1554"/>
      <c r="AB208" s="1554"/>
      <c r="AC208" s="1503"/>
      <c r="AD208" s="339"/>
    </row>
    <row r="209" spans="1:31" ht="15" x14ac:dyDescent="0.25">
      <c r="A209" s="31"/>
      <c r="B209" s="16">
        <v>20</v>
      </c>
      <c r="C209" s="38">
        <v>254</v>
      </c>
      <c r="D209" s="45" t="s">
        <v>139</v>
      </c>
      <c r="E209" s="36"/>
      <c r="F209" s="1626">
        <v>0</v>
      </c>
      <c r="G209" s="1626">
        <v>0</v>
      </c>
      <c r="H209" s="1626">
        <v>0</v>
      </c>
      <c r="I209" s="1626">
        <v>0</v>
      </c>
      <c r="J209" s="1394">
        <v>0</v>
      </c>
      <c r="K209" s="734">
        <f t="shared" si="3"/>
        <v>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509"/>
      <c r="Y209" s="1554"/>
      <c r="Z209" s="1554"/>
      <c r="AA209" s="1554"/>
      <c r="AB209" s="1554"/>
      <c r="AC209" s="1503"/>
      <c r="AD209" s="339"/>
    </row>
    <row r="210" spans="1:31" s="321" customFormat="1" ht="15" x14ac:dyDescent="0.25">
      <c r="A210" s="31"/>
      <c r="B210" s="16">
        <v>21</v>
      </c>
      <c r="C210" s="1"/>
      <c r="D210" s="41"/>
      <c r="E210" s="806"/>
      <c r="F210" s="1399"/>
      <c r="G210" s="1399"/>
      <c r="H210" s="1399"/>
      <c r="I210" s="1400"/>
      <c r="J210" s="1394"/>
      <c r="K210" s="734">
        <f t="shared" ref="K210:K273" si="4">J210-SUM(F210:I210)</f>
        <v>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508"/>
      <c r="Y210" s="1550"/>
      <c r="Z210" s="1550"/>
      <c r="AA210" s="1550"/>
      <c r="AB210" s="1555"/>
      <c r="AC210" s="1503"/>
      <c r="AD210" s="357"/>
      <c r="AE210" s="357"/>
    </row>
    <row r="211" spans="1:31" s="321" customFormat="1" ht="15" x14ac:dyDescent="0.25">
      <c r="A211" s="31"/>
      <c r="B211" s="16">
        <v>22</v>
      </c>
      <c r="C211" s="46" t="s">
        <v>140</v>
      </c>
      <c r="D211" s="1"/>
      <c r="E211" s="1315" t="s">
        <v>141</v>
      </c>
      <c r="F211" s="1627">
        <v>7.4700000000000003E-2</v>
      </c>
      <c r="G211" s="1627">
        <v>7.4700000000000003E-2</v>
      </c>
      <c r="H211" s="1627">
        <v>7.4700000000000003E-2</v>
      </c>
      <c r="I211" s="1627">
        <v>7.4700000000000003E-2</v>
      </c>
      <c r="J211" s="1394"/>
      <c r="K211" s="734">
        <f t="shared" si="4"/>
        <v>-0.29880000000000001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493"/>
      <c r="Y211" s="1556"/>
      <c r="Z211" s="1556"/>
      <c r="AA211" s="1556"/>
      <c r="AB211" s="1556"/>
      <c r="AC211" s="1503"/>
      <c r="AD211" s="339"/>
      <c r="AE211" s="357"/>
    </row>
    <row r="212" spans="1:31" s="321" customFormat="1" ht="15" x14ac:dyDescent="0.25">
      <c r="A212" s="1"/>
      <c r="B212" s="16"/>
      <c r="C212" s="46"/>
      <c r="D212" s="1"/>
      <c r="E212" s="1315"/>
      <c r="F212" s="1512"/>
      <c r="G212" s="1512"/>
      <c r="H212" s="1512"/>
      <c r="I212" s="1512"/>
      <c r="J212" s="1394"/>
      <c r="K212" s="734">
        <f t="shared" si="4"/>
        <v>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493"/>
      <c r="Y212" s="1512"/>
      <c r="Z212" s="1512"/>
      <c r="AA212" s="1512"/>
      <c r="AB212" s="1512"/>
      <c r="AC212" s="1503"/>
      <c r="AD212" s="357"/>
      <c r="AE212" s="339"/>
    </row>
    <row r="213" spans="1:31" s="321" customFormat="1" ht="15" x14ac:dyDescent="0.25">
      <c r="A213" s="1"/>
      <c r="B213" s="16"/>
      <c r="C213" s="46"/>
      <c r="D213" s="647"/>
      <c r="E213" s="1315"/>
      <c r="F213" s="1512"/>
      <c r="G213" s="1512"/>
      <c r="H213" s="1512"/>
      <c r="I213" s="1512"/>
      <c r="J213" s="1394"/>
      <c r="K213" s="734">
        <f t="shared" si="4"/>
        <v>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493"/>
      <c r="Y213" s="1512"/>
      <c r="Z213" s="1512"/>
      <c r="AA213" s="1512"/>
      <c r="AB213" s="1512"/>
      <c r="AC213" s="1503"/>
      <c r="AD213" s="357"/>
      <c r="AE213" s="339"/>
    </row>
    <row r="214" spans="1:31" ht="15" x14ac:dyDescent="0.25">
      <c r="A214" s="1"/>
      <c r="B214" s="16">
        <v>1</v>
      </c>
      <c r="C214" s="8" t="s">
        <v>142</v>
      </c>
      <c r="D214" s="1"/>
      <c r="E214" s="1315" t="s">
        <v>143</v>
      </c>
      <c r="F214" s="1439"/>
      <c r="G214" s="1439"/>
      <c r="H214" s="1439"/>
      <c r="I214" s="1439"/>
      <c r="J214" s="1394"/>
      <c r="K214" s="734">
        <f t="shared" si="4"/>
        <v>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493"/>
      <c r="Y214" s="1496"/>
      <c r="Z214" s="1496"/>
      <c r="AA214" s="1496"/>
      <c r="AB214" s="1496"/>
      <c r="AC214" s="1503"/>
      <c r="AE214" s="339"/>
    </row>
    <row r="215" spans="1:31" s="321" customFormat="1" x14ac:dyDescent="0.2">
      <c r="A215" s="1"/>
      <c r="B215" s="16">
        <v>2</v>
      </c>
      <c r="C215" s="18" t="s">
        <v>144</v>
      </c>
      <c r="D215" s="1" t="s">
        <v>145</v>
      </c>
      <c r="E215" s="30"/>
      <c r="F215" s="1619">
        <v>5714194.2999999998</v>
      </c>
      <c r="G215" s="1619">
        <v>61587.37</v>
      </c>
      <c r="H215" s="1619">
        <v>3703.71</v>
      </c>
      <c r="I215" s="1619">
        <v>0</v>
      </c>
      <c r="J215" s="1394">
        <v>5779485.3799999999</v>
      </c>
      <c r="K215" s="734">
        <f t="shared" si="4"/>
        <v>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507"/>
      <c r="Y215" s="1548"/>
      <c r="Z215" s="1548"/>
      <c r="AA215" s="1548"/>
      <c r="AB215" s="1548"/>
      <c r="AC215" s="1503"/>
      <c r="AD215" s="357"/>
      <c r="AE215" s="339"/>
    </row>
    <row r="216" spans="1:31" x14ac:dyDescent="0.2">
      <c r="A216" s="1"/>
      <c r="B216" s="16">
        <v>3</v>
      </c>
      <c r="C216" s="18" t="s">
        <v>146</v>
      </c>
      <c r="D216" s="1" t="s">
        <v>147</v>
      </c>
      <c r="E216" s="30"/>
      <c r="F216" s="1620">
        <v>21966225.98</v>
      </c>
      <c r="G216" s="1620">
        <v>0</v>
      </c>
      <c r="H216" s="1620">
        <v>0</v>
      </c>
      <c r="I216" s="1620">
        <v>0</v>
      </c>
      <c r="J216" s="1394">
        <v>21966225.98</v>
      </c>
      <c r="K216" s="734">
        <f t="shared" si="4"/>
        <v>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507"/>
      <c r="Y216" s="1549"/>
      <c r="Z216" s="1549"/>
      <c r="AA216" s="1549"/>
      <c r="AB216" s="1549"/>
      <c r="AC216" s="1503"/>
    </row>
    <row r="217" spans="1:31" x14ac:dyDescent="0.2">
      <c r="A217" s="1"/>
      <c r="B217" s="16">
        <v>4</v>
      </c>
      <c r="C217" s="18" t="s">
        <v>148</v>
      </c>
      <c r="D217" s="1" t="s">
        <v>149</v>
      </c>
      <c r="E217" s="30"/>
      <c r="F217" s="1620">
        <v>5188090.93</v>
      </c>
      <c r="G217" s="1620">
        <v>187768.98</v>
      </c>
      <c r="H217" s="1620">
        <v>0</v>
      </c>
      <c r="I217" s="1620">
        <v>0</v>
      </c>
      <c r="J217" s="1394">
        <v>5375859.9100000001</v>
      </c>
      <c r="K217" s="734">
        <f t="shared" si="4"/>
        <v>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507"/>
      <c r="Y217" s="1549"/>
      <c r="Z217" s="1549"/>
      <c r="AA217" s="1549"/>
      <c r="AB217" s="1549"/>
      <c r="AC217" s="1503"/>
      <c r="AE217" s="339"/>
    </row>
    <row r="218" spans="1:31" x14ac:dyDescent="0.2">
      <c r="A218" s="1"/>
      <c r="B218" s="16">
        <v>5</v>
      </c>
      <c r="C218" s="18" t="s">
        <v>150</v>
      </c>
      <c r="D218" s="1" t="s">
        <v>151</v>
      </c>
      <c r="E218" s="30"/>
      <c r="F218" s="1620">
        <v>7915318.0300000003</v>
      </c>
      <c r="G218" s="1620">
        <v>-1237.3399999999999</v>
      </c>
      <c r="H218" s="1620">
        <v>0</v>
      </c>
      <c r="I218" s="1620">
        <v>0</v>
      </c>
      <c r="J218" s="1394">
        <v>7914080.6900000004</v>
      </c>
      <c r="K218" s="734">
        <f t="shared" si="4"/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507"/>
      <c r="Y218" s="1549"/>
      <c r="Z218" s="1549"/>
      <c r="AA218" s="1549"/>
      <c r="AB218" s="1549"/>
      <c r="AC218" s="1503"/>
      <c r="AD218" s="339"/>
    </row>
    <row r="219" spans="1:31" x14ac:dyDescent="0.2">
      <c r="A219" s="1"/>
      <c r="B219" s="16">
        <v>6</v>
      </c>
      <c r="C219" s="18" t="s">
        <v>152</v>
      </c>
      <c r="D219" s="1" t="s">
        <v>153</v>
      </c>
      <c r="E219" s="30"/>
      <c r="F219" s="1620">
        <v>2124.5300000000002</v>
      </c>
      <c r="G219" s="1620">
        <v>0</v>
      </c>
      <c r="H219" s="1620">
        <v>0</v>
      </c>
      <c r="I219" s="1620">
        <v>0</v>
      </c>
      <c r="J219" s="1394">
        <v>2124.5300000000002</v>
      </c>
      <c r="K219" s="734">
        <f t="shared" si="4"/>
        <v>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507"/>
      <c r="Y219" s="1549"/>
      <c r="Z219" s="1549"/>
      <c r="AA219" s="1549"/>
      <c r="AB219" s="1549"/>
      <c r="AC219" s="1503"/>
    </row>
    <row r="220" spans="1:31" x14ac:dyDescent="0.2">
      <c r="A220" s="1"/>
      <c r="B220" s="16">
        <v>7</v>
      </c>
      <c r="C220" s="18" t="s">
        <v>154</v>
      </c>
      <c r="D220" s="26" t="s">
        <v>155</v>
      </c>
      <c r="E220" s="30"/>
      <c r="F220" s="1620">
        <v>0</v>
      </c>
      <c r="G220" s="1620">
        <v>2100841472.6600001</v>
      </c>
      <c r="H220" s="1620">
        <v>0</v>
      </c>
      <c r="I220" s="1620">
        <v>0</v>
      </c>
      <c r="J220" s="1394">
        <v>2100841472.6600001</v>
      </c>
      <c r="K220" s="734">
        <f t="shared" si="4"/>
        <v>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507"/>
      <c r="Y220" s="1549"/>
      <c r="Z220" s="1549"/>
      <c r="AA220" s="1549"/>
      <c r="AB220" s="1549"/>
      <c r="AC220" s="1503"/>
    </row>
    <row r="221" spans="1:31" ht="15" x14ac:dyDescent="0.25">
      <c r="A221" s="8"/>
      <c r="B221" s="16">
        <v>8</v>
      </c>
      <c r="C221" s="18" t="s">
        <v>156</v>
      </c>
      <c r="D221" s="1" t="s">
        <v>157</v>
      </c>
      <c r="E221" s="30"/>
      <c r="F221" s="1620">
        <v>70892895.079999998</v>
      </c>
      <c r="G221" s="1620">
        <v>595090.37</v>
      </c>
      <c r="H221" s="1620">
        <v>5306.31</v>
      </c>
      <c r="I221" s="1620">
        <v>0</v>
      </c>
      <c r="J221" s="1394">
        <v>71493291.760000005</v>
      </c>
      <c r="K221" s="734">
        <f t="shared" si="4"/>
        <v>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507"/>
      <c r="Y221" s="1549"/>
      <c r="Z221" s="1549"/>
      <c r="AA221" s="1549"/>
      <c r="AB221" s="1549"/>
      <c r="AC221" s="1503"/>
    </row>
    <row r="222" spans="1:31" s="321" customFormat="1" ht="15" x14ac:dyDescent="0.25">
      <c r="A222" s="8"/>
      <c r="B222" s="16">
        <v>9</v>
      </c>
      <c r="C222" s="18" t="s">
        <v>158</v>
      </c>
      <c r="D222" s="1" t="s">
        <v>159</v>
      </c>
      <c r="E222" s="30"/>
      <c r="F222" s="1621">
        <v>155822.19</v>
      </c>
      <c r="G222" s="1621">
        <v>0</v>
      </c>
      <c r="H222" s="1621">
        <v>0</v>
      </c>
      <c r="I222" s="1621">
        <v>0</v>
      </c>
      <c r="J222" s="1394">
        <v>155822.19</v>
      </c>
      <c r="K222" s="734">
        <f t="shared" si="4"/>
        <v>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507"/>
      <c r="Y222" s="1549"/>
      <c r="Z222" s="1549"/>
      <c r="AA222" s="1549"/>
      <c r="AB222" s="1549"/>
      <c r="AC222" s="1503"/>
      <c r="AD222" s="357"/>
      <c r="AE222" s="357"/>
    </row>
    <row r="223" spans="1:31" ht="15" x14ac:dyDescent="0.25">
      <c r="A223" s="8"/>
      <c r="B223" s="16">
        <v>10</v>
      </c>
      <c r="C223" s="8" t="s">
        <v>160</v>
      </c>
      <c r="D223" s="1"/>
      <c r="E223" s="1315" t="s">
        <v>143</v>
      </c>
      <c r="F223" s="1439"/>
      <c r="G223" s="1439"/>
      <c r="H223" s="1439"/>
      <c r="I223" s="1439"/>
      <c r="J223" s="1394"/>
      <c r="K223" s="734">
        <f t="shared" si="4"/>
        <v>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493"/>
      <c r="Y223" s="1496"/>
      <c r="Z223" s="1496"/>
      <c r="AA223" s="1496"/>
      <c r="AB223" s="1496"/>
      <c r="AC223" s="1503"/>
    </row>
    <row r="224" spans="1:31" ht="15" x14ac:dyDescent="0.25">
      <c r="A224" s="8"/>
      <c r="B224" s="16">
        <v>11</v>
      </c>
      <c r="C224" s="18" t="s">
        <v>161</v>
      </c>
      <c r="D224" s="1" t="s">
        <v>162</v>
      </c>
      <c r="E224" s="30"/>
      <c r="F224" s="1619">
        <v>162619.94</v>
      </c>
      <c r="G224" s="1619">
        <v>43504.86</v>
      </c>
      <c r="H224" s="1619">
        <v>0</v>
      </c>
      <c r="I224" s="1619">
        <v>0</v>
      </c>
      <c r="J224" s="1394">
        <v>206124.79999999999</v>
      </c>
      <c r="K224" s="734">
        <f t="shared" si="4"/>
        <v>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507"/>
      <c r="Y224" s="1548"/>
      <c r="Z224" s="1548"/>
      <c r="AA224" s="1548"/>
      <c r="AB224" s="1548"/>
      <c r="AC224" s="1503"/>
      <c r="AE224" s="339"/>
    </row>
    <row r="225" spans="1:29" ht="15" x14ac:dyDescent="0.25">
      <c r="A225" s="8"/>
      <c r="B225" s="16">
        <v>12</v>
      </c>
      <c r="C225" s="18" t="s">
        <v>163</v>
      </c>
      <c r="D225" s="26" t="s">
        <v>164</v>
      </c>
      <c r="E225" s="30"/>
      <c r="F225" s="1620">
        <v>4324.53</v>
      </c>
      <c r="G225" s="1620">
        <v>142.1</v>
      </c>
      <c r="H225" s="1620">
        <v>0</v>
      </c>
      <c r="I225" s="1620">
        <v>0</v>
      </c>
      <c r="J225" s="1394">
        <v>4466.63</v>
      </c>
      <c r="K225" s="734">
        <f t="shared" si="4"/>
        <v>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507"/>
      <c r="Y225" s="1549"/>
      <c r="Z225" s="1549"/>
      <c r="AA225" s="1549"/>
      <c r="AB225" s="1549"/>
      <c r="AC225" s="1503"/>
    </row>
    <row r="226" spans="1:29" ht="15" x14ac:dyDescent="0.25">
      <c r="A226" s="8"/>
      <c r="B226" s="16">
        <v>13</v>
      </c>
      <c r="C226" s="18" t="s">
        <v>165</v>
      </c>
      <c r="D226" s="1" t="s">
        <v>166</v>
      </c>
      <c r="E226" s="30"/>
      <c r="F226" s="1620">
        <v>7324330.5500000007</v>
      </c>
      <c r="G226" s="1620">
        <v>150005.04999999999</v>
      </c>
      <c r="H226" s="1620">
        <v>0</v>
      </c>
      <c r="I226" s="1620">
        <v>0</v>
      </c>
      <c r="J226" s="1394">
        <v>7474335.6000000006</v>
      </c>
      <c r="K226" s="734">
        <f t="shared" si="4"/>
        <v>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507"/>
      <c r="Y226" s="1549"/>
      <c r="Z226" s="1549"/>
      <c r="AA226" s="1549"/>
      <c r="AB226" s="1549"/>
      <c r="AC226" s="1503"/>
    </row>
    <row r="227" spans="1:29" ht="15" x14ac:dyDescent="0.25">
      <c r="A227" s="8"/>
      <c r="B227" s="16">
        <v>14</v>
      </c>
      <c r="C227" s="18" t="s">
        <v>167</v>
      </c>
      <c r="D227" s="1" t="s">
        <v>168</v>
      </c>
      <c r="E227" s="30"/>
      <c r="F227" s="1620">
        <v>20078366.559999999</v>
      </c>
      <c r="G227" s="1620">
        <v>12682.44</v>
      </c>
      <c r="H227" s="1620">
        <v>0</v>
      </c>
      <c r="I227" s="1620">
        <v>0</v>
      </c>
      <c r="J227" s="1394">
        <v>20091049</v>
      </c>
      <c r="K227" s="734">
        <f t="shared" si="4"/>
        <v>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507"/>
      <c r="Y227" s="1549"/>
      <c r="Z227" s="1549"/>
      <c r="AA227" s="1549"/>
      <c r="AB227" s="1549"/>
      <c r="AC227" s="1503"/>
    </row>
    <row r="228" spans="1:29" ht="15" x14ac:dyDescent="0.25">
      <c r="A228" s="8"/>
      <c r="B228" s="16">
        <v>15</v>
      </c>
      <c r="C228" s="18" t="s">
        <v>169</v>
      </c>
      <c r="D228" s="26" t="s">
        <v>170</v>
      </c>
      <c r="E228" s="30"/>
      <c r="F228" s="1620">
        <v>-6779.07</v>
      </c>
      <c r="G228" s="1620">
        <v>0</v>
      </c>
      <c r="H228" s="1620">
        <v>0</v>
      </c>
      <c r="I228" s="1620">
        <v>0</v>
      </c>
      <c r="J228" s="1394">
        <v>-6779.07</v>
      </c>
      <c r="K228" s="734">
        <f t="shared" si="4"/>
        <v>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507"/>
      <c r="Y228" s="1549"/>
      <c r="Z228" s="1549"/>
      <c r="AA228" s="1549"/>
      <c r="AB228" s="1549"/>
      <c r="AC228" s="1503"/>
    </row>
    <row r="229" spans="1:29" ht="15" x14ac:dyDescent="0.25">
      <c r="A229" s="8"/>
      <c r="B229" s="16">
        <v>16</v>
      </c>
      <c r="C229" s="18" t="s">
        <v>171</v>
      </c>
      <c r="D229" s="26" t="s">
        <v>172</v>
      </c>
      <c r="E229" s="30"/>
      <c r="F229" s="1621">
        <v>919045.91999999993</v>
      </c>
      <c r="G229" s="1621">
        <v>89251.47</v>
      </c>
      <c r="H229" s="1621">
        <v>0</v>
      </c>
      <c r="I229" s="1621">
        <v>0</v>
      </c>
      <c r="J229" s="1394">
        <v>1008297.3899999999</v>
      </c>
      <c r="K229" s="734">
        <f t="shared" si="4"/>
        <v>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507"/>
      <c r="Y229" s="1549"/>
      <c r="Z229" s="1549"/>
      <c r="AA229" s="1549"/>
      <c r="AB229" s="1549"/>
      <c r="AC229" s="1503"/>
    </row>
    <row r="230" spans="1:29" ht="15" x14ac:dyDescent="0.25">
      <c r="A230" s="8"/>
      <c r="B230" s="16">
        <v>17</v>
      </c>
      <c r="C230" s="8" t="s">
        <v>173</v>
      </c>
      <c r="D230" s="1"/>
      <c r="E230" s="1315" t="s">
        <v>143</v>
      </c>
      <c r="F230" s="1439"/>
      <c r="G230" s="1439"/>
      <c r="H230" s="1439"/>
      <c r="I230" s="1439"/>
      <c r="J230" s="1394"/>
      <c r="K230" s="734">
        <f t="shared" si="4"/>
        <v>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493"/>
      <c r="Y230" s="1496"/>
      <c r="Z230" s="1496"/>
      <c r="AA230" s="1496"/>
      <c r="AB230" s="1496"/>
      <c r="AC230" s="1503"/>
    </row>
    <row r="231" spans="1:29" ht="15" x14ac:dyDescent="0.25">
      <c r="A231" s="8"/>
      <c r="B231" s="16">
        <v>18</v>
      </c>
      <c r="C231" s="18" t="s">
        <v>174</v>
      </c>
      <c r="D231" s="29" t="s">
        <v>145</v>
      </c>
      <c r="E231" s="16"/>
      <c r="F231" s="1619">
        <v>46383.62</v>
      </c>
      <c r="G231" s="1619">
        <v>11602331.33</v>
      </c>
      <c r="H231" s="1619">
        <v>651135.68000000005</v>
      </c>
      <c r="I231" s="1619">
        <v>64046.58</v>
      </c>
      <c r="J231" s="1394">
        <v>12363897.209999999</v>
      </c>
      <c r="K231" s="734">
        <f t="shared" si="4"/>
        <v>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497"/>
      <c r="Y231" s="1548"/>
      <c r="Z231" s="1548"/>
      <c r="AA231" s="1548"/>
      <c r="AB231" s="1548"/>
      <c r="AC231" s="1503"/>
    </row>
    <row r="232" spans="1:29" ht="15" x14ac:dyDescent="0.25">
      <c r="A232" s="8"/>
      <c r="B232" s="16">
        <v>19</v>
      </c>
      <c r="C232" s="18" t="s">
        <v>175</v>
      </c>
      <c r="D232" s="29" t="s">
        <v>176</v>
      </c>
      <c r="E232" s="30"/>
      <c r="F232" s="1620">
        <v>0</v>
      </c>
      <c r="G232" s="1620">
        <v>12959390.869999999</v>
      </c>
      <c r="H232" s="1620">
        <v>0</v>
      </c>
      <c r="I232" s="1620">
        <v>0</v>
      </c>
      <c r="J232" s="1394">
        <v>12959390.869999999</v>
      </c>
      <c r="K232" s="734">
        <f t="shared" si="4"/>
        <v>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507"/>
      <c r="Y232" s="1549"/>
      <c r="Z232" s="1549"/>
      <c r="AA232" s="1549"/>
      <c r="AB232" s="1549"/>
      <c r="AC232" s="1503"/>
    </row>
    <row r="233" spans="1:29" ht="15" x14ac:dyDescent="0.25">
      <c r="A233" s="8"/>
      <c r="B233" s="16">
        <v>20</v>
      </c>
      <c r="C233" s="18" t="s">
        <v>177</v>
      </c>
      <c r="D233" s="1" t="s">
        <v>149</v>
      </c>
      <c r="E233" s="30"/>
      <c r="F233" s="1620">
        <v>172975.41</v>
      </c>
      <c r="G233" s="1620">
        <v>5100475.93</v>
      </c>
      <c r="H233" s="1620">
        <v>0</v>
      </c>
      <c r="I233" s="1620">
        <v>0</v>
      </c>
      <c r="J233" s="1394">
        <v>5273451.34</v>
      </c>
      <c r="K233" s="734">
        <f t="shared" si="4"/>
        <v>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507"/>
      <c r="Y233" s="1549"/>
      <c r="Z233" s="1549"/>
      <c r="AA233" s="1549"/>
      <c r="AB233" s="1549"/>
      <c r="AC233" s="1503"/>
    </row>
    <row r="234" spans="1:29" ht="15" x14ac:dyDescent="0.25">
      <c r="A234" s="8"/>
      <c r="B234" s="16">
        <v>21</v>
      </c>
      <c r="C234" s="18" t="s">
        <v>178</v>
      </c>
      <c r="D234" s="1" t="s">
        <v>151</v>
      </c>
      <c r="E234" s="30"/>
      <c r="F234" s="1620">
        <v>0</v>
      </c>
      <c r="G234" s="1620">
        <v>22054638.640000001</v>
      </c>
      <c r="H234" s="1620">
        <v>13591.19</v>
      </c>
      <c r="I234" s="1620">
        <v>0</v>
      </c>
      <c r="J234" s="1394">
        <v>22068229.830000002</v>
      </c>
      <c r="K234" s="734">
        <f t="shared" si="4"/>
        <v>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507"/>
      <c r="Y234" s="1549"/>
      <c r="Z234" s="1549"/>
      <c r="AA234" s="1549"/>
      <c r="AB234" s="1549"/>
      <c r="AC234" s="1503"/>
    </row>
    <row r="235" spans="1:29" ht="15" x14ac:dyDescent="0.25">
      <c r="A235" s="8"/>
      <c r="B235" s="16">
        <v>22</v>
      </c>
      <c r="C235" s="18" t="s">
        <v>179</v>
      </c>
      <c r="D235" s="1" t="s">
        <v>153</v>
      </c>
      <c r="E235" s="52"/>
      <c r="F235" s="1620">
        <v>0</v>
      </c>
      <c r="G235" s="1620">
        <v>9701086.9600000009</v>
      </c>
      <c r="H235" s="1620">
        <v>18527.89</v>
      </c>
      <c r="I235" s="1620">
        <v>0</v>
      </c>
      <c r="J235" s="1394">
        <v>9719614.8500000015</v>
      </c>
      <c r="K235" s="734">
        <f t="shared" si="4"/>
        <v>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514"/>
      <c r="Y235" s="1549"/>
      <c r="Z235" s="1549"/>
      <c r="AA235" s="1549"/>
      <c r="AB235" s="1549"/>
      <c r="AC235" s="1503"/>
    </row>
    <row r="236" spans="1:29" ht="15" x14ac:dyDescent="0.25">
      <c r="A236" s="8"/>
      <c r="B236" s="16">
        <v>23</v>
      </c>
      <c r="C236" s="18" t="s">
        <v>180</v>
      </c>
      <c r="D236" s="1" t="s">
        <v>181</v>
      </c>
      <c r="E236" s="52"/>
      <c r="F236" s="1620">
        <v>0</v>
      </c>
      <c r="G236" s="1620">
        <v>157.6</v>
      </c>
      <c r="H236" s="1620">
        <v>0</v>
      </c>
      <c r="I236" s="1620">
        <v>0</v>
      </c>
      <c r="J236" s="1394">
        <v>157.6</v>
      </c>
      <c r="K236" s="734">
        <f t="shared" si="4"/>
        <v>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514"/>
      <c r="Y236" s="1549"/>
      <c r="Z236" s="1549"/>
      <c r="AA236" s="1549"/>
      <c r="AB236" s="1549"/>
      <c r="AC236" s="1503"/>
    </row>
    <row r="237" spans="1:29" x14ac:dyDescent="0.2">
      <c r="A237" s="1"/>
      <c r="B237" s="16">
        <v>24</v>
      </c>
      <c r="C237" s="18" t="s">
        <v>182</v>
      </c>
      <c r="D237" s="1" t="s">
        <v>183</v>
      </c>
      <c r="E237" s="52"/>
      <c r="F237" s="1620">
        <v>0</v>
      </c>
      <c r="G237" s="1620">
        <v>0</v>
      </c>
      <c r="H237" s="1620">
        <v>35005008.409999996</v>
      </c>
      <c r="I237" s="1620">
        <v>0</v>
      </c>
      <c r="J237" s="1394">
        <v>35005008.409999996</v>
      </c>
      <c r="K237" s="734">
        <f t="shared" si="4"/>
        <v>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514"/>
      <c r="Y237" s="1549"/>
      <c r="Z237" s="1549"/>
      <c r="AA237" s="1549"/>
      <c r="AB237" s="1549"/>
      <c r="AC237" s="1503"/>
    </row>
    <row r="238" spans="1:29" ht="15" x14ac:dyDescent="0.25">
      <c r="A238" s="8"/>
      <c r="B238" s="16">
        <v>25</v>
      </c>
      <c r="C238" s="18" t="s">
        <v>184</v>
      </c>
      <c r="D238" s="1" t="s">
        <v>185</v>
      </c>
      <c r="E238" s="52"/>
      <c r="F238" s="1620">
        <v>0</v>
      </c>
      <c r="G238" s="1620">
        <v>2655620.85</v>
      </c>
      <c r="H238" s="1620">
        <v>0</v>
      </c>
      <c r="I238" s="1620">
        <v>0</v>
      </c>
      <c r="J238" s="1394">
        <v>2655620.85</v>
      </c>
      <c r="K238" s="734">
        <f t="shared" si="4"/>
        <v>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514"/>
      <c r="Y238" s="1549"/>
      <c r="Z238" s="1549"/>
      <c r="AA238" s="1549"/>
      <c r="AB238" s="1549"/>
      <c r="AC238" s="1503"/>
    </row>
    <row r="239" spans="1:29" ht="15" x14ac:dyDescent="0.25">
      <c r="A239" s="8"/>
      <c r="B239" s="16">
        <v>26</v>
      </c>
      <c r="C239" s="18" t="s">
        <v>186</v>
      </c>
      <c r="D239" s="1" t="s">
        <v>187</v>
      </c>
      <c r="E239" s="30"/>
      <c r="F239" s="1620">
        <v>101538.42</v>
      </c>
      <c r="G239" s="1620">
        <v>114338938.56</v>
      </c>
      <c r="H239" s="1620">
        <v>2054606.74</v>
      </c>
      <c r="I239" s="1620">
        <v>125580.7</v>
      </c>
      <c r="J239" s="1394">
        <v>116620664.42</v>
      </c>
      <c r="K239" s="734">
        <f t="shared" si="4"/>
        <v>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507"/>
      <c r="Y239" s="1549"/>
      <c r="Z239" s="1549"/>
      <c r="AA239" s="1549"/>
      <c r="AB239" s="1549"/>
      <c r="AC239" s="1503"/>
    </row>
    <row r="240" spans="1:29" ht="15" x14ac:dyDescent="0.25">
      <c r="A240" s="8"/>
      <c r="B240" s="16">
        <v>27</v>
      </c>
      <c r="C240" s="18" t="s">
        <v>188</v>
      </c>
      <c r="D240" s="1" t="s">
        <v>189</v>
      </c>
      <c r="E240" s="30"/>
      <c r="F240" s="1621">
        <v>0</v>
      </c>
      <c r="G240" s="1621">
        <v>201175.9</v>
      </c>
      <c r="H240" s="1621">
        <v>0</v>
      </c>
      <c r="I240" s="1621">
        <v>0</v>
      </c>
      <c r="J240" s="1394">
        <v>201175.9</v>
      </c>
      <c r="K240" s="734">
        <f t="shared" si="4"/>
        <v>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507"/>
      <c r="Y240" s="1549"/>
      <c r="Z240" s="1549"/>
      <c r="AA240" s="1549"/>
      <c r="AB240" s="1549"/>
      <c r="AC240" s="1503"/>
    </row>
    <row r="241" spans="1:29" ht="15" x14ac:dyDescent="0.25">
      <c r="A241" s="8"/>
      <c r="B241" s="16">
        <v>28</v>
      </c>
      <c r="C241" s="8" t="s">
        <v>190</v>
      </c>
      <c r="D241" s="1"/>
      <c r="E241" s="1315" t="s">
        <v>143</v>
      </c>
      <c r="F241" s="1439"/>
      <c r="G241" s="1439"/>
      <c r="H241" s="1439"/>
      <c r="I241" s="1439"/>
      <c r="J241" s="1394"/>
      <c r="K241" s="734">
        <f t="shared" si="4"/>
        <v>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493"/>
      <c r="Y241" s="1496"/>
      <c r="Z241" s="1496"/>
      <c r="AA241" s="1496"/>
      <c r="AB241" s="1496"/>
      <c r="AC241" s="1503"/>
    </row>
    <row r="242" spans="1:29" ht="15" x14ac:dyDescent="0.25">
      <c r="A242" s="8"/>
      <c r="B242" s="16">
        <v>29</v>
      </c>
      <c r="C242" s="18" t="s">
        <v>191</v>
      </c>
      <c r="D242" s="1" t="s">
        <v>162</v>
      </c>
      <c r="E242" s="16"/>
      <c r="F242" s="1619">
        <v>34886.310000000005</v>
      </c>
      <c r="G242" s="1619">
        <v>2657755.9500000011</v>
      </c>
      <c r="H242" s="1619">
        <v>675219.36000000022</v>
      </c>
      <c r="I242" s="1619">
        <v>53.75</v>
      </c>
      <c r="J242" s="1394">
        <v>3367915.3700000015</v>
      </c>
      <c r="K242" s="734">
        <f t="shared" si="4"/>
        <v>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497"/>
      <c r="Y242" s="1548"/>
      <c r="Z242" s="1548"/>
      <c r="AA242" s="1548"/>
      <c r="AB242" s="1548"/>
      <c r="AC242" s="1503"/>
    </row>
    <row r="243" spans="1:29" ht="15" x14ac:dyDescent="0.25">
      <c r="A243" s="8"/>
      <c r="B243" s="16">
        <v>30</v>
      </c>
      <c r="C243" s="18" t="s">
        <v>192</v>
      </c>
      <c r="D243" s="26" t="s">
        <v>164</v>
      </c>
      <c r="E243" s="30"/>
      <c r="F243" s="1620">
        <v>331.24</v>
      </c>
      <c r="G243" s="1620">
        <v>6007.63</v>
      </c>
      <c r="H243" s="1620">
        <v>0</v>
      </c>
      <c r="I243" s="1620">
        <v>0</v>
      </c>
      <c r="J243" s="1394">
        <v>6338.87</v>
      </c>
      <c r="K243" s="734">
        <f t="shared" si="4"/>
        <v>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507"/>
      <c r="Y243" s="1549"/>
      <c r="Z243" s="1549"/>
      <c r="AA243" s="1549"/>
      <c r="AB243" s="1549"/>
      <c r="AC243" s="1503"/>
    </row>
    <row r="244" spans="1:29" ht="15" x14ac:dyDescent="0.25">
      <c r="A244" s="8"/>
      <c r="B244" s="16">
        <v>31</v>
      </c>
      <c r="C244" s="18" t="s">
        <v>193</v>
      </c>
      <c r="D244" s="1" t="s">
        <v>166</v>
      </c>
      <c r="E244" s="30"/>
      <c r="F244" s="1620">
        <v>361266.56999999977</v>
      </c>
      <c r="G244" s="1620">
        <v>9523942.879999999</v>
      </c>
      <c r="H244" s="1620">
        <v>0</v>
      </c>
      <c r="I244" s="1620">
        <v>0</v>
      </c>
      <c r="J244" s="1394">
        <v>9885209.4499999993</v>
      </c>
      <c r="K244" s="734">
        <f t="shared" si="4"/>
        <v>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507"/>
      <c r="Y244" s="1549"/>
      <c r="Z244" s="1549"/>
      <c r="AA244" s="1549"/>
      <c r="AB244" s="1549"/>
      <c r="AC244" s="1503"/>
    </row>
    <row r="245" spans="1:29" ht="15" x14ac:dyDescent="0.25">
      <c r="A245" s="8"/>
      <c r="B245" s="16">
        <v>32</v>
      </c>
      <c r="C245" s="18" t="s">
        <v>194</v>
      </c>
      <c r="D245" s="26" t="s">
        <v>168</v>
      </c>
      <c r="E245" s="30"/>
      <c r="F245" s="1620">
        <v>4960.3900000000003</v>
      </c>
      <c r="G245" s="1620">
        <v>124578101.33000012</v>
      </c>
      <c r="H245" s="1620">
        <v>89014.65</v>
      </c>
      <c r="I245" s="1620">
        <v>0</v>
      </c>
      <c r="J245" s="1394">
        <v>124672076.37000012</v>
      </c>
      <c r="K245" s="734">
        <f t="shared" si="4"/>
        <v>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507"/>
      <c r="Y245" s="1549"/>
      <c r="Z245" s="1549"/>
      <c r="AA245" s="1549"/>
      <c r="AB245" s="1549"/>
      <c r="AC245" s="1503"/>
    </row>
    <row r="246" spans="1:29" ht="15" x14ac:dyDescent="0.25">
      <c r="A246" s="8"/>
      <c r="B246" s="16">
        <v>33</v>
      </c>
      <c r="C246" s="18" t="s">
        <v>195</v>
      </c>
      <c r="D246" s="1" t="s">
        <v>170</v>
      </c>
      <c r="E246" s="52"/>
      <c r="F246" s="1620">
        <v>6.81</v>
      </c>
      <c r="G246" s="1620">
        <v>31871379.119999893</v>
      </c>
      <c r="H246" s="1620">
        <v>56409.110000000008</v>
      </c>
      <c r="I246" s="1620">
        <v>0</v>
      </c>
      <c r="J246" s="1394">
        <v>31927795.039999891</v>
      </c>
      <c r="K246" s="734">
        <f t="shared" si="4"/>
        <v>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514"/>
      <c r="Y246" s="1549"/>
      <c r="Z246" s="1549"/>
      <c r="AA246" s="1549"/>
      <c r="AB246" s="1549"/>
      <c r="AC246" s="1503"/>
    </row>
    <row r="247" spans="1:29" ht="15" x14ac:dyDescent="0.25">
      <c r="A247" s="8"/>
      <c r="B247" s="16">
        <v>34</v>
      </c>
      <c r="C247" s="18" t="s">
        <v>196</v>
      </c>
      <c r="D247" s="1" t="s">
        <v>197</v>
      </c>
      <c r="E247" s="52"/>
      <c r="F247" s="1620">
        <v>0</v>
      </c>
      <c r="G247" s="1620">
        <v>3832933.3499999968</v>
      </c>
      <c r="H247" s="1620">
        <v>15.35</v>
      </c>
      <c r="I247" s="1620">
        <v>0</v>
      </c>
      <c r="J247" s="1394">
        <v>3832948.6999999969</v>
      </c>
      <c r="K247" s="734">
        <f t="shared" si="4"/>
        <v>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514"/>
      <c r="Y247" s="1549"/>
      <c r="Z247" s="1549"/>
      <c r="AA247" s="1549"/>
      <c r="AB247" s="1549"/>
      <c r="AC247" s="1503"/>
    </row>
    <row r="248" spans="1:29" x14ac:dyDescent="0.2">
      <c r="A248" s="1"/>
      <c r="B248" s="16">
        <v>35</v>
      </c>
      <c r="C248" s="18" t="s">
        <v>198</v>
      </c>
      <c r="D248" s="1" t="s">
        <v>199</v>
      </c>
      <c r="E248" s="30"/>
      <c r="F248" s="1620">
        <v>0</v>
      </c>
      <c r="G248" s="1620">
        <v>10452984.359999968</v>
      </c>
      <c r="H248" s="1620">
        <v>21695.01</v>
      </c>
      <c r="I248" s="1620">
        <v>0</v>
      </c>
      <c r="J248" s="1394">
        <v>10474679.369999968</v>
      </c>
      <c r="K248" s="734">
        <f t="shared" si="4"/>
        <v>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507"/>
      <c r="Y248" s="1549"/>
      <c r="Z248" s="1549"/>
      <c r="AA248" s="1549"/>
      <c r="AB248" s="1549"/>
      <c r="AC248" s="1503"/>
    </row>
    <row r="249" spans="1:29" x14ac:dyDescent="0.2">
      <c r="A249" s="1"/>
      <c r="B249" s="16">
        <v>36</v>
      </c>
      <c r="C249" s="18" t="s">
        <v>200</v>
      </c>
      <c r="D249" s="1" t="s">
        <v>201</v>
      </c>
      <c r="E249" s="30"/>
      <c r="F249" s="1620">
        <v>0</v>
      </c>
      <c r="G249" s="1620">
        <v>0</v>
      </c>
      <c r="H249" s="1620">
        <v>22948047.090000018</v>
      </c>
      <c r="I249" s="1620">
        <v>0</v>
      </c>
      <c r="J249" s="1394">
        <v>22948047.090000018</v>
      </c>
      <c r="K249" s="734">
        <f t="shared" si="4"/>
        <v>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507"/>
      <c r="Y249" s="1549"/>
      <c r="Z249" s="1549"/>
      <c r="AA249" s="1549"/>
      <c r="AB249" s="1549"/>
      <c r="AC249" s="1503"/>
    </row>
    <row r="250" spans="1:29" x14ac:dyDescent="0.2">
      <c r="A250" s="1"/>
      <c r="B250" s="16">
        <v>37</v>
      </c>
      <c r="C250" s="18" t="s">
        <v>202</v>
      </c>
      <c r="D250" s="1" t="s">
        <v>203</v>
      </c>
      <c r="E250" s="30"/>
      <c r="F250" s="1621">
        <v>0</v>
      </c>
      <c r="G250" s="1621">
        <v>2328747.8200000017</v>
      </c>
      <c r="H250" s="1621">
        <v>9612.5400000000009</v>
      </c>
      <c r="I250" s="1621">
        <v>0</v>
      </c>
      <c r="J250" s="1394">
        <v>2338360.3600000017</v>
      </c>
      <c r="K250" s="734">
        <f t="shared" si="4"/>
        <v>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507"/>
      <c r="Y250" s="1549"/>
      <c r="Z250" s="1549"/>
      <c r="AA250" s="1549"/>
      <c r="AB250" s="1549"/>
      <c r="AC250" s="1503"/>
    </row>
    <row r="251" spans="1:29" x14ac:dyDescent="0.2">
      <c r="A251" s="1"/>
      <c r="B251" s="16"/>
      <c r="C251" s="18"/>
      <c r="D251" s="1"/>
      <c r="E251" s="30"/>
      <c r="F251" s="1511"/>
      <c r="G251" s="1511"/>
      <c r="H251" s="1511"/>
      <c r="I251" s="1511"/>
      <c r="J251" s="1394"/>
      <c r="K251" s="734">
        <f t="shared" si="4"/>
        <v>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507"/>
      <c r="Y251" s="1511"/>
      <c r="Z251" s="1511"/>
      <c r="AA251" s="1511"/>
      <c r="AB251" s="1511"/>
      <c r="AC251" s="1503"/>
    </row>
    <row r="252" spans="1:29" x14ac:dyDescent="0.2">
      <c r="A252" s="1"/>
      <c r="B252" s="16"/>
      <c r="C252" s="18"/>
      <c r="D252" s="1"/>
      <c r="E252" s="30"/>
      <c r="F252" s="1511"/>
      <c r="G252" s="1511"/>
      <c r="H252" s="1511"/>
      <c r="I252" s="1511"/>
      <c r="J252" s="1394"/>
      <c r="K252" s="734">
        <f t="shared" si="4"/>
        <v>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507"/>
      <c r="Y252" s="1511"/>
      <c r="Z252" s="1511"/>
      <c r="AA252" s="1511"/>
      <c r="AB252" s="1511"/>
      <c r="AC252" s="1503"/>
    </row>
    <row r="253" spans="1:29" ht="15" x14ac:dyDescent="0.25">
      <c r="A253" s="1"/>
      <c r="B253" s="16">
        <v>1</v>
      </c>
      <c r="C253" s="8" t="s">
        <v>204</v>
      </c>
      <c r="D253" s="1"/>
      <c r="E253" s="1315" t="s">
        <v>143</v>
      </c>
      <c r="F253" s="1439"/>
      <c r="G253" s="1439"/>
      <c r="H253" s="1439"/>
      <c r="I253" s="1439"/>
      <c r="J253" s="1394"/>
      <c r="K253" s="734">
        <f t="shared" si="4"/>
        <v>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493"/>
      <c r="Y253" s="1496"/>
      <c r="Z253" s="1496"/>
      <c r="AA253" s="1496"/>
      <c r="AB253" s="1496"/>
      <c r="AC253" s="1503"/>
    </row>
    <row r="254" spans="1:29" x14ac:dyDescent="0.2">
      <c r="A254" s="1"/>
      <c r="B254" s="16">
        <v>2</v>
      </c>
      <c r="C254" s="18" t="s">
        <v>205</v>
      </c>
      <c r="D254" s="1" t="s">
        <v>206</v>
      </c>
      <c r="E254" s="16"/>
      <c r="F254" s="1619">
        <v>0</v>
      </c>
      <c r="G254" s="1619">
        <v>107858</v>
      </c>
      <c r="H254" s="1619">
        <v>0</v>
      </c>
      <c r="I254" s="1619">
        <v>1800</v>
      </c>
      <c r="J254" s="1394">
        <v>109658</v>
      </c>
      <c r="K254" s="734">
        <f t="shared" si="4"/>
        <v>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497"/>
      <c r="Y254" s="1548"/>
      <c r="Z254" s="1548"/>
      <c r="AA254" s="1548"/>
      <c r="AB254" s="1548"/>
      <c r="AC254" s="1503"/>
    </row>
    <row r="255" spans="1:29" x14ac:dyDescent="0.2">
      <c r="A255" s="1"/>
      <c r="B255" s="16">
        <v>3</v>
      </c>
      <c r="C255" s="18" t="s">
        <v>207</v>
      </c>
      <c r="D255" s="1" t="s">
        <v>208</v>
      </c>
      <c r="E255" s="30"/>
      <c r="F255" s="1620">
        <v>0</v>
      </c>
      <c r="G255" s="1620">
        <v>0</v>
      </c>
      <c r="H255" s="1620">
        <v>62522.26</v>
      </c>
      <c r="I255" s="1620">
        <v>0</v>
      </c>
      <c r="J255" s="1394">
        <v>62522.26</v>
      </c>
      <c r="K255" s="734">
        <f t="shared" si="4"/>
        <v>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507"/>
      <c r="Y255" s="1549"/>
      <c r="Z255" s="1549"/>
      <c r="AA255" s="1549"/>
      <c r="AB255" s="1549"/>
      <c r="AC255" s="1503"/>
    </row>
    <row r="256" spans="1:29" x14ac:dyDescent="0.2">
      <c r="A256" s="1"/>
      <c r="B256" s="16">
        <v>4</v>
      </c>
      <c r="C256" s="18" t="s">
        <v>209</v>
      </c>
      <c r="D256" s="1" t="s">
        <v>210</v>
      </c>
      <c r="E256" s="30"/>
      <c r="F256" s="1620">
        <v>0</v>
      </c>
      <c r="G256" s="1620">
        <v>0</v>
      </c>
      <c r="H256" s="1620">
        <v>9746905.9800000004</v>
      </c>
      <c r="I256" s="1620">
        <v>14184772.5</v>
      </c>
      <c r="J256" s="1394">
        <v>23931678.48</v>
      </c>
      <c r="K256" s="734">
        <f t="shared" si="4"/>
        <v>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507"/>
      <c r="Y256" s="1549"/>
      <c r="Z256" s="1549"/>
      <c r="AA256" s="1549"/>
      <c r="AB256" s="1549"/>
      <c r="AC256" s="1503"/>
    </row>
    <row r="257" spans="1:31" x14ac:dyDescent="0.2">
      <c r="A257" s="1"/>
      <c r="B257" s="16">
        <v>5</v>
      </c>
      <c r="C257" s="18" t="s">
        <v>211</v>
      </c>
      <c r="D257" s="1" t="s">
        <v>212</v>
      </c>
      <c r="E257" s="30"/>
      <c r="F257" s="1620">
        <v>-153231.79</v>
      </c>
      <c r="G257" s="1620">
        <v>0</v>
      </c>
      <c r="H257" s="1620">
        <v>0</v>
      </c>
      <c r="I257" s="1620">
        <v>2747328</v>
      </c>
      <c r="J257" s="1394">
        <v>2594096.21</v>
      </c>
      <c r="K257" s="734">
        <f t="shared" si="4"/>
        <v>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507"/>
      <c r="Y257" s="1549"/>
      <c r="Z257" s="1549"/>
      <c r="AA257" s="1549"/>
      <c r="AB257" s="1549"/>
      <c r="AC257" s="1503"/>
    </row>
    <row r="258" spans="1:31" x14ac:dyDescent="0.2">
      <c r="A258" s="1"/>
      <c r="B258" s="16">
        <v>6</v>
      </c>
      <c r="C258" s="18" t="s">
        <v>213</v>
      </c>
      <c r="D258" s="26" t="s">
        <v>214</v>
      </c>
      <c r="E258" s="30"/>
      <c r="F258" s="1621">
        <v>0</v>
      </c>
      <c r="G258" s="1621">
        <v>0</v>
      </c>
      <c r="H258" s="1621">
        <v>0</v>
      </c>
      <c r="I258" s="1621">
        <v>0</v>
      </c>
      <c r="J258" s="1394">
        <v>0</v>
      </c>
      <c r="K258" s="734">
        <f t="shared" si="4"/>
        <v>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507"/>
      <c r="Y258" s="1549"/>
      <c r="Z258" s="1549"/>
      <c r="AA258" s="1549"/>
      <c r="AB258" s="1549"/>
      <c r="AC258" s="1503"/>
    </row>
    <row r="259" spans="1:31" ht="15" x14ac:dyDescent="0.25">
      <c r="A259" s="1"/>
      <c r="B259" s="16">
        <v>7</v>
      </c>
      <c r="C259" s="805" t="s">
        <v>215</v>
      </c>
      <c r="D259" s="26"/>
      <c r="E259" s="30"/>
      <c r="F259" s="1511"/>
      <c r="G259" s="1511"/>
      <c r="H259" s="1511"/>
      <c r="I259" s="1511"/>
      <c r="J259" s="1394"/>
      <c r="K259" s="734">
        <f t="shared" si="4"/>
        <v>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507"/>
      <c r="Y259" s="1511"/>
      <c r="Z259" s="1511"/>
      <c r="AA259" s="1511"/>
      <c r="AB259" s="1511"/>
      <c r="AC259" s="1503"/>
    </row>
    <row r="260" spans="1:31" x14ac:dyDescent="0.2">
      <c r="A260" s="1"/>
      <c r="B260" s="16">
        <v>8</v>
      </c>
      <c r="C260" s="18" t="s">
        <v>216</v>
      </c>
      <c r="D260" s="1" t="s">
        <v>217</v>
      </c>
      <c r="E260" s="52"/>
      <c r="F260" s="1628">
        <v>0</v>
      </c>
      <c r="G260" s="1628">
        <v>0</v>
      </c>
      <c r="H260" s="1628">
        <v>0</v>
      </c>
      <c r="I260" s="1628">
        <v>0</v>
      </c>
      <c r="J260" s="1394">
        <v>0</v>
      </c>
      <c r="K260" s="734">
        <f t="shared" si="4"/>
        <v>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514"/>
      <c r="Y260" s="1557"/>
      <c r="Z260" s="1557"/>
      <c r="AA260" s="1557"/>
      <c r="AB260" s="1557"/>
      <c r="AC260" s="1503"/>
      <c r="AD260" s="339"/>
    </row>
    <row r="261" spans="1:31" x14ac:dyDescent="0.2">
      <c r="A261" s="1"/>
      <c r="B261" s="16">
        <v>9</v>
      </c>
      <c r="C261" s="18" t="s">
        <v>218</v>
      </c>
      <c r="D261" s="1" t="s">
        <v>206</v>
      </c>
      <c r="E261" s="52"/>
      <c r="F261" s="1629">
        <v>0</v>
      </c>
      <c r="G261" s="1629">
        <v>0</v>
      </c>
      <c r="H261" s="1629">
        <v>0</v>
      </c>
      <c r="I261" s="1629">
        <v>0</v>
      </c>
      <c r="J261" s="1394">
        <v>0</v>
      </c>
      <c r="K261" s="734">
        <f t="shared" si="4"/>
        <v>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514"/>
      <c r="Y261" s="1558"/>
      <c r="Z261" s="1558"/>
      <c r="AA261" s="1558"/>
      <c r="AB261" s="1558"/>
      <c r="AC261" s="1503"/>
    </row>
    <row r="262" spans="1:31" x14ac:dyDescent="0.2">
      <c r="A262" s="1"/>
      <c r="B262" s="16">
        <v>10</v>
      </c>
      <c r="C262" s="18" t="s">
        <v>219</v>
      </c>
      <c r="D262" s="26" t="s">
        <v>220</v>
      </c>
      <c r="E262" s="52"/>
      <c r="F262" s="1629">
        <v>0</v>
      </c>
      <c r="G262" s="1629">
        <v>230789.12</v>
      </c>
      <c r="H262" s="1629">
        <v>0</v>
      </c>
      <c r="I262" s="1629">
        <v>162992.94</v>
      </c>
      <c r="J262" s="1394">
        <v>393782.06</v>
      </c>
      <c r="K262" s="734">
        <f t="shared" si="4"/>
        <v>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514"/>
      <c r="Y262" s="1558"/>
      <c r="Z262" s="1558"/>
      <c r="AA262" s="1558"/>
      <c r="AB262" s="1558"/>
      <c r="AC262" s="1503"/>
    </row>
    <row r="263" spans="1:31" x14ac:dyDescent="0.2">
      <c r="A263" s="1"/>
      <c r="B263" s="16">
        <v>11</v>
      </c>
      <c r="C263" s="18" t="s">
        <v>221</v>
      </c>
      <c r="D263" s="1" t="s">
        <v>222</v>
      </c>
      <c r="E263" s="52"/>
      <c r="F263" s="1629">
        <v>0</v>
      </c>
      <c r="G263" s="1629">
        <v>0</v>
      </c>
      <c r="H263" s="1629">
        <v>0</v>
      </c>
      <c r="I263" s="1629">
        <v>0</v>
      </c>
      <c r="J263" s="1394">
        <v>0</v>
      </c>
      <c r="K263" s="734">
        <f t="shared" si="4"/>
        <v>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514"/>
      <c r="Y263" s="1558"/>
      <c r="Z263" s="1558"/>
      <c r="AA263" s="1558"/>
      <c r="AB263" s="1558"/>
      <c r="AC263" s="1503"/>
    </row>
    <row r="264" spans="1:31" s="321" customFormat="1" x14ac:dyDescent="0.2">
      <c r="A264" s="1"/>
      <c r="B264" s="16">
        <v>12</v>
      </c>
      <c r="C264" s="18" t="s">
        <v>223</v>
      </c>
      <c r="D264" s="1" t="s">
        <v>224</v>
      </c>
      <c r="E264" s="52"/>
      <c r="F264" s="1630">
        <v>0</v>
      </c>
      <c r="G264" s="1630">
        <v>1143</v>
      </c>
      <c r="H264" s="1630">
        <v>268</v>
      </c>
      <c r="I264" s="1630">
        <v>232.86</v>
      </c>
      <c r="J264" s="1394">
        <v>1643.8600000000001</v>
      </c>
      <c r="K264" s="734">
        <f t="shared" si="4"/>
        <v>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514"/>
      <c r="Y264" s="1558"/>
      <c r="Z264" s="1558"/>
      <c r="AA264" s="1558"/>
      <c r="AB264" s="1558"/>
      <c r="AC264" s="1503"/>
      <c r="AD264" s="357"/>
      <c r="AE264" s="357"/>
    </row>
    <row r="265" spans="1:31" ht="15" x14ac:dyDescent="0.25">
      <c r="A265" s="1"/>
      <c r="B265" s="16">
        <v>13</v>
      </c>
      <c r="C265" s="805" t="s">
        <v>225</v>
      </c>
      <c r="D265" s="1"/>
      <c r="E265" s="52"/>
      <c r="F265" s="1515"/>
      <c r="G265" s="1515"/>
      <c r="H265" s="1515"/>
      <c r="I265" s="1515"/>
      <c r="J265" s="1394"/>
      <c r="K265" s="734">
        <f t="shared" si="4"/>
        <v>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514"/>
      <c r="Y265" s="1515"/>
      <c r="Z265" s="1515"/>
      <c r="AA265" s="1515"/>
      <c r="AB265" s="1515"/>
      <c r="AC265" s="1503"/>
    </row>
    <row r="266" spans="1:31" x14ac:dyDescent="0.2">
      <c r="A266" s="1"/>
      <c r="B266" s="16">
        <v>14</v>
      </c>
      <c r="C266" s="18" t="s">
        <v>226</v>
      </c>
      <c r="D266" s="49" t="s">
        <v>206</v>
      </c>
      <c r="E266" s="16"/>
      <c r="F266" s="1628">
        <v>0</v>
      </c>
      <c r="G266" s="1628">
        <v>0</v>
      </c>
      <c r="H266" s="1628">
        <v>0</v>
      </c>
      <c r="I266" s="1628">
        <v>0</v>
      </c>
      <c r="J266" s="1394">
        <v>0</v>
      </c>
      <c r="K266" s="734">
        <f t="shared" si="4"/>
        <v>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497"/>
      <c r="Y266" s="1557"/>
      <c r="Z266" s="1557"/>
      <c r="AA266" s="1557"/>
      <c r="AB266" s="1557"/>
      <c r="AC266" s="1503"/>
      <c r="AE266" s="339"/>
    </row>
    <row r="267" spans="1:31" x14ac:dyDescent="0.2">
      <c r="A267" s="1"/>
      <c r="B267" s="16">
        <v>15</v>
      </c>
      <c r="C267" s="18" t="s">
        <v>227</v>
      </c>
      <c r="D267" s="49" t="s">
        <v>228</v>
      </c>
      <c r="E267" s="52"/>
      <c r="F267" s="1629">
        <v>0</v>
      </c>
      <c r="G267" s="1629">
        <v>0</v>
      </c>
      <c r="H267" s="1629">
        <v>0</v>
      </c>
      <c r="I267" s="1629">
        <v>0</v>
      </c>
      <c r="J267" s="1394">
        <v>0</v>
      </c>
      <c r="K267" s="734">
        <f t="shared" si="4"/>
        <v>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514"/>
      <c r="Y267" s="1558"/>
      <c r="Z267" s="1558"/>
      <c r="AA267" s="1558"/>
      <c r="AB267" s="1558"/>
      <c r="AC267" s="1503"/>
    </row>
    <row r="268" spans="1:31" x14ac:dyDescent="0.2">
      <c r="A268" s="1"/>
      <c r="B268" s="16">
        <v>16</v>
      </c>
      <c r="C268" s="18" t="s">
        <v>229</v>
      </c>
      <c r="D268" s="49" t="s">
        <v>230</v>
      </c>
      <c r="E268" s="52"/>
      <c r="F268" s="1629">
        <v>0</v>
      </c>
      <c r="G268" s="1629">
        <v>0</v>
      </c>
      <c r="H268" s="1629">
        <v>0</v>
      </c>
      <c r="I268" s="1629">
        <v>0</v>
      </c>
      <c r="J268" s="1394">
        <v>0</v>
      </c>
      <c r="K268" s="734">
        <f t="shared" si="4"/>
        <v>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514"/>
      <c r="Y268" s="1558"/>
      <c r="Z268" s="1558"/>
      <c r="AA268" s="1558"/>
      <c r="AB268" s="1558"/>
      <c r="AC268" s="1503"/>
    </row>
    <row r="269" spans="1:31" x14ac:dyDescent="0.2">
      <c r="A269" s="1"/>
      <c r="B269" s="16">
        <v>17</v>
      </c>
      <c r="C269" s="18" t="s">
        <v>231</v>
      </c>
      <c r="D269" s="49" t="s">
        <v>232</v>
      </c>
      <c r="E269" s="52"/>
      <c r="F269" s="1631">
        <v>0</v>
      </c>
      <c r="G269" s="1631">
        <v>0</v>
      </c>
      <c r="H269" s="1631">
        <v>0</v>
      </c>
      <c r="I269" s="1631">
        <v>0</v>
      </c>
      <c r="J269" s="1394">
        <v>0</v>
      </c>
      <c r="K269" s="734">
        <f t="shared" si="4"/>
        <v>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514"/>
      <c r="Y269" s="1559"/>
      <c r="Z269" s="1559"/>
      <c r="AA269" s="1559"/>
      <c r="AB269" s="1559"/>
      <c r="AC269" s="1503"/>
    </row>
    <row r="270" spans="1:31" x14ac:dyDescent="0.2">
      <c r="A270" s="1"/>
      <c r="B270" s="16">
        <v>18</v>
      </c>
      <c r="C270" s="18" t="s">
        <v>233</v>
      </c>
      <c r="D270" s="49" t="s">
        <v>234</v>
      </c>
      <c r="E270" s="52"/>
      <c r="F270" s="1632">
        <v>0</v>
      </c>
      <c r="G270" s="1632">
        <v>0</v>
      </c>
      <c r="H270" s="1632">
        <v>0</v>
      </c>
      <c r="I270" s="1632">
        <v>0</v>
      </c>
      <c r="J270" s="1394">
        <v>0</v>
      </c>
      <c r="K270" s="734">
        <f t="shared" si="4"/>
        <v>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514"/>
      <c r="Y270" s="1559"/>
      <c r="Z270" s="1559"/>
      <c r="AA270" s="1559"/>
      <c r="AB270" s="1559"/>
      <c r="AC270" s="1503"/>
    </row>
    <row r="271" spans="1:31" ht="15" x14ac:dyDescent="0.25">
      <c r="A271" s="1"/>
      <c r="B271" s="16">
        <v>19</v>
      </c>
      <c r="C271" s="8" t="s">
        <v>235</v>
      </c>
      <c r="D271" s="1"/>
      <c r="E271" s="1315" t="s">
        <v>236</v>
      </c>
      <c r="F271" s="1439"/>
      <c r="G271" s="1439"/>
      <c r="H271" s="1439"/>
      <c r="I271" s="1439"/>
      <c r="J271" s="1394"/>
      <c r="K271" s="734">
        <f t="shared" si="4"/>
        <v>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493"/>
      <c r="Y271" s="1496"/>
      <c r="Z271" s="1496"/>
      <c r="AA271" s="1496"/>
      <c r="AB271" s="1496"/>
      <c r="AC271" s="1503"/>
    </row>
    <row r="272" spans="1:31" x14ac:dyDescent="0.2">
      <c r="A272" s="1"/>
      <c r="B272" s="16">
        <v>20</v>
      </c>
      <c r="C272" s="18" t="s">
        <v>237</v>
      </c>
      <c r="D272" s="1" t="s">
        <v>238</v>
      </c>
      <c r="E272" s="30"/>
      <c r="F272" s="1619">
        <v>28160828.239999998</v>
      </c>
      <c r="G272" s="1619">
        <v>67366206.069999993</v>
      </c>
      <c r="H272" s="1619">
        <v>18757103.199999999</v>
      </c>
      <c r="I272" s="1619">
        <v>20906425.129999999</v>
      </c>
      <c r="J272" s="1394">
        <v>135190562.63999999</v>
      </c>
      <c r="K272" s="734">
        <f t="shared" si="4"/>
        <v>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507"/>
      <c r="Y272" s="1548"/>
      <c r="Z272" s="1548"/>
      <c r="AA272" s="1548"/>
      <c r="AB272" s="1548"/>
      <c r="AC272" s="1503"/>
    </row>
    <row r="273" spans="1:31" x14ac:dyDescent="0.2">
      <c r="A273" s="1"/>
      <c r="B273" s="16">
        <v>21</v>
      </c>
      <c r="C273" s="18" t="s">
        <v>239</v>
      </c>
      <c r="D273" s="1" t="s">
        <v>240</v>
      </c>
      <c r="E273" s="30"/>
      <c r="F273" s="1620">
        <v>3715891.87</v>
      </c>
      <c r="G273" s="1620">
        <v>7078296.0300000003</v>
      </c>
      <c r="H273" s="1620">
        <v>1847804.75</v>
      </c>
      <c r="I273" s="1620">
        <v>1590894.35</v>
      </c>
      <c r="J273" s="1394">
        <v>14232887</v>
      </c>
      <c r="K273" s="734">
        <f t="shared" si="4"/>
        <v>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507"/>
      <c r="Y273" s="1549"/>
      <c r="Z273" s="1549"/>
      <c r="AA273" s="1549"/>
      <c r="AB273" s="1549"/>
      <c r="AC273" s="1503"/>
    </row>
    <row r="274" spans="1:31" x14ac:dyDescent="0.2">
      <c r="A274" s="1"/>
      <c r="B274" s="16">
        <v>22</v>
      </c>
      <c r="C274" s="18" t="s">
        <v>241</v>
      </c>
      <c r="D274" s="1" t="s">
        <v>242</v>
      </c>
      <c r="E274" s="30"/>
      <c r="F274" s="1620">
        <v>0</v>
      </c>
      <c r="G274" s="1620">
        <v>0</v>
      </c>
      <c r="H274" s="1620">
        <v>0</v>
      </c>
      <c r="I274" s="1620">
        <v>0</v>
      </c>
      <c r="J274" s="1394">
        <v>0</v>
      </c>
      <c r="K274" s="734">
        <f t="shared" ref="K274:K278" si="5">J274-SUM(F274:I274)</f>
        <v>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507"/>
      <c r="Y274" s="1549"/>
      <c r="Z274" s="1549"/>
      <c r="AA274" s="1549"/>
      <c r="AB274" s="1549"/>
      <c r="AC274" s="1503"/>
    </row>
    <row r="275" spans="1:31" x14ac:dyDescent="0.2">
      <c r="A275" s="1"/>
      <c r="B275" s="16">
        <v>23</v>
      </c>
      <c r="C275" s="18" t="s">
        <v>243</v>
      </c>
      <c r="D275" s="29" t="s">
        <v>244</v>
      </c>
      <c r="E275" s="30"/>
      <c r="F275" s="1620">
        <v>33677366.380000003</v>
      </c>
      <c r="G275" s="1620">
        <v>88216475.980000004</v>
      </c>
      <c r="H275" s="1620">
        <v>9942399.8599999994</v>
      </c>
      <c r="I275" s="1620">
        <v>5889851.7199999997</v>
      </c>
      <c r="J275" s="1394">
        <v>137726093.94000003</v>
      </c>
      <c r="K275" s="734">
        <f t="shared" si="5"/>
        <v>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507"/>
      <c r="Y275" s="1549"/>
      <c r="Z275" s="1549"/>
      <c r="AA275" s="1549"/>
      <c r="AB275" s="1549"/>
      <c r="AC275" s="1503"/>
    </row>
    <row r="276" spans="1:31" x14ac:dyDescent="0.2">
      <c r="A276" s="1"/>
      <c r="B276" s="16">
        <v>24</v>
      </c>
      <c r="C276" s="18" t="s">
        <v>245</v>
      </c>
      <c r="D276" s="1" t="s">
        <v>246</v>
      </c>
      <c r="E276" s="30"/>
      <c r="F276" s="1620">
        <v>31394094.990000002</v>
      </c>
      <c r="G276" s="1620">
        <v>581464952.13999999</v>
      </c>
      <c r="H276" s="1620">
        <v>0</v>
      </c>
      <c r="I276" s="1620">
        <v>0</v>
      </c>
      <c r="J276" s="1394">
        <v>612859047.13</v>
      </c>
      <c r="K276" s="734">
        <f t="shared" si="5"/>
        <v>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507"/>
      <c r="Y276" s="1549"/>
      <c r="Z276" s="1549"/>
      <c r="AA276" s="1549"/>
      <c r="AB276" s="1549"/>
      <c r="AC276" s="1503"/>
    </row>
    <row r="277" spans="1:31" x14ac:dyDescent="0.2">
      <c r="A277" s="1"/>
      <c r="B277" s="16">
        <v>25</v>
      </c>
      <c r="C277" s="18" t="s">
        <v>247</v>
      </c>
      <c r="D277" s="1" t="s">
        <v>248</v>
      </c>
      <c r="E277" s="30"/>
      <c r="F277" s="1620">
        <v>25394121.420000002</v>
      </c>
      <c r="G277" s="1620">
        <v>59852107.579999998</v>
      </c>
      <c r="H277" s="1620">
        <v>0</v>
      </c>
      <c r="I277" s="1620">
        <v>0</v>
      </c>
      <c r="J277" s="1394">
        <v>85246229</v>
      </c>
      <c r="K277" s="734">
        <f t="shared" si="5"/>
        <v>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507"/>
      <c r="Y277" s="1549"/>
      <c r="Z277" s="1549"/>
      <c r="AA277" s="1549"/>
      <c r="AB277" s="1549"/>
      <c r="AC277" s="1503"/>
      <c r="AD277" s="339"/>
    </row>
    <row r="278" spans="1:31" x14ac:dyDescent="0.2">
      <c r="A278" s="1"/>
      <c r="B278" s="16">
        <v>26</v>
      </c>
      <c r="C278" s="18" t="s">
        <v>249</v>
      </c>
      <c r="D278" s="1" t="s">
        <v>250</v>
      </c>
      <c r="E278" s="30"/>
      <c r="F278" s="1620">
        <v>17829400.59</v>
      </c>
      <c r="G278" s="1620">
        <v>41617959.450000018</v>
      </c>
      <c r="H278" s="1620">
        <v>15432223.109999999</v>
      </c>
      <c r="I278" s="1620">
        <v>5996187.7300000004</v>
      </c>
      <c r="J278" s="1394">
        <v>80875770.880000025</v>
      </c>
      <c r="K278" s="734">
        <f t="shared" si="5"/>
        <v>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507"/>
      <c r="Y278" s="1549"/>
      <c r="Z278" s="1549"/>
      <c r="AA278" s="1549"/>
      <c r="AB278" s="1549"/>
      <c r="AC278" s="1503"/>
    </row>
    <row r="279" spans="1:31" x14ac:dyDescent="0.2">
      <c r="A279" s="1"/>
      <c r="B279" s="16">
        <v>27</v>
      </c>
      <c r="C279" s="18" t="s">
        <v>251</v>
      </c>
      <c r="D279" s="647" t="s">
        <v>252</v>
      </c>
      <c r="E279" s="30"/>
      <c r="F279" s="1620">
        <v>209845.6</v>
      </c>
      <c r="G279" s="1620">
        <v>1604197.31</v>
      </c>
      <c r="H279" s="1620">
        <v>0</v>
      </c>
      <c r="I279" s="1620">
        <v>0</v>
      </c>
      <c r="J279" s="1394">
        <v>1814042.9100000001</v>
      </c>
      <c r="K279" s="73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507"/>
      <c r="Y279" s="1549"/>
      <c r="Z279" s="1549"/>
      <c r="AA279" s="1549"/>
      <c r="AB279" s="1549"/>
      <c r="AC279" s="1503"/>
    </row>
    <row r="280" spans="1:31" x14ac:dyDescent="0.2">
      <c r="A280" s="1"/>
      <c r="B280" s="16">
        <v>28</v>
      </c>
      <c r="C280" s="18" t="s">
        <v>253</v>
      </c>
      <c r="D280" s="1" t="s">
        <v>254</v>
      </c>
      <c r="E280" s="30"/>
      <c r="F280" s="1620">
        <v>56149.42</v>
      </c>
      <c r="G280" s="1620">
        <v>160617.35</v>
      </c>
      <c r="H280" s="1620">
        <v>41937.22</v>
      </c>
      <c r="I280" s="1620">
        <v>510958.3</v>
      </c>
      <c r="J280" s="1394">
        <v>769662.29</v>
      </c>
      <c r="K280" s="734">
        <f t="shared" ref="K280:K343" si="6">J280-SUM(F280:I280)</f>
        <v>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507"/>
      <c r="Y280" s="1549"/>
      <c r="Z280" s="1549"/>
      <c r="AA280" s="1549"/>
      <c r="AB280" s="1549"/>
      <c r="AC280" s="1503"/>
    </row>
    <row r="281" spans="1:31" s="321" customFormat="1" x14ac:dyDescent="0.2">
      <c r="A281" s="1"/>
      <c r="B281" s="16">
        <v>29</v>
      </c>
      <c r="C281" s="18" t="s">
        <v>255</v>
      </c>
      <c r="D281" s="1" t="s">
        <v>256</v>
      </c>
      <c r="E281" s="30"/>
      <c r="F281" s="1620">
        <v>3198824.69</v>
      </c>
      <c r="G281" s="1620">
        <v>12042134.73</v>
      </c>
      <c r="H281" s="1620">
        <v>2248815.19</v>
      </c>
      <c r="I281" s="1620">
        <v>5812166.6600000001</v>
      </c>
      <c r="J281" s="1394">
        <v>23301941.27</v>
      </c>
      <c r="K281" s="734">
        <f t="shared" si="6"/>
        <v>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507"/>
      <c r="Y281" s="1549"/>
      <c r="Z281" s="1549"/>
      <c r="AA281" s="1549"/>
      <c r="AB281" s="1549"/>
      <c r="AC281" s="1503"/>
      <c r="AD281" s="357"/>
      <c r="AE281" s="357"/>
    </row>
    <row r="282" spans="1:31" x14ac:dyDescent="0.2">
      <c r="A282" s="1"/>
      <c r="B282" s="16">
        <v>30</v>
      </c>
      <c r="C282" s="18" t="s">
        <v>257</v>
      </c>
      <c r="D282" s="1" t="s">
        <v>189</v>
      </c>
      <c r="E282" s="30"/>
      <c r="F282" s="1620">
        <v>509393.42</v>
      </c>
      <c r="G282" s="1620">
        <v>1126885.27</v>
      </c>
      <c r="H282" s="1620">
        <v>305921.09000000003</v>
      </c>
      <c r="I282" s="1620">
        <v>122662.77</v>
      </c>
      <c r="J282" s="1394">
        <v>2064862.55</v>
      </c>
      <c r="K282" s="734">
        <f t="shared" si="6"/>
        <v>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507"/>
      <c r="Y282" s="1549"/>
      <c r="Z282" s="1549"/>
      <c r="AA282" s="1549"/>
      <c r="AB282" s="1549"/>
      <c r="AC282" s="1503"/>
    </row>
    <row r="283" spans="1:31" x14ac:dyDescent="0.2">
      <c r="A283" s="1"/>
      <c r="B283" s="16">
        <v>31</v>
      </c>
      <c r="C283" s="18" t="s">
        <v>258</v>
      </c>
      <c r="D283" s="1" t="s">
        <v>259</v>
      </c>
      <c r="E283" s="30"/>
      <c r="F283" s="1620">
        <v>21214.02</v>
      </c>
      <c r="G283" s="1620">
        <v>78960.899999999994</v>
      </c>
      <c r="H283" s="1620">
        <v>15820.32</v>
      </c>
      <c r="I283" s="1620">
        <v>1650.16</v>
      </c>
      <c r="J283" s="1394">
        <v>117645.4</v>
      </c>
      <c r="K283" s="734">
        <f t="shared" si="6"/>
        <v>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507"/>
      <c r="Y283" s="1549"/>
      <c r="Z283" s="1549"/>
      <c r="AA283" s="1549"/>
      <c r="AB283" s="1549"/>
      <c r="AC283" s="1503"/>
      <c r="AE283" s="339"/>
    </row>
    <row r="284" spans="1:31" x14ac:dyDescent="0.2">
      <c r="A284" s="18"/>
      <c r="B284" s="16">
        <v>32</v>
      </c>
      <c r="C284" s="18" t="s">
        <v>260</v>
      </c>
      <c r="D284" s="1" t="s">
        <v>259</v>
      </c>
      <c r="E284" s="30"/>
      <c r="F284" s="1621">
        <v>5547802.1499999994</v>
      </c>
      <c r="G284" s="1621">
        <v>1645283.27</v>
      </c>
      <c r="H284" s="1621">
        <v>464165.05</v>
      </c>
      <c r="I284" s="1621">
        <v>18734.88</v>
      </c>
      <c r="J284" s="1394">
        <v>7675985.3499999996</v>
      </c>
      <c r="K284" s="734">
        <f t="shared" si="6"/>
        <v>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507"/>
      <c r="Y284" s="1549"/>
      <c r="Z284" s="1549"/>
      <c r="AA284" s="1549"/>
      <c r="AB284" s="1549"/>
      <c r="AC284" s="1503"/>
    </row>
    <row r="285" spans="1:31" x14ac:dyDescent="0.2">
      <c r="A285" s="18"/>
      <c r="B285" s="16"/>
      <c r="C285" s="18"/>
      <c r="D285" s="1"/>
      <c r="E285" s="30"/>
      <c r="F285" s="1511"/>
      <c r="G285" s="1511"/>
      <c r="H285" s="1511"/>
      <c r="I285" s="1511"/>
      <c r="J285" s="1394"/>
      <c r="K285" s="734">
        <f t="shared" si="6"/>
        <v>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507"/>
      <c r="Y285" s="1511"/>
      <c r="Z285" s="1511"/>
      <c r="AA285" s="1511"/>
      <c r="AB285" s="1511"/>
      <c r="AC285" s="1503"/>
    </row>
    <row r="286" spans="1:31" x14ac:dyDescent="0.2">
      <c r="A286" s="18"/>
      <c r="B286" s="16"/>
      <c r="C286" s="18"/>
      <c r="D286" s="1"/>
      <c r="E286" s="30"/>
      <c r="F286" s="1511"/>
      <c r="G286" s="1511"/>
      <c r="H286" s="1511"/>
      <c r="I286" s="1511"/>
      <c r="J286" s="1394"/>
      <c r="K286" s="734">
        <f t="shared" si="6"/>
        <v>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507"/>
      <c r="Y286" s="1511"/>
      <c r="Z286" s="1511"/>
      <c r="AA286" s="1511"/>
      <c r="AB286" s="1511"/>
      <c r="AC286" s="1503"/>
    </row>
    <row r="287" spans="1:31" ht="15" x14ac:dyDescent="0.25">
      <c r="A287" s="18"/>
      <c r="B287" s="16">
        <v>1</v>
      </c>
      <c r="C287" s="8" t="s">
        <v>261</v>
      </c>
      <c r="D287" s="1"/>
      <c r="E287" s="1315" t="s">
        <v>262</v>
      </c>
      <c r="F287" s="1439"/>
      <c r="G287" s="1439"/>
      <c r="H287" s="1439"/>
      <c r="I287" s="1439"/>
      <c r="J287" s="1401"/>
      <c r="K287" s="734">
        <f t="shared" si="6"/>
        <v>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493"/>
      <c r="Y287" s="1496"/>
      <c r="Z287" s="1496"/>
      <c r="AA287" s="1496"/>
      <c r="AB287" s="1496"/>
      <c r="AC287" s="1513"/>
    </row>
    <row r="288" spans="1:31" x14ac:dyDescent="0.2">
      <c r="A288" s="18"/>
      <c r="B288" s="16">
        <v>2</v>
      </c>
      <c r="C288" s="18" t="s">
        <v>144</v>
      </c>
      <c r="D288" s="1" t="s">
        <v>145</v>
      </c>
      <c r="E288" s="30"/>
      <c r="F288" s="1633">
        <v>5121359.07</v>
      </c>
      <c r="G288" s="1633">
        <v>17081.400000000001</v>
      </c>
      <c r="H288" s="1633">
        <v>0</v>
      </c>
      <c r="I288" s="1633">
        <v>0</v>
      </c>
      <c r="J288" s="1394">
        <v>5138440.4700000007</v>
      </c>
      <c r="K288" s="734">
        <f t="shared" si="6"/>
        <v>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507"/>
      <c r="Y288" s="1560"/>
      <c r="Z288" s="1560"/>
      <c r="AA288" s="1560"/>
      <c r="AB288" s="1560"/>
      <c r="AC288" s="1503"/>
    </row>
    <row r="289" spans="1:29" x14ac:dyDescent="0.2">
      <c r="A289" s="11"/>
      <c r="B289" s="16">
        <v>3</v>
      </c>
      <c r="C289" s="18" t="s">
        <v>146</v>
      </c>
      <c r="D289" s="1" t="s">
        <v>147</v>
      </c>
      <c r="E289" s="30"/>
      <c r="F289" s="1634">
        <v>15965253.789999999</v>
      </c>
      <c r="G289" s="1634">
        <v>0</v>
      </c>
      <c r="H289" s="1634">
        <v>0</v>
      </c>
      <c r="I289" s="1634">
        <v>0</v>
      </c>
      <c r="J289" s="1394">
        <v>15965253.789999999</v>
      </c>
      <c r="K289" s="734">
        <f t="shared" si="6"/>
        <v>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507"/>
      <c r="Y289" s="1561"/>
      <c r="Z289" s="1561"/>
      <c r="AA289" s="1561"/>
      <c r="AB289" s="1561"/>
      <c r="AC289" s="1503"/>
    </row>
    <row r="290" spans="1:29" x14ac:dyDescent="0.2">
      <c r="A290" s="11"/>
      <c r="B290" s="16">
        <v>4</v>
      </c>
      <c r="C290" s="18" t="s">
        <v>148</v>
      </c>
      <c r="D290" s="1" t="s">
        <v>149</v>
      </c>
      <c r="E290" s="30"/>
      <c r="F290" s="1634">
        <v>2150826.56</v>
      </c>
      <c r="G290" s="1634">
        <v>142759.42000000001</v>
      </c>
      <c r="H290" s="1634">
        <v>0</v>
      </c>
      <c r="I290" s="1634">
        <v>0</v>
      </c>
      <c r="J290" s="1394">
        <v>2293585.98</v>
      </c>
      <c r="K290" s="734">
        <f t="shared" si="6"/>
        <v>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507"/>
      <c r="Y290" s="1561"/>
      <c r="Z290" s="1561"/>
      <c r="AA290" s="1561"/>
      <c r="AB290" s="1561"/>
      <c r="AC290" s="1503"/>
    </row>
    <row r="291" spans="1:29" x14ac:dyDescent="0.2">
      <c r="A291" s="11"/>
      <c r="B291" s="16">
        <v>5</v>
      </c>
      <c r="C291" s="18" t="s">
        <v>150</v>
      </c>
      <c r="D291" s="1" t="s">
        <v>151</v>
      </c>
      <c r="E291" s="30"/>
      <c r="F291" s="1634">
        <v>630353.69999999995</v>
      </c>
      <c r="G291" s="1634">
        <v>0</v>
      </c>
      <c r="H291" s="1634">
        <v>0</v>
      </c>
      <c r="I291" s="1634">
        <v>0</v>
      </c>
      <c r="J291" s="1394">
        <v>630353.69999999995</v>
      </c>
      <c r="K291" s="734">
        <f t="shared" si="6"/>
        <v>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507"/>
      <c r="Y291" s="1561"/>
      <c r="Z291" s="1561"/>
      <c r="AA291" s="1561"/>
      <c r="AB291" s="1561"/>
      <c r="AC291" s="1503"/>
    </row>
    <row r="292" spans="1:29" x14ac:dyDescent="0.2">
      <c r="A292" s="48"/>
      <c r="B292" s="16">
        <v>6</v>
      </c>
      <c r="C292" s="18" t="s">
        <v>152</v>
      </c>
      <c r="D292" s="1" t="s">
        <v>153</v>
      </c>
      <c r="E292" s="30"/>
      <c r="F292" s="1634">
        <v>0</v>
      </c>
      <c r="G292" s="1634">
        <v>0</v>
      </c>
      <c r="H292" s="1634">
        <v>0</v>
      </c>
      <c r="I292" s="1634">
        <v>0</v>
      </c>
      <c r="J292" s="1394">
        <v>0</v>
      </c>
      <c r="K292" s="734">
        <f t="shared" si="6"/>
        <v>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507"/>
      <c r="Y292" s="1561"/>
      <c r="Z292" s="1561"/>
      <c r="AA292" s="1561"/>
      <c r="AB292" s="1561"/>
      <c r="AC292" s="1503"/>
    </row>
    <row r="293" spans="1:29" x14ac:dyDescent="0.2">
      <c r="A293" s="48"/>
      <c r="B293" s="16">
        <v>7</v>
      </c>
      <c r="C293" s="18" t="s">
        <v>154</v>
      </c>
      <c r="D293" s="26" t="s">
        <v>155</v>
      </c>
      <c r="E293" s="30"/>
      <c r="F293" s="1634">
        <v>0</v>
      </c>
      <c r="G293" s="1634">
        <v>0</v>
      </c>
      <c r="H293" s="1634">
        <v>0</v>
      </c>
      <c r="I293" s="1634">
        <v>0</v>
      </c>
      <c r="J293" s="1394">
        <v>0</v>
      </c>
      <c r="K293" s="734">
        <f t="shared" si="6"/>
        <v>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507"/>
      <c r="Y293" s="1561"/>
      <c r="Z293" s="1561"/>
      <c r="AA293" s="1561"/>
      <c r="AB293" s="1561"/>
      <c r="AC293" s="1503"/>
    </row>
    <row r="294" spans="1:29" x14ac:dyDescent="0.2">
      <c r="A294" s="48"/>
      <c r="B294" s="16">
        <v>8</v>
      </c>
      <c r="C294" s="18" t="s">
        <v>156</v>
      </c>
      <c r="D294" s="1" t="s">
        <v>157</v>
      </c>
      <c r="E294" s="30"/>
      <c r="F294" s="1634">
        <v>28317939</v>
      </c>
      <c r="G294" s="1634">
        <v>328543.03000000003</v>
      </c>
      <c r="H294" s="1634">
        <v>0</v>
      </c>
      <c r="I294" s="1634">
        <v>0</v>
      </c>
      <c r="J294" s="1394">
        <v>28646482.030000001</v>
      </c>
      <c r="K294" s="734">
        <f t="shared" si="6"/>
        <v>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507"/>
      <c r="Y294" s="1561"/>
      <c r="Z294" s="1561"/>
      <c r="AA294" s="1561"/>
      <c r="AB294" s="1561"/>
      <c r="AC294" s="1503"/>
    </row>
    <row r="295" spans="1:29" x14ac:dyDescent="0.2">
      <c r="A295" s="48"/>
      <c r="B295" s="16">
        <v>9</v>
      </c>
      <c r="C295" s="18" t="s">
        <v>158</v>
      </c>
      <c r="D295" s="1" t="s">
        <v>159</v>
      </c>
      <c r="E295" s="30"/>
      <c r="F295" s="1635">
        <v>0</v>
      </c>
      <c r="G295" s="1635">
        <v>0</v>
      </c>
      <c r="H295" s="1635">
        <v>0</v>
      </c>
      <c r="I295" s="1635">
        <v>0</v>
      </c>
      <c r="J295" s="1394">
        <v>0</v>
      </c>
      <c r="K295" s="734">
        <f t="shared" si="6"/>
        <v>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507"/>
      <c r="Y295" s="1561"/>
      <c r="Z295" s="1561"/>
      <c r="AA295" s="1561"/>
      <c r="AB295" s="1561"/>
      <c r="AC295" s="1503"/>
    </row>
    <row r="296" spans="1:29" ht="15" x14ac:dyDescent="0.25">
      <c r="A296" s="48"/>
      <c r="B296" s="16">
        <v>10</v>
      </c>
      <c r="C296" s="8" t="s">
        <v>263</v>
      </c>
      <c r="D296" s="1"/>
      <c r="E296" s="1315" t="s">
        <v>262</v>
      </c>
      <c r="F296" s="1636"/>
      <c r="G296" s="1636"/>
      <c r="H296" s="1636"/>
      <c r="I296" s="1636"/>
      <c r="J296" s="1391"/>
      <c r="K296" s="734">
        <f t="shared" si="6"/>
        <v>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493"/>
      <c r="Y296" s="1516"/>
      <c r="Z296" s="1516"/>
      <c r="AA296" s="1516"/>
      <c r="AB296" s="1516"/>
      <c r="AC296" s="1500"/>
    </row>
    <row r="297" spans="1:29" x14ac:dyDescent="0.2">
      <c r="A297" s="48"/>
      <c r="B297" s="16">
        <v>11</v>
      </c>
      <c r="C297" s="18" t="s">
        <v>161</v>
      </c>
      <c r="D297" s="1" t="s">
        <v>162</v>
      </c>
      <c r="E297" s="30"/>
      <c r="F297" s="1637">
        <v>157666.67000000001</v>
      </c>
      <c r="G297" s="1637">
        <v>43419.67</v>
      </c>
      <c r="H297" s="1637">
        <v>0</v>
      </c>
      <c r="I297" s="1637">
        <v>0</v>
      </c>
      <c r="J297" s="1394">
        <v>201086.34000000003</v>
      </c>
      <c r="K297" s="734">
        <f t="shared" si="6"/>
        <v>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507"/>
      <c r="Y297" s="1562"/>
      <c r="Z297" s="1562"/>
      <c r="AA297" s="1562"/>
      <c r="AB297" s="1562"/>
      <c r="AC297" s="1503"/>
    </row>
    <row r="298" spans="1:29" x14ac:dyDescent="0.2">
      <c r="A298" s="48"/>
      <c r="B298" s="16">
        <v>12</v>
      </c>
      <c r="C298" s="18" t="s">
        <v>163</v>
      </c>
      <c r="D298" s="26" t="s">
        <v>164</v>
      </c>
      <c r="E298" s="30"/>
      <c r="F298" s="1629">
        <v>0</v>
      </c>
      <c r="G298" s="1629">
        <v>0</v>
      </c>
      <c r="H298" s="1629">
        <v>0</v>
      </c>
      <c r="I298" s="1629">
        <v>0</v>
      </c>
      <c r="J298" s="1394">
        <v>0</v>
      </c>
      <c r="K298" s="734">
        <f t="shared" si="6"/>
        <v>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507"/>
      <c r="Y298" s="1558"/>
      <c r="Z298" s="1558"/>
      <c r="AA298" s="1558"/>
      <c r="AB298" s="1558"/>
      <c r="AC298" s="1503"/>
    </row>
    <row r="299" spans="1:29" x14ac:dyDescent="0.2">
      <c r="A299" s="48"/>
      <c r="B299" s="16">
        <v>13</v>
      </c>
      <c r="C299" s="18" t="s">
        <v>165</v>
      </c>
      <c r="D299" s="1" t="s">
        <v>166</v>
      </c>
      <c r="E299" s="30"/>
      <c r="F299" s="1629">
        <v>3336258.79</v>
      </c>
      <c r="G299" s="1629">
        <v>51182.04</v>
      </c>
      <c r="H299" s="1629">
        <v>0</v>
      </c>
      <c r="I299" s="1629">
        <v>0</v>
      </c>
      <c r="J299" s="1394">
        <v>3387440.83</v>
      </c>
      <c r="K299" s="734">
        <f t="shared" si="6"/>
        <v>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507"/>
      <c r="Y299" s="1558"/>
      <c r="Z299" s="1558"/>
      <c r="AA299" s="1558"/>
      <c r="AB299" s="1558"/>
      <c r="AC299" s="1503"/>
    </row>
    <row r="300" spans="1:29" ht="15" x14ac:dyDescent="0.25">
      <c r="A300" s="51"/>
      <c r="B300" s="16">
        <v>14</v>
      </c>
      <c r="C300" s="18" t="s">
        <v>167</v>
      </c>
      <c r="D300" s="1" t="s">
        <v>168</v>
      </c>
      <c r="E300" s="30"/>
      <c r="F300" s="1629">
        <v>1595458.63</v>
      </c>
      <c r="G300" s="1629">
        <v>11104.72</v>
      </c>
      <c r="H300" s="1629">
        <v>0</v>
      </c>
      <c r="I300" s="1629">
        <v>0</v>
      </c>
      <c r="J300" s="1394">
        <v>1606563.3499999999</v>
      </c>
      <c r="K300" s="734">
        <f t="shared" si="6"/>
        <v>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507"/>
      <c r="Y300" s="1558"/>
      <c r="Z300" s="1558"/>
      <c r="AA300" s="1558"/>
      <c r="AB300" s="1558"/>
      <c r="AC300" s="1503"/>
    </row>
    <row r="301" spans="1:29" x14ac:dyDescent="0.2">
      <c r="A301" s="11"/>
      <c r="B301" s="16">
        <v>15</v>
      </c>
      <c r="C301" s="18" t="s">
        <v>169</v>
      </c>
      <c r="D301" s="26" t="s">
        <v>170</v>
      </c>
      <c r="E301" s="30"/>
      <c r="F301" s="1629">
        <v>0</v>
      </c>
      <c r="G301" s="1629">
        <v>0</v>
      </c>
      <c r="H301" s="1629">
        <v>0</v>
      </c>
      <c r="I301" s="1629">
        <v>0</v>
      </c>
      <c r="J301" s="1394">
        <v>0</v>
      </c>
      <c r="K301" s="734">
        <f t="shared" si="6"/>
        <v>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507"/>
      <c r="Y301" s="1558"/>
      <c r="Z301" s="1558"/>
      <c r="AA301" s="1558"/>
      <c r="AB301" s="1558"/>
      <c r="AC301" s="1503"/>
    </row>
    <row r="302" spans="1:29" x14ac:dyDescent="0.2">
      <c r="A302" s="11"/>
      <c r="B302" s="16">
        <v>16</v>
      </c>
      <c r="C302" s="18" t="s">
        <v>171</v>
      </c>
      <c r="D302" s="26" t="s">
        <v>172</v>
      </c>
      <c r="E302" s="30"/>
      <c r="F302" s="1630">
        <v>145872.82</v>
      </c>
      <c r="G302" s="1630">
        <v>0</v>
      </c>
      <c r="H302" s="1630">
        <v>0</v>
      </c>
      <c r="I302" s="1630">
        <v>0</v>
      </c>
      <c r="J302" s="1394">
        <v>145872.82</v>
      </c>
      <c r="K302" s="734">
        <f t="shared" si="6"/>
        <v>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507"/>
      <c r="Y302" s="1558"/>
      <c r="Z302" s="1558"/>
      <c r="AA302" s="1558"/>
      <c r="AB302" s="1558"/>
      <c r="AC302" s="1503"/>
    </row>
    <row r="303" spans="1:29" ht="15" x14ac:dyDescent="0.25">
      <c r="A303" s="48"/>
      <c r="B303" s="16">
        <v>17</v>
      </c>
      <c r="C303" s="8" t="s">
        <v>264</v>
      </c>
      <c r="D303" s="1"/>
      <c r="E303" s="1315" t="s">
        <v>262</v>
      </c>
      <c r="F303" s="1636"/>
      <c r="G303" s="1636"/>
      <c r="H303" s="1636"/>
      <c r="I303" s="1636"/>
      <c r="J303" s="1391"/>
      <c r="K303" s="734">
        <f t="shared" si="6"/>
        <v>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493"/>
      <c r="Y303" s="1516"/>
      <c r="Z303" s="1516"/>
      <c r="AA303" s="1516"/>
      <c r="AB303" s="1516"/>
      <c r="AC303" s="1500"/>
    </row>
    <row r="304" spans="1:29" x14ac:dyDescent="0.2">
      <c r="A304" s="48"/>
      <c r="B304" s="16">
        <v>18</v>
      </c>
      <c r="C304" s="18" t="s">
        <v>174</v>
      </c>
      <c r="D304" s="29" t="s">
        <v>145</v>
      </c>
      <c r="E304" s="16"/>
      <c r="F304" s="1410">
        <v>46359.29</v>
      </c>
      <c r="G304" s="1410">
        <v>8430729.4500000011</v>
      </c>
      <c r="H304" s="1410">
        <v>550312.69999999995</v>
      </c>
      <c r="I304" s="1410">
        <v>39833.15</v>
      </c>
      <c r="J304" s="1394">
        <v>9067234.5899999999</v>
      </c>
      <c r="K304" s="734">
        <f t="shared" si="6"/>
        <v>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495"/>
      <c r="Y304" s="1542"/>
      <c r="Z304" s="1542"/>
      <c r="AA304" s="1542"/>
      <c r="AB304" s="1542"/>
      <c r="AC304" s="1503"/>
    </row>
    <row r="305" spans="1:29" x14ac:dyDescent="0.2">
      <c r="A305" s="48"/>
      <c r="B305" s="16">
        <v>19</v>
      </c>
      <c r="C305" s="18" t="s">
        <v>175</v>
      </c>
      <c r="D305" s="29" t="s">
        <v>176</v>
      </c>
      <c r="E305" s="30"/>
      <c r="F305" s="1411">
        <v>0</v>
      </c>
      <c r="G305" s="1411">
        <v>12872276.280000001</v>
      </c>
      <c r="H305" s="1411">
        <v>0</v>
      </c>
      <c r="I305" s="1411">
        <v>0</v>
      </c>
      <c r="J305" s="1394">
        <v>12872276.280000001</v>
      </c>
      <c r="K305" s="734">
        <f t="shared" si="6"/>
        <v>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507"/>
      <c r="Y305" s="1543"/>
      <c r="Z305" s="1543"/>
      <c r="AA305" s="1543"/>
      <c r="AB305" s="1543"/>
      <c r="AC305" s="1503"/>
    </row>
    <row r="306" spans="1:29" x14ac:dyDescent="0.2">
      <c r="A306" s="48"/>
      <c r="B306" s="16">
        <v>20</v>
      </c>
      <c r="C306" s="18" t="s">
        <v>177</v>
      </c>
      <c r="D306" s="1" t="s">
        <v>149</v>
      </c>
      <c r="E306" s="30"/>
      <c r="F306" s="1411">
        <v>33258.869999999988</v>
      </c>
      <c r="G306" s="1411">
        <v>3113325.23</v>
      </c>
      <c r="H306" s="1411">
        <v>0</v>
      </c>
      <c r="I306" s="1411">
        <v>0</v>
      </c>
      <c r="J306" s="1394">
        <v>3146584.1</v>
      </c>
      <c r="K306" s="734">
        <f t="shared" si="6"/>
        <v>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507"/>
      <c r="Y306" s="1543"/>
      <c r="Z306" s="1543"/>
      <c r="AA306" s="1543"/>
      <c r="AB306" s="1543"/>
      <c r="AC306" s="1503"/>
    </row>
    <row r="307" spans="1:29" x14ac:dyDescent="0.2">
      <c r="A307" s="48"/>
      <c r="B307" s="16">
        <v>21</v>
      </c>
      <c r="C307" s="18" t="s">
        <v>178</v>
      </c>
      <c r="D307" s="1" t="s">
        <v>151</v>
      </c>
      <c r="E307" s="30"/>
      <c r="F307" s="1411">
        <v>0</v>
      </c>
      <c r="G307" s="1411">
        <v>4010911.3399999519</v>
      </c>
      <c r="H307" s="1411">
        <v>12180.209999999995</v>
      </c>
      <c r="I307" s="1411">
        <v>0</v>
      </c>
      <c r="J307" s="1394">
        <v>4023091.5499999519</v>
      </c>
      <c r="K307" s="734">
        <f t="shared" si="6"/>
        <v>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507"/>
      <c r="Y307" s="1543"/>
      <c r="Z307" s="1543"/>
      <c r="AA307" s="1543"/>
      <c r="AB307" s="1543"/>
      <c r="AC307" s="1503"/>
    </row>
    <row r="308" spans="1:29" x14ac:dyDescent="0.2">
      <c r="A308" s="48"/>
      <c r="B308" s="16">
        <v>22</v>
      </c>
      <c r="C308" s="18" t="s">
        <v>179</v>
      </c>
      <c r="D308" s="1" t="s">
        <v>153</v>
      </c>
      <c r="E308" s="52"/>
      <c r="F308" s="1411">
        <v>0</v>
      </c>
      <c r="G308" s="1411">
        <v>4506617.859999991</v>
      </c>
      <c r="H308" s="1411">
        <v>16966.920000000002</v>
      </c>
      <c r="I308" s="1411">
        <v>0</v>
      </c>
      <c r="J308" s="1394">
        <v>4523584.7799999909</v>
      </c>
      <c r="K308" s="734">
        <f t="shared" si="6"/>
        <v>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522"/>
      <c r="Y308" s="1543"/>
      <c r="Z308" s="1543"/>
      <c r="AA308" s="1543"/>
      <c r="AB308" s="1543"/>
      <c r="AC308" s="1503"/>
    </row>
    <row r="309" spans="1:29" ht="15" x14ac:dyDescent="0.25">
      <c r="A309" s="51"/>
      <c r="B309" s="16">
        <v>23</v>
      </c>
      <c r="C309" s="18" t="s">
        <v>180</v>
      </c>
      <c r="D309" s="1" t="s">
        <v>181</v>
      </c>
      <c r="E309" s="52"/>
      <c r="F309" s="1411">
        <v>0</v>
      </c>
      <c r="G309" s="1411">
        <v>0</v>
      </c>
      <c r="H309" s="1411">
        <v>0</v>
      </c>
      <c r="I309" s="1411">
        <v>0</v>
      </c>
      <c r="J309" s="1394">
        <v>0</v>
      </c>
      <c r="K309" s="734">
        <f t="shared" si="6"/>
        <v>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522"/>
      <c r="Y309" s="1543"/>
      <c r="Z309" s="1543"/>
      <c r="AA309" s="1543"/>
      <c r="AB309" s="1543"/>
      <c r="AC309" s="1503"/>
    </row>
    <row r="310" spans="1:29" x14ac:dyDescent="0.2">
      <c r="A310" s="11"/>
      <c r="B310" s="16">
        <v>24</v>
      </c>
      <c r="C310" s="18" t="s">
        <v>182</v>
      </c>
      <c r="D310" s="647" t="s">
        <v>183</v>
      </c>
      <c r="E310" s="52"/>
      <c r="F310" s="1411">
        <v>0</v>
      </c>
      <c r="G310" s="1411">
        <v>0</v>
      </c>
      <c r="H310" s="1411">
        <v>12456801.770000009</v>
      </c>
      <c r="I310" s="1411">
        <v>0</v>
      </c>
      <c r="J310" s="1394">
        <v>12456801.770000009</v>
      </c>
      <c r="K310" s="734">
        <f t="shared" si="6"/>
        <v>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522"/>
      <c r="Y310" s="1543"/>
      <c r="Z310" s="1543"/>
      <c r="AA310" s="1543"/>
      <c r="AB310" s="1543"/>
      <c r="AC310" s="1503"/>
    </row>
    <row r="311" spans="1:29" ht="15" x14ac:dyDescent="0.25">
      <c r="A311" s="47"/>
      <c r="B311" s="16">
        <v>25</v>
      </c>
      <c r="C311" s="18" t="s">
        <v>184</v>
      </c>
      <c r="D311" s="1" t="s">
        <v>185</v>
      </c>
      <c r="E311" s="52"/>
      <c r="F311" s="1411">
        <v>0</v>
      </c>
      <c r="G311" s="1411">
        <v>2034184.280000001</v>
      </c>
      <c r="H311" s="1411">
        <v>0</v>
      </c>
      <c r="I311" s="1411">
        <v>0</v>
      </c>
      <c r="J311" s="1394">
        <v>2034184.280000001</v>
      </c>
      <c r="K311" s="734">
        <f t="shared" si="6"/>
        <v>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522"/>
      <c r="Y311" s="1543"/>
      <c r="Z311" s="1543"/>
      <c r="AA311" s="1543"/>
      <c r="AB311" s="1543"/>
      <c r="AC311" s="1503"/>
    </row>
    <row r="312" spans="1:29" ht="15" x14ac:dyDescent="0.25">
      <c r="A312" s="47"/>
      <c r="B312" s="16">
        <v>26</v>
      </c>
      <c r="C312" s="18" t="s">
        <v>186</v>
      </c>
      <c r="D312" s="1" t="s">
        <v>187</v>
      </c>
      <c r="E312" s="30"/>
      <c r="F312" s="1411">
        <v>12557.48</v>
      </c>
      <c r="G312" s="1411">
        <v>59212445.600000031</v>
      </c>
      <c r="H312" s="1411">
        <v>85300.749999999985</v>
      </c>
      <c r="I312" s="1411">
        <v>56400.22</v>
      </c>
      <c r="J312" s="1394">
        <v>59366704.050000027</v>
      </c>
      <c r="K312" s="734">
        <f t="shared" si="6"/>
        <v>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507"/>
      <c r="Y312" s="1543"/>
      <c r="Z312" s="1543"/>
      <c r="AA312" s="1543"/>
      <c r="AB312" s="1543"/>
      <c r="AC312" s="1503"/>
    </row>
    <row r="313" spans="1:29" x14ac:dyDescent="0.2">
      <c r="A313" s="11"/>
      <c r="B313" s="16">
        <v>27</v>
      </c>
      <c r="C313" s="18" t="s">
        <v>188</v>
      </c>
      <c r="D313" s="1" t="s">
        <v>189</v>
      </c>
      <c r="E313" s="30"/>
      <c r="F313" s="1412">
        <v>0</v>
      </c>
      <c r="G313" s="1412">
        <v>0</v>
      </c>
      <c r="H313" s="1412">
        <v>0</v>
      </c>
      <c r="I313" s="1412">
        <v>0</v>
      </c>
      <c r="J313" s="1394">
        <v>0</v>
      </c>
      <c r="K313" s="734">
        <f t="shared" si="6"/>
        <v>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507"/>
      <c r="Y313" s="1543"/>
      <c r="Z313" s="1543"/>
      <c r="AA313" s="1543"/>
      <c r="AB313" s="1543"/>
      <c r="AC313" s="1503"/>
    </row>
    <row r="314" spans="1:29" ht="15" x14ac:dyDescent="0.25">
      <c r="A314" s="11"/>
      <c r="B314" s="16">
        <v>28</v>
      </c>
      <c r="C314" s="8" t="s">
        <v>265</v>
      </c>
      <c r="D314" s="1"/>
      <c r="E314" s="1315" t="s">
        <v>262</v>
      </c>
      <c r="F314" s="1636"/>
      <c r="G314" s="1636"/>
      <c r="H314" s="1636"/>
      <c r="I314" s="1636"/>
      <c r="J314" s="1391"/>
      <c r="K314" s="734">
        <f t="shared" si="6"/>
        <v>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493"/>
      <c r="Y314" s="1516"/>
      <c r="Z314" s="1516"/>
      <c r="AA314" s="1516"/>
      <c r="AB314" s="1516"/>
      <c r="AC314" s="1500"/>
    </row>
    <row r="315" spans="1:29" x14ac:dyDescent="0.2">
      <c r="A315" s="11"/>
      <c r="B315" s="16">
        <v>29</v>
      </c>
      <c r="C315" s="18" t="s">
        <v>191</v>
      </c>
      <c r="D315" s="1" t="s">
        <v>162</v>
      </c>
      <c r="E315" s="16"/>
      <c r="F315" s="1410">
        <v>27874.75</v>
      </c>
      <c r="G315" s="1410">
        <v>2417660.5</v>
      </c>
      <c r="H315" s="1410">
        <v>641659.92000000004</v>
      </c>
      <c r="I315" s="1410">
        <v>0</v>
      </c>
      <c r="J315" s="1394">
        <v>3087195.17</v>
      </c>
      <c r="K315" s="734">
        <f t="shared" si="6"/>
        <v>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495"/>
      <c r="Y315" s="1542"/>
      <c r="Z315" s="1542"/>
      <c r="AA315" s="1542"/>
      <c r="AB315" s="1542"/>
      <c r="AC315" s="1503"/>
    </row>
    <row r="316" spans="1:29" x14ac:dyDescent="0.2">
      <c r="A316" s="48"/>
      <c r="B316" s="16">
        <v>30</v>
      </c>
      <c r="C316" s="18" t="s">
        <v>192</v>
      </c>
      <c r="D316" s="26" t="s">
        <v>164</v>
      </c>
      <c r="E316" s="30"/>
      <c r="F316" s="1411">
        <v>0</v>
      </c>
      <c r="G316" s="1411">
        <v>0</v>
      </c>
      <c r="H316" s="1411">
        <v>0</v>
      </c>
      <c r="I316" s="1411">
        <v>0</v>
      </c>
      <c r="J316" s="1394">
        <v>0</v>
      </c>
      <c r="K316" s="734">
        <f t="shared" si="6"/>
        <v>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507"/>
      <c r="Y316" s="1543"/>
      <c r="Z316" s="1543"/>
      <c r="AA316" s="1543"/>
      <c r="AB316" s="1543"/>
      <c r="AC316" s="1503"/>
    </row>
    <row r="317" spans="1:29" x14ac:dyDescent="0.2">
      <c r="A317" s="48"/>
      <c r="B317" s="16">
        <v>31</v>
      </c>
      <c r="C317" s="18" t="s">
        <v>193</v>
      </c>
      <c r="D317" s="1" t="s">
        <v>166</v>
      </c>
      <c r="E317" s="30"/>
      <c r="F317" s="1411">
        <v>78613.179999999993</v>
      </c>
      <c r="G317" s="1411">
        <v>6188260.0800000001</v>
      </c>
      <c r="H317" s="1411">
        <v>0</v>
      </c>
      <c r="I317" s="1411">
        <v>0</v>
      </c>
      <c r="J317" s="1394">
        <v>6266873.2599999998</v>
      </c>
      <c r="K317" s="734">
        <f t="shared" si="6"/>
        <v>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507"/>
      <c r="Y317" s="1543"/>
      <c r="Z317" s="1543"/>
      <c r="AA317" s="1543"/>
      <c r="AB317" s="1543"/>
      <c r="AC317" s="1503"/>
    </row>
    <row r="318" spans="1:29" x14ac:dyDescent="0.2">
      <c r="A318" s="48"/>
      <c r="B318" s="16">
        <v>32</v>
      </c>
      <c r="C318" s="18" t="s">
        <v>194</v>
      </c>
      <c r="D318" s="26" t="s">
        <v>168</v>
      </c>
      <c r="E318" s="30"/>
      <c r="F318" s="1411">
        <v>3994.38</v>
      </c>
      <c r="G318" s="1411">
        <v>38786429.539999999</v>
      </c>
      <c r="H318" s="1411">
        <v>20671.66</v>
      </c>
      <c r="I318" s="1411">
        <v>0</v>
      </c>
      <c r="J318" s="1394">
        <v>38811095.579999998</v>
      </c>
      <c r="K318" s="734">
        <f t="shared" si="6"/>
        <v>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507"/>
      <c r="Y318" s="1543"/>
      <c r="Z318" s="1543"/>
      <c r="AA318" s="1543"/>
      <c r="AB318" s="1543"/>
      <c r="AC318" s="1503"/>
    </row>
    <row r="319" spans="1:29" x14ac:dyDescent="0.2">
      <c r="A319" s="48"/>
      <c r="B319" s="16">
        <v>33</v>
      </c>
      <c r="C319" s="18" t="s">
        <v>195</v>
      </c>
      <c r="D319" s="1" t="s">
        <v>170</v>
      </c>
      <c r="E319" s="52"/>
      <c r="F319" s="1411">
        <v>0</v>
      </c>
      <c r="G319" s="1411">
        <v>9743951.3100000005</v>
      </c>
      <c r="H319" s="1411">
        <v>16828.61</v>
      </c>
      <c r="I319" s="1411">
        <v>0</v>
      </c>
      <c r="J319" s="1394">
        <v>9760779.9199999999</v>
      </c>
      <c r="K319" s="734">
        <f t="shared" si="6"/>
        <v>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522"/>
      <c r="Y319" s="1543"/>
      <c r="Z319" s="1543"/>
      <c r="AA319" s="1543"/>
      <c r="AB319" s="1543"/>
      <c r="AC319" s="1503"/>
    </row>
    <row r="320" spans="1:29" x14ac:dyDescent="0.2">
      <c r="A320" s="48"/>
      <c r="B320" s="16">
        <v>34</v>
      </c>
      <c r="C320" s="18" t="s">
        <v>196</v>
      </c>
      <c r="D320" s="1" t="s">
        <v>197</v>
      </c>
      <c r="E320" s="52"/>
      <c r="F320" s="1411">
        <v>0</v>
      </c>
      <c r="G320" s="1411">
        <v>1406918.11</v>
      </c>
      <c r="H320" s="1411">
        <v>13.87</v>
      </c>
      <c r="I320" s="1411">
        <v>0</v>
      </c>
      <c r="J320" s="1394">
        <v>1406931.9800000002</v>
      </c>
      <c r="K320" s="734">
        <f t="shared" si="6"/>
        <v>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522"/>
      <c r="Y320" s="1543"/>
      <c r="Z320" s="1543"/>
      <c r="AA320" s="1543"/>
      <c r="AB320" s="1543"/>
      <c r="AC320" s="1503"/>
    </row>
    <row r="321" spans="1:30" x14ac:dyDescent="0.2">
      <c r="A321" s="48"/>
      <c r="B321" s="16">
        <v>35</v>
      </c>
      <c r="C321" s="18" t="s">
        <v>198</v>
      </c>
      <c r="D321" s="1" t="s">
        <v>199</v>
      </c>
      <c r="E321" s="30"/>
      <c r="F321" s="1411">
        <v>0</v>
      </c>
      <c r="G321" s="1411">
        <v>335973.77</v>
      </c>
      <c r="H321" s="1411">
        <v>4.1399999999999997</v>
      </c>
      <c r="I321" s="1411">
        <v>0</v>
      </c>
      <c r="J321" s="1394">
        <v>335977.91000000003</v>
      </c>
      <c r="K321" s="734">
        <f t="shared" si="6"/>
        <v>0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507"/>
      <c r="Y321" s="1543"/>
      <c r="Z321" s="1543"/>
      <c r="AA321" s="1543"/>
      <c r="AB321" s="1543"/>
      <c r="AC321" s="1503"/>
    </row>
    <row r="322" spans="1:30" x14ac:dyDescent="0.2">
      <c r="A322" s="48"/>
      <c r="B322" s="16">
        <v>36</v>
      </c>
      <c r="C322" s="18" t="s">
        <v>200</v>
      </c>
      <c r="D322" s="1" t="s">
        <v>201</v>
      </c>
      <c r="E322" s="30"/>
      <c r="F322" s="1411">
        <v>0</v>
      </c>
      <c r="G322" s="1411">
        <v>0</v>
      </c>
      <c r="H322" s="1411">
        <v>15622947.98</v>
      </c>
      <c r="I322" s="1411">
        <v>0</v>
      </c>
      <c r="J322" s="1394">
        <v>15622947.98</v>
      </c>
      <c r="K322" s="734">
        <f t="shared" si="6"/>
        <v>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507"/>
      <c r="Y322" s="1543"/>
      <c r="Z322" s="1543"/>
      <c r="AA322" s="1543"/>
      <c r="AB322" s="1543"/>
      <c r="AC322" s="1503"/>
    </row>
    <row r="323" spans="1:30" x14ac:dyDescent="0.2">
      <c r="A323" s="48"/>
      <c r="B323" s="16">
        <v>37</v>
      </c>
      <c r="C323" s="18" t="s">
        <v>202</v>
      </c>
      <c r="D323" s="1" t="s">
        <v>203</v>
      </c>
      <c r="E323" s="30"/>
      <c r="F323" s="1412">
        <v>0</v>
      </c>
      <c r="G323" s="1412">
        <v>290636.13</v>
      </c>
      <c r="H323" s="1412">
        <v>0</v>
      </c>
      <c r="I323" s="1412">
        <v>0</v>
      </c>
      <c r="J323" s="1394">
        <v>290636.13</v>
      </c>
      <c r="K323" s="734">
        <f t="shared" si="6"/>
        <v>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507"/>
      <c r="Y323" s="1543"/>
      <c r="Z323" s="1543"/>
      <c r="AA323" s="1543"/>
      <c r="AB323" s="1543"/>
      <c r="AC323" s="1503"/>
    </row>
    <row r="324" spans="1:30" x14ac:dyDescent="0.2">
      <c r="A324" s="48"/>
      <c r="B324" s="16"/>
      <c r="C324" s="18"/>
      <c r="D324" s="1"/>
      <c r="E324" s="30"/>
      <c r="F324" s="1504"/>
      <c r="G324" s="1504"/>
      <c r="H324" s="1504"/>
      <c r="I324" s="1504"/>
      <c r="J324" s="1391"/>
      <c r="K324" s="734">
        <f t="shared" si="6"/>
        <v>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507"/>
      <c r="Y324" s="1504"/>
      <c r="Z324" s="1504"/>
      <c r="AA324" s="1504"/>
      <c r="AB324" s="1504"/>
      <c r="AC324" s="1500"/>
    </row>
    <row r="325" spans="1:30" ht="15" x14ac:dyDescent="0.25">
      <c r="A325" s="47"/>
      <c r="B325" s="16"/>
      <c r="C325" s="18"/>
      <c r="D325" s="1"/>
      <c r="E325" s="30"/>
      <c r="F325" s="1504"/>
      <c r="G325" s="1504"/>
      <c r="H325" s="1504"/>
      <c r="I325" s="1504"/>
      <c r="J325" s="1391"/>
      <c r="K325" s="734">
        <f t="shared" si="6"/>
        <v>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507"/>
      <c r="Y325" s="1504"/>
      <c r="Z325" s="1504"/>
      <c r="AA325" s="1504"/>
      <c r="AB325" s="1504"/>
      <c r="AC325" s="1500"/>
    </row>
    <row r="326" spans="1:30" ht="15" x14ac:dyDescent="0.25">
      <c r="A326" s="47"/>
      <c r="B326" s="16">
        <v>1</v>
      </c>
      <c r="C326" s="8" t="s">
        <v>266</v>
      </c>
      <c r="D326" s="1"/>
      <c r="E326" s="1315" t="s">
        <v>262</v>
      </c>
      <c r="F326" s="1636"/>
      <c r="G326" s="1636"/>
      <c r="H326" s="1636"/>
      <c r="I326" s="1636"/>
      <c r="J326" s="1391"/>
      <c r="K326" s="734">
        <f t="shared" si="6"/>
        <v>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493"/>
      <c r="Y326" s="1516"/>
      <c r="Z326" s="1516"/>
      <c r="AA326" s="1516"/>
      <c r="AB326" s="1516"/>
      <c r="AC326" s="1500"/>
    </row>
    <row r="327" spans="1:30" ht="15" x14ac:dyDescent="0.25">
      <c r="A327" s="47"/>
      <c r="B327" s="16">
        <v>2</v>
      </c>
      <c r="C327" s="18" t="s">
        <v>205</v>
      </c>
      <c r="D327" s="1" t="s">
        <v>206</v>
      </c>
      <c r="E327" s="16"/>
      <c r="F327" s="1410">
        <v>0</v>
      </c>
      <c r="G327" s="1410">
        <v>107858</v>
      </c>
      <c r="H327" s="1410">
        <v>0</v>
      </c>
      <c r="I327" s="1410">
        <v>0</v>
      </c>
      <c r="J327" s="1394">
        <v>107858</v>
      </c>
      <c r="K327" s="734">
        <f t="shared" si="6"/>
        <v>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495"/>
      <c r="Y327" s="1542"/>
      <c r="Z327" s="1542"/>
      <c r="AA327" s="1542"/>
      <c r="AB327" s="1542"/>
      <c r="AC327" s="1503"/>
    </row>
    <row r="328" spans="1:30" x14ac:dyDescent="0.2">
      <c r="A328" s="11"/>
      <c r="B328" s="16">
        <v>3</v>
      </c>
      <c r="C328" s="18" t="s">
        <v>207</v>
      </c>
      <c r="D328" s="1" t="s">
        <v>208</v>
      </c>
      <c r="E328" s="30"/>
      <c r="F328" s="1411">
        <v>0</v>
      </c>
      <c r="G328" s="1411">
        <v>0</v>
      </c>
      <c r="H328" s="1411">
        <v>0</v>
      </c>
      <c r="I328" s="1411">
        <v>0</v>
      </c>
      <c r="J328" s="1394">
        <v>0</v>
      </c>
      <c r="K328" s="734">
        <f t="shared" si="6"/>
        <v>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507"/>
      <c r="Y328" s="1543"/>
      <c r="Z328" s="1543"/>
      <c r="AA328" s="1543"/>
      <c r="AB328" s="1543"/>
      <c r="AC328" s="1503"/>
    </row>
    <row r="329" spans="1:30" x14ac:dyDescent="0.2">
      <c r="A329" s="11"/>
      <c r="B329" s="16">
        <v>4</v>
      </c>
      <c r="C329" s="18" t="s">
        <v>209</v>
      </c>
      <c r="D329" s="1" t="s">
        <v>210</v>
      </c>
      <c r="E329" s="30"/>
      <c r="F329" s="1411">
        <v>0</v>
      </c>
      <c r="G329" s="1411">
        <v>0</v>
      </c>
      <c r="H329" s="1411">
        <v>9310677.7999999989</v>
      </c>
      <c r="I329" s="1411">
        <v>1479495.79</v>
      </c>
      <c r="J329" s="1394">
        <v>10790173.59</v>
      </c>
      <c r="K329" s="734">
        <f t="shared" si="6"/>
        <v>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507"/>
      <c r="Y329" s="1543"/>
      <c r="Z329" s="1543"/>
      <c r="AA329" s="1543"/>
      <c r="AB329" s="1543"/>
      <c r="AC329" s="1503"/>
    </row>
    <row r="330" spans="1:30" x14ac:dyDescent="0.2">
      <c r="A330" s="11"/>
      <c r="B330" s="16">
        <v>5</v>
      </c>
      <c r="C330" s="18" t="s">
        <v>211</v>
      </c>
      <c r="D330" s="1" t="s">
        <v>212</v>
      </c>
      <c r="E330" s="30"/>
      <c r="F330" s="1411">
        <v>0</v>
      </c>
      <c r="G330" s="1411">
        <v>0</v>
      </c>
      <c r="H330" s="1411">
        <v>0</v>
      </c>
      <c r="I330" s="1411">
        <v>0</v>
      </c>
      <c r="J330" s="1394">
        <v>0</v>
      </c>
      <c r="K330" s="734">
        <f t="shared" si="6"/>
        <v>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507"/>
      <c r="Y330" s="1543"/>
      <c r="Z330" s="1543"/>
      <c r="AA330" s="1543"/>
      <c r="AB330" s="1543"/>
      <c r="AC330" s="1503"/>
    </row>
    <row r="331" spans="1:30" x14ac:dyDescent="0.2">
      <c r="A331" s="11"/>
      <c r="B331" s="16">
        <v>6</v>
      </c>
      <c r="C331" s="18" t="s">
        <v>213</v>
      </c>
      <c r="D331" s="26" t="s">
        <v>214</v>
      </c>
      <c r="E331" s="30"/>
      <c r="F331" s="1412">
        <v>0</v>
      </c>
      <c r="G331" s="1412">
        <v>0</v>
      </c>
      <c r="H331" s="1412">
        <v>0</v>
      </c>
      <c r="I331" s="1412">
        <v>0</v>
      </c>
      <c r="J331" s="1394">
        <v>0</v>
      </c>
      <c r="K331" s="734">
        <f t="shared" si="6"/>
        <v>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507"/>
      <c r="Y331" s="1543"/>
      <c r="Z331" s="1543"/>
      <c r="AA331" s="1543"/>
      <c r="AB331" s="1543"/>
      <c r="AC331" s="1503"/>
    </row>
    <row r="332" spans="1:30" ht="15" x14ac:dyDescent="0.25">
      <c r="A332" s="11"/>
      <c r="B332" s="16">
        <v>7</v>
      </c>
      <c r="C332" s="8" t="s">
        <v>267</v>
      </c>
      <c r="D332" s="26"/>
      <c r="E332" s="1315" t="s">
        <v>262</v>
      </c>
      <c r="F332" s="1504"/>
      <c r="G332" s="1504"/>
      <c r="H332" s="1504"/>
      <c r="I332" s="1504"/>
      <c r="J332" s="1391"/>
      <c r="K332" s="734">
        <f t="shared" si="6"/>
        <v>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493"/>
      <c r="Y332" s="1504"/>
      <c r="Z332" s="1504"/>
      <c r="AA332" s="1504"/>
      <c r="AB332" s="1504"/>
      <c r="AC332" s="1500"/>
    </row>
    <row r="333" spans="1:30" x14ac:dyDescent="0.2">
      <c r="A333" s="48"/>
      <c r="B333" s="16">
        <v>8</v>
      </c>
      <c r="C333" s="18" t="s">
        <v>216</v>
      </c>
      <c r="D333" s="1" t="s">
        <v>217</v>
      </c>
      <c r="E333" s="52"/>
      <c r="F333" s="1638">
        <v>0</v>
      </c>
      <c r="G333" s="1638">
        <v>0</v>
      </c>
      <c r="H333" s="1638">
        <v>0</v>
      </c>
      <c r="I333" s="1638">
        <v>0</v>
      </c>
      <c r="J333" s="1394">
        <v>0</v>
      </c>
      <c r="K333" s="734">
        <f t="shared" si="6"/>
        <v>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522"/>
      <c r="Y333" s="1563"/>
      <c r="Z333" s="1563"/>
      <c r="AA333" s="1563"/>
      <c r="AB333" s="1563"/>
      <c r="AC333" s="1503"/>
      <c r="AD333" s="339"/>
    </row>
    <row r="334" spans="1:30" x14ac:dyDescent="0.2">
      <c r="A334" s="48"/>
      <c r="B334" s="16">
        <v>9</v>
      </c>
      <c r="C334" s="18" t="s">
        <v>218</v>
      </c>
      <c r="D334" s="1" t="s">
        <v>206</v>
      </c>
      <c r="E334" s="52"/>
      <c r="F334" s="1639">
        <v>0</v>
      </c>
      <c r="G334" s="1639">
        <v>0</v>
      </c>
      <c r="H334" s="1639">
        <v>0</v>
      </c>
      <c r="I334" s="1639">
        <v>0</v>
      </c>
      <c r="J334" s="1394">
        <v>0</v>
      </c>
      <c r="K334" s="734">
        <f t="shared" si="6"/>
        <v>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522"/>
      <c r="Y334" s="1564"/>
      <c r="Z334" s="1564"/>
      <c r="AA334" s="1564"/>
      <c r="AB334" s="1564"/>
      <c r="AC334" s="1503"/>
    </row>
    <row r="335" spans="1:30" x14ac:dyDescent="0.2">
      <c r="A335" s="48"/>
      <c r="B335" s="16">
        <v>10</v>
      </c>
      <c r="C335" s="18" t="s">
        <v>219</v>
      </c>
      <c r="D335" s="26" t="s">
        <v>220</v>
      </c>
      <c r="E335" s="52"/>
      <c r="F335" s="1639">
        <v>0</v>
      </c>
      <c r="G335" s="1639">
        <v>0</v>
      </c>
      <c r="H335" s="1639">
        <v>0</v>
      </c>
      <c r="I335" s="1639">
        <v>12000</v>
      </c>
      <c r="J335" s="1394">
        <v>12000</v>
      </c>
      <c r="K335" s="734">
        <f t="shared" si="6"/>
        <v>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522"/>
      <c r="Y335" s="1564"/>
      <c r="Z335" s="1564"/>
      <c r="AA335" s="1564"/>
      <c r="AB335" s="1564"/>
      <c r="AC335" s="1503"/>
    </row>
    <row r="336" spans="1:30" x14ac:dyDescent="0.2">
      <c r="A336" s="48"/>
      <c r="B336" s="16">
        <v>11</v>
      </c>
      <c r="C336" s="18" t="s">
        <v>221</v>
      </c>
      <c r="D336" s="1" t="s">
        <v>222</v>
      </c>
      <c r="E336" s="52"/>
      <c r="F336" s="1639">
        <v>0</v>
      </c>
      <c r="G336" s="1639">
        <v>0</v>
      </c>
      <c r="H336" s="1639">
        <v>0</v>
      </c>
      <c r="I336" s="1639">
        <v>0</v>
      </c>
      <c r="J336" s="1394">
        <v>0</v>
      </c>
      <c r="K336" s="734">
        <f t="shared" si="6"/>
        <v>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522"/>
      <c r="Y336" s="1564"/>
      <c r="Z336" s="1564"/>
      <c r="AA336" s="1564"/>
      <c r="AB336" s="1564"/>
      <c r="AC336" s="1503"/>
    </row>
    <row r="337" spans="1:31" s="321" customFormat="1" x14ac:dyDescent="0.2">
      <c r="A337" s="18"/>
      <c r="B337" s="16">
        <v>12</v>
      </c>
      <c r="C337" s="18" t="s">
        <v>223</v>
      </c>
      <c r="D337" s="1" t="s">
        <v>224</v>
      </c>
      <c r="E337" s="52"/>
      <c r="F337" s="1640">
        <v>0</v>
      </c>
      <c r="G337" s="1640">
        <v>0</v>
      </c>
      <c r="H337" s="1640">
        <v>0</v>
      </c>
      <c r="I337" s="1640">
        <v>0</v>
      </c>
      <c r="J337" s="1394">
        <v>0</v>
      </c>
      <c r="K337" s="734">
        <f t="shared" si="6"/>
        <v>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522"/>
      <c r="Y337" s="1564"/>
      <c r="Z337" s="1564"/>
      <c r="AA337" s="1564"/>
      <c r="AB337" s="1564"/>
      <c r="AC337" s="1503"/>
      <c r="AD337" s="357"/>
      <c r="AE337" s="357"/>
    </row>
    <row r="338" spans="1:31" ht="15" x14ac:dyDescent="0.25">
      <c r="A338" s="48"/>
      <c r="B338" s="16">
        <v>13</v>
      </c>
      <c r="C338" s="8" t="s">
        <v>268</v>
      </c>
      <c r="D338" s="1"/>
      <c r="E338" s="1315" t="s">
        <v>262</v>
      </c>
      <c r="F338" s="1504"/>
      <c r="G338" s="1504"/>
      <c r="H338" s="1504"/>
      <c r="I338" s="1504"/>
      <c r="J338" s="1391"/>
      <c r="K338" s="734">
        <f t="shared" si="6"/>
        <v>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493"/>
      <c r="Y338" s="1504"/>
      <c r="Z338" s="1504"/>
      <c r="AA338" s="1504"/>
      <c r="AB338" s="1504"/>
      <c r="AC338" s="1500"/>
    </row>
    <row r="339" spans="1:31" x14ac:dyDescent="0.2">
      <c r="A339" s="48"/>
      <c r="B339" s="16">
        <v>14</v>
      </c>
      <c r="C339" s="1" t="s">
        <v>269</v>
      </c>
      <c r="D339" s="49" t="s">
        <v>206</v>
      </c>
      <c r="E339" s="16"/>
      <c r="F339" s="1638">
        <v>0</v>
      </c>
      <c r="G339" s="1638">
        <v>0</v>
      </c>
      <c r="H339" s="1638">
        <v>0</v>
      </c>
      <c r="I339" s="1638">
        <v>0</v>
      </c>
      <c r="J339" s="1394">
        <v>0</v>
      </c>
      <c r="K339" s="734">
        <f t="shared" si="6"/>
        <v>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495"/>
      <c r="Y339" s="1563"/>
      <c r="Z339" s="1563"/>
      <c r="AA339" s="1563"/>
      <c r="AB339" s="1563"/>
      <c r="AC339" s="1503"/>
      <c r="AE339" s="339"/>
    </row>
    <row r="340" spans="1:31" x14ac:dyDescent="0.2">
      <c r="A340" s="48"/>
      <c r="B340" s="16">
        <v>15</v>
      </c>
      <c r="C340" s="18" t="s">
        <v>227</v>
      </c>
      <c r="D340" s="49" t="s">
        <v>228</v>
      </c>
      <c r="E340" s="52"/>
      <c r="F340" s="1639">
        <v>0</v>
      </c>
      <c r="G340" s="1639">
        <v>0</v>
      </c>
      <c r="H340" s="1639">
        <v>0</v>
      </c>
      <c r="I340" s="1639">
        <v>0</v>
      </c>
      <c r="J340" s="1394">
        <v>0</v>
      </c>
      <c r="K340" s="734">
        <f t="shared" si="6"/>
        <v>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522"/>
      <c r="Y340" s="1564"/>
      <c r="Z340" s="1564"/>
      <c r="AA340" s="1564"/>
      <c r="AB340" s="1564"/>
      <c r="AC340" s="1503"/>
    </row>
    <row r="341" spans="1:31" x14ac:dyDescent="0.2">
      <c r="A341" s="48"/>
      <c r="B341" s="16">
        <v>16</v>
      </c>
      <c r="C341" s="18" t="s">
        <v>229</v>
      </c>
      <c r="D341" s="49" t="s">
        <v>230</v>
      </c>
      <c r="E341" s="52"/>
      <c r="F341" s="1639">
        <v>0</v>
      </c>
      <c r="G341" s="1639">
        <v>0</v>
      </c>
      <c r="H341" s="1639">
        <v>0</v>
      </c>
      <c r="I341" s="1639">
        <v>0</v>
      </c>
      <c r="J341" s="1394">
        <v>0</v>
      </c>
      <c r="K341" s="734">
        <f t="shared" si="6"/>
        <v>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522"/>
      <c r="Y341" s="1564"/>
      <c r="Z341" s="1564"/>
      <c r="AA341" s="1564"/>
      <c r="AB341" s="1564"/>
      <c r="AC341" s="1503"/>
    </row>
    <row r="342" spans="1:31" x14ac:dyDescent="0.2">
      <c r="A342" s="48"/>
      <c r="B342" s="16">
        <v>17</v>
      </c>
      <c r="C342" s="18" t="s">
        <v>231</v>
      </c>
      <c r="D342" s="49" t="s">
        <v>232</v>
      </c>
      <c r="E342" s="52"/>
      <c r="F342" s="1639">
        <v>0</v>
      </c>
      <c r="G342" s="1639">
        <v>0</v>
      </c>
      <c r="H342" s="1639">
        <v>0</v>
      </c>
      <c r="I342" s="1639">
        <v>0</v>
      </c>
      <c r="J342" s="1394">
        <v>0</v>
      </c>
      <c r="K342" s="734">
        <f t="shared" si="6"/>
        <v>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522"/>
      <c r="Y342" s="1564"/>
      <c r="Z342" s="1564"/>
      <c r="AA342" s="1564"/>
      <c r="AB342" s="1564"/>
      <c r="AC342" s="1503"/>
    </row>
    <row r="343" spans="1:31" ht="15" x14ac:dyDescent="0.25">
      <c r="A343" s="51"/>
      <c r="B343" s="16">
        <v>18</v>
      </c>
      <c r="C343" s="18" t="s">
        <v>233</v>
      </c>
      <c r="D343" s="49" t="s">
        <v>234</v>
      </c>
      <c r="E343" s="52"/>
      <c r="F343" s="1640">
        <v>0</v>
      </c>
      <c r="G343" s="1640">
        <v>0</v>
      </c>
      <c r="H343" s="1640">
        <v>0</v>
      </c>
      <c r="I343" s="1640">
        <v>0</v>
      </c>
      <c r="J343" s="1394">
        <v>0</v>
      </c>
      <c r="K343" s="734">
        <f t="shared" si="6"/>
        <v>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522"/>
      <c r="Y343" s="1564"/>
      <c r="Z343" s="1564"/>
      <c r="AA343" s="1564"/>
      <c r="AB343" s="1564"/>
      <c r="AC343" s="1503"/>
    </row>
    <row r="344" spans="1:31" x14ac:dyDescent="0.2">
      <c r="A344" s="1"/>
      <c r="B344" s="16">
        <v>19</v>
      </c>
      <c r="C344" s="18"/>
      <c r="D344" s="49"/>
      <c r="E344" s="52"/>
      <c r="F344" s="1504"/>
      <c r="G344" s="1504"/>
      <c r="H344" s="1504"/>
      <c r="I344" s="1504"/>
      <c r="J344" s="1391"/>
      <c r="K344" s="734">
        <f t="shared" ref="K344:K407" si="7">J344-SUM(F344:I344)</f>
        <v>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522"/>
      <c r="Y344" s="1504"/>
      <c r="Z344" s="1504"/>
      <c r="AA344" s="1504"/>
      <c r="AB344" s="1504"/>
      <c r="AC344" s="1500"/>
    </row>
    <row r="345" spans="1:31" ht="15" x14ac:dyDescent="0.25">
      <c r="A345" s="47"/>
      <c r="B345" s="16">
        <v>20</v>
      </c>
      <c r="C345" s="8" t="s">
        <v>270</v>
      </c>
      <c r="D345" s="1"/>
      <c r="E345" s="1315" t="s">
        <v>262</v>
      </c>
      <c r="F345" s="1636"/>
      <c r="G345" s="1636"/>
      <c r="H345" s="1636"/>
      <c r="I345" s="1636"/>
      <c r="J345" s="1391"/>
      <c r="K345" s="734">
        <f t="shared" si="7"/>
        <v>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493"/>
      <c r="Y345" s="1516"/>
      <c r="Z345" s="1516"/>
      <c r="AA345" s="1516"/>
      <c r="AB345" s="1516"/>
      <c r="AC345" s="1500"/>
    </row>
    <row r="346" spans="1:31" ht="15" x14ac:dyDescent="0.25">
      <c r="A346" s="47"/>
      <c r="B346" s="16">
        <v>21</v>
      </c>
      <c r="C346" s="18" t="s">
        <v>237</v>
      </c>
      <c r="D346" s="1" t="s">
        <v>238</v>
      </c>
      <c r="E346" s="30"/>
      <c r="F346" s="1410">
        <v>28160796.329999994</v>
      </c>
      <c r="G346" s="1410">
        <v>67365447.639999986</v>
      </c>
      <c r="H346" s="1410">
        <v>18757079.369999997</v>
      </c>
      <c r="I346" s="1410">
        <v>20904714.86999999</v>
      </c>
      <c r="J346" s="1394">
        <v>135188038.20999998</v>
      </c>
      <c r="K346" s="734">
        <f t="shared" si="7"/>
        <v>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507"/>
      <c r="Y346" s="1542"/>
      <c r="Z346" s="1542"/>
      <c r="AA346" s="1542"/>
      <c r="AB346" s="1542"/>
      <c r="AC346" s="1503"/>
    </row>
    <row r="347" spans="1:31" x14ac:dyDescent="0.2">
      <c r="A347" s="11"/>
      <c r="B347" s="16">
        <v>22</v>
      </c>
      <c r="C347" s="18" t="s">
        <v>239</v>
      </c>
      <c r="D347" s="1" t="s">
        <v>240</v>
      </c>
      <c r="E347" s="30"/>
      <c r="F347" s="1411">
        <v>0</v>
      </c>
      <c r="G347" s="1411">
        <v>0</v>
      </c>
      <c r="H347" s="1411">
        <v>0</v>
      </c>
      <c r="I347" s="1411">
        <v>0</v>
      </c>
      <c r="J347" s="1394">
        <v>0</v>
      </c>
      <c r="K347" s="734">
        <f t="shared" si="7"/>
        <v>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507"/>
      <c r="Y347" s="1543"/>
      <c r="Z347" s="1543"/>
      <c r="AA347" s="1543"/>
      <c r="AB347" s="1543"/>
      <c r="AC347" s="1503"/>
    </row>
    <row r="348" spans="1:31" ht="15" x14ac:dyDescent="0.25">
      <c r="A348" s="47"/>
      <c r="B348" s="16">
        <v>23</v>
      </c>
      <c r="C348" s="18" t="s">
        <v>241</v>
      </c>
      <c r="D348" s="1" t="s">
        <v>242</v>
      </c>
      <c r="E348" s="30"/>
      <c r="F348" s="1411">
        <v>0</v>
      </c>
      <c r="G348" s="1411">
        <v>0</v>
      </c>
      <c r="H348" s="1411">
        <v>0</v>
      </c>
      <c r="I348" s="1411">
        <v>0</v>
      </c>
      <c r="J348" s="1394">
        <v>0</v>
      </c>
      <c r="K348" s="734">
        <f t="shared" si="7"/>
        <v>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507"/>
      <c r="Y348" s="1543"/>
      <c r="Z348" s="1543"/>
      <c r="AA348" s="1543"/>
      <c r="AB348" s="1543"/>
      <c r="AC348" s="1503"/>
    </row>
    <row r="349" spans="1:31" ht="15" x14ac:dyDescent="0.25">
      <c r="A349" s="47"/>
      <c r="B349" s="16">
        <v>24</v>
      </c>
      <c r="C349" s="18" t="s">
        <v>243</v>
      </c>
      <c r="D349" s="29" t="s">
        <v>244</v>
      </c>
      <c r="E349" s="30"/>
      <c r="F349" s="1411">
        <v>0</v>
      </c>
      <c r="G349" s="1411">
        <v>0</v>
      </c>
      <c r="H349" s="1411">
        <v>0</v>
      </c>
      <c r="I349" s="1411">
        <v>0</v>
      </c>
      <c r="J349" s="1394">
        <v>0</v>
      </c>
      <c r="K349" s="734">
        <f t="shared" si="7"/>
        <v>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507"/>
      <c r="Y349" s="1543"/>
      <c r="Z349" s="1543"/>
      <c r="AA349" s="1543"/>
      <c r="AB349" s="1543"/>
      <c r="AC349" s="1503"/>
    </row>
    <row r="350" spans="1:31" x14ac:dyDescent="0.2">
      <c r="A350" s="11"/>
      <c r="B350" s="16">
        <v>25</v>
      </c>
      <c r="C350" s="18" t="s">
        <v>245</v>
      </c>
      <c r="D350" s="1" t="s">
        <v>246</v>
      </c>
      <c r="E350" s="30"/>
      <c r="F350" s="1411">
        <v>0</v>
      </c>
      <c r="G350" s="1411">
        <v>0</v>
      </c>
      <c r="H350" s="1411">
        <v>0</v>
      </c>
      <c r="I350" s="1411">
        <v>0</v>
      </c>
      <c r="J350" s="1394">
        <v>0</v>
      </c>
      <c r="K350" s="734">
        <f t="shared" si="7"/>
        <v>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507"/>
      <c r="Y350" s="1543"/>
      <c r="Z350" s="1543"/>
      <c r="AA350" s="1543"/>
      <c r="AB350" s="1543"/>
      <c r="AC350" s="1503"/>
    </row>
    <row r="351" spans="1:31" x14ac:dyDescent="0.2">
      <c r="A351" s="11"/>
      <c r="B351" s="16">
        <v>26</v>
      </c>
      <c r="C351" s="18" t="s">
        <v>247</v>
      </c>
      <c r="D351" s="1" t="s">
        <v>248</v>
      </c>
      <c r="E351" s="30"/>
      <c r="F351" s="1411">
        <v>0</v>
      </c>
      <c r="G351" s="1411">
        <v>0</v>
      </c>
      <c r="H351" s="1411">
        <v>0</v>
      </c>
      <c r="I351" s="1411">
        <v>0</v>
      </c>
      <c r="J351" s="1394">
        <v>0</v>
      </c>
      <c r="K351" s="734">
        <f t="shared" si="7"/>
        <v>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507"/>
      <c r="Y351" s="1543"/>
      <c r="Z351" s="1543"/>
      <c r="AA351" s="1543"/>
      <c r="AB351" s="1543"/>
      <c r="AC351" s="1503"/>
    </row>
    <row r="352" spans="1:31" x14ac:dyDescent="0.2">
      <c r="A352" s="11"/>
      <c r="B352" s="16">
        <v>27</v>
      </c>
      <c r="C352" s="18" t="s">
        <v>249</v>
      </c>
      <c r="D352" s="1" t="s">
        <v>250</v>
      </c>
      <c r="E352" s="30"/>
      <c r="F352" s="1411">
        <v>0</v>
      </c>
      <c r="G352" s="1411">
        <v>0</v>
      </c>
      <c r="H352" s="1411">
        <v>0</v>
      </c>
      <c r="I352" s="1411">
        <v>0</v>
      </c>
      <c r="J352" s="1394">
        <v>0</v>
      </c>
      <c r="K352" s="734">
        <f t="shared" si="7"/>
        <v>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507"/>
      <c r="Y352" s="1543"/>
      <c r="Z352" s="1543"/>
      <c r="AA352" s="1543"/>
      <c r="AB352" s="1543"/>
      <c r="AC352" s="1503"/>
    </row>
    <row r="353" spans="1:29" x14ac:dyDescent="0.2">
      <c r="A353" s="48"/>
      <c r="B353" s="16">
        <v>28</v>
      </c>
      <c r="C353" s="18" t="s">
        <v>251</v>
      </c>
      <c r="D353" s="1" t="s">
        <v>252</v>
      </c>
      <c r="E353" s="30"/>
      <c r="F353" s="1411">
        <v>0</v>
      </c>
      <c r="G353" s="1411">
        <v>0</v>
      </c>
      <c r="H353" s="1411">
        <v>0</v>
      </c>
      <c r="I353" s="1411">
        <v>0</v>
      </c>
      <c r="J353" s="1394">
        <v>0</v>
      </c>
      <c r="K353" s="734">
        <f t="shared" si="7"/>
        <v>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507"/>
      <c r="Y353" s="1543"/>
      <c r="Z353" s="1543"/>
      <c r="AA353" s="1543"/>
      <c r="AB353" s="1543"/>
      <c r="AC353" s="1503"/>
    </row>
    <row r="354" spans="1:29" x14ac:dyDescent="0.2">
      <c r="A354" s="48"/>
      <c r="B354" s="16">
        <v>29</v>
      </c>
      <c r="C354" s="18" t="s">
        <v>253</v>
      </c>
      <c r="D354" s="1" t="s">
        <v>254</v>
      </c>
      <c r="E354" s="30"/>
      <c r="F354" s="1411">
        <v>0</v>
      </c>
      <c r="G354" s="1411">
        <v>0</v>
      </c>
      <c r="H354" s="1411">
        <v>0</v>
      </c>
      <c r="I354" s="1411">
        <v>0</v>
      </c>
      <c r="J354" s="1394">
        <v>0</v>
      </c>
      <c r="K354" s="734">
        <f t="shared" si="7"/>
        <v>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507"/>
      <c r="Y354" s="1543"/>
      <c r="Z354" s="1543"/>
      <c r="AA354" s="1543"/>
      <c r="AB354" s="1543"/>
      <c r="AC354" s="1503"/>
    </row>
    <row r="355" spans="1:29" x14ac:dyDescent="0.2">
      <c r="A355" s="48"/>
      <c r="B355" s="16">
        <v>30</v>
      </c>
      <c r="C355" s="18" t="s">
        <v>255</v>
      </c>
      <c r="D355" s="1" t="s">
        <v>256</v>
      </c>
      <c r="E355" s="30"/>
      <c r="F355" s="1411">
        <v>882.38</v>
      </c>
      <c r="G355" s="1411">
        <v>2356.6799999999998</v>
      </c>
      <c r="H355" s="1411">
        <v>659.04</v>
      </c>
      <c r="I355" s="1411">
        <v>27.090000000000146</v>
      </c>
      <c r="J355" s="1394">
        <v>3925.19</v>
      </c>
      <c r="K355" s="734">
        <f t="shared" si="7"/>
        <v>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507"/>
      <c r="Y355" s="1543"/>
      <c r="Z355" s="1543"/>
      <c r="AA355" s="1543"/>
      <c r="AB355" s="1543"/>
      <c r="AC355" s="1503"/>
    </row>
    <row r="356" spans="1:29" x14ac:dyDescent="0.2">
      <c r="A356" s="48"/>
      <c r="B356" s="16">
        <v>31</v>
      </c>
      <c r="C356" s="18" t="s">
        <v>257</v>
      </c>
      <c r="D356" s="1" t="s">
        <v>189</v>
      </c>
      <c r="E356" s="30"/>
      <c r="F356" s="1411">
        <v>0</v>
      </c>
      <c r="G356" s="1411">
        <v>0</v>
      </c>
      <c r="H356" s="1411">
        <v>0</v>
      </c>
      <c r="I356" s="1411">
        <v>0</v>
      </c>
      <c r="J356" s="1394">
        <v>0</v>
      </c>
      <c r="K356" s="734">
        <f t="shared" si="7"/>
        <v>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507"/>
      <c r="Y356" s="1543"/>
      <c r="Z356" s="1543"/>
      <c r="AA356" s="1543"/>
      <c r="AB356" s="1543"/>
      <c r="AC356" s="1503"/>
    </row>
    <row r="357" spans="1:29" ht="15" x14ac:dyDescent="0.25">
      <c r="A357" s="51"/>
      <c r="B357" s="16">
        <v>32</v>
      </c>
      <c r="C357" s="18" t="s">
        <v>258</v>
      </c>
      <c r="D357" s="1" t="s">
        <v>259</v>
      </c>
      <c r="E357" s="30"/>
      <c r="F357" s="1411">
        <v>0</v>
      </c>
      <c r="G357" s="1411">
        <v>4100.4599999999991</v>
      </c>
      <c r="H357" s="1411">
        <v>0</v>
      </c>
      <c r="I357" s="1411">
        <v>0</v>
      </c>
      <c r="J357" s="1394">
        <v>4100.4599999999991</v>
      </c>
      <c r="K357" s="734">
        <f t="shared" si="7"/>
        <v>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507"/>
      <c r="Y357" s="1543"/>
      <c r="Z357" s="1543"/>
      <c r="AA357" s="1543"/>
      <c r="AB357" s="1543"/>
      <c r="AC357" s="1503"/>
    </row>
    <row r="358" spans="1:29" x14ac:dyDescent="0.2">
      <c r="A358" s="11"/>
      <c r="B358" s="16">
        <v>33</v>
      </c>
      <c r="C358" s="18" t="s">
        <v>260</v>
      </c>
      <c r="D358" s="1" t="s">
        <v>259</v>
      </c>
      <c r="E358" s="30"/>
      <c r="F358" s="1412">
        <v>1400532.33</v>
      </c>
      <c r="G358" s="1412">
        <v>1044798.28</v>
      </c>
      <c r="H358" s="1412">
        <v>291823.53000000003</v>
      </c>
      <c r="I358" s="1412">
        <v>11992.730000000074</v>
      </c>
      <c r="J358" s="1394">
        <v>2749146.8700000006</v>
      </c>
      <c r="K358" s="734">
        <f t="shared" si="7"/>
        <v>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507"/>
      <c r="Y358" s="1543"/>
      <c r="Z358" s="1543"/>
      <c r="AA358" s="1543"/>
      <c r="AB358" s="1543"/>
      <c r="AC358" s="1503"/>
    </row>
    <row r="359" spans="1:29" x14ac:dyDescent="0.2">
      <c r="A359" s="11"/>
      <c r="B359" s="16">
        <v>34</v>
      </c>
      <c r="C359" s="18"/>
      <c r="D359" s="1"/>
      <c r="E359" s="30"/>
      <c r="F359" s="1395"/>
      <c r="G359" s="1395"/>
      <c r="H359" s="1395"/>
      <c r="I359" s="1395"/>
      <c r="J359" s="1391"/>
      <c r="K359" s="734">
        <f t="shared" si="7"/>
        <v>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507"/>
      <c r="Y359" s="1504"/>
      <c r="Z359" s="1504"/>
      <c r="AA359" s="1504"/>
      <c r="AB359" s="1504"/>
      <c r="AC359" s="1500"/>
    </row>
    <row r="360" spans="1:29" ht="15" x14ac:dyDescent="0.25">
      <c r="A360" s="11"/>
      <c r="B360" s="16">
        <v>35</v>
      </c>
      <c r="C360" s="53" t="s">
        <v>271</v>
      </c>
      <c r="D360" s="34"/>
      <c r="E360" s="806"/>
      <c r="F360" s="1396"/>
      <c r="G360" s="1397"/>
      <c r="H360" s="1397"/>
      <c r="I360" s="1397"/>
      <c r="J360" s="1394"/>
      <c r="K360" s="734">
        <f t="shared" si="7"/>
        <v>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508"/>
      <c r="Y360" s="1509"/>
      <c r="Z360" s="1510"/>
      <c r="AA360" s="1510"/>
      <c r="AB360" s="1510"/>
      <c r="AC360" s="1503"/>
    </row>
    <row r="361" spans="1:29" ht="15" x14ac:dyDescent="0.25">
      <c r="A361" s="11"/>
      <c r="B361" s="16">
        <v>36</v>
      </c>
      <c r="C361" s="38"/>
      <c r="D361" s="40" t="s">
        <v>272</v>
      </c>
      <c r="E361" s="36" t="s">
        <v>273</v>
      </c>
      <c r="F361" s="1417">
        <v>0</v>
      </c>
      <c r="G361" s="1417">
        <v>0</v>
      </c>
      <c r="H361" s="1417">
        <v>0</v>
      </c>
      <c r="I361" s="1417">
        <v>0</v>
      </c>
      <c r="J361" s="1394">
        <v>0</v>
      </c>
      <c r="K361" s="734">
        <f t="shared" si="7"/>
        <v>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509"/>
      <c r="Y361" s="1565"/>
      <c r="Z361" s="1565"/>
      <c r="AA361" s="1565"/>
      <c r="AB361" s="1565"/>
      <c r="AC361" s="1503"/>
    </row>
    <row r="362" spans="1:29" ht="15" x14ac:dyDescent="0.25">
      <c r="A362" s="1"/>
      <c r="B362" s="16">
        <v>37</v>
      </c>
      <c r="C362" s="38"/>
      <c r="D362" s="40" t="s">
        <v>274</v>
      </c>
      <c r="E362" s="36" t="s">
        <v>273</v>
      </c>
      <c r="F362" s="1418">
        <v>0</v>
      </c>
      <c r="G362" s="1418">
        <v>0</v>
      </c>
      <c r="H362" s="1418">
        <v>0</v>
      </c>
      <c r="I362" s="1418">
        <v>0</v>
      </c>
      <c r="J362" s="1394">
        <v>0</v>
      </c>
      <c r="K362" s="734">
        <f t="shared" si="7"/>
        <v>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509"/>
      <c r="Y362" s="1566"/>
      <c r="Z362" s="1566"/>
      <c r="AA362" s="1566"/>
      <c r="AB362" s="1566"/>
      <c r="AC362" s="1503"/>
    </row>
    <row r="363" spans="1:29" ht="15" x14ac:dyDescent="0.25">
      <c r="A363" s="8"/>
      <c r="B363" s="16">
        <v>38</v>
      </c>
      <c r="C363" s="38"/>
      <c r="D363" s="40" t="s">
        <v>275</v>
      </c>
      <c r="E363" s="36" t="s">
        <v>276</v>
      </c>
      <c r="F363" s="1418">
        <v>0</v>
      </c>
      <c r="G363" s="1418">
        <v>0</v>
      </c>
      <c r="H363" s="1418">
        <v>0</v>
      </c>
      <c r="I363" s="1418">
        <v>0</v>
      </c>
      <c r="J363" s="1394">
        <v>0</v>
      </c>
      <c r="K363" s="734">
        <f t="shared" si="7"/>
        <v>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509"/>
      <c r="Y363" s="1566"/>
      <c r="Z363" s="1566"/>
      <c r="AA363" s="1566"/>
      <c r="AB363" s="1566"/>
      <c r="AC363" s="1503"/>
    </row>
    <row r="364" spans="1:29" ht="15" x14ac:dyDescent="0.25">
      <c r="A364" s="1"/>
      <c r="B364" s="16">
        <v>39</v>
      </c>
      <c r="C364" s="38"/>
      <c r="D364" s="40" t="s">
        <v>277</v>
      </c>
      <c r="E364" s="36" t="s">
        <v>276</v>
      </c>
      <c r="F364" s="1418">
        <v>0</v>
      </c>
      <c r="G364" s="1418">
        <v>0</v>
      </c>
      <c r="H364" s="1418">
        <v>0</v>
      </c>
      <c r="I364" s="1418">
        <v>0</v>
      </c>
      <c r="J364" s="1394">
        <v>0</v>
      </c>
      <c r="K364" s="734">
        <f t="shared" si="7"/>
        <v>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509"/>
      <c r="Y364" s="1566"/>
      <c r="Z364" s="1566"/>
      <c r="AA364" s="1566"/>
      <c r="AB364" s="1566"/>
      <c r="AC364" s="1503"/>
    </row>
    <row r="365" spans="1:29" ht="15" x14ac:dyDescent="0.25">
      <c r="A365" s="8"/>
      <c r="B365" s="16">
        <v>40</v>
      </c>
      <c r="C365" s="38"/>
      <c r="D365" s="40" t="s">
        <v>278</v>
      </c>
      <c r="E365" s="36" t="s">
        <v>276</v>
      </c>
      <c r="F365" s="1419">
        <v>0</v>
      </c>
      <c r="G365" s="1419">
        <v>0</v>
      </c>
      <c r="H365" s="1419">
        <v>0</v>
      </c>
      <c r="I365" s="1419">
        <v>0</v>
      </c>
      <c r="J365" s="1394">
        <v>0</v>
      </c>
      <c r="K365" s="734">
        <f t="shared" si="7"/>
        <v>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509"/>
      <c r="Y365" s="1566"/>
      <c r="Z365" s="1566"/>
      <c r="AA365" s="1566"/>
      <c r="AB365" s="1566"/>
      <c r="AC365" s="1503"/>
    </row>
    <row r="366" spans="1:29" ht="15" x14ac:dyDescent="0.25">
      <c r="A366" s="8"/>
      <c r="B366" s="16"/>
      <c r="C366" s="38"/>
      <c r="D366" s="40"/>
      <c r="E366" s="36"/>
      <c r="F366" s="1398"/>
      <c r="G366" s="1398"/>
      <c r="H366" s="1398"/>
      <c r="I366" s="1398"/>
      <c r="J366" s="1394"/>
      <c r="K366" s="734">
        <f t="shared" si="7"/>
        <v>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509"/>
      <c r="Y366" s="1511"/>
      <c r="Z366" s="1511"/>
      <c r="AA366" s="1511"/>
      <c r="AB366" s="1511"/>
      <c r="AC366" s="1503"/>
    </row>
    <row r="367" spans="1:29" ht="15" x14ac:dyDescent="0.25">
      <c r="A367" s="8"/>
      <c r="B367" s="16"/>
      <c r="C367" s="18"/>
      <c r="D367" s="1"/>
      <c r="E367" s="30"/>
      <c r="F367" s="1398"/>
      <c r="G367" s="1398"/>
      <c r="H367" s="1398"/>
      <c r="I367" s="1398"/>
      <c r="J367" s="1394"/>
      <c r="K367" s="734">
        <f t="shared" si="7"/>
        <v>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507"/>
      <c r="Y367" s="1511"/>
      <c r="Z367" s="1511"/>
      <c r="AA367" s="1511"/>
      <c r="AB367" s="1511"/>
      <c r="AC367" s="1503"/>
    </row>
    <row r="368" spans="1:29" ht="15" x14ac:dyDescent="0.25">
      <c r="A368" s="1"/>
      <c r="B368" s="16">
        <v>1</v>
      </c>
      <c r="C368" s="301" t="s">
        <v>279</v>
      </c>
      <c r="D368" s="1"/>
      <c r="E368" s="1315" t="s">
        <v>280</v>
      </c>
      <c r="F368" s="1389"/>
      <c r="G368" s="1389"/>
      <c r="H368" s="1389"/>
      <c r="I368" s="1389"/>
      <c r="J368" s="1394"/>
      <c r="K368" s="734">
        <f t="shared" si="7"/>
        <v>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494"/>
      <c r="Y368" s="1496"/>
      <c r="Z368" s="1496"/>
      <c r="AA368" s="1496"/>
      <c r="AB368" s="1496"/>
      <c r="AC368" s="1503"/>
    </row>
    <row r="369" spans="1:29" ht="15" x14ac:dyDescent="0.25">
      <c r="A369" s="18"/>
      <c r="B369" s="16">
        <v>2</v>
      </c>
      <c r="C369" s="8" t="s">
        <v>281</v>
      </c>
      <c r="D369" s="1"/>
      <c r="E369" s="1315"/>
      <c r="F369" s="1389"/>
      <c r="G369" s="1389"/>
      <c r="H369" s="1389"/>
      <c r="I369" s="1389"/>
      <c r="J369" s="1394"/>
      <c r="K369" s="734">
        <f t="shared" si="7"/>
        <v>0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494"/>
      <c r="Y369" s="1496"/>
      <c r="Z369" s="1496"/>
      <c r="AA369" s="1496"/>
      <c r="AB369" s="1496"/>
      <c r="AC369" s="1503"/>
    </row>
    <row r="370" spans="1:29" x14ac:dyDescent="0.2">
      <c r="A370" s="18"/>
      <c r="B370" s="16">
        <v>3</v>
      </c>
      <c r="C370" s="1" t="s">
        <v>25</v>
      </c>
      <c r="D370" s="1" t="s">
        <v>26</v>
      </c>
      <c r="E370" s="16"/>
      <c r="F370" s="1410">
        <v>0</v>
      </c>
      <c r="G370" s="1410">
        <v>0</v>
      </c>
      <c r="H370" s="1410">
        <v>0</v>
      </c>
      <c r="I370" s="1410">
        <v>0</v>
      </c>
      <c r="J370" s="1394">
        <v>0</v>
      </c>
      <c r="K370" s="734">
        <f t="shared" si="7"/>
        <v>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495"/>
      <c r="Y370" s="1517"/>
      <c r="Z370" s="1517"/>
      <c r="AA370" s="1517"/>
      <c r="AB370" s="1517"/>
      <c r="AC370" s="1503"/>
    </row>
    <row r="371" spans="1:29" x14ac:dyDescent="0.2">
      <c r="A371" s="18"/>
      <c r="B371" s="16">
        <v>4</v>
      </c>
      <c r="C371" s="1" t="s">
        <v>27</v>
      </c>
      <c r="D371" s="1" t="s">
        <v>28</v>
      </c>
      <c r="E371" s="16"/>
      <c r="F371" s="1411">
        <v>0</v>
      </c>
      <c r="G371" s="1411">
        <v>0</v>
      </c>
      <c r="H371" s="1411">
        <v>0</v>
      </c>
      <c r="I371" s="1411">
        <v>0</v>
      </c>
      <c r="J371" s="1394">
        <v>0</v>
      </c>
      <c r="K371" s="734">
        <f t="shared" si="7"/>
        <v>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495"/>
      <c r="Y371" s="1504"/>
      <c r="Z371" s="1504"/>
      <c r="AA371" s="1504"/>
      <c r="AB371" s="1504"/>
      <c r="AC371" s="1503"/>
    </row>
    <row r="372" spans="1:29" ht="15" x14ac:dyDescent="0.25">
      <c r="A372" s="8"/>
      <c r="B372" s="16">
        <v>5</v>
      </c>
      <c r="C372" s="1" t="s">
        <v>29</v>
      </c>
      <c r="D372" s="1" t="s">
        <v>32</v>
      </c>
      <c r="E372" s="16"/>
      <c r="F372" s="1412">
        <v>486900.61</v>
      </c>
      <c r="G372" s="1412">
        <v>620475.91</v>
      </c>
      <c r="H372" s="1412">
        <v>23278.12</v>
      </c>
      <c r="I372" s="1412">
        <v>10429.510000005943</v>
      </c>
      <c r="J372" s="1394">
        <v>1141084.150000006</v>
      </c>
      <c r="K372" s="734">
        <f t="shared" si="7"/>
        <v>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495"/>
      <c r="Y372" s="1504"/>
      <c r="Z372" s="1504"/>
      <c r="AA372" s="1504"/>
      <c r="AB372" s="1504"/>
      <c r="AC372" s="1503"/>
    </row>
    <row r="373" spans="1:29" ht="15" x14ac:dyDescent="0.25">
      <c r="A373" s="1"/>
      <c r="B373" s="16">
        <v>6</v>
      </c>
      <c r="C373" s="8" t="s">
        <v>282</v>
      </c>
      <c r="D373" s="1"/>
      <c r="E373" s="16"/>
      <c r="F373" s="1402"/>
      <c r="G373" s="1402"/>
      <c r="H373" s="1402"/>
      <c r="I373" s="1402"/>
      <c r="J373" s="1394"/>
      <c r="K373" s="734">
        <f t="shared" si="7"/>
        <v>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497"/>
      <c r="Y373" s="1517"/>
      <c r="Z373" s="1517"/>
      <c r="AA373" s="1517"/>
      <c r="AB373" s="1517"/>
      <c r="AC373" s="1503"/>
    </row>
    <row r="374" spans="1:29" x14ac:dyDescent="0.2">
      <c r="A374" s="1"/>
      <c r="B374" s="16">
        <f>B373+1</f>
        <v>7</v>
      </c>
      <c r="C374" s="1" t="s">
        <v>39</v>
      </c>
      <c r="D374" s="1" t="s">
        <v>40</v>
      </c>
      <c r="E374" s="16"/>
      <c r="F374" s="1414">
        <v>6441296.0800000001</v>
      </c>
      <c r="G374" s="1414">
        <v>0</v>
      </c>
      <c r="H374" s="1414">
        <v>0</v>
      </c>
      <c r="I374" s="1414">
        <v>0</v>
      </c>
      <c r="J374" s="1394">
        <v>6441296.0800000001</v>
      </c>
      <c r="K374" s="734">
        <f t="shared" si="7"/>
        <v>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495"/>
      <c r="Y374" s="1567"/>
      <c r="Z374" s="1567"/>
      <c r="AA374" s="1567"/>
      <c r="AB374" s="1567"/>
      <c r="AC374" s="1503"/>
    </row>
    <row r="375" spans="1:29" x14ac:dyDescent="0.2">
      <c r="A375" s="18"/>
      <c r="B375" s="16">
        <f t="shared" ref="B375:B417" si="8">B374+1</f>
        <v>8</v>
      </c>
      <c r="C375" s="1" t="s">
        <v>1229</v>
      </c>
      <c r="D375" s="1" t="s">
        <v>1230</v>
      </c>
      <c r="E375" s="16"/>
      <c r="F375" s="1415">
        <v>0</v>
      </c>
      <c r="G375" s="1415">
        <v>0</v>
      </c>
      <c r="H375" s="1415">
        <v>0</v>
      </c>
      <c r="I375" s="1415">
        <v>0</v>
      </c>
      <c r="J375" s="1394">
        <v>0</v>
      </c>
      <c r="K375" s="734">
        <f t="shared" si="7"/>
        <v>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495"/>
      <c r="Y375" s="1505"/>
      <c r="Z375" s="1505"/>
      <c r="AA375" s="1505"/>
      <c r="AB375" s="1505"/>
      <c r="AC375" s="1503"/>
    </row>
    <row r="376" spans="1:29" x14ac:dyDescent="0.2">
      <c r="A376" s="1"/>
      <c r="B376" s="16">
        <f t="shared" si="8"/>
        <v>9</v>
      </c>
      <c r="C376" s="1" t="s">
        <v>1231</v>
      </c>
      <c r="D376" s="1" t="s">
        <v>1232</v>
      </c>
      <c r="E376" s="16"/>
      <c r="F376" s="1415">
        <v>12662464.560000001</v>
      </c>
      <c r="G376" s="1415">
        <v>0</v>
      </c>
      <c r="H376" s="1415">
        <v>0</v>
      </c>
      <c r="I376" s="1415">
        <v>0</v>
      </c>
      <c r="J376" s="1394">
        <v>12662464.560000001</v>
      </c>
      <c r="K376" s="734">
        <f t="shared" si="7"/>
        <v>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495"/>
      <c r="Y376" s="1505"/>
      <c r="Z376" s="1505"/>
      <c r="AA376" s="1505"/>
      <c r="AB376" s="1505"/>
      <c r="AC376" s="1503"/>
    </row>
    <row r="377" spans="1:29" x14ac:dyDescent="0.2">
      <c r="A377" s="1"/>
      <c r="B377" s="16">
        <f t="shared" si="8"/>
        <v>10</v>
      </c>
      <c r="C377" s="1" t="s">
        <v>1233</v>
      </c>
      <c r="D377" s="1" t="s">
        <v>103</v>
      </c>
      <c r="E377" s="16"/>
      <c r="F377" s="1415">
        <v>122277.99</v>
      </c>
      <c r="G377" s="1415">
        <v>0</v>
      </c>
      <c r="H377" s="1415">
        <v>0</v>
      </c>
      <c r="I377" s="1415">
        <v>0</v>
      </c>
      <c r="J377" s="1394">
        <v>122277.99</v>
      </c>
      <c r="K377" s="734">
        <f t="shared" si="7"/>
        <v>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495"/>
      <c r="Y377" s="1505"/>
      <c r="Z377" s="1505"/>
      <c r="AA377" s="1505"/>
      <c r="AB377" s="1505"/>
      <c r="AC377" s="1503"/>
    </row>
    <row r="378" spans="1:29" ht="15" x14ac:dyDescent="0.25">
      <c r="A378" s="8"/>
      <c r="B378" s="16">
        <f t="shared" si="8"/>
        <v>11</v>
      </c>
      <c r="C378" s="1" t="s">
        <v>41</v>
      </c>
      <c r="D378" s="1" t="s">
        <v>42</v>
      </c>
      <c r="E378" s="16"/>
      <c r="F378" s="1415">
        <v>15587347.260000002</v>
      </c>
      <c r="G378" s="1415">
        <v>0</v>
      </c>
      <c r="H378" s="1415">
        <v>0</v>
      </c>
      <c r="I378" s="1415">
        <v>0</v>
      </c>
      <c r="J378" s="1394">
        <v>15587347.260000002</v>
      </c>
      <c r="K378" s="734">
        <f t="shared" si="7"/>
        <v>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495"/>
      <c r="Y378" s="1505"/>
      <c r="Z378" s="1505"/>
      <c r="AA378" s="1505"/>
      <c r="AB378" s="1505"/>
      <c r="AC378" s="1503"/>
    </row>
    <row r="379" spans="1:29" x14ac:dyDescent="0.2">
      <c r="A379" s="1"/>
      <c r="B379" s="16">
        <f t="shared" si="8"/>
        <v>12</v>
      </c>
      <c r="C379" s="1" t="s">
        <v>43</v>
      </c>
      <c r="D379" s="1" t="s">
        <v>44</v>
      </c>
      <c r="E379" s="16"/>
      <c r="F379" s="1415">
        <v>104852644.48</v>
      </c>
      <c r="G379" s="1415">
        <v>11435177.9</v>
      </c>
      <c r="H379" s="1415">
        <v>0</v>
      </c>
      <c r="I379" s="1415">
        <v>0</v>
      </c>
      <c r="J379" s="1394">
        <v>116287822.38000001</v>
      </c>
      <c r="K379" s="734">
        <f t="shared" si="7"/>
        <v>0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495"/>
      <c r="Y379" s="1505"/>
      <c r="Z379" s="1505"/>
      <c r="AA379" s="1505"/>
      <c r="AB379" s="1505"/>
      <c r="AC379" s="1503"/>
    </row>
    <row r="380" spans="1:29" ht="15" x14ac:dyDescent="0.25">
      <c r="A380" s="8"/>
      <c r="B380" s="16">
        <f t="shared" si="8"/>
        <v>13</v>
      </c>
      <c r="C380" s="1" t="s">
        <v>45</v>
      </c>
      <c r="D380" s="1" t="s">
        <v>46</v>
      </c>
      <c r="E380" s="16"/>
      <c r="F380" s="1415">
        <v>41336657.349999994</v>
      </c>
      <c r="G380" s="1415">
        <v>0</v>
      </c>
      <c r="H380" s="1415">
        <v>0</v>
      </c>
      <c r="I380" s="1415">
        <v>0</v>
      </c>
      <c r="J380" s="1394">
        <v>41336657.349999994</v>
      </c>
      <c r="K380" s="734">
        <f t="shared" si="7"/>
        <v>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495"/>
      <c r="Y380" s="1505"/>
      <c r="Z380" s="1505"/>
      <c r="AA380" s="1505"/>
      <c r="AB380" s="1505"/>
      <c r="AC380" s="1503"/>
    </row>
    <row r="381" spans="1:29" x14ac:dyDescent="0.2">
      <c r="A381" s="1"/>
      <c r="B381" s="16">
        <f t="shared" si="8"/>
        <v>14</v>
      </c>
      <c r="C381" s="1" t="s">
        <v>47</v>
      </c>
      <c r="D381" s="1" t="s">
        <v>48</v>
      </c>
      <c r="E381" s="16"/>
      <c r="F381" s="1415">
        <v>125659802.26000001</v>
      </c>
      <c r="G381" s="1415">
        <v>0</v>
      </c>
      <c r="H381" s="1415">
        <v>0</v>
      </c>
      <c r="I381" s="1415">
        <v>0</v>
      </c>
      <c r="J381" s="1394">
        <v>125659802.26000001</v>
      </c>
      <c r="K381" s="734">
        <f t="shared" si="7"/>
        <v>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495"/>
      <c r="Y381" s="1505"/>
      <c r="Z381" s="1505"/>
      <c r="AA381" s="1505"/>
      <c r="AB381" s="1505"/>
      <c r="AC381" s="1503"/>
    </row>
    <row r="382" spans="1:29" x14ac:dyDescent="0.2">
      <c r="A382" s="1"/>
      <c r="B382" s="16">
        <f t="shared" si="8"/>
        <v>15</v>
      </c>
      <c r="C382" s="1" t="s">
        <v>49</v>
      </c>
      <c r="D382" s="1" t="s">
        <v>486</v>
      </c>
      <c r="E382" s="16"/>
      <c r="F382" s="1415">
        <v>87131859.400000006</v>
      </c>
      <c r="G382" s="1415">
        <v>0</v>
      </c>
      <c r="H382" s="1415">
        <v>0</v>
      </c>
      <c r="I382" s="1415">
        <v>0</v>
      </c>
      <c r="J382" s="1394">
        <v>87131859.400000006</v>
      </c>
      <c r="K382" s="734">
        <f t="shared" si="7"/>
        <v>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495"/>
      <c r="Y382" s="1505"/>
      <c r="Z382" s="1505"/>
      <c r="AA382" s="1505"/>
      <c r="AB382" s="1505"/>
      <c r="AC382" s="1503"/>
    </row>
    <row r="383" spans="1:29" x14ac:dyDescent="0.2">
      <c r="A383" s="1"/>
      <c r="B383" s="16">
        <f t="shared" si="8"/>
        <v>16</v>
      </c>
      <c r="C383" s="1" t="s">
        <v>51</v>
      </c>
      <c r="D383" s="1" t="s">
        <v>644</v>
      </c>
      <c r="E383" s="16"/>
      <c r="F383" s="1415">
        <v>1022587.85</v>
      </c>
      <c r="G383" s="1415">
        <v>0</v>
      </c>
      <c r="H383" s="1415">
        <v>0</v>
      </c>
      <c r="I383" s="1415">
        <v>0</v>
      </c>
      <c r="J383" s="1394">
        <v>1022587.85</v>
      </c>
      <c r="K383" s="734">
        <f t="shared" si="7"/>
        <v>0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495"/>
      <c r="Y383" s="1505"/>
      <c r="Z383" s="1505"/>
      <c r="AA383" s="1505"/>
      <c r="AB383" s="1505"/>
      <c r="AC383" s="1503"/>
    </row>
    <row r="384" spans="1:29" x14ac:dyDescent="0.2">
      <c r="A384" s="1"/>
      <c r="B384" s="16">
        <f t="shared" si="8"/>
        <v>17</v>
      </c>
      <c r="C384" s="1" t="s">
        <v>53</v>
      </c>
      <c r="D384" s="26" t="s">
        <v>487</v>
      </c>
      <c r="E384" s="16"/>
      <c r="F384" s="1415">
        <v>1783420.47</v>
      </c>
      <c r="G384" s="1415">
        <v>0</v>
      </c>
      <c r="H384" s="1415">
        <v>0</v>
      </c>
      <c r="I384" s="1415">
        <v>0</v>
      </c>
      <c r="J384" s="1394">
        <v>1783420.47</v>
      </c>
      <c r="K384" s="734">
        <f t="shared" si="7"/>
        <v>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495"/>
      <c r="Y384" s="1505"/>
      <c r="Z384" s="1505"/>
      <c r="AA384" s="1505"/>
      <c r="AB384" s="1505"/>
      <c r="AC384" s="1503"/>
    </row>
    <row r="385" spans="1:29" x14ac:dyDescent="0.2">
      <c r="A385" s="18"/>
      <c r="B385" s="16">
        <f t="shared" si="8"/>
        <v>18</v>
      </c>
      <c r="C385" s="1" t="s">
        <v>55</v>
      </c>
      <c r="D385" s="1" t="s">
        <v>56</v>
      </c>
      <c r="E385" s="16"/>
      <c r="F385" s="1416">
        <v>0</v>
      </c>
      <c r="G385" s="1416">
        <v>0</v>
      </c>
      <c r="H385" s="1416">
        <v>0</v>
      </c>
      <c r="I385" s="1416">
        <v>0</v>
      </c>
      <c r="J385" s="1394">
        <v>0</v>
      </c>
      <c r="K385" s="734">
        <f t="shared" si="7"/>
        <v>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495"/>
      <c r="Y385" s="1505"/>
      <c r="Z385" s="1505"/>
      <c r="AA385" s="1505"/>
      <c r="AB385" s="1505"/>
      <c r="AC385" s="1503"/>
    </row>
    <row r="386" spans="1:29" ht="15" x14ac:dyDescent="0.25">
      <c r="A386" s="1"/>
      <c r="B386" s="16">
        <f t="shared" si="8"/>
        <v>19</v>
      </c>
      <c r="C386" s="8" t="s">
        <v>283</v>
      </c>
      <c r="D386" s="1"/>
      <c r="E386" s="16"/>
      <c r="F386" s="1403"/>
      <c r="G386" s="1403"/>
      <c r="H386" s="1403"/>
      <c r="I386" s="1403"/>
      <c r="J386" s="1394"/>
      <c r="K386" s="734">
        <f t="shared" si="7"/>
        <v>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497"/>
      <c r="Y386" s="1518"/>
      <c r="Z386" s="1518"/>
      <c r="AA386" s="1518"/>
      <c r="AB386" s="1518"/>
      <c r="AC386" s="1503"/>
    </row>
    <row r="387" spans="1:29" x14ac:dyDescent="0.2">
      <c r="A387" s="1"/>
      <c r="B387" s="16">
        <f t="shared" si="8"/>
        <v>20</v>
      </c>
      <c r="C387" s="1" t="s">
        <v>59</v>
      </c>
      <c r="D387" s="1" t="s">
        <v>40</v>
      </c>
      <c r="E387" s="16"/>
      <c r="F387" s="1414">
        <v>36178.58</v>
      </c>
      <c r="G387" s="1414">
        <v>360797.93</v>
      </c>
      <c r="H387" s="1414">
        <v>0</v>
      </c>
      <c r="I387" s="1414">
        <v>0</v>
      </c>
      <c r="J387" s="1394">
        <v>396976.51</v>
      </c>
      <c r="K387" s="734">
        <f t="shared" si="7"/>
        <v>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495"/>
      <c r="Y387" s="1567"/>
      <c r="Z387" s="1567"/>
      <c r="AA387" s="1567"/>
      <c r="AB387" s="1567"/>
      <c r="AC387" s="1503"/>
    </row>
    <row r="388" spans="1:29" x14ac:dyDescent="0.2">
      <c r="A388" s="1"/>
      <c r="B388" s="16">
        <f t="shared" si="8"/>
        <v>21</v>
      </c>
      <c r="C388" s="1" t="s">
        <v>60</v>
      </c>
      <c r="D388" s="29" t="s">
        <v>42</v>
      </c>
      <c r="E388" s="30"/>
      <c r="F388" s="1415">
        <v>2888075.9</v>
      </c>
      <c r="G388" s="1415">
        <v>5614303.75</v>
      </c>
      <c r="H388" s="1415">
        <v>0</v>
      </c>
      <c r="I388" s="1415">
        <v>0</v>
      </c>
      <c r="J388" s="1394">
        <v>8502379.6500000004</v>
      </c>
      <c r="K388" s="734">
        <f t="shared" si="7"/>
        <v>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507"/>
      <c r="Y388" s="1505"/>
      <c r="Z388" s="1505"/>
      <c r="AA388" s="1505"/>
      <c r="AB388" s="1505"/>
      <c r="AC388" s="1503"/>
    </row>
    <row r="389" spans="1:29" x14ac:dyDescent="0.2">
      <c r="A389" s="1"/>
      <c r="B389" s="16">
        <f t="shared" si="8"/>
        <v>22</v>
      </c>
      <c r="C389" s="1" t="s">
        <v>61</v>
      </c>
      <c r="D389" s="1" t="s">
        <v>44</v>
      </c>
      <c r="E389" s="30"/>
      <c r="F389" s="1415">
        <v>21322027.099999998</v>
      </c>
      <c r="G389" s="1415">
        <v>58018119.409999996</v>
      </c>
      <c r="H389" s="1415">
        <v>0</v>
      </c>
      <c r="I389" s="1415">
        <v>0</v>
      </c>
      <c r="J389" s="1394">
        <v>79340146.50999999</v>
      </c>
      <c r="K389" s="734">
        <f t="shared" si="7"/>
        <v>0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507"/>
      <c r="Y389" s="1505"/>
      <c r="Z389" s="1505"/>
      <c r="AA389" s="1505"/>
      <c r="AB389" s="1505"/>
      <c r="AC389" s="1503"/>
    </row>
    <row r="390" spans="1:29" x14ac:dyDescent="0.2">
      <c r="A390" s="1"/>
      <c r="B390" s="16">
        <f t="shared" si="8"/>
        <v>23</v>
      </c>
      <c r="C390" s="1" t="s">
        <v>1234</v>
      </c>
      <c r="D390" s="1" t="s">
        <v>1230</v>
      </c>
      <c r="E390" s="30"/>
      <c r="F390" s="1415">
        <v>0</v>
      </c>
      <c r="G390" s="1415">
        <v>0</v>
      </c>
      <c r="H390" s="1415">
        <v>0</v>
      </c>
      <c r="I390" s="1415">
        <v>0</v>
      </c>
      <c r="J390" s="1394">
        <v>0</v>
      </c>
      <c r="K390" s="734">
        <f t="shared" si="7"/>
        <v>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495"/>
      <c r="Y390" s="1505"/>
      <c r="Z390" s="1505"/>
      <c r="AA390" s="1505"/>
      <c r="AB390" s="1505"/>
      <c r="AC390" s="1503"/>
    </row>
    <row r="391" spans="1:29" x14ac:dyDescent="0.2">
      <c r="A391" s="1"/>
      <c r="B391" s="16">
        <f t="shared" si="8"/>
        <v>24</v>
      </c>
      <c r="C391" s="1" t="s">
        <v>1235</v>
      </c>
      <c r="D391" s="1" t="s">
        <v>1232</v>
      </c>
      <c r="E391" s="30"/>
      <c r="F391" s="1415">
        <v>0</v>
      </c>
      <c r="G391" s="1415">
        <v>27237168.699999999</v>
      </c>
      <c r="H391" s="1415">
        <v>3385973.72</v>
      </c>
      <c r="I391" s="1415">
        <v>30500116.5</v>
      </c>
      <c r="J391" s="1394">
        <v>61123258.920000002</v>
      </c>
      <c r="K391" s="734">
        <f t="shared" si="7"/>
        <v>0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495"/>
      <c r="Y391" s="1505"/>
      <c r="Z391" s="1505"/>
      <c r="AA391" s="1505"/>
      <c r="AB391" s="1505"/>
      <c r="AC391" s="1503"/>
    </row>
    <row r="392" spans="1:29" x14ac:dyDescent="0.2">
      <c r="A392" s="1"/>
      <c r="B392" s="16">
        <f t="shared" si="8"/>
        <v>25</v>
      </c>
      <c r="C392" s="1" t="s">
        <v>1236</v>
      </c>
      <c r="D392" s="1" t="s">
        <v>103</v>
      </c>
      <c r="E392" s="16"/>
      <c r="F392" s="1415">
        <v>0</v>
      </c>
      <c r="G392" s="1415">
        <v>0</v>
      </c>
      <c r="H392" s="1415">
        <v>0</v>
      </c>
      <c r="I392" s="1415">
        <v>0</v>
      </c>
      <c r="J392" s="1394">
        <v>0</v>
      </c>
      <c r="K392" s="734">
        <f t="shared" si="7"/>
        <v>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495"/>
      <c r="Y392" s="1505"/>
      <c r="Z392" s="1505"/>
      <c r="AA392" s="1505"/>
      <c r="AB392" s="1505"/>
      <c r="AC392" s="1503"/>
    </row>
    <row r="393" spans="1:29" x14ac:dyDescent="0.2">
      <c r="A393" s="1"/>
      <c r="B393" s="16">
        <f t="shared" si="8"/>
        <v>26</v>
      </c>
      <c r="C393" s="29" t="s">
        <v>62</v>
      </c>
      <c r="D393" s="649" t="s">
        <v>646</v>
      </c>
      <c r="E393" s="16"/>
      <c r="F393" s="1415">
        <v>0</v>
      </c>
      <c r="G393" s="1415">
        <v>132772031.77</v>
      </c>
      <c r="H393" s="1415">
        <v>0</v>
      </c>
      <c r="I393" s="1415">
        <v>0</v>
      </c>
      <c r="J393" s="1394">
        <v>132772031.77</v>
      </c>
      <c r="K393" s="734">
        <f t="shared" si="7"/>
        <v>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495"/>
      <c r="Y393" s="1505"/>
      <c r="Z393" s="1505"/>
      <c r="AA393" s="1505"/>
      <c r="AB393" s="1505"/>
      <c r="AC393" s="1503"/>
    </row>
    <row r="394" spans="1:29" x14ac:dyDescent="0.2">
      <c r="A394" s="1"/>
      <c r="B394" s="16">
        <f t="shared" si="8"/>
        <v>27</v>
      </c>
      <c r="C394" s="29" t="s">
        <v>64</v>
      </c>
      <c r="D394" s="649" t="s">
        <v>486</v>
      </c>
      <c r="E394" s="16"/>
      <c r="F394" s="1415">
        <v>0</v>
      </c>
      <c r="G394" s="1415">
        <v>61699776.700000003</v>
      </c>
      <c r="H394" s="1415">
        <v>0</v>
      </c>
      <c r="I394" s="1415">
        <v>0</v>
      </c>
      <c r="J394" s="1394">
        <v>61699776.700000003</v>
      </c>
      <c r="K394" s="734">
        <f t="shared" si="7"/>
        <v>0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495"/>
      <c r="Y394" s="1505"/>
      <c r="Z394" s="1505"/>
      <c r="AA394" s="1505"/>
      <c r="AB394" s="1505"/>
      <c r="AC394" s="1503"/>
    </row>
    <row r="395" spans="1:29" x14ac:dyDescent="0.2">
      <c r="A395" s="1"/>
      <c r="B395" s="16">
        <f t="shared" si="8"/>
        <v>28</v>
      </c>
      <c r="C395" s="29" t="s">
        <v>66</v>
      </c>
      <c r="D395" s="649" t="s">
        <v>647</v>
      </c>
      <c r="E395" s="16"/>
      <c r="F395" s="1415">
        <v>0</v>
      </c>
      <c r="G395" s="1415">
        <v>40143407.219999999</v>
      </c>
      <c r="H395" s="1415">
        <v>0</v>
      </c>
      <c r="I395" s="1415">
        <v>0</v>
      </c>
      <c r="J395" s="1394">
        <v>40143407.219999999</v>
      </c>
      <c r="K395" s="734">
        <f t="shared" si="7"/>
        <v>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495"/>
      <c r="Y395" s="1505"/>
      <c r="Z395" s="1505"/>
      <c r="AA395" s="1505"/>
      <c r="AB395" s="1505"/>
      <c r="AC395" s="1503"/>
    </row>
    <row r="396" spans="1:29" x14ac:dyDescent="0.2">
      <c r="A396" s="1"/>
      <c r="B396" s="16">
        <f t="shared" si="8"/>
        <v>29</v>
      </c>
      <c r="C396" s="29" t="s">
        <v>68</v>
      </c>
      <c r="D396" s="649" t="s">
        <v>648</v>
      </c>
      <c r="E396" s="28"/>
      <c r="F396" s="1415">
        <v>0</v>
      </c>
      <c r="G396" s="1415">
        <v>79884161.159999996</v>
      </c>
      <c r="H396" s="1415">
        <v>0</v>
      </c>
      <c r="I396" s="1415">
        <v>0</v>
      </c>
      <c r="J396" s="1394">
        <v>79884161.159999996</v>
      </c>
      <c r="K396" s="734">
        <f t="shared" si="7"/>
        <v>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506"/>
      <c r="Y396" s="1505"/>
      <c r="Z396" s="1505"/>
      <c r="AA396" s="1505"/>
      <c r="AB396" s="1505"/>
      <c r="AC396" s="1503"/>
    </row>
    <row r="397" spans="1:29" x14ac:dyDescent="0.2">
      <c r="A397" s="1"/>
      <c r="B397" s="16">
        <f t="shared" si="8"/>
        <v>30</v>
      </c>
      <c r="C397" s="29" t="s">
        <v>70</v>
      </c>
      <c r="D397" s="29" t="s">
        <v>649</v>
      </c>
      <c r="E397" s="16"/>
      <c r="F397" s="1415">
        <v>0</v>
      </c>
      <c r="G397" s="1415">
        <v>74745921.769999996</v>
      </c>
      <c r="H397" s="1415">
        <v>0</v>
      </c>
      <c r="I397" s="1415">
        <v>0</v>
      </c>
      <c r="J397" s="1394">
        <v>74745921.769999996</v>
      </c>
      <c r="K397" s="734">
        <f t="shared" si="7"/>
        <v>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495"/>
      <c r="Y397" s="1505"/>
      <c r="Z397" s="1505"/>
      <c r="AA397" s="1505"/>
      <c r="AB397" s="1505"/>
      <c r="AC397" s="1503"/>
    </row>
    <row r="398" spans="1:29" x14ac:dyDescent="0.2">
      <c r="A398" s="1"/>
      <c r="B398" s="16">
        <f t="shared" si="8"/>
        <v>31</v>
      </c>
      <c r="C398" s="1" t="s">
        <v>72</v>
      </c>
      <c r="D398" s="29" t="s">
        <v>73</v>
      </c>
      <c r="E398" s="28"/>
      <c r="F398" s="1415">
        <v>0</v>
      </c>
      <c r="G398" s="1415">
        <v>69028413.349999994</v>
      </c>
      <c r="H398" s="1415">
        <v>0</v>
      </c>
      <c r="I398" s="1415">
        <v>0</v>
      </c>
      <c r="J398" s="1394">
        <v>69028413.349999994</v>
      </c>
      <c r="K398" s="734">
        <f t="shared" si="7"/>
        <v>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506"/>
      <c r="Y398" s="1505"/>
      <c r="Z398" s="1505"/>
      <c r="AA398" s="1505"/>
      <c r="AB398" s="1505"/>
      <c r="AC398" s="1503"/>
    </row>
    <row r="399" spans="1:29" x14ac:dyDescent="0.2">
      <c r="A399" s="1"/>
      <c r="B399" s="16">
        <f t="shared" si="8"/>
        <v>32</v>
      </c>
      <c r="C399" s="1" t="s">
        <v>74</v>
      </c>
      <c r="D399" s="1" t="s">
        <v>75</v>
      </c>
      <c r="E399" s="16"/>
      <c r="F399" s="1415">
        <v>0</v>
      </c>
      <c r="G399" s="1415">
        <v>0</v>
      </c>
      <c r="H399" s="1415">
        <v>20313009.949999999</v>
      </c>
      <c r="I399" s="1415">
        <v>0</v>
      </c>
      <c r="J399" s="1394">
        <v>20313009.949999999</v>
      </c>
      <c r="K399" s="734">
        <f t="shared" si="7"/>
        <v>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495"/>
      <c r="Y399" s="1505"/>
      <c r="Z399" s="1505"/>
      <c r="AA399" s="1505"/>
      <c r="AB399" s="1505"/>
      <c r="AC399" s="1503"/>
    </row>
    <row r="400" spans="1:29" x14ac:dyDescent="0.2">
      <c r="A400" s="18"/>
      <c r="B400" s="16">
        <f t="shared" si="8"/>
        <v>33</v>
      </c>
      <c r="C400" s="1" t="s">
        <v>76</v>
      </c>
      <c r="D400" s="1" t="s">
        <v>495</v>
      </c>
      <c r="E400" s="16"/>
      <c r="F400" s="1415">
        <v>0</v>
      </c>
      <c r="G400" s="1415">
        <v>2687947.96</v>
      </c>
      <c r="H400" s="1415">
        <v>0</v>
      </c>
      <c r="I400" s="1415">
        <v>0</v>
      </c>
      <c r="J400" s="1394">
        <v>2687947.96</v>
      </c>
      <c r="K400" s="734">
        <f t="shared" si="7"/>
        <v>0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495"/>
      <c r="Y400" s="1505"/>
      <c r="Z400" s="1505"/>
      <c r="AA400" s="1505"/>
      <c r="AB400" s="1505"/>
      <c r="AC400" s="1503"/>
    </row>
    <row r="401" spans="1:29" x14ac:dyDescent="0.2">
      <c r="A401" s="1"/>
      <c r="B401" s="16">
        <f t="shared" si="8"/>
        <v>34</v>
      </c>
      <c r="C401" s="1" t="s">
        <v>78</v>
      </c>
      <c r="D401" s="1" t="s">
        <v>496</v>
      </c>
      <c r="E401" s="16"/>
      <c r="F401" s="1415">
        <v>0</v>
      </c>
      <c r="G401" s="1415">
        <v>0</v>
      </c>
      <c r="H401" s="1415">
        <v>0</v>
      </c>
      <c r="I401" s="1415">
        <v>0</v>
      </c>
      <c r="J401" s="1394">
        <v>0</v>
      </c>
      <c r="K401" s="734">
        <f t="shared" si="7"/>
        <v>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495"/>
      <c r="Y401" s="1505"/>
      <c r="Z401" s="1505"/>
      <c r="AA401" s="1505"/>
      <c r="AB401" s="1505"/>
      <c r="AC401" s="1503"/>
    </row>
    <row r="402" spans="1:29" x14ac:dyDescent="0.2">
      <c r="A402" s="1"/>
      <c r="B402" s="16">
        <f t="shared" si="8"/>
        <v>35</v>
      </c>
      <c r="C402" s="1" t="s">
        <v>80</v>
      </c>
      <c r="D402" s="647" t="s">
        <v>84</v>
      </c>
      <c r="E402" s="16"/>
      <c r="F402" s="1523">
        <v>0</v>
      </c>
      <c r="G402" s="1523">
        <v>25905960.890000001</v>
      </c>
      <c r="H402" s="1523">
        <v>0</v>
      </c>
      <c r="I402" s="1523">
        <v>0</v>
      </c>
      <c r="J402" s="1394">
        <v>25905960.890000001</v>
      </c>
      <c r="K402" s="734">
        <f t="shared" si="7"/>
        <v>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495"/>
      <c r="Y402" s="1505"/>
      <c r="Z402" s="1505"/>
      <c r="AA402" s="1505"/>
      <c r="AB402" s="1505"/>
      <c r="AC402" s="1503"/>
    </row>
    <row r="403" spans="1:29" ht="15" x14ac:dyDescent="0.25">
      <c r="A403" s="1"/>
      <c r="B403" s="16">
        <f t="shared" si="8"/>
        <v>36</v>
      </c>
      <c r="C403" s="32" t="s">
        <v>284</v>
      </c>
      <c r="D403" s="1"/>
      <c r="E403" s="1315"/>
      <c r="F403" s="1403"/>
      <c r="G403" s="1403"/>
      <c r="H403" s="1403"/>
      <c r="I403" s="1403"/>
      <c r="J403" s="1394"/>
      <c r="K403" s="734">
        <f t="shared" si="7"/>
        <v>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494"/>
      <c r="Y403" s="1518"/>
      <c r="Z403" s="1518"/>
      <c r="AA403" s="1518"/>
      <c r="AB403" s="1518"/>
      <c r="AC403" s="1503"/>
    </row>
    <row r="404" spans="1:29" x14ac:dyDescent="0.2">
      <c r="A404" s="1"/>
      <c r="B404" s="16">
        <f t="shared" si="8"/>
        <v>37</v>
      </c>
      <c r="C404" s="647" t="s">
        <v>652</v>
      </c>
      <c r="D404" s="1" t="s">
        <v>40</v>
      </c>
      <c r="E404" s="16"/>
      <c r="F404" s="1414">
        <v>1197.03</v>
      </c>
      <c r="G404" s="1414">
        <v>1539.35</v>
      </c>
      <c r="H404" s="1414">
        <v>64.39</v>
      </c>
      <c r="I404" s="1414">
        <v>26.13</v>
      </c>
      <c r="J404" s="1394">
        <v>2826.9</v>
      </c>
      <c r="K404" s="734">
        <f t="shared" si="7"/>
        <v>0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495"/>
      <c r="Y404" s="1567"/>
      <c r="Z404" s="1567"/>
      <c r="AA404" s="1567"/>
      <c r="AB404" s="1567"/>
      <c r="AC404" s="1503"/>
    </row>
    <row r="405" spans="1:29" x14ac:dyDescent="0.2">
      <c r="A405" s="1"/>
      <c r="B405" s="16">
        <f t="shared" si="8"/>
        <v>38</v>
      </c>
      <c r="C405" s="1" t="s">
        <v>89</v>
      </c>
      <c r="D405" s="1" t="s">
        <v>42</v>
      </c>
      <c r="E405" s="16"/>
      <c r="F405" s="1415">
        <v>2664923.4900000002</v>
      </c>
      <c r="G405" s="1415">
        <v>4484234.24</v>
      </c>
      <c r="H405" s="1415">
        <v>666116.93999999994</v>
      </c>
      <c r="I405" s="1415">
        <v>378511.92</v>
      </c>
      <c r="J405" s="1394">
        <v>8193786.5899999999</v>
      </c>
      <c r="K405" s="734">
        <f t="shared" si="7"/>
        <v>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495"/>
      <c r="Y405" s="1505"/>
      <c r="Z405" s="1505"/>
      <c r="AA405" s="1505"/>
      <c r="AB405" s="1505"/>
      <c r="AC405" s="1503"/>
    </row>
    <row r="406" spans="1:29" x14ac:dyDescent="0.2">
      <c r="A406" s="1"/>
      <c r="B406" s="16">
        <f t="shared" si="8"/>
        <v>39</v>
      </c>
      <c r="C406" s="1" t="s">
        <v>90</v>
      </c>
      <c r="D406" s="647" t="s">
        <v>1292</v>
      </c>
      <c r="E406" s="16"/>
      <c r="F406" s="1415">
        <v>825196.7699999999</v>
      </c>
      <c r="G406" s="1415">
        <v>872993.73</v>
      </c>
      <c r="H406" s="1415">
        <v>103421.83</v>
      </c>
      <c r="I406" s="1415">
        <v>71119.63</v>
      </c>
      <c r="J406" s="1394">
        <v>1872731.96</v>
      </c>
      <c r="K406" s="734">
        <f t="shared" si="7"/>
        <v>0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495"/>
      <c r="Y406" s="1505"/>
      <c r="Z406" s="1505"/>
      <c r="AA406" s="1505"/>
      <c r="AB406" s="1505"/>
      <c r="AC406" s="1503"/>
    </row>
    <row r="407" spans="1:29" x14ac:dyDescent="0.2">
      <c r="A407" s="1"/>
      <c r="B407" s="16">
        <f t="shared" si="8"/>
        <v>40</v>
      </c>
      <c r="C407" s="1" t="s">
        <v>92</v>
      </c>
      <c r="D407" s="1" t="s">
        <v>653</v>
      </c>
      <c r="E407" s="16"/>
      <c r="F407" s="1415">
        <v>984101.91999999993</v>
      </c>
      <c r="G407" s="1415">
        <v>1019555.56</v>
      </c>
      <c r="H407" s="1415">
        <v>0</v>
      </c>
      <c r="I407" s="1415">
        <v>0</v>
      </c>
      <c r="J407" s="1394">
        <v>2003657.48</v>
      </c>
      <c r="K407" s="734">
        <f t="shared" si="7"/>
        <v>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495"/>
      <c r="Y407" s="1505"/>
      <c r="Z407" s="1505"/>
      <c r="AA407" s="1505"/>
      <c r="AB407" s="1505"/>
      <c r="AC407" s="1503"/>
    </row>
    <row r="408" spans="1:29" x14ac:dyDescent="0.2">
      <c r="A408" s="1"/>
      <c r="B408" s="16">
        <f t="shared" si="8"/>
        <v>41</v>
      </c>
      <c r="C408" s="1" t="s">
        <v>95</v>
      </c>
      <c r="D408" s="1" t="s">
        <v>654</v>
      </c>
      <c r="E408" s="16"/>
      <c r="F408" s="1415">
        <v>144269.21</v>
      </c>
      <c r="G408" s="1415">
        <v>241776.52</v>
      </c>
      <c r="H408" s="1415">
        <v>18900.36</v>
      </c>
      <c r="I408" s="1415">
        <v>0</v>
      </c>
      <c r="J408" s="1394">
        <v>404946.08999999997</v>
      </c>
      <c r="K408" s="734">
        <f t="shared" ref="K408:K471" si="9">J408-SUM(F408:I408)</f>
        <v>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495"/>
      <c r="Y408" s="1505"/>
      <c r="Z408" s="1505"/>
      <c r="AA408" s="1505"/>
      <c r="AB408" s="1505"/>
      <c r="AC408" s="1503"/>
    </row>
    <row r="409" spans="1:29" x14ac:dyDescent="0.2">
      <c r="A409" s="1"/>
      <c r="B409" s="16">
        <f t="shared" si="8"/>
        <v>42</v>
      </c>
      <c r="C409" s="1" t="s">
        <v>97</v>
      </c>
      <c r="D409" s="1" t="s">
        <v>655</v>
      </c>
      <c r="E409" s="16"/>
      <c r="F409" s="1415">
        <v>1200837.26</v>
      </c>
      <c r="G409" s="1415">
        <v>1862721.24</v>
      </c>
      <c r="H409" s="1415">
        <v>149028.20000000001</v>
      </c>
      <c r="I409" s="1415">
        <v>0</v>
      </c>
      <c r="J409" s="1394">
        <v>3212586.7</v>
      </c>
      <c r="K409" s="734">
        <f t="shared" si="9"/>
        <v>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495"/>
      <c r="Y409" s="1505"/>
      <c r="Z409" s="1505"/>
      <c r="AA409" s="1505"/>
      <c r="AB409" s="1505"/>
      <c r="AC409" s="1503"/>
    </row>
    <row r="410" spans="1:29" x14ac:dyDescent="0.2">
      <c r="A410" s="1"/>
      <c r="B410" s="16">
        <f t="shared" si="8"/>
        <v>43</v>
      </c>
      <c r="C410" s="1" t="s">
        <v>99</v>
      </c>
      <c r="D410" s="1" t="s">
        <v>656</v>
      </c>
      <c r="E410" s="16"/>
      <c r="F410" s="1415">
        <v>2109846.2400000002</v>
      </c>
      <c r="G410" s="1415">
        <v>1349974.31</v>
      </c>
      <c r="H410" s="1415">
        <v>175526.25</v>
      </c>
      <c r="I410" s="1415">
        <v>0</v>
      </c>
      <c r="J410" s="1394">
        <v>3635346.8000000003</v>
      </c>
      <c r="K410" s="734">
        <f t="shared" si="9"/>
        <v>0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495"/>
      <c r="Y410" s="1505"/>
      <c r="Z410" s="1505"/>
      <c r="AA410" s="1505"/>
      <c r="AB410" s="1505"/>
      <c r="AC410" s="1503"/>
    </row>
    <row r="411" spans="1:29" x14ac:dyDescent="0.2">
      <c r="A411" s="1"/>
      <c r="B411" s="16">
        <f t="shared" si="8"/>
        <v>44</v>
      </c>
      <c r="C411" s="1" t="s">
        <v>101</v>
      </c>
      <c r="D411" s="1" t="s">
        <v>102</v>
      </c>
      <c r="E411" s="16"/>
      <c r="F411" s="1415">
        <v>220696.44</v>
      </c>
      <c r="G411" s="1415">
        <v>670961.80000000005</v>
      </c>
      <c r="H411" s="1415">
        <v>74852.31</v>
      </c>
      <c r="I411" s="1415">
        <v>0</v>
      </c>
      <c r="J411" s="1394">
        <v>966510.55</v>
      </c>
      <c r="K411" s="734">
        <f t="shared" si="9"/>
        <v>0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495"/>
      <c r="Y411" s="1505"/>
      <c r="Z411" s="1505"/>
      <c r="AA411" s="1505"/>
      <c r="AB411" s="1505"/>
      <c r="AC411" s="1503"/>
    </row>
    <row r="412" spans="1:29" x14ac:dyDescent="0.2">
      <c r="A412" s="1"/>
      <c r="B412" s="16">
        <f t="shared" si="8"/>
        <v>45</v>
      </c>
      <c r="C412" s="1" t="s">
        <v>1237</v>
      </c>
      <c r="D412" s="1" t="s">
        <v>1230</v>
      </c>
      <c r="E412" s="16"/>
      <c r="F412" s="1415">
        <v>8162694.2199999997</v>
      </c>
      <c r="G412" s="1415">
        <v>13211162.220000001</v>
      </c>
      <c r="H412" s="1415">
        <v>3187582.92</v>
      </c>
      <c r="I412" s="1415">
        <v>8445873.6300000008</v>
      </c>
      <c r="J412" s="1394">
        <v>33007312.990000002</v>
      </c>
      <c r="K412" s="734">
        <f t="shared" si="9"/>
        <v>0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495"/>
      <c r="Y412" s="1505"/>
      <c r="Z412" s="1505"/>
      <c r="AA412" s="1505"/>
      <c r="AB412" s="1505"/>
      <c r="AC412" s="1503"/>
    </row>
    <row r="413" spans="1:29" x14ac:dyDescent="0.2">
      <c r="A413" s="1"/>
      <c r="B413" s="16">
        <f t="shared" si="8"/>
        <v>46</v>
      </c>
      <c r="C413" s="1" t="s">
        <v>1238</v>
      </c>
      <c r="D413" s="1" t="s">
        <v>1232</v>
      </c>
      <c r="E413" s="16"/>
      <c r="F413" s="1415">
        <v>27598244.41</v>
      </c>
      <c r="G413" s="1415">
        <v>31269918.829999998</v>
      </c>
      <c r="H413" s="1415">
        <v>860969.08</v>
      </c>
      <c r="I413" s="1415">
        <v>60387.42</v>
      </c>
      <c r="J413" s="1394">
        <v>59789519.739999995</v>
      </c>
      <c r="K413" s="734">
        <f t="shared" si="9"/>
        <v>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495"/>
      <c r="Y413" s="1505"/>
      <c r="Z413" s="1505"/>
      <c r="AA413" s="1505"/>
      <c r="AB413" s="1505"/>
      <c r="AC413" s="1503"/>
    </row>
    <row r="414" spans="1:29" ht="15" x14ac:dyDescent="0.25">
      <c r="A414" s="1"/>
      <c r="B414" s="16">
        <f t="shared" si="8"/>
        <v>47</v>
      </c>
      <c r="C414" s="1" t="s">
        <v>1239</v>
      </c>
      <c r="D414" s="1" t="s">
        <v>103</v>
      </c>
      <c r="E414" s="1315"/>
      <c r="F414" s="1415">
        <v>4404922.1499999994</v>
      </c>
      <c r="G414" s="1415">
        <v>5714691.2800000003</v>
      </c>
      <c r="H414" s="1415">
        <v>789978.38</v>
      </c>
      <c r="I414" s="1415">
        <v>527108.76</v>
      </c>
      <c r="J414" s="1394">
        <v>11436700.57</v>
      </c>
      <c r="K414" s="734">
        <f t="shared" si="9"/>
        <v>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493"/>
      <c r="Y414" s="1505"/>
      <c r="Z414" s="1505"/>
      <c r="AA414" s="1505"/>
      <c r="AB414" s="1505"/>
      <c r="AC414" s="1503"/>
    </row>
    <row r="415" spans="1:29" ht="15" x14ac:dyDescent="0.25">
      <c r="A415" s="21"/>
      <c r="B415" s="16">
        <f t="shared" si="8"/>
        <v>48</v>
      </c>
      <c r="C415" s="1" t="s">
        <v>105</v>
      </c>
      <c r="D415" s="1" t="s">
        <v>657</v>
      </c>
      <c r="E415" s="16"/>
      <c r="F415" s="1415">
        <v>380825.88</v>
      </c>
      <c r="G415" s="1415">
        <v>563858.28</v>
      </c>
      <c r="H415" s="1415">
        <v>88993.39</v>
      </c>
      <c r="I415" s="1415">
        <v>0</v>
      </c>
      <c r="J415" s="1394">
        <v>1033677.55</v>
      </c>
      <c r="K415" s="734">
        <f t="shared" si="9"/>
        <v>0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495"/>
      <c r="Y415" s="1505"/>
      <c r="Z415" s="1505"/>
      <c r="AA415" s="1505"/>
      <c r="AB415" s="1505"/>
      <c r="AC415" s="1503"/>
    </row>
    <row r="416" spans="1:29" x14ac:dyDescent="0.2">
      <c r="A416" s="1"/>
      <c r="B416" s="16">
        <f t="shared" si="8"/>
        <v>49</v>
      </c>
      <c r="C416" s="1" t="s">
        <v>107</v>
      </c>
      <c r="D416" s="1" t="s">
        <v>1293</v>
      </c>
      <c r="E416" s="16"/>
      <c r="F416" s="1415">
        <v>0</v>
      </c>
      <c r="G416" s="1415">
        <v>0</v>
      </c>
      <c r="H416" s="1415">
        <v>0</v>
      </c>
      <c r="I416" s="1415">
        <v>0</v>
      </c>
      <c r="J416" s="1394">
        <v>0</v>
      </c>
      <c r="K416" s="734">
        <f t="shared" si="9"/>
        <v>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495"/>
      <c r="Y416" s="1505"/>
      <c r="Z416" s="1505"/>
      <c r="AA416" s="1505"/>
      <c r="AB416" s="1505"/>
      <c r="AC416" s="1503"/>
    </row>
    <row r="417" spans="1:31" x14ac:dyDescent="0.2">
      <c r="A417" s="1"/>
      <c r="B417" s="16">
        <f t="shared" si="8"/>
        <v>50</v>
      </c>
      <c r="C417" s="1" t="s">
        <v>107</v>
      </c>
      <c r="D417" s="1" t="s">
        <v>1294</v>
      </c>
      <c r="E417" s="16"/>
      <c r="F417" s="1416">
        <v>0</v>
      </c>
      <c r="G417" s="1416">
        <v>0</v>
      </c>
      <c r="H417" s="1416">
        <v>0</v>
      </c>
      <c r="I417" s="1416">
        <v>0</v>
      </c>
      <c r="J417" s="1394">
        <v>0</v>
      </c>
      <c r="K417" s="734">
        <f t="shared" si="9"/>
        <v>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495"/>
      <c r="Y417" s="1505"/>
      <c r="Z417" s="1505"/>
      <c r="AA417" s="1505"/>
      <c r="AB417" s="1505"/>
      <c r="AC417" s="1503"/>
    </row>
    <row r="418" spans="1:31" x14ac:dyDescent="0.2">
      <c r="A418" s="18"/>
      <c r="B418" s="16"/>
      <c r="C418" s="1"/>
      <c r="D418" s="1"/>
      <c r="E418" s="1"/>
      <c r="F418" s="1395"/>
      <c r="G418" s="1395"/>
      <c r="H418" s="1395"/>
      <c r="I418" s="1395"/>
      <c r="J418" s="1394"/>
      <c r="K418" s="734">
        <f t="shared" si="9"/>
        <v>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492"/>
      <c r="Y418" s="1504"/>
      <c r="Z418" s="1504"/>
      <c r="AA418" s="1504"/>
      <c r="AB418" s="1504"/>
      <c r="AC418" s="1503"/>
      <c r="AD418" s="339"/>
    </row>
    <row r="419" spans="1:31" ht="15" x14ac:dyDescent="0.25">
      <c r="A419" s="18"/>
      <c r="B419" s="16">
        <v>1</v>
      </c>
      <c r="C419" s="301" t="s">
        <v>287</v>
      </c>
      <c r="D419" s="1"/>
      <c r="E419" s="1315" t="s">
        <v>288</v>
      </c>
      <c r="F419" s="1395"/>
      <c r="G419" s="1395"/>
      <c r="H419" s="1395"/>
      <c r="I419" s="1395"/>
      <c r="J419" s="1394"/>
      <c r="K419" s="734">
        <f t="shared" si="9"/>
        <v>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494"/>
      <c r="Y419" s="1504"/>
      <c r="Z419" s="1504"/>
      <c r="AA419" s="1504"/>
      <c r="AB419" s="1504"/>
      <c r="AC419" s="1503"/>
    </row>
    <row r="420" spans="1:31" ht="15" x14ac:dyDescent="0.25">
      <c r="A420" s="18"/>
      <c r="B420" s="16">
        <v>2</v>
      </c>
      <c r="C420" s="8" t="s">
        <v>289</v>
      </c>
      <c r="D420" s="1013"/>
      <c r="E420" s="16"/>
      <c r="F420" s="1389"/>
      <c r="G420" s="1389"/>
      <c r="H420" s="1389"/>
      <c r="I420" s="1389"/>
      <c r="J420" s="1394"/>
      <c r="K420" s="734">
        <f t="shared" si="9"/>
        <v>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497"/>
      <c r="Y420" s="1496"/>
      <c r="Z420" s="1496"/>
      <c r="AA420" s="1496"/>
      <c r="AB420" s="1496"/>
      <c r="AC420" s="1503"/>
    </row>
    <row r="421" spans="1:31" x14ac:dyDescent="0.2">
      <c r="A421" s="18"/>
      <c r="B421" s="16">
        <v>3</v>
      </c>
      <c r="C421" s="18"/>
      <c r="D421" s="1" t="s">
        <v>290</v>
      </c>
      <c r="E421" s="30"/>
      <c r="F421" s="1410">
        <v>4578987.92</v>
      </c>
      <c r="G421" s="1410">
        <v>12228771.32</v>
      </c>
      <c r="H421" s="1410">
        <v>3419493.17</v>
      </c>
      <c r="I421" s="1410">
        <v>140165.69000000134</v>
      </c>
      <c r="J421" s="1394">
        <v>20367418.100000005</v>
      </c>
      <c r="K421" s="734">
        <f t="shared" si="9"/>
        <v>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507"/>
      <c r="Y421" s="1517"/>
      <c r="Z421" s="1517"/>
      <c r="AA421" s="1517"/>
      <c r="AB421" s="1517"/>
      <c r="AC421" s="1503"/>
    </row>
    <row r="422" spans="1:31" s="321" customFormat="1" x14ac:dyDescent="0.2">
      <c r="A422" s="18"/>
      <c r="B422" s="16">
        <v>4</v>
      </c>
      <c r="C422" s="18"/>
      <c r="D422" s="1" t="s">
        <v>291</v>
      </c>
      <c r="E422" s="30"/>
      <c r="F422" s="1411">
        <v>99398.1</v>
      </c>
      <c r="G422" s="1411">
        <v>265455.3</v>
      </c>
      <c r="H422" s="1411">
        <v>74228.44</v>
      </c>
      <c r="I422" s="1411">
        <v>3042.6300000000047</v>
      </c>
      <c r="J422" s="1394">
        <v>442124.47000000003</v>
      </c>
      <c r="K422" s="734">
        <f t="shared" si="9"/>
        <v>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507"/>
      <c r="Y422" s="1504"/>
      <c r="Z422" s="1504"/>
      <c r="AA422" s="1504"/>
      <c r="AB422" s="1504"/>
      <c r="AC422" s="1503"/>
      <c r="AD422" s="357"/>
      <c r="AE422" s="357"/>
    </row>
    <row r="423" spans="1:31" ht="15" x14ac:dyDescent="0.25">
      <c r="A423" s="21"/>
      <c r="B423" s="16">
        <v>5</v>
      </c>
      <c r="C423" s="18"/>
      <c r="D423" s="1" t="s">
        <v>292</v>
      </c>
      <c r="E423" s="30"/>
      <c r="F423" s="1412">
        <v>94486.61</v>
      </c>
      <c r="G423" s="1412">
        <v>252338.55</v>
      </c>
      <c r="H423" s="1412">
        <v>70560.639999999999</v>
      </c>
      <c r="I423" s="1412">
        <v>2892.2900000000518</v>
      </c>
      <c r="J423" s="1394">
        <v>420278.09</v>
      </c>
      <c r="K423" s="734">
        <f t="shared" si="9"/>
        <v>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507"/>
      <c r="Y423" s="1504"/>
      <c r="Z423" s="1504"/>
      <c r="AA423" s="1504"/>
      <c r="AB423" s="1504"/>
      <c r="AC423" s="1503"/>
    </row>
    <row r="424" spans="1:31" ht="15" x14ac:dyDescent="0.25">
      <c r="A424" s="21"/>
      <c r="B424" s="16">
        <v>6</v>
      </c>
      <c r="C424" s="8" t="s">
        <v>293</v>
      </c>
      <c r="D424" s="1"/>
      <c r="E424" s="16"/>
      <c r="F424" s="1389"/>
      <c r="G424" s="1389"/>
      <c r="H424" s="1389"/>
      <c r="I424" s="1389"/>
      <c r="J424" s="1394"/>
      <c r="K424" s="734">
        <f t="shared" si="9"/>
        <v>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497"/>
      <c r="Y424" s="1496"/>
      <c r="Z424" s="1496"/>
      <c r="AA424" s="1496"/>
      <c r="AB424" s="1496"/>
      <c r="AC424" s="1503"/>
      <c r="AE424" s="339"/>
    </row>
    <row r="425" spans="1:31" x14ac:dyDescent="0.2">
      <c r="A425" s="1"/>
      <c r="B425" s="16">
        <v>7</v>
      </c>
      <c r="C425" s="18"/>
      <c r="D425" s="1" t="s">
        <v>294</v>
      </c>
      <c r="E425" s="30"/>
      <c r="F425" s="1413">
        <v>135647129.13</v>
      </c>
      <c r="G425" s="1413">
        <v>139899372.06999999</v>
      </c>
      <c r="H425" s="1413">
        <v>4193051.07</v>
      </c>
      <c r="I425" s="1413">
        <v>2771920.8399999966</v>
      </c>
      <c r="J425" s="1394">
        <v>282511473.10999995</v>
      </c>
      <c r="K425" s="734">
        <f t="shared" si="9"/>
        <v>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507"/>
      <c r="Y425" s="1555"/>
      <c r="Z425" s="1555"/>
      <c r="AA425" s="1555"/>
      <c r="AB425" s="1555"/>
      <c r="AC425" s="1503"/>
    </row>
    <row r="426" spans="1:31" ht="15" x14ac:dyDescent="0.25">
      <c r="A426" s="18"/>
      <c r="B426" s="16">
        <v>8</v>
      </c>
      <c r="C426" s="1014" t="s">
        <v>295</v>
      </c>
      <c r="D426" s="1"/>
      <c r="E426" s="16"/>
      <c r="F426" s="1389"/>
      <c r="G426" s="1389"/>
      <c r="H426" s="1389"/>
      <c r="I426" s="1389"/>
      <c r="J426" s="1394"/>
      <c r="K426" s="734">
        <f t="shared" si="9"/>
        <v>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497"/>
      <c r="Y426" s="1496"/>
      <c r="Z426" s="1496"/>
      <c r="AA426" s="1496"/>
      <c r="AB426" s="1496"/>
      <c r="AC426" s="1503"/>
    </row>
    <row r="427" spans="1:31" ht="15" customHeight="1" x14ac:dyDescent="0.2">
      <c r="A427" s="18"/>
      <c r="B427" s="16">
        <v>9</v>
      </c>
      <c r="C427" s="18"/>
      <c r="D427" s="18" t="s">
        <v>296</v>
      </c>
      <c r="E427" s="30"/>
      <c r="F427" s="1430">
        <v>6660528.0499999998</v>
      </c>
      <c r="G427" s="1431">
        <v>29832300.199999999</v>
      </c>
      <c r="H427" s="1431">
        <v>1151630.57</v>
      </c>
      <c r="I427" s="1432">
        <v>639188.18000000005</v>
      </c>
      <c r="J427" s="1394">
        <v>38283647</v>
      </c>
      <c r="K427" s="734">
        <f t="shared" si="9"/>
        <v>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507"/>
      <c r="Y427" s="1555"/>
      <c r="Z427" s="1555"/>
      <c r="AA427" s="1555"/>
      <c r="AB427" s="1555"/>
      <c r="AC427" s="1503"/>
    </row>
    <row r="428" spans="1:31" x14ac:dyDescent="0.2">
      <c r="A428" s="18"/>
      <c r="B428" s="16">
        <v>10</v>
      </c>
      <c r="C428" s="18"/>
      <c r="D428" s="18" t="s">
        <v>297</v>
      </c>
      <c r="E428" s="30"/>
      <c r="F428" s="1433">
        <v>0</v>
      </c>
      <c r="G428" s="1403">
        <v>300041884.94999999</v>
      </c>
      <c r="H428" s="1403">
        <v>0</v>
      </c>
      <c r="I428" s="1434">
        <v>0</v>
      </c>
      <c r="J428" s="1394">
        <v>300041884.94999999</v>
      </c>
      <c r="K428" s="734">
        <f t="shared" si="9"/>
        <v>0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507"/>
      <c r="Y428" s="1518"/>
      <c r="Z428" s="1518"/>
      <c r="AA428" s="1518"/>
      <c r="AB428" s="1518"/>
      <c r="AC428" s="1503"/>
    </row>
    <row r="429" spans="1:31" x14ac:dyDescent="0.2">
      <c r="A429" s="18"/>
      <c r="B429" s="16">
        <f>B428+1</f>
        <v>11</v>
      </c>
      <c r="C429" s="18"/>
      <c r="D429" s="321" t="s">
        <v>1313</v>
      </c>
      <c r="E429" s="30"/>
      <c r="F429" s="1435">
        <v>1336.4899999999998</v>
      </c>
      <c r="G429" s="1436">
        <v>155.75</v>
      </c>
      <c r="H429" s="1436">
        <v>4.67</v>
      </c>
      <c r="I429" s="1437">
        <v>303.08999999999997</v>
      </c>
      <c r="J429" s="1394">
        <v>1799.9999999999998</v>
      </c>
      <c r="K429" s="734">
        <f t="shared" si="9"/>
        <v>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507"/>
      <c r="Y429" s="1518"/>
      <c r="Z429" s="1518"/>
      <c r="AA429" s="1518"/>
      <c r="AB429" s="1518"/>
      <c r="AC429" s="1503"/>
    </row>
    <row r="430" spans="1:31" x14ac:dyDescent="0.2">
      <c r="A430" s="18"/>
      <c r="B430" s="16">
        <f t="shared" ref="B430:B461" si="10">B429+1</f>
        <v>12</v>
      </c>
      <c r="C430" s="18"/>
      <c r="D430" s="18"/>
      <c r="E430" s="30"/>
      <c r="F430" s="1403"/>
      <c r="G430" s="1403"/>
      <c r="H430" s="1403"/>
      <c r="I430" s="1403"/>
      <c r="J430" s="1394"/>
      <c r="K430" s="734">
        <f t="shared" si="9"/>
        <v>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507"/>
      <c r="Y430" s="1518"/>
      <c r="Z430" s="1518"/>
      <c r="AA430" s="1518"/>
      <c r="AB430" s="1518"/>
      <c r="AC430" s="1503"/>
      <c r="AD430" s="339"/>
    </row>
    <row r="431" spans="1:31" ht="15" x14ac:dyDescent="0.25">
      <c r="A431" s="18"/>
      <c r="B431" s="16">
        <f t="shared" si="10"/>
        <v>13</v>
      </c>
      <c r="C431" s="301" t="s">
        <v>298</v>
      </c>
      <c r="D431" s="1"/>
      <c r="E431" s="1315" t="s">
        <v>299</v>
      </c>
      <c r="F431" s="1403"/>
      <c r="G431" s="1403"/>
      <c r="H431" s="1403"/>
      <c r="I431" s="1403"/>
      <c r="J431" s="1394"/>
      <c r="K431" s="734">
        <f t="shared" si="9"/>
        <v>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494"/>
      <c r="Y431" s="1518"/>
      <c r="Z431" s="1518"/>
      <c r="AA431" s="1518"/>
      <c r="AB431" s="1518"/>
      <c r="AC431" s="1503"/>
    </row>
    <row r="432" spans="1:31" ht="15" x14ac:dyDescent="0.25">
      <c r="A432" s="18"/>
      <c r="B432" s="16">
        <f t="shared" si="10"/>
        <v>14</v>
      </c>
      <c r="C432" s="18"/>
      <c r="D432" s="8" t="s">
        <v>300</v>
      </c>
      <c r="E432" s="52"/>
      <c r="F432" s="1401"/>
      <c r="G432" s="1401"/>
      <c r="H432" s="1401"/>
      <c r="I432" s="1401"/>
      <c r="J432" s="1394"/>
      <c r="K432" s="734">
        <f t="shared" si="9"/>
        <v>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514"/>
      <c r="Y432" s="1513"/>
      <c r="Z432" s="1513"/>
      <c r="AA432" s="1513"/>
      <c r="AB432" s="1513"/>
      <c r="AC432" s="1503"/>
    </row>
    <row r="433" spans="1:31" x14ac:dyDescent="0.2">
      <c r="A433" s="18"/>
      <c r="B433" s="16">
        <f t="shared" si="10"/>
        <v>15</v>
      </c>
      <c r="C433" s="18"/>
      <c r="D433" s="18" t="s">
        <v>301</v>
      </c>
      <c r="E433" s="30"/>
      <c r="F433" s="1410">
        <v>331673806.08999997</v>
      </c>
      <c r="G433" s="1410">
        <v>367406953.74000001</v>
      </c>
      <c r="H433" s="1410">
        <v>11998934.289999999</v>
      </c>
      <c r="I433" s="1410">
        <v>6257822.5999999996</v>
      </c>
      <c r="J433" s="1394">
        <v>717337516.71999991</v>
      </c>
      <c r="K433" s="734">
        <f t="shared" si="9"/>
        <v>0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507"/>
      <c r="Y433" s="1517"/>
      <c r="Z433" s="1517"/>
      <c r="AA433" s="1517"/>
      <c r="AB433" s="1517"/>
      <c r="AC433" s="1503"/>
    </row>
    <row r="434" spans="1:31" s="321" customFormat="1" x14ac:dyDescent="0.2">
      <c r="A434" s="18"/>
      <c r="B434" s="16">
        <f t="shared" si="10"/>
        <v>16</v>
      </c>
      <c r="C434" s="18"/>
      <c r="D434" s="18" t="s">
        <v>302</v>
      </c>
      <c r="E434" s="30"/>
      <c r="F434" s="1411">
        <v>485229.49</v>
      </c>
      <c r="G434" s="1411">
        <v>0</v>
      </c>
      <c r="H434" s="1411">
        <v>0</v>
      </c>
      <c r="I434" s="1411">
        <v>0</v>
      </c>
      <c r="J434" s="1394">
        <v>485229.49</v>
      </c>
      <c r="K434" s="734">
        <f t="shared" si="9"/>
        <v>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507"/>
      <c r="Y434" s="1504"/>
      <c r="Z434" s="1504"/>
      <c r="AA434" s="1504"/>
      <c r="AB434" s="1504"/>
      <c r="AC434" s="1503"/>
      <c r="AD434" s="357"/>
      <c r="AE434" s="357"/>
    </row>
    <row r="435" spans="1:31" x14ac:dyDescent="0.2">
      <c r="A435" s="18"/>
      <c r="B435" s="16">
        <f t="shared" si="10"/>
        <v>17</v>
      </c>
      <c r="C435" s="18"/>
      <c r="D435" s="18" t="s">
        <v>1128</v>
      </c>
      <c r="E435" s="30"/>
      <c r="F435" s="1411">
        <v>8793525.3100000005</v>
      </c>
      <c r="G435" s="1411">
        <v>7936236.2800000003</v>
      </c>
      <c r="H435" s="1411">
        <v>237864.14</v>
      </c>
      <c r="I435" s="1411">
        <v>157246.0099999985</v>
      </c>
      <c r="J435" s="1394">
        <v>17124871.739999998</v>
      </c>
      <c r="K435" s="734">
        <f t="shared" si="9"/>
        <v>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507"/>
      <c r="Y435" s="1504"/>
      <c r="Z435" s="1504"/>
      <c r="AA435" s="1504"/>
      <c r="AB435" s="1504"/>
      <c r="AC435" s="1503"/>
    </row>
    <row r="436" spans="1:31" x14ac:dyDescent="0.2">
      <c r="A436" s="18"/>
      <c r="B436" s="16">
        <f t="shared" si="10"/>
        <v>18</v>
      </c>
      <c r="C436" s="18"/>
      <c r="D436" s="18" t="s">
        <v>1129</v>
      </c>
      <c r="E436" s="30"/>
      <c r="F436" s="1411">
        <v>11501583.959999999</v>
      </c>
      <c r="G436" s="1411">
        <v>18862682.34</v>
      </c>
      <c r="H436" s="1411">
        <v>2497334.4699999997</v>
      </c>
      <c r="I436" s="1411">
        <v>-252101.1100000001</v>
      </c>
      <c r="J436" s="1394">
        <v>32609499.659999996</v>
      </c>
      <c r="K436" s="734">
        <f t="shared" si="9"/>
        <v>0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507"/>
      <c r="Y436" s="1504"/>
      <c r="Z436" s="1504"/>
      <c r="AA436" s="1504"/>
      <c r="AB436" s="1504"/>
      <c r="AC436" s="1503"/>
      <c r="AE436" s="339"/>
    </row>
    <row r="437" spans="1:31" x14ac:dyDescent="0.2">
      <c r="A437" s="18"/>
      <c r="B437" s="16">
        <f t="shared" si="10"/>
        <v>19</v>
      </c>
      <c r="C437" s="18"/>
      <c r="D437" s="18" t="s">
        <v>1130</v>
      </c>
      <c r="E437" s="30"/>
      <c r="F437" s="1411">
        <v>-782812.41000000027</v>
      </c>
      <c r="G437" s="1411">
        <v>-3166047.5599999996</v>
      </c>
      <c r="H437" s="1411">
        <v>-94892.49</v>
      </c>
      <c r="I437" s="1411">
        <v>-62731.040000000001</v>
      </c>
      <c r="J437" s="1394">
        <v>-4106483.5</v>
      </c>
      <c r="K437" s="734">
        <f t="shared" si="9"/>
        <v>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507"/>
      <c r="Y437" s="1504"/>
      <c r="Z437" s="1504"/>
      <c r="AA437" s="1504"/>
      <c r="AB437" s="1504"/>
      <c r="AC437" s="1503"/>
    </row>
    <row r="438" spans="1:31" ht="15" x14ac:dyDescent="0.25">
      <c r="A438" s="8"/>
      <c r="B438" s="16">
        <f t="shared" si="10"/>
        <v>20</v>
      </c>
      <c r="C438" s="18"/>
      <c r="D438" s="803" t="s">
        <v>1295</v>
      </c>
      <c r="E438" s="30"/>
      <c r="F438" s="1411">
        <v>36110.080000000002</v>
      </c>
      <c r="G438" s="1411">
        <v>41205.93</v>
      </c>
      <c r="H438" s="1411">
        <v>1235.02</v>
      </c>
      <c r="I438" s="1411">
        <v>816.43000000000438</v>
      </c>
      <c r="J438" s="1394">
        <v>79367.460000000021</v>
      </c>
      <c r="K438" s="734">
        <f t="shared" si="9"/>
        <v>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507"/>
      <c r="Y438" s="1504"/>
      <c r="Z438" s="1504"/>
      <c r="AA438" s="1504"/>
      <c r="AB438" s="1504"/>
      <c r="AC438" s="1503"/>
    </row>
    <row r="439" spans="1:31" x14ac:dyDescent="0.2">
      <c r="A439" s="1"/>
      <c r="B439" s="16">
        <f t="shared" si="10"/>
        <v>21</v>
      </c>
      <c r="C439" s="18"/>
      <c r="D439" s="18"/>
      <c r="E439" s="30"/>
      <c r="F439" s="1412"/>
      <c r="G439" s="1412"/>
      <c r="H439" s="1412"/>
      <c r="I439" s="1412"/>
      <c r="J439" s="1394"/>
      <c r="K439" s="734">
        <f t="shared" si="9"/>
        <v>0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507"/>
      <c r="Y439" s="1504"/>
      <c r="Z439" s="1504"/>
      <c r="AA439" s="1504"/>
      <c r="AB439" s="1504"/>
      <c r="AC439" s="1503"/>
    </row>
    <row r="440" spans="1:31" x14ac:dyDescent="0.2">
      <c r="A440" s="1"/>
      <c r="B440" s="16">
        <f t="shared" si="10"/>
        <v>22</v>
      </c>
      <c r="C440" s="18"/>
      <c r="D440" s="18"/>
      <c r="E440" s="30"/>
      <c r="F440" s="1395"/>
      <c r="G440" s="1395"/>
      <c r="H440" s="1395"/>
      <c r="I440" s="1395"/>
      <c r="J440" s="1394"/>
      <c r="K440" s="734">
        <f t="shared" si="9"/>
        <v>0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507"/>
      <c r="Y440" s="1504"/>
      <c r="Z440" s="1504"/>
      <c r="AA440" s="1504"/>
      <c r="AB440" s="1504"/>
      <c r="AC440" s="1503"/>
      <c r="AD440" s="339"/>
    </row>
    <row r="441" spans="1:31" x14ac:dyDescent="0.2">
      <c r="A441" s="1"/>
      <c r="B441" s="16">
        <f t="shared" si="10"/>
        <v>23</v>
      </c>
      <c r="C441" s="18"/>
      <c r="D441" s="18"/>
      <c r="E441" s="30"/>
      <c r="F441" s="1395"/>
      <c r="G441" s="1395"/>
      <c r="H441" s="1395"/>
      <c r="I441" s="1395"/>
      <c r="J441" s="1394"/>
      <c r="K441" s="734">
        <f t="shared" si="9"/>
        <v>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507"/>
      <c r="Y441" s="1504"/>
      <c r="Z441" s="1504"/>
      <c r="AA441" s="1504"/>
      <c r="AB441" s="1504"/>
      <c r="AC441" s="1503"/>
      <c r="AD441" s="339"/>
    </row>
    <row r="442" spans="1:31" x14ac:dyDescent="0.2">
      <c r="A442" s="1"/>
      <c r="B442" s="16">
        <f t="shared" si="10"/>
        <v>24</v>
      </c>
      <c r="C442" s="18"/>
      <c r="D442" s="18"/>
      <c r="E442" s="30"/>
      <c r="F442" s="1395"/>
      <c r="G442" s="1395"/>
      <c r="H442" s="1395"/>
      <c r="I442" s="1395"/>
      <c r="J442" s="1394"/>
      <c r="K442" s="734">
        <f t="shared" si="9"/>
        <v>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507"/>
      <c r="Y442" s="1504"/>
      <c r="Z442" s="1504"/>
      <c r="AA442" s="1504"/>
      <c r="AB442" s="1504"/>
      <c r="AC442" s="1503"/>
      <c r="AD442" s="339"/>
    </row>
    <row r="443" spans="1:31" ht="15" x14ac:dyDescent="0.25">
      <c r="A443" s="1"/>
      <c r="B443" s="16">
        <f t="shared" si="10"/>
        <v>25</v>
      </c>
      <c r="C443" s="1"/>
      <c r="D443" s="8" t="s">
        <v>304</v>
      </c>
      <c r="E443" s="16"/>
      <c r="F443" s="1389"/>
      <c r="G443" s="1389"/>
      <c r="H443" s="1389"/>
      <c r="I443" s="1389"/>
      <c r="J443" s="1394"/>
      <c r="K443" s="734">
        <f t="shared" si="9"/>
        <v>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497"/>
      <c r="Y443" s="1496"/>
      <c r="Z443" s="1496"/>
      <c r="AA443" s="1496"/>
      <c r="AB443" s="1496"/>
      <c r="AC443" s="1503"/>
      <c r="AD443" s="339"/>
    </row>
    <row r="444" spans="1:31" s="321" customFormat="1" ht="19.5" customHeight="1" x14ac:dyDescent="0.2">
      <c r="A444" s="1"/>
      <c r="B444" s="16">
        <f t="shared" si="10"/>
        <v>26</v>
      </c>
      <c r="C444" s="18"/>
      <c r="D444" s="695" t="s">
        <v>306</v>
      </c>
      <c r="E444" s="30"/>
      <c r="F444" s="1410">
        <v>402497.99</v>
      </c>
      <c r="G444" s="1410">
        <v>459298.48</v>
      </c>
      <c r="H444" s="1410">
        <v>13766.05</v>
      </c>
      <c r="I444" s="1410">
        <v>9100.39</v>
      </c>
      <c r="J444" s="1394">
        <v>884662.91</v>
      </c>
      <c r="K444" s="734">
        <f t="shared" si="9"/>
        <v>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507"/>
      <c r="Y444" s="1517"/>
      <c r="Z444" s="1517"/>
      <c r="AA444" s="1517"/>
      <c r="AB444" s="1517"/>
      <c r="AC444" s="1503"/>
      <c r="AD444" s="339"/>
      <c r="AE444" s="357"/>
    </row>
    <row r="445" spans="1:31" s="321" customFormat="1" x14ac:dyDescent="0.2">
      <c r="A445" s="1"/>
      <c r="B445" s="16">
        <f t="shared" si="10"/>
        <v>27</v>
      </c>
      <c r="C445" s="18"/>
      <c r="D445" s="695" t="s">
        <v>1131</v>
      </c>
      <c r="E445" s="30"/>
      <c r="F445" s="1411">
        <v>969088.11</v>
      </c>
      <c r="G445" s="1411">
        <v>2588073.41</v>
      </c>
      <c r="H445" s="1411">
        <v>723694.89</v>
      </c>
      <c r="I445" s="1411">
        <v>29664.399999999558</v>
      </c>
      <c r="J445" s="1394">
        <v>4310520.8099999996</v>
      </c>
      <c r="K445" s="734">
        <f t="shared" si="9"/>
        <v>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507"/>
      <c r="Y445" s="1504"/>
      <c r="Z445" s="1504"/>
      <c r="AA445" s="1504"/>
      <c r="AB445" s="1504"/>
      <c r="AC445" s="1503"/>
      <c r="AD445" s="339"/>
      <c r="AE445" s="357"/>
    </row>
    <row r="446" spans="1:31" s="321" customFormat="1" x14ac:dyDescent="0.2">
      <c r="A446" s="18"/>
      <c r="B446" s="16">
        <f t="shared" si="10"/>
        <v>28</v>
      </c>
      <c r="C446" s="18"/>
      <c r="D446" s="695" t="s">
        <v>1132</v>
      </c>
      <c r="E446" s="30"/>
      <c r="F446" s="1411">
        <v>0</v>
      </c>
      <c r="G446" s="1411">
        <v>0</v>
      </c>
      <c r="H446" s="1411">
        <v>0</v>
      </c>
      <c r="I446" s="1411">
        <v>0</v>
      </c>
      <c r="J446" s="1394">
        <v>0</v>
      </c>
      <c r="K446" s="734">
        <f t="shared" si="9"/>
        <v>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507"/>
      <c r="Y446" s="1504"/>
      <c r="Z446" s="1504"/>
      <c r="AA446" s="1504"/>
      <c r="AB446" s="1504"/>
      <c r="AC446" s="1503"/>
      <c r="AD446" s="339"/>
      <c r="AE446" s="339"/>
    </row>
    <row r="447" spans="1:31" s="321" customFormat="1" x14ac:dyDescent="0.2">
      <c r="A447" s="18"/>
      <c r="B447" s="16">
        <f t="shared" si="10"/>
        <v>29</v>
      </c>
      <c r="C447" s="18"/>
      <c r="D447" s="695" t="s">
        <v>1133</v>
      </c>
      <c r="E447" s="30"/>
      <c r="F447" s="1411">
        <v>342827.24</v>
      </c>
      <c r="G447" s="1411">
        <v>915563.86</v>
      </c>
      <c r="H447" s="1411">
        <v>256016.27</v>
      </c>
      <c r="I447" s="1411">
        <v>10494.150000000052</v>
      </c>
      <c r="J447" s="1394">
        <v>1524901.5200000003</v>
      </c>
      <c r="K447" s="734">
        <f t="shared" si="9"/>
        <v>0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507"/>
      <c r="Y447" s="1504"/>
      <c r="Z447" s="1504"/>
      <c r="AA447" s="1504"/>
      <c r="AB447" s="1504"/>
      <c r="AC447" s="1503"/>
      <c r="AD447" s="339"/>
      <c r="AE447" s="339"/>
    </row>
    <row r="448" spans="1:31" s="321" customFormat="1" x14ac:dyDescent="0.2">
      <c r="A448" s="18"/>
      <c r="B448" s="16">
        <f t="shared" si="10"/>
        <v>30</v>
      </c>
      <c r="C448" s="18"/>
      <c r="D448" s="695" t="s">
        <v>1134</v>
      </c>
      <c r="E448" s="30"/>
      <c r="F448" s="1411">
        <v>-2968971.78</v>
      </c>
      <c r="G448" s="1411">
        <v>-7595322.4699999997</v>
      </c>
      <c r="H448" s="1411">
        <v>-2721141.47</v>
      </c>
      <c r="I448" s="1411">
        <v>-936334.28000000259</v>
      </c>
      <c r="J448" s="1394">
        <v>-14221770.000000004</v>
      </c>
      <c r="K448" s="734">
        <f t="shared" si="9"/>
        <v>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507"/>
      <c r="Y448" s="1504"/>
      <c r="Z448" s="1504"/>
      <c r="AA448" s="1504"/>
      <c r="AB448" s="1504"/>
      <c r="AC448" s="1503"/>
      <c r="AD448" s="339"/>
      <c r="AE448" s="339"/>
    </row>
    <row r="449" spans="1:31" s="321" customFormat="1" x14ac:dyDescent="0.2">
      <c r="A449" s="18"/>
      <c r="B449" s="16">
        <f t="shared" si="10"/>
        <v>31</v>
      </c>
      <c r="C449" s="18"/>
      <c r="D449" s="695" t="s">
        <v>1296</v>
      </c>
      <c r="E449" s="1119"/>
      <c r="F449" s="1411">
        <v>0</v>
      </c>
      <c r="G449" s="1411">
        <v>0</v>
      </c>
      <c r="H449" s="1411">
        <v>0</v>
      </c>
      <c r="I449" s="1411">
        <v>0</v>
      </c>
      <c r="J449" s="1394">
        <v>0</v>
      </c>
      <c r="K449" s="734">
        <f t="shared" si="9"/>
        <v>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507"/>
      <c r="Y449" s="1504"/>
      <c r="Z449" s="1504"/>
      <c r="AA449" s="1504"/>
      <c r="AB449" s="1504"/>
      <c r="AC449" s="1503"/>
      <c r="AD449" s="339"/>
      <c r="AE449" s="339"/>
    </row>
    <row r="450" spans="1:31" s="321" customFormat="1" x14ac:dyDescent="0.2">
      <c r="A450" s="18"/>
      <c r="B450" s="16">
        <f t="shared" si="10"/>
        <v>32</v>
      </c>
      <c r="C450" s="1"/>
      <c r="D450" s="695" t="s">
        <v>305</v>
      </c>
      <c r="E450" s="16"/>
      <c r="F450" s="1412">
        <v>0</v>
      </c>
      <c r="G450" s="1412">
        <v>0</v>
      </c>
      <c r="H450" s="1412">
        <v>0</v>
      </c>
      <c r="I450" s="1412">
        <v>0</v>
      </c>
      <c r="J450" s="1394">
        <v>0</v>
      </c>
      <c r="K450" s="734">
        <f t="shared" si="9"/>
        <v>0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507"/>
      <c r="Y450" s="1504"/>
      <c r="Z450" s="1504"/>
      <c r="AA450" s="1504"/>
      <c r="AB450" s="1504"/>
      <c r="AC450" s="1503"/>
      <c r="AD450" s="339"/>
      <c r="AE450" s="339"/>
    </row>
    <row r="451" spans="1:31" s="321" customFormat="1" ht="15" x14ac:dyDescent="0.25">
      <c r="A451" s="18"/>
      <c r="B451" s="16">
        <f t="shared" si="10"/>
        <v>33</v>
      </c>
      <c r="C451" s="18"/>
      <c r="D451" s="8" t="s">
        <v>307</v>
      </c>
      <c r="E451" s="30"/>
      <c r="F451" s="1389"/>
      <c r="G451" s="1389"/>
      <c r="H451" s="1389"/>
      <c r="I451" s="1389"/>
      <c r="J451" s="1394"/>
      <c r="K451" s="734">
        <f t="shared" si="9"/>
        <v>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497"/>
      <c r="Y451" s="1496"/>
      <c r="Z451" s="1496"/>
      <c r="AA451" s="1496"/>
      <c r="AB451" s="1496"/>
      <c r="AC451" s="1503"/>
      <c r="AD451" s="339"/>
      <c r="AE451" s="339"/>
    </row>
    <row r="452" spans="1:31" s="321" customFormat="1" x14ac:dyDescent="0.2">
      <c r="A452" s="18"/>
      <c r="B452" s="16">
        <f t="shared" si="10"/>
        <v>34</v>
      </c>
      <c r="C452" s="18"/>
      <c r="D452" s="695" t="s">
        <v>302</v>
      </c>
      <c r="E452" s="30"/>
      <c r="F452" s="1393">
        <v>485229.49</v>
      </c>
      <c r="G452" s="1393">
        <v>0</v>
      </c>
      <c r="H452" s="1393">
        <v>0</v>
      </c>
      <c r="I452" s="1410">
        <v>0</v>
      </c>
      <c r="J452" s="1394">
        <v>485229.49</v>
      </c>
      <c r="K452" s="734">
        <f t="shared" si="9"/>
        <v>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507"/>
      <c r="Y452" s="1517"/>
      <c r="Z452" s="1517"/>
      <c r="AA452" s="1517"/>
      <c r="AB452" s="1517"/>
      <c r="AC452" s="1503"/>
      <c r="AD452" s="339"/>
      <c r="AE452" s="339"/>
    </row>
    <row r="453" spans="1:31" s="321" customFormat="1" x14ac:dyDescent="0.2">
      <c r="A453" s="18"/>
      <c r="B453" s="16">
        <f t="shared" si="10"/>
        <v>35</v>
      </c>
      <c r="C453" s="18"/>
      <c r="D453" s="695" t="s">
        <v>1128</v>
      </c>
      <c r="E453" s="30"/>
      <c r="F453" s="1420">
        <v>8793525.3100000005</v>
      </c>
      <c r="G453" s="1421">
        <v>7936236.2800000003</v>
      </c>
      <c r="H453" s="1421">
        <v>237864.14</v>
      </c>
      <c r="I453" s="1428">
        <v>157246.0099999985</v>
      </c>
      <c r="J453" s="1394">
        <v>17124871.739999998</v>
      </c>
      <c r="K453" s="734">
        <f t="shared" si="9"/>
        <v>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507"/>
      <c r="Y453" s="1525"/>
      <c r="Z453" s="1525"/>
      <c r="AA453" s="1525"/>
      <c r="AB453" s="1525"/>
      <c r="AC453" s="1503"/>
      <c r="AD453" s="357"/>
      <c r="AE453" s="339"/>
    </row>
    <row r="454" spans="1:31" s="321" customFormat="1" x14ac:dyDescent="0.2">
      <c r="A454" s="18"/>
      <c r="B454" s="16">
        <f t="shared" si="10"/>
        <v>36</v>
      </c>
      <c r="C454" s="1"/>
      <c r="D454" s="695" t="s">
        <v>1129</v>
      </c>
      <c r="E454" s="16"/>
      <c r="F454" s="1420">
        <v>11501583.959999999</v>
      </c>
      <c r="G454" s="1421">
        <v>18862682.34</v>
      </c>
      <c r="H454" s="1421">
        <v>2497334.4699999997</v>
      </c>
      <c r="I454" s="1428">
        <v>-252101.1100000001</v>
      </c>
      <c r="J454" s="1394">
        <v>32609499.659999996</v>
      </c>
      <c r="K454" s="734">
        <f t="shared" si="9"/>
        <v>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507"/>
      <c r="Y454" s="1525"/>
      <c r="Z454" s="1525"/>
      <c r="AA454" s="1525"/>
      <c r="AB454" s="1525"/>
      <c r="AC454" s="1503"/>
      <c r="AD454" s="357"/>
      <c r="AE454" s="339"/>
    </row>
    <row r="455" spans="1:31" s="321" customFormat="1" ht="13.5" customHeight="1" x14ac:dyDescent="0.2">
      <c r="A455" s="18"/>
      <c r="B455" s="16">
        <f t="shared" si="10"/>
        <v>37</v>
      </c>
      <c r="C455" s="18"/>
      <c r="D455" s="695" t="s">
        <v>1130</v>
      </c>
      <c r="E455" s="52"/>
      <c r="F455" s="1422">
        <v>-782812.41000000027</v>
      </c>
      <c r="G455" s="1423">
        <v>-3166047.5599999996</v>
      </c>
      <c r="H455" s="1423">
        <v>-94892.49</v>
      </c>
      <c r="I455" s="1424">
        <v>-62731.040000000001</v>
      </c>
      <c r="J455" s="1394">
        <v>-4106483.5</v>
      </c>
      <c r="K455" s="734">
        <f t="shared" si="9"/>
        <v>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507"/>
      <c r="Y455" s="1526"/>
      <c r="Z455" s="1526"/>
      <c r="AA455" s="1526"/>
      <c r="AB455" s="1526"/>
      <c r="AC455" s="1503"/>
      <c r="AD455" s="357"/>
      <c r="AE455" s="339"/>
    </row>
    <row r="456" spans="1:31" s="321" customFormat="1" x14ac:dyDescent="0.2">
      <c r="A456" s="18"/>
      <c r="B456" s="16">
        <f t="shared" si="10"/>
        <v>38</v>
      </c>
      <c r="C456" s="18"/>
      <c r="D456" s="695" t="s">
        <v>1295</v>
      </c>
      <c r="E456" s="52"/>
      <c r="F456" s="1425">
        <v>36110.080000000002</v>
      </c>
      <c r="G456" s="1426">
        <v>41205.93</v>
      </c>
      <c r="H456" s="1426">
        <v>1235.02</v>
      </c>
      <c r="I456" s="1427">
        <v>816.43</v>
      </c>
      <c r="J456" s="1394">
        <v>79367.460000000006</v>
      </c>
      <c r="K456" s="734">
        <f t="shared" si="9"/>
        <v>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507"/>
      <c r="Y456" s="1526"/>
      <c r="Z456" s="1526"/>
      <c r="AA456" s="1526"/>
      <c r="AB456" s="1526"/>
      <c r="AC456" s="1503"/>
      <c r="AD456" s="357"/>
      <c r="AE456" s="339"/>
    </row>
    <row r="457" spans="1:31" ht="15" x14ac:dyDescent="0.25">
      <c r="A457" s="18"/>
      <c r="B457" s="16">
        <f t="shared" si="10"/>
        <v>39</v>
      </c>
      <c r="C457" s="18"/>
      <c r="D457" s="8" t="s">
        <v>308</v>
      </c>
      <c r="E457" s="52"/>
      <c r="F457" s="1389"/>
      <c r="G457" s="1389"/>
      <c r="H457" s="1389"/>
      <c r="I457" s="1389"/>
      <c r="J457" s="1394"/>
      <c r="K457" s="734">
        <f t="shared" si="9"/>
        <v>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497"/>
      <c r="Y457" s="1496"/>
      <c r="Z457" s="1496"/>
      <c r="AA457" s="1496"/>
      <c r="AB457" s="1496"/>
      <c r="AC457" s="1503"/>
      <c r="AE457" s="339"/>
    </row>
    <row r="458" spans="1:31" x14ac:dyDescent="0.2">
      <c r="A458" s="18"/>
      <c r="B458" s="16">
        <f t="shared" si="10"/>
        <v>40</v>
      </c>
      <c r="C458" s="18"/>
      <c r="D458" s="695" t="s">
        <v>306</v>
      </c>
      <c r="E458" s="52"/>
      <c r="F458" s="1410">
        <v>402497.99</v>
      </c>
      <c r="G458" s="1410">
        <v>459298.48</v>
      </c>
      <c r="H458" s="1410">
        <v>13766.05</v>
      </c>
      <c r="I458" s="1410">
        <v>9100.39</v>
      </c>
      <c r="J458" s="1394">
        <v>884662.91</v>
      </c>
      <c r="K458" s="734">
        <f t="shared" si="9"/>
        <v>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514"/>
      <c r="Y458" s="1517"/>
      <c r="Z458" s="1517"/>
      <c r="AA458" s="1517"/>
      <c r="AB458" s="1517"/>
      <c r="AC458" s="1503"/>
      <c r="AE458" s="339"/>
    </row>
    <row r="459" spans="1:31" x14ac:dyDescent="0.2">
      <c r="A459" s="18"/>
      <c r="B459" s="16">
        <f t="shared" si="10"/>
        <v>41</v>
      </c>
      <c r="C459" s="18"/>
      <c r="D459" s="695" t="s">
        <v>1178</v>
      </c>
      <c r="E459" s="1119"/>
      <c r="F459" s="1411">
        <v>0</v>
      </c>
      <c r="G459" s="1411">
        <v>0</v>
      </c>
      <c r="H459" s="1411">
        <v>0</v>
      </c>
      <c r="I459" s="1411">
        <v>0</v>
      </c>
      <c r="J459" s="1394">
        <v>0</v>
      </c>
      <c r="K459" s="734">
        <f t="shared" si="9"/>
        <v>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514"/>
      <c r="Y459" s="1504"/>
      <c r="Z459" s="1504"/>
      <c r="AA459" s="1504"/>
      <c r="AB459" s="1504"/>
      <c r="AC459" s="1503"/>
    </row>
    <row r="460" spans="1:31" x14ac:dyDescent="0.2">
      <c r="A460" s="18"/>
      <c r="B460" s="16">
        <f t="shared" si="10"/>
        <v>42</v>
      </c>
      <c r="C460" s="18"/>
      <c r="D460" s="695" t="s">
        <v>305</v>
      </c>
      <c r="E460" s="52"/>
      <c r="F460" s="1411">
        <v>0</v>
      </c>
      <c r="G460" s="1411">
        <v>0</v>
      </c>
      <c r="H460" s="1411">
        <v>0</v>
      </c>
      <c r="I460" s="1411">
        <v>0</v>
      </c>
      <c r="J460" s="1394">
        <v>0</v>
      </c>
      <c r="K460" s="734">
        <f t="shared" si="9"/>
        <v>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514"/>
      <c r="Y460" s="1504"/>
      <c r="Z460" s="1504"/>
      <c r="AA460" s="1504"/>
      <c r="AB460" s="1504"/>
      <c r="AC460" s="1503"/>
    </row>
    <row r="461" spans="1:31" x14ac:dyDescent="0.2">
      <c r="A461" s="1"/>
      <c r="B461" s="16">
        <f t="shared" si="10"/>
        <v>43</v>
      </c>
      <c r="E461" s="52"/>
      <c r="F461" s="1412"/>
      <c r="G461" s="1412"/>
      <c r="H461" s="1412"/>
      <c r="I461" s="1412"/>
      <c r="J461" s="1394">
        <v>0</v>
      </c>
      <c r="K461" s="734">
        <f t="shared" si="9"/>
        <v>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514"/>
      <c r="Y461" s="1504"/>
      <c r="Z461" s="1504"/>
      <c r="AA461" s="1504"/>
      <c r="AB461" s="1504"/>
      <c r="AC461" s="1503"/>
    </row>
    <row r="462" spans="1:31" x14ac:dyDescent="0.2">
      <c r="A462" s="1"/>
      <c r="E462" s="52"/>
      <c r="F462" s="1395"/>
      <c r="G462" s="1395"/>
      <c r="H462" s="1395"/>
      <c r="I462" s="1395"/>
      <c r="J462" s="1394"/>
      <c r="K462" s="734">
        <f t="shared" si="9"/>
        <v>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514"/>
      <c r="Y462" s="1504"/>
      <c r="Z462" s="1504"/>
      <c r="AA462" s="1504"/>
      <c r="AB462" s="1504"/>
      <c r="AC462" s="1503"/>
    </row>
    <row r="463" spans="1:31" x14ac:dyDescent="0.2">
      <c r="A463" s="1"/>
      <c r="B463" s="16"/>
      <c r="C463" s="18"/>
      <c r="D463" s="18"/>
      <c r="E463" s="52"/>
      <c r="F463" s="1395"/>
      <c r="G463" s="1395"/>
      <c r="H463" s="1395"/>
      <c r="I463" s="1395"/>
      <c r="J463" s="1394"/>
      <c r="K463" s="734">
        <f t="shared" si="9"/>
        <v>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514"/>
      <c r="Y463" s="1504"/>
      <c r="Z463" s="1504"/>
      <c r="AA463" s="1504"/>
      <c r="AB463" s="1504"/>
      <c r="AC463" s="1503"/>
      <c r="AD463" s="339"/>
    </row>
    <row r="464" spans="1:31" ht="15" x14ac:dyDescent="0.25">
      <c r="A464" s="8"/>
      <c r="B464" s="16">
        <v>1</v>
      </c>
      <c r="C464" s="301" t="s">
        <v>310</v>
      </c>
      <c r="D464" s="18"/>
      <c r="E464" s="52"/>
      <c r="F464" s="1395"/>
      <c r="G464" s="1395"/>
      <c r="H464" s="1395"/>
      <c r="I464" s="1395"/>
      <c r="J464" s="1394"/>
      <c r="K464" s="734">
        <f t="shared" si="9"/>
        <v>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514"/>
      <c r="Y464" s="1504"/>
      <c r="Z464" s="1504"/>
      <c r="AA464" s="1504"/>
      <c r="AB464" s="1504"/>
      <c r="AC464" s="1503"/>
      <c r="AD464" s="339"/>
    </row>
    <row r="465" spans="1:31" ht="15" x14ac:dyDescent="0.25">
      <c r="A465" s="8"/>
      <c r="B465" s="16">
        <v>2</v>
      </c>
      <c r="C465" s="1" t="s">
        <v>311</v>
      </c>
      <c r="D465" s="1" t="s">
        <v>312</v>
      </c>
      <c r="E465" s="816" t="s">
        <v>313</v>
      </c>
      <c r="F465" s="1410">
        <v>9888367</v>
      </c>
      <c r="G465" s="1410">
        <v>7439</v>
      </c>
      <c r="H465" s="1410">
        <v>0</v>
      </c>
      <c r="I465" s="1410">
        <v>0</v>
      </c>
      <c r="J465" s="1394">
        <v>9895806</v>
      </c>
      <c r="K465" s="734">
        <f t="shared" si="9"/>
        <v>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519"/>
      <c r="Y465" s="1517"/>
      <c r="Z465" s="1517"/>
      <c r="AA465" s="1517"/>
      <c r="AB465" s="1517"/>
      <c r="AC465" s="1503"/>
      <c r="AD465" s="339"/>
    </row>
    <row r="466" spans="1:31" ht="15" x14ac:dyDescent="0.25">
      <c r="A466" s="1"/>
      <c r="B466" s="16">
        <v>3</v>
      </c>
      <c r="C466" s="1" t="s">
        <v>314</v>
      </c>
      <c r="D466" s="1" t="s">
        <v>315</v>
      </c>
      <c r="E466" s="816" t="s">
        <v>316</v>
      </c>
      <c r="F466" s="1412">
        <v>425064.95999999996</v>
      </c>
      <c r="G466" s="1412">
        <v>15421186.759999998</v>
      </c>
      <c r="H466" s="1412">
        <v>25459958.280000001</v>
      </c>
      <c r="I466" s="1412">
        <v>0</v>
      </c>
      <c r="J466" s="1394">
        <v>41306210</v>
      </c>
      <c r="K466" s="734">
        <f t="shared" si="9"/>
        <v>0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519"/>
      <c r="Y466" s="1504"/>
      <c r="Z466" s="1504"/>
      <c r="AA466" s="1504"/>
      <c r="AB466" s="1504"/>
      <c r="AC466" s="1503"/>
      <c r="AD466" s="339"/>
    </row>
    <row r="467" spans="1:31" s="321" customFormat="1" ht="15" x14ac:dyDescent="0.25">
      <c r="A467" s="1"/>
      <c r="B467" s="16">
        <v>4</v>
      </c>
      <c r="C467" s="1"/>
      <c r="D467" s="1"/>
      <c r="E467" s="816"/>
      <c r="F467" s="1395"/>
      <c r="G467" s="1395"/>
      <c r="H467" s="1395"/>
      <c r="I467" s="1395"/>
      <c r="J467" s="1394"/>
      <c r="K467" s="734">
        <f t="shared" si="9"/>
        <v>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519"/>
      <c r="Y467" s="1504"/>
      <c r="Z467" s="1504"/>
      <c r="AA467" s="1504"/>
      <c r="AB467" s="1504"/>
      <c r="AC467" s="1503"/>
      <c r="AD467" s="339"/>
      <c r="AE467" s="357"/>
    </row>
    <row r="468" spans="1:31" s="321" customFormat="1" ht="15" x14ac:dyDescent="0.25">
      <c r="A468" s="18"/>
      <c r="B468" s="16">
        <v>5</v>
      </c>
      <c r="C468" s="301" t="s">
        <v>317</v>
      </c>
      <c r="D468" s="1"/>
      <c r="E468" s="1315" t="s">
        <v>318</v>
      </c>
      <c r="F468" s="1389"/>
      <c r="G468" s="1389"/>
      <c r="H468" s="1389"/>
      <c r="I468" s="1389"/>
      <c r="J468" s="1394"/>
      <c r="K468" s="734">
        <f t="shared" si="9"/>
        <v>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494"/>
      <c r="Y468" s="1496"/>
      <c r="Z468" s="1496"/>
      <c r="AA468" s="1496"/>
      <c r="AB468" s="1496"/>
      <c r="AC468" s="1503"/>
      <c r="AD468" s="339"/>
      <c r="AE468" s="357"/>
    </row>
    <row r="469" spans="1:31" s="321" customFormat="1" ht="12.95" customHeight="1" x14ac:dyDescent="0.25">
      <c r="A469" s="18"/>
      <c r="B469" s="16">
        <v>6</v>
      </c>
      <c r="C469" s="8" t="s">
        <v>319</v>
      </c>
      <c r="D469" s="1"/>
      <c r="E469" s="16"/>
      <c r="F469" s="1389"/>
      <c r="G469" s="1389"/>
      <c r="H469" s="1389"/>
      <c r="I469" s="1389"/>
      <c r="J469" s="1394"/>
      <c r="K469" s="734">
        <f t="shared" si="9"/>
        <v>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497"/>
      <c r="Y469" s="1496"/>
      <c r="Z469" s="1496"/>
      <c r="AA469" s="1496"/>
      <c r="AB469" s="1496"/>
      <c r="AC469" s="1503"/>
      <c r="AD469" s="339"/>
      <c r="AE469" s="339"/>
    </row>
    <row r="470" spans="1:31" s="321" customFormat="1" x14ac:dyDescent="0.2">
      <c r="A470" s="18"/>
      <c r="B470" s="16">
        <v>7</v>
      </c>
      <c r="C470" s="1" t="s">
        <v>320</v>
      </c>
      <c r="D470" s="1" t="s">
        <v>321</v>
      </c>
      <c r="E470" s="52"/>
      <c r="F470" s="1410">
        <v>0</v>
      </c>
      <c r="G470" s="1410">
        <v>34378539</v>
      </c>
      <c r="H470" s="1410">
        <v>0</v>
      </c>
      <c r="I470" s="1410">
        <v>0</v>
      </c>
      <c r="J470" s="1406">
        <v>34378539</v>
      </c>
      <c r="K470" s="734">
        <f t="shared" si="9"/>
        <v>0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497"/>
      <c r="Y470" s="1517"/>
      <c r="Z470" s="1517"/>
      <c r="AA470" s="1517"/>
      <c r="AB470" s="1517"/>
      <c r="AC470" s="1503"/>
      <c r="AD470" s="339"/>
      <c r="AE470" s="339"/>
    </row>
    <row r="471" spans="1:31" s="321" customFormat="1" x14ac:dyDescent="0.2">
      <c r="A471" s="18"/>
      <c r="B471" s="16">
        <v>8</v>
      </c>
      <c r="C471" s="1" t="s">
        <v>322</v>
      </c>
      <c r="D471" s="1" t="s">
        <v>323</v>
      </c>
      <c r="E471" s="52"/>
      <c r="F471" s="1411">
        <v>0</v>
      </c>
      <c r="G471" s="1411">
        <v>758930.8</v>
      </c>
      <c r="H471" s="1411">
        <v>0</v>
      </c>
      <c r="I471" s="1411">
        <v>0</v>
      </c>
      <c r="J471" s="1429">
        <v>758930.8</v>
      </c>
      <c r="K471" s="734">
        <f t="shared" si="9"/>
        <v>0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514"/>
      <c r="Y471" s="1504"/>
      <c r="Z471" s="1504"/>
      <c r="AA471" s="1504"/>
      <c r="AB471" s="1504"/>
      <c r="AC471" s="1503"/>
      <c r="AD471" s="339"/>
      <c r="AE471" s="339"/>
    </row>
    <row r="472" spans="1:31" s="321" customFormat="1" x14ac:dyDescent="0.2">
      <c r="A472" s="18"/>
      <c r="B472" s="16">
        <v>9</v>
      </c>
      <c r="C472" s="1306" t="s">
        <v>322</v>
      </c>
      <c r="D472" s="1172" t="s">
        <v>1297</v>
      </c>
      <c r="E472" s="52"/>
      <c r="F472" s="1411">
        <v>0</v>
      </c>
      <c r="G472" s="1411">
        <v>0</v>
      </c>
      <c r="H472" s="1411">
        <v>0</v>
      </c>
      <c r="I472" s="1411">
        <v>0</v>
      </c>
      <c r="J472" s="1429">
        <v>0</v>
      </c>
      <c r="K472" s="734">
        <f t="shared" ref="K472:K489" si="11">J472-SUM(F472:I472)</f>
        <v>0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514"/>
      <c r="Y472" s="1504"/>
      <c r="Z472" s="1504"/>
      <c r="AA472" s="1504"/>
      <c r="AB472" s="1504"/>
      <c r="AC472" s="1503"/>
      <c r="AD472" s="357"/>
      <c r="AE472" s="339"/>
    </row>
    <row r="473" spans="1:31" s="321" customFormat="1" x14ac:dyDescent="0.2">
      <c r="A473" s="18"/>
      <c r="B473" s="16">
        <v>10</v>
      </c>
      <c r="C473" s="647" t="s">
        <v>674</v>
      </c>
      <c r="D473" s="1" t="s">
        <v>324</v>
      </c>
      <c r="E473" s="1"/>
      <c r="F473" s="1411">
        <v>0</v>
      </c>
      <c r="G473" s="1411">
        <v>13606322</v>
      </c>
      <c r="H473" s="1411">
        <v>14115591</v>
      </c>
      <c r="I473" s="1411">
        <v>85782</v>
      </c>
      <c r="J473" s="1429">
        <v>27807695</v>
      </c>
      <c r="K473" s="734">
        <f t="shared" si="11"/>
        <v>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492"/>
      <c r="Y473" s="1504"/>
      <c r="Z473" s="1504"/>
      <c r="AA473" s="1504"/>
      <c r="AB473" s="1504"/>
      <c r="AC473" s="1503"/>
      <c r="AD473" s="357"/>
      <c r="AE473" s="339"/>
    </row>
    <row r="474" spans="1:31" s="321" customFormat="1" x14ac:dyDescent="0.2">
      <c r="A474" s="18"/>
      <c r="B474" s="16">
        <v>11</v>
      </c>
      <c r="C474" s="647" t="s">
        <v>674</v>
      </c>
      <c r="D474" s="1" t="s">
        <v>325</v>
      </c>
      <c r="E474" s="18"/>
      <c r="F474" s="1411">
        <v>0</v>
      </c>
      <c r="G474" s="1411">
        <v>107361.28</v>
      </c>
      <c r="H474" s="1411">
        <v>0</v>
      </c>
      <c r="I474" s="1411">
        <v>0</v>
      </c>
      <c r="J474" s="1429">
        <v>107361.28</v>
      </c>
      <c r="K474" s="734">
        <f t="shared" si="11"/>
        <v>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492"/>
      <c r="Y474" s="1504"/>
      <c r="Z474" s="1504"/>
      <c r="AA474" s="1504"/>
      <c r="AB474" s="1504"/>
      <c r="AC474" s="1503"/>
      <c r="AD474" s="357"/>
      <c r="AE474" s="339"/>
    </row>
    <row r="475" spans="1:31" s="321" customFormat="1" x14ac:dyDescent="0.2">
      <c r="A475" s="18"/>
      <c r="B475" s="16">
        <v>12</v>
      </c>
      <c r="C475" s="647" t="s">
        <v>1135</v>
      </c>
      <c r="D475" s="1167" t="s">
        <v>1136</v>
      </c>
      <c r="E475" s="18"/>
      <c r="F475" s="1411"/>
      <c r="G475" s="1411"/>
      <c r="H475" s="1411"/>
      <c r="I475" s="1411"/>
      <c r="J475" s="1429"/>
      <c r="K475" s="734">
        <f t="shared" si="11"/>
        <v>0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492"/>
      <c r="Y475" s="1504"/>
      <c r="Z475" s="1504"/>
      <c r="AA475" s="1504"/>
      <c r="AB475" s="1504"/>
      <c r="AC475" s="1503"/>
      <c r="AD475" s="357"/>
      <c r="AE475" s="339"/>
    </row>
    <row r="476" spans="1:31" x14ac:dyDescent="0.2">
      <c r="A476" s="18"/>
      <c r="B476" s="16">
        <v>13</v>
      </c>
      <c r="C476" s="1"/>
      <c r="D476" s="1" t="s">
        <v>1152</v>
      </c>
      <c r="E476" s="18"/>
      <c r="F476" s="1411">
        <v>0</v>
      </c>
      <c r="G476" s="1411">
        <v>10615770.26</v>
      </c>
      <c r="H476" s="1411">
        <v>0</v>
      </c>
      <c r="I476" s="1411">
        <v>0</v>
      </c>
      <c r="J476" s="1429">
        <v>10615770.26</v>
      </c>
      <c r="K476" s="734">
        <f t="shared" si="11"/>
        <v>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492"/>
      <c r="Y476" s="1504"/>
      <c r="Z476" s="1504"/>
      <c r="AA476" s="1504"/>
      <c r="AB476" s="1504"/>
      <c r="AC476" s="1503"/>
      <c r="AD476" s="339"/>
      <c r="AE476" s="339"/>
    </row>
    <row r="477" spans="1:31" ht="15" x14ac:dyDescent="0.25">
      <c r="A477" s="21"/>
      <c r="B477" s="16">
        <v>14</v>
      </c>
      <c r="C477" s="1"/>
      <c r="D477" s="1" t="s">
        <v>1214</v>
      </c>
      <c r="E477" s="18"/>
      <c r="F477" s="1411">
        <v>961339</v>
      </c>
      <c r="G477" s="1411">
        <v>1282936.18</v>
      </c>
      <c r="H477" s="1411">
        <v>0</v>
      </c>
      <c r="I477" s="1411">
        <v>0</v>
      </c>
      <c r="J477" s="1429">
        <v>2244275.1799999997</v>
      </c>
      <c r="K477" s="734">
        <f t="shared" si="11"/>
        <v>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492"/>
      <c r="Y477" s="1504"/>
      <c r="Z477" s="1504"/>
      <c r="AA477" s="1504"/>
      <c r="AB477" s="1504"/>
      <c r="AC477" s="1503"/>
      <c r="AD477" s="339"/>
      <c r="AE477" s="339"/>
    </row>
    <row r="478" spans="1:31" x14ac:dyDescent="0.2">
      <c r="A478" s="18"/>
      <c r="B478" s="16">
        <v>15</v>
      </c>
      <c r="C478" s="1"/>
      <c r="D478" s="1" t="s">
        <v>1215</v>
      </c>
      <c r="E478" s="18"/>
      <c r="F478" s="1411">
        <v>11507204.149999999</v>
      </c>
      <c r="G478" s="1411">
        <v>0</v>
      </c>
      <c r="H478" s="1411">
        <v>0</v>
      </c>
      <c r="I478" s="1411">
        <v>0</v>
      </c>
      <c r="J478" s="1429">
        <v>11507204.149999999</v>
      </c>
      <c r="K478" s="734">
        <f t="shared" si="11"/>
        <v>0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500"/>
      <c r="Y478" s="1504"/>
      <c r="Z478" s="1504"/>
      <c r="AA478" s="1504"/>
      <c r="AB478" s="1504"/>
      <c r="AC478" s="1503"/>
      <c r="AD478" s="339"/>
    </row>
    <row r="479" spans="1:31" ht="15" x14ac:dyDescent="0.25">
      <c r="A479" s="21"/>
      <c r="B479" s="16">
        <v>16</v>
      </c>
      <c r="C479" s="1"/>
      <c r="D479" s="647" t="s">
        <v>1298</v>
      </c>
      <c r="E479" s="18"/>
      <c r="F479" s="1411">
        <v>1182437.47</v>
      </c>
      <c r="G479" s="1411">
        <v>36752.630000000005</v>
      </c>
      <c r="H479" s="1411">
        <v>0</v>
      </c>
      <c r="I479" s="1411">
        <v>0</v>
      </c>
      <c r="J479" s="1429">
        <v>1219190.1000000001</v>
      </c>
      <c r="K479" s="734">
        <f t="shared" si="11"/>
        <v>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500"/>
      <c r="Y479" s="1504"/>
      <c r="Z479" s="1504"/>
      <c r="AA479" s="1504"/>
      <c r="AB479" s="1504"/>
      <c r="AC479" s="1503"/>
      <c r="AD479" s="647"/>
    </row>
    <row r="480" spans="1:31" s="321" customFormat="1" x14ac:dyDescent="0.2">
      <c r="A480" s="1"/>
      <c r="B480" s="16">
        <v>17</v>
      </c>
      <c r="C480" s="1"/>
      <c r="D480" s="647" t="s">
        <v>1299</v>
      </c>
      <c r="E480" s="18"/>
      <c r="F480" s="1411">
        <v>369308.58</v>
      </c>
      <c r="G480" s="1411">
        <v>0</v>
      </c>
      <c r="H480" s="1411">
        <v>0</v>
      </c>
      <c r="I480" s="1411">
        <v>0</v>
      </c>
      <c r="J480" s="1429">
        <v>369308.58</v>
      </c>
      <c r="K480" s="734">
        <f t="shared" si="11"/>
        <v>0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500"/>
      <c r="Y480" s="1504"/>
      <c r="Z480" s="1504"/>
      <c r="AA480" s="1504"/>
      <c r="AB480" s="1504"/>
      <c r="AC480" s="1503"/>
      <c r="AD480" s="647"/>
      <c r="AE480" s="357"/>
    </row>
    <row r="481" spans="1:31" s="321" customFormat="1" x14ac:dyDescent="0.2">
      <c r="A481" s="1"/>
      <c r="B481" s="16">
        <v>18</v>
      </c>
      <c r="C481" s="1"/>
      <c r="D481" s="647" t="s">
        <v>1300</v>
      </c>
      <c r="E481" s="18"/>
      <c r="F481" s="1411">
        <v>260.98000000000013</v>
      </c>
      <c r="G481" s="1411">
        <v>0</v>
      </c>
      <c r="H481" s="1411">
        <v>0</v>
      </c>
      <c r="I481" s="1411">
        <v>0</v>
      </c>
      <c r="J481" s="1429">
        <v>260.98000000000013</v>
      </c>
      <c r="K481" s="734">
        <f t="shared" si="11"/>
        <v>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500"/>
      <c r="Y481" s="1504"/>
      <c r="Z481" s="1504"/>
      <c r="AA481" s="1504"/>
      <c r="AB481" s="1504"/>
      <c r="AC481" s="1503"/>
      <c r="AD481" s="647"/>
      <c r="AE481" s="339"/>
    </row>
    <row r="482" spans="1:31" s="321" customFormat="1" x14ac:dyDescent="0.2">
      <c r="A482" s="18"/>
      <c r="B482" s="16">
        <v>19</v>
      </c>
      <c r="C482" s="647" t="s">
        <v>334</v>
      </c>
      <c r="D482" s="26" t="s">
        <v>335</v>
      </c>
      <c r="E482" s="18"/>
      <c r="F482" s="1411">
        <v>28756794.140000001</v>
      </c>
      <c r="G482" s="1411">
        <v>6026344.0000000075</v>
      </c>
      <c r="H482" s="1411">
        <v>0</v>
      </c>
      <c r="I482" s="1411">
        <v>0</v>
      </c>
      <c r="J482" s="1429">
        <v>34783138.140000008</v>
      </c>
      <c r="K482" s="734">
        <f t="shared" si="11"/>
        <v>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500"/>
      <c r="Y482" s="1504"/>
      <c r="Z482" s="1504"/>
      <c r="AA482" s="1504"/>
      <c r="AB482" s="1504"/>
      <c r="AC482" s="1503"/>
      <c r="AD482" s="647"/>
      <c r="AE482" s="339"/>
    </row>
    <row r="483" spans="1:31" s="118" customFormat="1" ht="15" x14ac:dyDescent="0.25">
      <c r="A483" s="805"/>
      <c r="B483" s="16">
        <v>20</v>
      </c>
      <c r="C483" s="1"/>
      <c r="D483" s="620" t="s">
        <v>1301</v>
      </c>
      <c r="E483" s="18"/>
      <c r="F483" s="1411">
        <v>1987707.08</v>
      </c>
      <c r="G483" s="1411">
        <v>0</v>
      </c>
      <c r="H483" s="1411">
        <v>0</v>
      </c>
      <c r="I483" s="1411">
        <v>0</v>
      </c>
      <c r="J483" s="1429">
        <v>1987707.08</v>
      </c>
      <c r="K483" s="734">
        <f t="shared" si="11"/>
        <v>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500"/>
      <c r="Y483" s="1504"/>
      <c r="Z483" s="1504"/>
      <c r="AA483" s="1504"/>
      <c r="AB483" s="1504"/>
      <c r="AC483" s="1503"/>
      <c r="AD483" s="339"/>
      <c r="AE483" s="8"/>
    </row>
    <row r="484" spans="1:31" s="321" customFormat="1" x14ac:dyDescent="0.2">
      <c r="A484" s="18"/>
      <c r="B484" s="16">
        <v>21</v>
      </c>
      <c r="C484" s="1"/>
      <c r="D484" s="650" t="s">
        <v>1302</v>
      </c>
      <c r="E484" s="18"/>
      <c r="F484" s="1411">
        <v>1366665.33</v>
      </c>
      <c r="G484" s="1411">
        <v>0</v>
      </c>
      <c r="H484" s="1411">
        <v>0</v>
      </c>
      <c r="I484" s="1411">
        <v>0</v>
      </c>
      <c r="J484" s="1429">
        <v>1366665.33</v>
      </c>
      <c r="K484" s="734">
        <f t="shared" si="11"/>
        <v>0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500"/>
      <c r="Y484" s="1504"/>
      <c r="Z484" s="1504"/>
      <c r="AA484" s="1504"/>
      <c r="AB484" s="1504"/>
      <c r="AC484" s="1503"/>
      <c r="AD484" s="339"/>
      <c r="AE484" s="339"/>
    </row>
    <row r="485" spans="1:31" s="620" customFormat="1" ht="15" x14ac:dyDescent="0.25">
      <c r="A485" s="803"/>
      <c r="B485" s="16">
        <v>22</v>
      </c>
      <c r="C485" s="805"/>
      <c r="D485" s="805"/>
      <c r="E485" s="805"/>
      <c r="F485" s="1412"/>
      <c r="G485" s="1412"/>
      <c r="H485" s="1412"/>
      <c r="I485" s="1412"/>
      <c r="J485" s="1405">
        <v>0</v>
      </c>
      <c r="K485" s="734">
        <f t="shared" si="11"/>
        <v>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500"/>
      <c r="Y485" s="1504"/>
      <c r="Z485" s="1504"/>
      <c r="AA485" s="1504"/>
      <c r="AB485" s="1504"/>
      <c r="AC485" s="1503"/>
      <c r="AD485" s="339"/>
      <c r="AE485" s="647"/>
    </row>
    <row r="486" spans="1:31" s="620" customFormat="1" ht="15" x14ac:dyDescent="0.25">
      <c r="A486" s="803"/>
      <c r="B486" s="16">
        <v>23</v>
      </c>
      <c r="C486" s="805"/>
      <c r="D486" s="805"/>
      <c r="E486" s="805"/>
      <c r="F486" s="1392"/>
      <c r="G486" s="1392"/>
      <c r="H486" s="1392"/>
      <c r="I486" s="1392"/>
      <c r="J486" s="1392"/>
      <c r="K486" s="734">
        <f t="shared" si="11"/>
        <v>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502"/>
      <c r="Y486" s="1502"/>
      <c r="Z486" s="1502"/>
      <c r="AA486" s="1502"/>
      <c r="AB486" s="1502"/>
      <c r="AC486" s="1502"/>
      <c r="AD486" s="339"/>
      <c r="AE486" s="647"/>
    </row>
    <row r="487" spans="1:31" s="620" customFormat="1" ht="15" x14ac:dyDescent="0.25">
      <c r="A487" s="803"/>
      <c r="B487" s="16">
        <v>24</v>
      </c>
      <c r="C487" s="805" t="s">
        <v>336</v>
      </c>
      <c r="D487" s="1"/>
      <c r="E487" s="1315" t="s">
        <v>262</v>
      </c>
      <c r="F487" s="1407">
        <v>87185858.019999996</v>
      </c>
      <c r="G487" s="1408">
        <v>222468970.81999999</v>
      </c>
      <c r="H487" s="1408">
        <v>57783928.270000003</v>
      </c>
      <c r="I487" s="1409">
        <v>22504463.84999999</v>
      </c>
      <c r="J487" s="1394">
        <v>389943220.95999992</v>
      </c>
      <c r="K487" s="734">
        <f t="shared" si="11"/>
        <v>0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494"/>
      <c r="Y487" s="1504"/>
      <c r="Z487" s="1504"/>
      <c r="AA487" s="1504"/>
      <c r="AB487" s="1504"/>
      <c r="AC487" s="1503"/>
      <c r="AD487" s="339"/>
      <c r="AE487" s="647"/>
    </row>
    <row r="488" spans="1:31" s="620" customFormat="1" ht="15" x14ac:dyDescent="0.25">
      <c r="A488" s="803"/>
      <c r="B488" s="16">
        <v>25</v>
      </c>
      <c r="C488" s="805"/>
      <c r="D488" s="805"/>
      <c r="E488" s="1315"/>
      <c r="F488" s="1392"/>
      <c r="G488" s="1392"/>
      <c r="H488" s="1392"/>
      <c r="I488" s="1392"/>
      <c r="J488" s="1392"/>
      <c r="K488" s="734">
        <f t="shared" si="11"/>
        <v>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502"/>
      <c r="X488" s="1494"/>
      <c r="Y488" s="1502"/>
      <c r="Z488" s="1502"/>
      <c r="AA488" s="1502"/>
      <c r="AB488" s="1502"/>
      <c r="AC488" s="1502"/>
      <c r="AD488" s="339"/>
      <c r="AE488" s="647"/>
    </row>
    <row r="489" spans="1:31" s="321" customFormat="1" ht="15" x14ac:dyDescent="0.25">
      <c r="A489" s="18"/>
      <c r="B489" s="16">
        <v>26</v>
      </c>
      <c r="C489" s="805" t="s">
        <v>1216</v>
      </c>
      <c r="D489" s="1"/>
      <c r="E489" s="1315" t="s">
        <v>338</v>
      </c>
      <c r="F489" s="1404">
        <v>1911456212.2359519</v>
      </c>
      <c r="G489" s="1404">
        <v>5560092637.2491837</v>
      </c>
      <c r="H489" s="1404">
        <v>205242613.15620071</v>
      </c>
      <c r="I489" s="1404">
        <v>121664346.90898402</v>
      </c>
      <c r="J489" s="1394">
        <v>7798455809.5503206</v>
      </c>
      <c r="K489" s="734">
        <f t="shared" si="11"/>
        <v>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492"/>
      <c r="X489" s="1494"/>
      <c r="Y489" s="1550"/>
      <c r="Z489" s="1550"/>
      <c r="AA489" s="1550"/>
      <c r="AB489" s="1550"/>
      <c r="AC489" s="1503"/>
      <c r="AD489" s="339"/>
      <c r="AE489" s="339"/>
    </row>
    <row r="490" spans="1:31" s="321" customFormat="1" ht="15" x14ac:dyDescent="0.25">
      <c r="A490" s="805"/>
      <c r="B490" s="16">
        <f t="shared" ref="B490:B506" si="12">B489+1</f>
        <v>27</v>
      </c>
      <c r="C490" s="647"/>
      <c r="D490" s="1"/>
      <c r="E490" s="1"/>
      <c r="F490" s="803"/>
      <c r="G490" s="803"/>
      <c r="H490" s="803"/>
      <c r="I490" s="803"/>
      <c r="J490" s="1"/>
      <c r="K490" s="734">
        <f t="shared" ref="K490:K492" si="13">J501-SUM(F501:I501)</f>
        <v>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492"/>
      <c r="W490" s="1492"/>
      <c r="X490" s="1492"/>
      <c r="Y490" s="1492"/>
      <c r="Z490" s="1492"/>
      <c r="AA490" s="1492"/>
      <c r="AB490" s="1492"/>
      <c r="AC490" s="1492"/>
      <c r="AD490" s="339"/>
      <c r="AE490" s="339"/>
    </row>
    <row r="491" spans="1:31" s="321" customFormat="1" x14ac:dyDescent="0.2">
      <c r="A491" s="1"/>
      <c r="B491" s="16">
        <f t="shared" si="12"/>
        <v>28</v>
      </c>
      <c r="C491" s="56"/>
      <c r="D491" s="56"/>
      <c r="E491" s="18"/>
      <c r="F491" s="18"/>
      <c r="G491" s="18"/>
      <c r="H491" s="18"/>
      <c r="I491" s="18"/>
      <c r="J491" s="18"/>
      <c r="K491" s="734">
        <f t="shared" si="13"/>
        <v>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517"/>
      <c r="W491" s="1517"/>
      <c r="X491" s="1500"/>
      <c r="Y491" s="1500"/>
      <c r="Z491" s="1500"/>
      <c r="AA491" s="1500"/>
      <c r="AB491" s="1500"/>
      <c r="AC491" s="1500"/>
      <c r="AD491" s="339"/>
      <c r="AE491" s="339"/>
    </row>
    <row r="492" spans="1:31" s="321" customFormat="1" ht="15" x14ac:dyDescent="0.25">
      <c r="A492" s="1"/>
      <c r="B492" s="16">
        <f t="shared" si="12"/>
        <v>29</v>
      </c>
      <c r="C492" s="1080"/>
      <c r="D492" s="1081" t="s">
        <v>339</v>
      </c>
      <c r="E492" s="613"/>
      <c r="F492" s="1082">
        <f>(SUM(F18:F20)-SUM(F22:F24)+SUM(F26:F38)-SUM(F40:F52)+SUM(F56:F72)-SUM(F74:F89)+SUM(F93:F106)-SUM(F108:F121)+SUM(F125:F132)-F133+SUM(F135:F210))</f>
        <v>12193889929.664677</v>
      </c>
      <c r="G492" s="1082">
        <f>(SUM(G18:G20)-SUM(G22:G24)+SUM(G26:G38)-SUM(G40:G52)+SUM(G56:G72)-SUM(G74:G89)+SUM(G93:G106)-SUM(G108:G121)+SUM(G125:G132)-G133+SUM(G135:G210))</f>
        <v>13507608593.429489</v>
      </c>
      <c r="H492" s="1082">
        <f>(SUM(H18:H20)-SUM(H22:H24)+SUM(H26:H38)-SUM(H40:H52)+SUM(H56:H72)-SUM(H74:H89)+SUM(H93:H106)-SUM(H108:H121)+SUM(H125:H132)-H133+SUM(H135:H210))</f>
        <v>441137289.90897888</v>
      </c>
      <c r="I492" s="1082">
        <f>(SUM(I18:I20)-SUM(I22:I24)+SUM(I26:I38)-SUM(I40:I52)+SUM(I56:I72)-SUM(I74:I89)+SUM(I93:I106)-SUM(I108:I121)+SUM(I125:I132)-I133+SUM(I135:I210))</f>
        <v>230067007.21531481</v>
      </c>
      <c r="J492" s="1083">
        <f>SUM(F492:I492)</f>
        <v>26372702820.218456</v>
      </c>
      <c r="K492" s="734">
        <f t="shared" si="13"/>
        <v>0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517"/>
      <c r="W492" s="1447"/>
      <c r="X492" s="1500"/>
      <c r="Y492" s="1520"/>
      <c r="Z492" s="1520"/>
      <c r="AA492" s="1520"/>
      <c r="AB492" s="1520"/>
      <c r="AC492" s="1503"/>
      <c r="AD492" s="339"/>
      <c r="AE492" s="339"/>
    </row>
    <row r="493" spans="1:31" s="321" customFormat="1" x14ac:dyDescent="0.2">
      <c r="A493" s="1"/>
      <c r="B493" s="16">
        <f t="shared" si="12"/>
        <v>30</v>
      </c>
      <c r="C493" s="56"/>
      <c r="D493" s="1084"/>
      <c r="E493" s="18"/>
      <c r="F493" s="18"/>
      <c r="G493" s="18"/>
      <c r="H493" s="18"/>
      <c r="I493" s="18"/>
      <c r="J493" s="18"/>
      <c r="K493" s="734">
        <f t="shared" ref="K493:K502" si="14">J504-SUM(F504:I504)</f>
        <v>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517"/>
      <c r="W493" s="1448"/>
      <c r="X493" s="1500"/>
      <c r="Y493" s="1500"/>
      <c r="Z493" s="1500"/>
      <c r="AA493" s="1500"/>
      <c r="AB493" s="1500"/>
      <c r="AC493" s="1500"/>
      <c r="AD493" s="339"/>
      <c r="AE493" s="339"/>
    </row>
    <row r="494" spans="1:31" s="321" customFormat="1" x14ac:dyDescent="0.2">
      <c r="A494" s="18"/>
      <c r="B494" s="16">
        <f t="shared" si="12"/>
        <v>31</v>
      </c>
      <c r="C494" s="56"/>
      <c r="D494" s="1085" t="s">
        <v>340</v>
      </c>
      <c r="E494" s="803"/>
      <c r="F494" s="1086">
        <f>F492*F211</f>
        <v>910883577.74595141</v>
      </c>
      <c r="G494" s="1086">
        <f>G492*G211</f>
        <v>1009018361.9291829</v>
      </c>
      <c r="H494" s="1086">
        <f>H492*H211</f>
        <v>32952955.556200724</v>
      </c>
      <c r="I494" s="1086">
        <f>I492*I211</f>
        <v>17186005.438984018</v>
      </c>
      <c r="J494" s="1086">
        <f t="shared" ref="J494:J499" si="15">SUM(F494:I494)</f>
        <v>1970040900.6703188</v>
      </c>
      <c r="K494" s="734">
        <f t="shared" si="14"/>
        <v>0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517"/>
      <c r="W494" s="1447"/>
      <c r="X494" s="1500"/>
      <c r="Y494" s="1520"/>
      <c r="Z494" s="1520"/>
      <c r="AA494" s="1520"/>
      <c r="AB494" s="1520"/>
      <c r="AC494" s="1503"/>
      <c r="AD494" s="339"/>
      <c r="AE494" s="339"/>
    </row>
    <row r="495" spans="1:31" s="321" customFormat="1" x14ac:dyDescent="0.2">
      <c r="A495" s="18"/>
      <c r="B495" s="16">
        <f t="shared" si="12"/>
        <v>32</v>
      </c>
      <c r="C495" s="56"/>
      <c r="D495" s="1085" t="s">
        <v>341</v>
      </c>
      <c r="E495" s="803"/>
      <c r="F495" s="1086">
        <f>SUM(F215:F285)</f>
        <v>290600629.23999995</v>
      </c>
      <c r="G495" s="1086">
        <f>SUM(G215:G285)</f>
        <v>3328439803.2399993</v>
      </c>
      <c r="H495" s="1086">
        <f>SUM(H215:H285)</f>
        <v>120417779.07000001</v>
      </c>
      <c r="I495" s="1086">
        <f>SUM(I215:I285)</f>
        <v>58136339.030000001</v>
      </c>
      <c r="J495" s="1086">
        <f t="shared" si="15"/>
        <v>3797594550.5799994</v>
      </c>
      <c r="K495" s="734">
        <f t="shared" si="14"/>
        <v>1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517"/>
      <c r="W495" s="1447"/>
      <c r="X495" s="1500"/>
      <c r="Y495" s="1520"/>
      <c r="Z495" s="1520"/>
      <c r="AA495" s="1520"/>
      <c r="AB495" s="1520"/>
      <c r="AC495" s="1503"/>
      <c r="AD495" s="339"/>
      <c r="AE495" s="339"/>
    </row>
    <row r="496" spans="1:31" s="321" customFormat="1" x14ac:dyDescent="0.2">
      <c r="A496" s="18"/>
      <c r="B496" s="16">
        <f t="shared" si="12"/>
        <v>33</v>
      </c>
      <c r="C496" s="56"/>
      <c r="D496" s="1085" t="s">
        <v>342</v>
      </c>
      <c r="E496" s="803"/>
      <c r="F496" s="1086">
        <f>SUM(F367:F417)+SUM(F465:F466)</f>
        <v>480344726.87</v>
      </c>
      <c r="G496" s="1086">
        <f>SUM(G367:G417)+SUM(G465:G466)</f>
        <v>666845677.53999984</v>
      </c>
      <c r="H496" s="1086">
        <f>SUM(H367:H417)+SUM(H465:H466)</f>
        <v>55297654.11999999</v>
      </c>
      <c r="I496" s="1086">
        <f>SUM(I367:I417)+SUM(I465:I466)</f>
        <v>39993573.500000007</v>
      </c>
      <c r="J496" s="1086">
        <f t="shared" si="15"/>
        <v>1242481632.0299997</v>
      </c>
      <c r="K496" s="734">
        <f>J507-SUM(F507:I507)</f>
        <v>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517"/>
      <c r="W496" s="1447"/>
      <c r="X496" s="1500"/>
      <c r="Y496" s="1520"/>
      <c r="Z496" s="1520"/>
      <c r="AA496" s="1520"/>
      <c r="AB496" s="1520"/>
      <c r="AC496" s="1503"/>
      <c r="AD496" s="339"/>
      <c r="AE496" s="339"/>
    </row>
    <row r="497" spans="1:31" s="321" customFormat="1" x14ac:dyDescent="0.2">
      <c r="A497" s="18"/>
      <c r="B497" s="16">
        <f t="shared" si="12"/>
        <v>34</v>
      </c>
      <c r="C497" s="56"/>
      <c r="D497" s="1085" t="s">
        <v>343</v>
      </c>
      <c r="E497" s="803"/>
      <c r="F497" s="1086">
        <f>SUM(F420:F429)</f>
        <v>147081866.30000001</v>
      </c>
      <c r="G497" s="1086">
        <f t="shared" ref="G497:I497" si="16">SUM(G420:G429)</f>
        <v>482520278.13999999</v>
      </c>
      <c r="H497" s="1086">
        <f t="shared" si="16"/>
        <v>8908968.5600000005</v>
      </c>
      <c r="I497" s="1086">
        <f t="shared" si="16"/>
        <v>3557512.7199999979</v>
      </c>
      <c r="J497" s="1086">
        <f t="shared" si="15"/>
        <v>642068625.72000003</v>
      </c>
      <c r="K497" s="734">
        <f t="shared" si="14"/>
        <v>0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517"/>
      <c r="W497" s="1447"/>
      <c r="X497" s="1500"/>
      <c r="Y497" s="1520"/>
      <c r="Z497" s="1520"/>
      <c r="AA497" s="1520"/>
      <c r="AB497" s="1520"/>
      <c r="AC497" s="1503"/>
      <c r="AD497" s="357"/>
      <c r="AE497" s="339"/>
    </row>
    <row r="498" spans="1:31" s="321" customFormat="1" x14ac:dyDescent="0.2">
      <c r="A498" s="57"/>
      <c r="B498" s="16">
        <f t="shared" si="12"/>
        <v>35</v>
      </c>
      <c r="C498" s="56"/>
      <c r="D498" s="1087" t="s">
        <v>344</v>
      </c>
      <c r="E498" s="18"/>
      <c r="F498" s="1088">
        <f>(F494-SUM(F433:F439)+SUM(F444:F450))*(0.21/(1-0.21))-SUM(F452:F456)+SUM(F458:F461)</f>
        <v>128677128.80689844</v>
      </c>
      <c r="G498" s="60">
        <f>(G494-SUM(G433:G439)+SUM(G444:G450))*(0.21/(1-0.21))-SUM(G452:G456)+SUM(G458:G461)</f>
        <v>140081472.55408657</v>
      </c>
      <c r="H498" s="60">
        <f>(H494-SUM(H433:H439)+SUM(H444:H450))*(0.21/(1-0.21))-SUM(H452:H456)+SUM(H458:H461)</f>
        <v>1780846.8491166488</v>
      </c>
      <c r="I498" s="60">
        <f>(I494-SUM(I433:I439)+SUM(I444:I450))*(0.21/(1-0.21))-SUM(I452:I456)+SUM(I458:I461)</f>
        <v>2876698.2188438545</v>
      </c>
      <c r="J498" s="60">
        <f t="shared" si="15"/>
        <v>273416146.42894554</v>
      </c>
      <c r="K498" s="734">
        <f t="shared" si="14"/>
        <v>0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517"/>
      <c r="W498" s="1447"/>
      <c r="X498" s="1500"/>
      <c r="Y498" s="1520"/>
      <c r="Z498" s="1520"/>
      <c r="AA498" s="1520"/>
      <c r="AB498" s="1520"/>
      <c r="AC498" s="1503"/>
      <c r="AD498" s="357"/>
      <c r="AE498" s="339"/>
    </row>
    <row r="499" spans="1:31" s="321" customFormat="1" ht="16.5" x14ac:dyDescent="0.35">
      <c r="B499" s="16">
        <f t="shared" si="12"/>
        <v>36</v>
      </c>
      <c r="C499" s="805"/>
      <c r="D499" s="1087" t="s">
        <v>345</v>
      </c>
      <c r="E499" s="805"/>
      <c r="F499" s="1089">
        <f>-SUM(F469:F484)</f>
        <v>-46131716.729999997</v>
      </c>
      <c r="G499" s="1089">
        <f t="shared" ref="G499:I499" si="17">-SUM(G469:G484)</f>
        <v>-66812956.150000006</v>
      </c>
      <c r="H499" s="1089">
        <f t="shared" si="17"/>
        <v>-14115591</v>
      </c>
      <c r="I499" s="1089">
        <f t="shared" si="17"/>
        <v>-85782</v>
      </c>
      <c r="J499" s="1089">
        <f t="shared" si="15"/>
        <v>-127146045.88</v>
      </c>
      <c r="K499" s="734">
        <f t="shared" si="14"/>
        <v>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502"/>
      <c r="W499" s="1447"/>
      <c r="X499" s="1502"/>
      <c r="Y499" s="1521"/>
      <c r="Z499" s="1521"/>
      <c r="AA499" s="1521"/>
      <c r="AB499" s="1521"/>
      <c r="AC499" s="1521"/>
      <c r="AD499" s="357"/>
      <c r="AE499" s="339"/>
    </row>
    <row r="500" spans="1:31" ht="15" x14ac:dyDescent="0.25">
      <c r="B500" s="16">
        <f t="shared" si="12"/>
        <v>37</v>
      </c>
      <c r="C500" s="1"/>
      <c r="D500" s="1087" t="s">
        <v>346</v>
      </c>
      <c r="E500" s="805"/>
      <c r="F500" s="60">
        <f t="shared" ref="F500:I500" si="18">SUM(F494:F499)</f>
        <v>1911456212.2328496</v>
      </c>
      <c r="G500" s="60">
        <f t="shared" si="18"/>
        <v>5560092637.2532692</v>
      </c>
      <c r="H500" s="60">
        <f t="shared" si="18"/>
        <v>205242613.1553174</v>
      </c>
      <c r="I500" s="60">
        <f t="shared" si="18"/>
        <v>121664346.90782788</v>
      </c>
      <c r="J500" s="60">
        <f>SUM(F500:I500)</f>
        <v>7798455809.549264</v>
      </c>
      <c r="K500" s="734">
        <f t="shared" si="14"/>
        <v>4.76837158203125E-7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492"/>
      <c r="W500" s="1449"/>
      <c r="X500" s="1502"/>
      <c r="Y500" s="1520"/>
      <c r="Z500" s="1520"/>
      <c r="AA500" s="1520"/>
      <c r="AB500" s="1520"/>
      <c r="AC500" s="1520"/>
    </row>
    <row r="501" spans="1:31" x14ac:dyDescent="0.2">
      <c r="B501" s="16">
        <f t="shared" si="12"/>
        <v>38</v>
      </c>
      <c r="C501" s="1"/>
      <c r="D501" s="61"/>
      <c r="E501" s="1"/>
      <c r="F501" s="1"/>
      <c r="G501" s="1"/>
      <c r="H501" s="1"/>
      <c r="I501" s="1"/>
      <c r="J501" s="1"/>
      <c r="K501" s="734">
        <f t="shared" si="14"/>
        <v>0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492"/>
      <c r="W501" s="1492"/>
      <c r="X501" s="1492"/>
      <c r="Y501" s="1492"/>
      <c r="Z501" s="1492"/>
      <c r="AA501" s="1492"/>
      <c r="AB501" s="1492"/>
      <c r="AC501" s="1492"/>
    </row>
    <row r="502" spans="1:31" ht="15" x14ac:dyDescent="0.25">
      <c r="B502" s="16">
        <f t="shared" si="12"/>
        <v>39</v>
      </c>
      <c r="C502" s="56"/>
      <c r="D502" s="1090" t="s">
        <v>347</v>
      </c>
      <c r="E502" s="62"/>
      <c r="F502" s="1091" t="b">
        <f t="shared" ref="F502:J502" si="19">IF(ROUND(F500,0)=ROUND(F489,0),TRUE,F500-F489)</f>
        <v>1</v>
      </c>
      <c r="G502" s="1091" t="b">
        <f t="shared" si="19"/>
        <v>1</v>
      </c>
      <c r="H502" s="1091" t="b">
        <f t="shared" si="19"/>
        <v>1</v>
      </c>
      <c r="I502" s="1091" t="b">
        <f t="shared" si="19"/>
        <v>1</v>
      </c>
      <c r="J502" s="1091" t="b">
        <f t="shared" si="19"/>
        <v>1</v>
      </c>
      <c r="K502" s="734">
        <f t="shared" si="14"/>
        <v>0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517"/>
      <c r="W502" s="1449"/>
      <c r="X502" s="1492"/>
      <c r="Y502" s="1568"/>
      <c r="Z502" s="1568"/>
      <c r="AA502" s="1568"/>
      <c r="AB502" s="1568"/>
      <c r="AC502" s="1568"/>
    </row>
    <row r="503" spans="1:31" x14ac:dyDescent="0.2">
      <c r="B503" s="16">
        <f t="shared" si="12"/>
        <v>40</v>
      </c>
      <c r="C503" s="56"/>
      <c r="D503" s="56"/>
      <c r="E503" s="18"/>
      <c r="F503" s="18"/>
      <c r="G503" s="18"/>
      <c r="H503" s="18"/>
      <c r="I503" s="18"/>
      <c r="J503" s="1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517"/>
      <c r="W503" s="1517"/>
      <c r="X503" s="1500"/>
      <c r="Y503" s="1500"/>
      <c r="Z503" s="1500"/>
      <c r="AA503" s="1500"/>
      <c r="AB503" s="1500"/>
      <c r="AC503" s="1500"/>
    </row>
    <row r="504" spans="1:31" ht="15" x14ac:dyDescent="0.25">
      <c r="B504" s="16">
        <f t="shared" si="12"/>
        <v>41</v>
      </c>
      <c r="C504" s="56"/>
      <c r="D504" s="1092" t="s">
        <v>348</v>
      </c>
      <c r="E504" s="59"/>
      <c r="F504" s="59">
        <f>SUM(F287:F359)</f>
        <v>87185858.019999981</v>
      </c>
      <c r="G504" s="59">
        <f>SUM(G287:G359)</f>
        <v>222468970.81999999</v>
      </c>
      <c r="H504" s="59">
        <f>SUM(H287:H359)</f>
        <v>57783928.270000003</v>
      </c>
      <c r="I504" s="59">
        <f>SUM(I287:I359)</f>
        <v>22504463.84999999</v>
      </c>
      <c r="J504" s="59">
        <f>SUM(J287:J359)</f>
        <v>389943220.95999992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517"/>
      <c r="W504" s="1449"/>
      <c r="X504" s="1500"/>
      <c r="Y504" s="1500"/>
      <c r="Z504" s="1500"/>
      <c r="AA504" s="1500"/>
      <c r="AB504" s="1500"/>
      <c r="AC504" s="1500"/>
    </row>
    <row r="505" spans="1:31" x14ac:dyDescent="0.2">
      <c r="B505" s="16">
        <f t="shared" si="12"/>
        <v>42</v>
      </c>
      <c r="C505" s="56"/>
      <c r="D505" s="1093"/>
      <c r="E505" s="18"/>
      <c r="F505" s="18"/>
      <c r="G505" s="18"/>
      <c r="H505" s="18"/>
      <c r="I505" s="18"/>
      <c r="J505" s="1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517"/>
      <c r="W505" s="1451"/>
      <c r="X505" s="1500"/>
      <c r="Y505" s="1500"/>
      <c r="Z505" s="1500"/>
      <c r="AA505" s="1500"/>
      <c r="AB505" s="1500"/>
      <c r="AC505" s="1500"/>
    </row>
    <row r="506" spans="1:31" ht="15" x14ac:dyDescent="0.25">
      <c r="B506" s="16">
        <f t="shared" si="12"/>
        <v>43</v>
      </c>
      <c r="C506" s="56"/>
      <c r="D506" s="1090" t="s">
        <v>347</v>
      </c>
      <c r="E506" s="62"/>
      <c r="F506" s="1094" t="b">
        <f t="shared" ref="F506:J506" si="20">IF(ROUND(F504,2)=ROUND(F487,2),TRUE,F504-F487)</f>
        <v>1</v>
      </c>
      <c r="G506" s="1094" t="b">
        <f t="shared" si="20"/>
        <v>1</v>
      </c>
      <c r="H506" s="1094" t="b">
        <f t="shared" si="20"/>
        <v>1</v>
      </c>
      <c r="I506" s="1094" t="b">
        <f t="shared" si="20"/>
        <v>1</v>
      </c>
      <c r="J506" s="1094" t="b">
        <f t="shared" si="20"/>
        <v>1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517"/>
      <c r="W506" s="1449"/>
      <c r="X506" s="1492"/>
      <c r="Y506" s="1569"/>
      <c r="Z506" s="1569"/>
      <c r="AA506" s="1569"/>
      <c r="AB506" s="1569"/>
      <c r="AC506" s="1569"/>
    </row>
    <row r="507" spans="1:31" x14ac:dyDescent="0.2">
      <c r="B507" s="57"/>
      <c r="C507" s="57"/>
      <c r="D507" s="57"/>
      <c r="E507" s="57"/>
      <c r="F507" s="57"/>
      <c r="G507" s="57"/>
      <c r="H507" s="57"/>
      <c r="I507" s="57"/>
      <c r="J507" s="5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491"/>
      <c r="W507" s="1491"/>
      <c r="X507" s="1491"/>
      <c r="Y507" s="1491"/>
      <c r="Z507" s="1491"/>
      <c r="AA507" s="1491"/>
      <c r="AB507" s="1491"/>
      <c r="AC507" s="1491"/>
    </row>
    <row r="508" spans="1:31" x14ac:dyDescent="0.2">
      <c r="E508" s="620"/>
      <c r="F508" s="1015"/>
      <c r="G508" s="1015"/>
      <c r="H508" s="1015"/>
      <c r="I508" s="1015"/>
      <c r="J508" s="1015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570"/>
      <c r="W508" s="1524"/>
      <c r="X508" s="1570"/>
      <c r="Y508" s="1503"/>
      <c r="Z508" s="1503"/>
      <c r="AA508" s="1503"/>
      <c r="AB508" s="1503"/>
      <c r="AC508" s="1503"/>
    </row>
    <row r="509" spans="1:31" x14ac:dyDescent="0.2">
      <c r="D509" s="589" t="s">
        <v>1158</v>
      </c>
      <c r="E509"/>
      <c r="F509" s="612">
        <f>SUM(F494:F498)</f>
        <v>1957587928.9628496</v>
      </c>
      <c r="G509" s="612">
        <f t="shared" ref="G509:J509" si="21">SUM(G494:G498)</f>
        <v>5626905593.4032688</v>
      </c>
      <c r="H509" s="612">
        <f t="shared" si="21"/>
        <v>219358204.1553174</v>
      </c>
      <c r="I509" s="612">
        <f t="shared" si="21"/>
        <v>121750128.90782788</v>
      </c>
      <c r="J509" s="612">
        <f t="shared" si="21"/>
        <v>7925601855.4292641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373"/>
      <c r="W509" s="1373"/>
      <c r="X509" s="1371"/>
      <c r="Y509" s="1371"/>
      <c r="Z509" s="1371"/>
      <c r="AA509" s="1371"/>
      <c r="AB509" s="1371"/>
      <c r="AC509" s="1371"/>
    </row>
    <row r="510" spans="1:31" x14ac:dyDescent="0.2">
      <c r="D510" s="620" t="s">
        <v>1159</v>
      </c>
      <c r="F510" s="612">
        <f>SUM(F494:F499)</f>
        <v>1911456212.2328496</v>
      </c>
      <c r="G510" s="612">
        <f t="shared" ref="G510:J510" si="22">SUM(G494:G499)</f>
        <v>5560092637.2532692</v>
      </c>
      <c r="H510" s="612">
        <f t="shared" si="22"/>
        <v>205242613.1553174</v>
      </c>
      <c r="I510" s="612">
        <f t="shared" si="22"/>
        <v>121664346.90782788</v>
      </c>
      <c r="J510" s="612">
        <f t="shared" si="22"/>
        <v>7798455809.549264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31" x14ac:dyDescent="0.2">
      <c r="D511" s="647" t="s">
        <v>1204</v>
      </c>
      <c r="F511" s="1016">
        <f>F509-F510</f>
        <v>46131716.730000019</v>
      </c>
      <c r="G511" s="1016">
        <f t="shared" ref="G511:J511" si="23">G509-G510</f>
        <v>66812956.149999619</v>
      </c>
      <c r="H511" s="1016">
        <f t="shared" si="23"/>
        <v>14115591</v>
      </c>
      <c r="I511" s="1016">
        <f>I509-I510</f>
        <v>85782</v>
      </c>
      <c r="J511" s="1016">
        <f t="shared" si="23"/>
        <v>127146045.88000011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373"/>
      <c r="W511" s="1373"/>
      <c r="X511" s="1371"/>
      <c r="Y511" s="1371"/>
      <c r="Z511" s="1371"/>
      <c r="AA511" s="1371"/>
      <c r="AB511" s="1371"/>
      <c r="AC511" s="1371"/>
    </row>
    <row r="512" spans="1:31" ht="15" x14ac:dyDescent="0.25">
      <c r="D512" s="620"/>
      <c r="F512" s="805"/>
      <c r="G512" s="805"/>
      <c r="H512" s="805"/>
      <c r="I512" s="805"/>
      <c r="J512" s="19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373"/>
      <c r="W512" s="1373"/>
      <c r="X512" s="1371"/>
      <c r="Y512" s="1371"/>
      <c r="Z512" s="1371"/>
      <c r="AA512" s="1371"/>
      <c r="AB512" s="1371"/>
      <c r="AC512" s="1371"/>
    </row>
    <row r="513" spans="4:23" x14ac:dyDescent="0.2">
      <c r="D513" s="647"/>
      <c r="E513" s="339"/>
      <c r="F513" s="339"/>
      <c r="G513" s="339"/>
      <c r="H513" s="339"/>
      <c r="I513" s="339"/>
      <c r="J513" s="339"/>
      <c r="K513" s="357"/>
    </row>
    <row r="514" spans="4:23" x14ac:dyDescent="0.2">
      <c r="D514" s="1447"/>
      <c r="E514" s="1440"/>
      <c r="F514" s="1444"/>
      <c r="G514" s="1444"/>
      <c r="H514" s="1444"/>
      <c r="I514" s="1444"/>
      <c r="J514" s="1442"/>
      <c r="K514" s="357"/>
    </row>
    <row r="515" spans="4:23" ht="15" x14ac:dyDescent="0.2">
      <c r="D515" s="1448"/>
      <c r="E515" s="1440"/>
      <c r="F515" s="1440"/>
      <c r="G515" s="1440"/>
      <c r="H515" s="1440"/>
      <c r="I515" s="1440"/>
      <c r="J515" s="1440"/>
      <c r="K515" s="357"/>
      <c r="U515" s="1374"/>
      <c r="V515" s="1374"/>
      <c r="W515" s="1374"/>
    </row>
    <row r="516" spans="4:23" ht="15" x14ac:dyDescent="0.2">
      <c r="D516" s="1447"/>
      <c r="E516" s="1440"/>
      <c r="F516" s="1444"/>
      <c r="G516" s="1444"/>
      <c r="H516" s="1444"/>
      <c r="I516" s="1444"/>
      <c r="J516" s="1442"/>
      <c r="K516" s="357"/>
      <c r="U516" s="1374"/>
      <c r="V516" s="1374"/>
      <c r="W516" s="1374"/>
    </row>
    <row r="517" spans="4:23" ht="15" x14ac:dyDescent="0.2">
      <c r="D517" s="1447"/>
      <c r="E517" s="1440"/>
      <c r="F517" s="1444"/>
      <c r="G517" s="1444"/>
      <c r="H517" s="1444"/>
      <c r="I517" s="1444"/>
      <c r="J517" s="1442"/>
      <c r="K517" s="357"/>
      <c r="U517" s="1374"/>
      <c r="V517" s="1374"/>
      <c r="W517" s="1374"/>
    </row>
    <row r="518" spans="4:23" ht="15" x14ac:dyDescent="0.2">
      <c r="D518" s="1447"/>
      <c r="E518" s="1440"/>
      <c r="F518" s="1444"/>
      <c r="G518" s="1444"/>
      <c r="H518" s="1444"/>
      <c r="I518" s="1444"/>
      <c r="J518" s="1442"/>
      <c r="K518" s="357"/>
      <c r="U518" s="1374"/>
      <c r="V518" s="1374"/>
      <c r="W518" s="1374"/>
    </row>
    <row r="519" spans="4:23" ht="15" x14ac:dyDescent="0.2">
      <c r="D519" s="1447"/>
      <c r="E519" s="1440"/>
      <c r="F519" s="1444"/>
      <c r="G519" s="1444"/>
      <c r="H519" s="1444"/>
      <c r="I519" s="1444"/>
      <c r="J519" s="1442"/>
      <c r="K519" s="357"/>
      <c r="U519" s="1374"/>
      <c r="V519" s="1374"/>
      <c r="W519" s="1374"/>
    </row>
    <row r="520" spans="4:23" ht="15" x14ac:dyDescent="0.2">
      <c r="D520" s="1447"/>
      <c r="E520" s="1440"/>
      <c r="F520" s="1444"/>
      <c r="G520" s="1444"/>
      <c r="H520" s="1444"/>
      <c r="I520" s="1444"/>
      <c r="J520" s="1442"/>
      <c r="K520" s="357"/>
      <c r="U520" s="1374"/>
      <c r="V520" s="1374"/>
      <c r="W520" s="1374"/>
    </row>
    <row r="521" spans="4:23" ht="16.5" customHeight="1" x14ac:dyDescent="0.35">
      <c r="D521" s="1447"/>
      <c r="E521" s="1441"/>
      <c r="F521" s="1445"/>
      <c r="G521" s="1445"/>
      <c r="H521" s="1445"/>
      <c r="I521" s="1445"/>
      <c r="J521" s="1445"/>
      <c r="K521" s="357"/>
      <c r="U521" s="1374"/>
      <c r="V521" s="1374"/>
      <c r="W521" s="1374"/>
    </row>
    <row r="522" spans="4:23" ht="15.75" x14ac:dyDescent="0.25">
      <c r="D522" s="1449"/>
      <c r="E522" s="1441"/>
      <c r="F522" s="1444"/>
      <c r="G522" s="1444"/>
      <c r="H522" s="1444"/>
      <c r="I522" s="1444"/>
      <c r="J522" s="1444"/>
      <c r="K522" s="357"/>
      <c r="U522" s="1374"/>
      <c r="V522" s="1374"/>
      <c r="W522" s="1374"/>
    </row>
    <row r="523" spans="4:23" ht="15" x14ac:dyDescent="0.2">
      <c r="D523" s="1439"/>
      <c r="E523" s="1439"/>
      <c r="F523" s="1439"/>
      <c r="G523" s="1439"/>
      <c r="H523" s="1439"/>
      <c r="I523" s="1439"/>
      <c r="J523" s="1439"/>
      <c r="K523" s="357"/>
      <c r="U523" s="1374"/>
      <c r="V523" s="1374"/>
      <c r="W523" s="1374"/>
    </row>
    <row r="524" spans="4:23" ht="15.75" x14ac:dyDescent="0.25">
      <c r="D524" s="1449"/>
      <c r="E524" s="1439"/>
      <c r="F524" s="1450"/>
      <c r="G524" s="1450"/>
      <c r="H524" s="1450"/>
      <c r="I524" s="1450"/>
      <c r="J524" s="1450"/>
      <c r="K524" s="357"/>
      <c r="U524" s="1374"/>
      <c r="V524" s="1374"/>
      <c r="W524" s="1374"/>
    </row>
    <row r="525" spans="4:23" ht="15" x14ac:dyDescent="0.2">
      <c r="D525" s="1443"/>
      <c r="E525" s="1440"/>
      <c r="F525" s="1440"/>
      <c r="G525" s="1440"/>
      <c r="H525" s="1440"/>
      <c r="I525" s="1440"/>
      <c r="J525" s="1440"/>
      <c r="K525" s="357"/>
      <c r="U525" s="1374"/>
      <c r="V525" s="1374"/>
      <c r="W525" s="1374"/>
    </row>
    <row r="526" spans="4:23" ht="15.75" x14ac:dyDescent="0.25">
      <c r="D526" s="1449"/>
      <c r="E526" s="1440"/>
      <c r="F526" s="1440"/>
      <c r="G526" s="1440"/>
      <c r="H526" s="1440"/>
      <c r="I526" s="1440"/>
      <c r="J526" s="1440"/>
      <c r="K526" s="357"/>
      <c r="U526" s="1374"/>
      <c r="V526" s="1374"/>
      <c r="W526" s="1374"/>
    </row>
    <row r="527" spans="4:23" x14ac:dyDescent="0.2">
      <c r="D527" s="1451"/>
      <c r="E527" s="1440"/>
      <c r="F527" s="1440"/>
      <c r="G527" s="1440"/>
      <c r="H527" s="1440"/>
      <c r="I527" s="1440"/>
      <c r="J527" s="1440"/>
      <c r="K527" s="357"/>
      <c r="U527" s="1491"/>
      <c r="V527" s="1491"/>
      <c r="W527" s="1491"/>
    </row>
    <row r="528" spans="4:23" ht="15" x14ac:dyDescent="0.25">
      <c r="D528" s="1449"/>
      <c r="E528" s="1439"/>
      <c r="F528" s="1452"/>
      <c r="G528" s="1452"/>
      <c r="H528" s="1452"/>
      <c r="I528" s="1452"/>
      <c r="J528" s="1452"/>
      <c r="K528" s="357"/>
    </row>
    <row r="529" spans="4:23" x14ac:dyDescent="0.2">
      <c r="D529" s="1438"/>
      <c r="E529" s="1438"/>
      <c r="F529" s="1438"/>
      <c r="G529" s="1438"/>
      <c r="H529" s="1438"/>
      <c r="I529" s="1438"/>
      <c r="J529" s="1438"/>
      <c r="K529" s="357"/>
      <c r="U529" s="1373"/>
      <c r="V529" s="1373"/>
      <c r="W529" s="1373"/>
    </row>
    <row r="530" spans="4:23" x14ac:dyDescent="0.2">
      <c r="D530" s="1446"/>
      <c r="E530" s="1453"/>
      <c r="F530" s="1442"/>
      <c r="G530" s="1442"/>
      <c r="H530" s="1442"/>
      <c r="I530" s="1442"/>
      <c r="J530" s="1442"/>
      <c r="K530" s="357"/>
    </row>
    <row r="531" spans="4:23" x14ac:dyDescent="0.2">
      <c r="D531" s="339"/>
      <c r="E531" s="339"/>
      <c r="F531" s="339"/>
      <c r="G531" s="339"/>
      <c r="H531" s="339"/>
      <c r="I531" s="339"/>
      <c r="J531" s="339"/>
      <c r="K531" s="357"/>
    </row>
    <row r="532" spans="4:23" ht="15" x14ac:dyDescent="0.2">
      <c r="D532" s="339"/>
      <c r="E532" s="339"/>
      <c r="F532" s="339"/>
      <c r="G532" s="339"/>
      <c r="H532" s="339"/>
      <c r="I532" s="339"/>
      <c r="J532" s="339"/>
      <c r="K532" s="357"/>
      <c r="U532" s="1374"/>
      <c r="V532" s="1374"/>
      <c r="W532" s="1374"/>
    </row>
    <row r="533" spans="4:23" ht="15" x14ac:dyDescent="0.2">
      <c r="D533" s="339"/>
      <c r="E533" s="339"/>
      <c r="F533" s="339"/>
      <c r="G533" s="339"/>
      <c r="H533" s="339"/>
      <c r="I533" s="339"/>
      <c r="J533" s="339"/>
      <c r="K533" s="357"/>
      <c r="U533" s="1374"/>
      <c r="V533" s="1374"/>
      <c r="W533" s="1374"/>
    </row>
    <row r="534" spans="4:23" ht="15" x14ac:dyDescent="0.2">
      <c r="D534" s="339"/>
      <c r="E534" s="339"/>
      <c r="F534" s="339"/>
      <c r="G534" s="339"/>
      <c r="H534" s="339"/>
      <c r="I534" s="339"/>
      <c r="J534" s="339"/>
      <c r="K534" s="357"/>
      <c r="U534" s="1374"/>
      <c r="V534" s="1374"/>
      <c r="W534" s="1374"/>
    </row>
    <row r="535" spans="4:23" ht="15" x14ac:dyDescent="0.2">
      <c r="D535" s="339"/>
      <c r="E535" s="339"/>
      <c r="F535" s="339"/>
      <c r="G535" s="339"/>
      <c r="H535" s="339"/>
      <c r="I535" s="339"/>
      <c r="J535" s="339"/>
      <c r="K535" s="357"/>
      <c r="U535" s="1374"/>
      <c r="V535" s="1374"/>
      <c r="W535" s="1374"/>
    </row>
    <row r="536" spans="4:23" x14ac:dyDescent="0.2">
      <c r="D536" s="339"/>
      <c r="E536" s="339"/>
      <c r="F536" s="339"/>
      <c r="G536" s="339"/>
      <c r="H536" s="339"/>
      <c r="I536" s="339"/>
      <c r="J536" s="339"/>
      <c r="K536" s="357"/>
      <c r="U536" s="1491"/>
      <c r="V536" s="1491"/>
      <c r="W536" s="1491"/>
    </row>
    <row r="537" spans="4:23" x14ac:dyDescent="0.2">
      <c r="D537" s="339"/>
      <c r="E537" s="339"/>
      <c r="F537" s="339"/>
      <c r="G537" s="339"/>
      <c r="H537" s="339"/>
      <c r="I537" s="339"/>
      <c r="J537" s="339"/>
      <c r="K537" s="357"/>
    </row>
    <row r="538" spans="4:23" x14ac:dyDescent="0.2">
      <c r="D538" s="339"/>
      <c r="E538" s="339"/>
      <c r="F538" s="339"/>
      <c r="G538" s="339"/>
      <c r="H538" s="339"/>
      <c r="I538" s="339"/>
      <c r="J538" s="339"/>
      <c r="K538" s="357"/>
      <c r="U538" s="1373"/>
      <c r="V538" s="1373"/>
      <c r="W538" s="1373"/>
    </row>
    <row r="544" spans="4:23" ht="15" x14ac:dyDescent="0.2">
      <c r="U544" s="1374"/>
      <c r="V544" s="1374"/>
      <c r="W544" s="1374"/>
    </row>
    <row r="545" spans="21:23" ht="15" x14ac:dyDescent="0.2">
      <c r="U545" s="1374"/>
      <c r="V545" s="1374"/>
      <c r="W545" s="1374"/>
    </row>
    <row r="546" spans="21:23" ht="15" x14ac:dyDescent="0.2">
      <c r="U546" s="1374"/>
      <c r="V546" s="1374"/>
      <c r="W546" s="1374"/>
    </row>
    <row r="547" spans="21:23" x14ac:dyDescent="0.2">
      <c r="U547" s="1491"/>
      <c r="V547" s="1491"/>
      <c r="W547" s="1491"/>
    </row>
    <row r="550" spans="21:23" ht="15" x14ac:dyDescent="0.2">
      <c r="U550" s="1374"/>
      <c r="V550" s="1374"/>
      <c r="W550" s="1374"/>
    </row>
    <row r="551" spans="21:23" ht="15" x14ac:dyDescent="0.2">
      <c r="U551" s="1374"/>
      <c r="V551" s="1374"/>
      <c r="W551" s="1374"/>
    </row>
    <row r="552" spans="21:23" x14ac:dyDescent="0.2">
      <c r="U552" s="1491"/>
      <c r="V552" s="1491"/>
      <c r="W552" s="1491"/>
    </row>
    <row r="553" spans="21:23" x14ac:dyDescent="0.2">
      <c r="U553" s="1491"/>
      <c r="V553" s="1491"/>
      <c r="W553" s="1491"/>
    </row>
    <row r="555" spans="21:23" ht="15" x14ac:dyDescent="0.2">
      <c r="U555" s="1374"/>
      <c r="V555" s="1374"/>
      <c r="W555" s="1374"/>
    </row>
    <row r="556" spans="21:23" ht="15" x14ac:dyDescent="0.2">
      <c r="U556" s="1374"/>
      <c r="V556" s="1374"/>
      <c r="W556" s="1374"/>
    </row>
    <row r="557" spans="21:23" x14ac:dyDescent="0.2">
      <c r="U557" s="1491"/>
      <c r="V557" s="1491"/>
      <c r="W557" s="1491"/>
    </row>
    <row r="560" spans="21:23" ht="15" x14ac:dyDescent="0.2">
      <c r="U560" s="1374"/>
      <c r="V560" s="1374"/>
      <c r="W560" s="1374"/>
    </row>
    <row r="561" spans="21:23" ht="15" x14ac:dyDescent="0.2">
      <c r="U561" s="1374"/>
      <c r="V561" s="1374"/>
      <c r="W561" s="1374"/>
    </row>
    <row r="562" spans="21:23" ht="15" x14ac:dyDescent="0.2">
      <c r="U562" s="1374"/>
      <c r="V562" s="1374"/>
      <c r="W562" s="1374"/>
    </row>
    <row r="563" spans="21:23" ht="15" x14ac:dyDescent="0.2">
      <c r="U563" s="1374"/>
      <c r="V563" s="1374"/>
      <c r="W563" s="1374"/>
    </row>
    <row r="564" spans="21:23" x14ac:dyDescent="0.2">
      <c r="U564" s="1491"/>
      <c r="V564" s="1491"/>
      <c r="W564" s="1491"/>
    </row>
    <row r="566" spans="21:23" x14ac:dyDescent="0.2">
      <c r="U566" s="1373"/>
      <c r="V566" s="1373"/>
      <c r="W566" s="1373"/>
    </row>
    <row r="571" spans="21:23" x14ac:dyDescent="0.2">
      <c r="U571" s="1370"/>
      <c r="V571" s="1370"/>
      <c r="W571" s="1370"/>
    </row>
    <row r="573" spans="21:23" x14ac:dyDescent="0.2">
      <c r="U573" s="1370"/>
      <c r="V573" s="1370"/>
      <c r="W573" s="1370"/>
    </row>
    <row r="574" spans="21:23" ht="15" x14ac:dyDescent="0.2">
      <c r="U574" s="1374"/>
      <c r="V574" s="1374"/>
      <c r="W574" s="1374"/>
    </row>
    <row r="575" spans="21:23" ht="15" x14ac:dyDescent="0.2">
      <c r="U575" s="1374"/>
      <c r="V575" s="1374"/>
      <c r="W575" s="1374"/>
    </row>
    <row r="576" spans="21:23" ht="15" x14ac:dyDescent="0.2">
      <c r="U576" s="1374"/>
      <c r="V576" s="1374"/>
      <c r="W576" s="1374"/>
    </row>
    <row r="577" spans="21:23" ht="15" x14ac:dyDescent="0.2">
      <c r="U577" s="1374"/>
      <c r="V577" s="1374"/>
      <c r="W577" s="1374"/>
    </row>
    <row r="578" spans="21:23" ht="15" x14ac:dyDescent="0.2">
      <c r="U578" s="1374"/>
      <c r="V578" s="1374"/>
      <c r="W578" s="1374"/>
    </row>
    <row r="579" spans="21:23" ht="15" x14ac:dyDescent="0.2">
      <c r="U579" s="1374"/>
      <c r="V579" s="1374"/>
      <c r="W579" s="1374"/>
    </row>
    <row r="580" spans="21:23" ht="15" x14ac:dyDescent="0.2">
      <c r="U580" s="1374"/>
      <c r="V580" s="1374"/>
      <c r="W580" s="1374"/>
    </row>
    <row r="581" spans="21:23" ht="15" x14ac:dyDescent="0.2">
      <c r="U581" s="1374"/>
      <c r="V581" s="1374"/>
      <c r="W581" s="1374"/>
    </row>
    <row r="582" spans="21:23" x14ac:dyDescent="0.2">
      <c r="U582" s="1491"/>
      <c r="V582" s="1491"/>
      <c r="W582" s="1491"/>
    </row>
    <row r="585" spans="21:23" ht="15" x14ac:dyDescent="0.2">
      <c r="U585" s="1374"/>
      <c r="V585" s="1374"/>
      <c r="W585" s="1374"/>
    </row>
    <row r="586" spans="21:23" ht="15" x14ac:dyDescent="0.2">
      <c r="U586" s="1374"/>
      <c r="V586" s="1374"/>
      <c r="W586" s="1374"/>
    </row>
    <row r="587" spans="21:23" ht="15" x14ac:dyDescent="0.2">
      <c r="U587" s="1374"/>
      <c r="V587" s="1374"/>
      <c r="W587" s="1374"/>
    </row>
    <row r="588" spans="21:23" ht="15" x14ac:dyDescent="0.2">
      <c r="U588" s="1374"/>
      <c r="V588" s="1374"/>
      <c r="W588" s="1374"/>
    </row>
    <row r="589" spans="21:23" x14ac:dyDescent="0.2">
      <c r="U589" s="1491"/>
      <c r="V589" s="1491"/>
      <c r="W589" s="1491"/>
    </row>
    <row r="591" spans="21:23" x14ac:dyDescent="0.2">
      <c r="U591" s="1372"/>
      <c r="V591" s="1372"/>
      <c r="W591" s="1372"/>
    </row>
    <row r="592" spans="21:23" x14ac:dyDescent="0.2">
      <c r="U592" s="1375"/>
      <c r="V592" s="1375"/>
      <c r="W592" s="1375"/>
    </row>
    <row r="594" spans="21:23" x14ac:dyDescent="0.2">
      <c r="U594" s="1372"/>
      <c r="V594" s="1372"/>
      <c r="W594" s="1372"/>
    </row>
    <row r="597" spans="21:23" ht="15" x14ac:dyDescent="0.2">
      <c r="U597" s="1374"/>
      <c r="V597" s="1374"/>
      <c r="W597" s="1374"/>
    </row>
    <row r="598" spans="21:23" ht="15" x14ac:dyDescent="0.2">
      <c r="U598" s="1374"/>
      <c r="V598" s="1374"/>
      <c r="W598" s="1374"/>
    </row>
    <row r="599" spans="21:23" ht="15" x14ac:dyDescent="0.2">
      <c r="U599" s="1374"/>
      <c r="V599" s="1374"/>
      <c r="W599" s="1374"/>
    </row>
    <row r="600" spans="21:23" ht="15" x14ac:dyDescent="0.2">
      <c r="U600" s="1374"/>
      <c r="V600" s="1374"/>
      <c r="W600" s="1374"/>
    </row>
    <row r="601" spans="21:23" ht="15" x14ac:dyDescent="0.2">
      <c r="U601" s="1374"/>
      <c r="V601" s="1374"/>
      <c r="W601" s="1374"/>
    </row>
    <row r="602" spans="21:23" x14ac:dyDescent="0.2">
      <c r="U602" s="1491"/>
      <c r="V602" s="1491"/>
      <c r="W602" s="1491"/>
    </row>
    <row r="605" spans="21:23" ht="15" x14ac:dyDescent="0.2">
      <c r="U605" s="1374"/>
      <c r="V605" s="1374"/>
      <c r="W605" s="1374"/>
    </row>
    <row r="606" spans="21:23" ht="15" x14ac:dyDescent="0.2">
      <c r="U606" s="1374"/>
      <c r="V606" s="1374"/>
      <c r="W606" s="1374"/>
    </row>
    <row r="607" spans="21:23" x14ac:dyDescent="0.2">
      <c r="U607" s="1491"/>
      <c r="V607" s="1491"/>
      <c r="W607" s="1491"/>
    </row>
    <row r="609" spans="21:23" x14ac:dyDescent="0.2">
      <c r="U609" s="1373"/>
      <c r="V609" s="1373"/>
      <c r="W609" s="1373"/>
    </row>
    <row r="615" spans="21:23" ht="15" x14ac:dyDescent="0.2">
      <c r="U615" s="1374"/>
      <c r="V615" s="1374"/>
      <c r="W615" s="1374"/>
    </row>
    <row r="616" spans="21:23" x14ac:dyDescent="0.2">
      <c r="U616" s="1491"/>
      <c r="V616" s="1491"/>
      <c r="W616" s="1491"/>
    </row>
    <row r="618" spans="21:23" x14ac:dyDescent="0.2">
      <c r="U618" s="1491"/>
      <c r="V618" s="1491"/>
      <c r="W618" s="1491"/>
    </row>
    <row r="620" spans="21:23" x14ac:dyDescent="0.2">
      <c r="U620" s="1491"/>
      <c r="V620" s="1491"/>
      <c r="W620" s="1491"/>
    </row>
    <row r="624" spans="21:23" ht="15" x14ac:dyDescent="0.2">
      <c r="U624" s="1374"/>
      <c r="V624" s="1374"/>
      <c r="W624" s="1374"/>
    </row>
    <row r="625" spans="21:23" ht="15" x14ac:dyDescent="0.2">
      <c r="U625" s="1374"/>
      <c r="V625" s="1374"/>
      <c r="W625" s="1374"/>
    </row>
    <row r="626" spans="21:23" ht="15" x14ac:dyDescent="0.2">
      <c r="U626" s="1374"/>
      <c r="V626" s="1374"/>
      <c r="W626" s="1374"/>
    </row>
    <row r="627" spans="21:23" x14ac:dyDescent="0.2">
      <c r="U627" s="1491"/>
      <c r="V627" s="1491"/>
      <c r="W627" s="1491"/>
    </row>
    <row r="629" spans="21:23" x14ac:dyDescent="0.2">
      <c r="U629" s="1491"/>
      <c r="V629" s="1491"/>
      <c r="W629" s="1491"/>
    </row>
    <row r="630" spans="21:23" x14ac:dyDescent="0.2">
      <c r="U630" s="1376"/>
      <c r="V630" s="1453"/>
      <c r="W630" s="1453"/>
    </row>
    <row r="631" spans="21:23" x14ac:dyDescent="0.2">
      <c r="U631" s="1377"/>
      <c r="V631" s="1377"/>
      <c r="W631" s="1377"/>
    </row>
    <row r="632" spans="21:23" x14ac:dyDescent="0.2">
      <c r="U632" s="1376"/>
      <c r="V632" s="1453"/>
      <c r="W632" s="1453"/>
    </row>
  </sheetData>
  <phoneticPr fontId="2" type="noConversion"/>
  <conditionalFormatting sqref="J18:J20 J22:J24 J26:J38 J40:J52 J93:J106 J215:J222 J224:J229 J231:J240 J242:J250 J254:J258 J260:J264 J266:J270 J272:J284 J288:J295 J297:J302 J304:J313 J315:J323 J327:J331 J333:J337 J339:J343 J346:J358 J361:J365 J370:J372 J421:J423 J425:J429 J465:J466 J487:J489 F21:J21 F25:J25 F39:J39 F53:J55 F73:J73 F90:J92 F107:J107 F122:J124 F134:J135 F173:J173 F223:J223 F230:J230 F241:J241 F251:J253 F259:J259 F265:J265 F271:J271 F286:J287 F296:J296 F303:J303 F314:J314 F324:J326 F332:J332 F338:J338 F344:J345 F359:J360 F366:J369 F373:J373 F386:J386 F403:J403 F418:J420 F424:J424 F430:J432 F462:J464 F467:J469 J200:J209 J136:J172 J174:J185 F440:J443 F210:J214 F285 H285:J285 J74:J89 J56:J72 J108:J121 F197:J199 J191:J196 J433:J439 J444:J461 J125:J133 F186:J190 J374:J385 J387:J402 J404:J417 F485:J486 J470:J484 F490:J506">
    <cfRule type="cellIs" dxfId="7" priority="77" stopIfTrue="1" operator="lessThan">
      <formula>0</formula>
    </cfRule>
  </conditionalFormatting>
  <conditionalFormatting sqref="F489:I489">
    <cfRule type="cellIs" dxfId="6" priority="4" stopIfTrue="1" operator="lessThan">
      <formula>0</formula>
    </cfRule>
  </conditionalFormatting>
  <conditionalFormatting sqref="Y463">
    <cfRule type="cellIs" dxfId="5" priority="3" stopIfTrue="1" operator="lessThan">
      <formula>0</formula>
    </cfRule>
  </conditionalFormatting>
  <conditionalFormatting sqref="Y465:Y469">
    <cfRule type="cellIs" dxfId="4" priority="2" stopIfTrue="1" operator="lessThan">
      <formula>0</formula>
    </cfRule>
  </conditionalFormatting>
  <printOptions horizontalCentered="1"/>
  <pageMargins left="0.5" right="0.5" top="1.75" bottom="0.5" header="1.5" footer="0.5"/>
  <pageSetup scale="50" fitToHeight="13" orientation="landscape" r:id="rId1"/>
  <headerFooter alignWithMargins="0">
    <oddHeader>&amp;RWP/ II-I-1.1
Page &amp;P of &amp;N</oddHeader>
  </headerFooter>
  <rowBreaks count="12" manualBreakCount="12">
    <brk id="54" min="1" max="9" man="1"/>
    <brk id="91" min="1" max="9" man="1"/>
    <brk id="133" min="1" max="9" man="1"/>
    <brk id="172" min="1" max="9" man="1"/>
    <brk id="211" min="1" max="9" man="1"/>
    <brk id="252" min="1" max="9" man="1"/>
    <brk id="286" min="1" max="9" man="1"/>
    <brk id="325" min="1" max="9" man="1"/>
    <brk id="367" min="1" max="9" man="1"/>
    <brk id="402" min="1" max="9" man="1"/>
    <brk id="442" min="1" max="9" man="1"/>
    <brk id="491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AN1234"/>
  <sheetViews>
    <sheetView view="pageBreakPreview" topLeftCell="A128" zoomScaleNormal="75" zoomScaleSheetLayoutView="100" workbookViewId="0">
      <selection activeCell="C1180" sqref="C1180"/>
    </sheetView>
  </sheetViews>
  <sheetFormatPr defaultColWidth="15.875" defaultRowHeight="14.25" x14ac:dyDescent="0.2"/>
  <cols>
    <col min="1" max="1" width="0.5" customWidth="1"/>
    <col min="2" max="2" width="4.875" customWidth="1"/>
    <col min="3" max="3" width="8.25" customWidth="1"/>
    <col min="4" max="4" width="37.875" customWidth="1"/>
    <col min="5" max="5" width="14.5" customWidth="1"/>
    <col min="6" max="6" width="16" customWidth="1"/>
    <col min="7" max="7" width="17.75" customWidth="1"/>
    <col min="8" max="8" width="13.875" customWidth="1"/>
    <col min="9" max="9" width="13.125" customWidth="1"/>
    <col min="10" max="10" width="18" customWidth="1"/>
    <col min="11" max="11" width="0.5" customWidth="1"/>
    <col min="12" max="12" width="16.25" bestFit="1" customWidth="1"/>
    <col min="13" max="13" width="2" customWidth="1"/>
    <col min="14" max="14" width="19.375" customWidth="1"/>
    <col min="15" max="15" width="1.5" customWidth="1"/>
    <col min="16" max="16" width="13.25" customWidth="1"/>
    <col min="17" max="17" width="10.125" customWidth="1"/>
    <col min="18" max="18" width="7.125" customWidth="1"/>
    <col min="19" max="19" width="10.25" customWidth="1"/>
    <col min="20" max="20" width="7.5" customWidth="1"/>
  </cols>
  <sheetData>
    <row r="1" spans="1:40" s="1055" customFormat="1" ht="18.75" x14ac:dyDescent="0.3">
      <c r="A1" s="1054"/>
      <c r="B1" s="1062"/>
      <c r="C1" s="1054"/>
      <c r="D1" s="1054"/>
      <c r="E1" s="1054"/>
      <c r="F1" s="1054"/>
      <c r="G1" s="1054"/>
      <c r="H1" s="1054"/>
      <c r="I1" s="1054"/>
      <c r="J1" s="1054"/>
      <c r="K1" s="1054"/>
      <c r="AH1" s="1056"/>
      <c r="AI1" s="1056"/>
      <c r="AJ1" s="1056"/>
      <c r="AK1" s="1056"/>
      <c r="AL1" s="1056"/>
      <c r="AM1" s="1056"/>
      <c r="AN1" s="1056"/>
    </row>
    <row r="2" spans="1:40" ht="15" x14ac:dyDescent="0.25"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105" t="str">
        <f>" "</f>
        <v xml:space="preserve"> </v>
      </c>
    </row>
    <row r="3" spans="1:40" ht="15.75" thickBot="1" x14ac:dyDescent="0.3"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101"/>
    </row>
    <row r="4" spans="1:40" ht="15.75" customHeight="1" x14ac:dyDescent="0.25">
      <c r="B4" s="829" t="str">
        <f>'WP II-I-1.1'!B3</f>
        <v>2025 RATE CASE</v>
      </c>
      <c r="C4" s="835"/>
      <c r="D4" s="836"/>
      <c r="E4" s="783"/>
      <c r="F4" s="783"/>
      <c r="G4" s="783"/>
      <c r="H4" s="783"/>
      <c r="I4" s="783"/>
      <c r="J4" s="783"/>
      <c r="K4" s="783"/>
      <c r="L4" s="783"/>
      <c r="M4" s="138"/>
      <c r="N4" s="138"/>
    </row>
    <row r="5" spans="1:40" ht="15.75" customHeight="1" x14ac:dyDescent="0.25">
      <c r="B5" s="826" t="str">
        <f>'WP II-I-1.1'!B4</f>
        <v>ONCOR ELECTRIC DELIVERY COMPANY LLC</v>
      </c>
      <c r="C5" s="304"/>
      <c r="D5" s="837"/>
      <c r="E5" s="783"/>
      <c r="F5" s="783"/>
      <c r="G5" s="783"/>
      <c r="H5" s="783"/>
      <c r="I5" s="783"/>
      <c r="J5" s="783"/>
      <c r="K5" s="783"/>
      <c r="L5" s="783"/>
      <c r="M5" s="64"/>
      <c r="N5" s="138"/>
    </row>
    <row r="6" spans="1:40" ht="15.75" customHeight="1" x14ac:dyDescent="0.25">
      <c r="B6" s="341" t="s">
        <v>456</v>
      </c>
      <c r="C6" s="304"/>
      <c r="D6" s="837"/>
      <c r="E6" s="783"/>
      <c r="F6" s="783"/>
      <c r="G6" s="783"/>
      <c r="H6" s="783"/>
      <c r="I6" s="783"/>
      <c r="J6" s="783"/>
      <c r="K6" s="783"/>
      <c r="L6" s="783"/>
      <c r="M6" s="64"/>
      <c r="N6" s="138"/>
    </row>
    <row r="7" spans="1:40" ht="15.75" x14ac:dyDescent="0.25">
      <c r="B7" s="341" t="str">
        <f>'WP II-I-1.1'!B6</f>
        <v>TEST YEAR ENDING 12/31/2024</v>
      </c>
      <c r="C7" s="304"/>
      <c r="D7" s="837"/>
      <c r="E7" s="304"/>
      <c r="F7" s="304"/>
      <c r="G7" s="304"/>
      <c r="H7" s="304"/>
      <c r="I7" s="304"/>
      <c r="J7" s="304"/>
      <c r="K7" s="304"/>
      <c r="L7" s="304"/>
      <c r="M7" s="64"/>
      <c r="N7" s="138"/>
    </row>
    <row r="8" spans="1:40" ht="15.75" x14ac:dyDescent="0.25">
      <c r="B8" s="341" t="str">
        <f>'WP II-I-2.2'!$B$7</f>
        <v>SPONSOR:  MATTHEW A. TROXLE</v>
      </c>
      <c r="C8" s="304"/>
      <c r="D8" s="837"/>
      <c r="E8" s="304"/>
      <c r="F8" s="304"/>
      <c r="G8" s="304"/>
      <c r="H8" s="304"/>
      <c r="I8" s="304"/>
      <c r="J8" s="304"/>
      <c r="K8" s="304"/>
      <c r="L8" s="304"/>
      <c r="M8" s="64"/>
      <c r="N8" s="138"/>
    </row>
    <row r="9" spans="1:40" ht="16.5" thickBot="1" x14ac:dyDescent="0.3">
      <c r="B9" s="345"/>
      <c r="C9" s="838"/>
      <c r="D9" s="839"/>
      <c r="E9" s="64"/>
      <c r="F9" s="64"/>
      <c r="G9" s="64"/>
      <c r="H9" s="64"/>
      <c r="I9" s="64"/>
      <c r="J9" s="64"/>
      <c r="K9" s="45"/>
      <c r="L9" s="64"/>
      <c r="M9" s="64"/>
      <c r="N9" s="138"/>
    </row>
    <row r="10" spans="1:40" ht="15" x14ac:dyDescent="0.2">
      <c r="B10" s="331"/>
      <c r="C10" s="175"/>
      <c r="D10" s="176"/>
      <c r="E10" s="177"/>
      <c r="F10" s="176" t="s">
        <v>6</v>
      </c>
      <c r="G10" s="12" t="s">
        <v>7</v>
      </c>
      <c r="H10" s="12" t="s">
        <v>8</v>
      </c>
      <c r="I10" s="178" t="s">
        <v>9</v>
      </c>
      <c r="J10" s="12" t="s">
        <v>10</v>
      </c>
      <c r="K10" s="16"/>
      <c r="L10" s="110" t="s">
        <v>907</v>
      </c>
      <c r="M10" s="64"/>
      <c r="N10" s="138"/>
    </row>
    <row r="11" spans="1:40" ht="15.75" x14ac:dyDescent="0.25">
      <c r="B11" s="174" t="s">
        <v>2</v>
      </c>
      <c r="C11" s="179"/>
      <c r="D11" s="180" t="s">
        <v>346</v>
      </c>
      <c r="E11" s="181" t="s">
        <v>350</v>
      </c>
      <c r="F11" s="181"/>
      <c r="G11" s="14"/>
      <c r="H11" s="14"/>
      <c r="I11" s="14"/>
      <c r="J11" s="14"/>
      <c r="K11" s="16"/>
      <c r="L11" s="93" t="s">
        <v>908</v>
      </c>
      <c r="M11" s="64"/>
      <c r="N11" s="138"/>
    </row>
    <row r="12" spans="1:40" ht="15" x14ac:dyDescent="0.2">
      <c r="B12" s="174"/>
      <c r="C12" s="179"/>
      <c r="D12" s="181"/>
      <c r="E12" s="181"/>
      <c r="F12" s="181"/>
      <c r="G12" s="14"/>
      <c r="H12" s="14"/>
      <c r="I12" s="14"/>
      <c r="J12" s="14"/>
      <c r="K12" s="16"/>
      <c r="L12" s="93"/>
      <c r="M12" s="64"/>
      <c r="N12" s="138"/>
    </row>
    <row r="13" spans="1:40" ht="15.75" thickBot="1" x14ac:dyDescent="0.25">
      <c r="B13" s="182" t="s">
        <v>13</v>
      </c>
      <c r="C13" s="183"/>
      <c r="D13" s="184" t="s">
        <v>14</v>
      </c>
      <c r="E13" s="184" t="s">
        <v>15</v>
      </c>
      <c r="F13" s="15" t="s">
        <v>16</v>
      </c>
      <c r="G13" s="15" t="s">
        <v>17</v>
      </c>
      <c r="H13" s="15" t="s">
        <v>18</v>
      </c>
      <c r="I13" s="15" t="s">
        <v>21</v>
      </c>
      <c r="J13" s="15" t="s">
        <v>22</v>
      </c>
      <c r="K13" s="16"/>
      <c r="L13" s="95" t="s">
        <v>398</v>
      </c>
      <c r="M13" s="64"/>
      <c r="N13" s="138"/>
    </row>
    <row r="14" spans="1:40" ht="15" x14ac:dyDescent="0.2">
      <c r="B14" s="64"/>
      <c r="C14" s="11"/>
      <c r="D14" s="185"/>
      <c r="E14" s="185"/>
      <c r="F14" s="11"/>
      <c r="G14" s="11"/>
      <c r="H14" s="11"/>
      <c r="I14" s="11"/>
      <c r="J14" s="11"/>
      <c r="K14" s="1"/>
      <c r="L14" s="1"/>
      <c r="M14" s="64"/>
      <c r="N14" s="138"/>
    </row>
    <row r="15" spans="1:40" ht="15.75" x14ac:dyDescent="0.25">
      <c r="B15" s="16">
        <f t="shared" ref="B15:B24" si="0">B14+1</f>
        <v>1</v>
      </c>
      <c r="C15" s="11"/>
      <c r="D15" s="186" t="s">
        <v>592</v>
      </c>
      <c r="E15" s="55" t="s">
        <v>236</v>
      </c>
      <c r="F15" s="23">
        <f>F661+F709</f>
        <v>141038928.24000001</v>
      </c>
      <c r="G15" s="23">
        <f>G661+G709</f>
        <v>2465845937.04</v>
      </c>
      <c r="H15" s="23">
        <f>H661+H709</f>
        <v>61551893.040000014</v>
      </c>
      <c r="I15" s="23">
        <f>I661+I709</f>
        <v>189681.03</v>
      </c>
      <c r="J15" s="23">
        <f>SUM(F15:I15)</f>
        <v>2668626439.3499999</v>
      </c>
      <c r="K15" s="23"/>
      <c r="L15" s="18">
        <f>SUM(G15:I15)</f>
        <v>2527587511.1100001</v>
      </c>
      <c r="M15" s="64"/>
      <c r="N15" s="138"/>
    </row>
    <row r="16" spans="1:40" ht="15.75" x14ac:dyDescent="0.25">
      <c r="B16" s="16">
        <f t="shared" si="0"/>
        <v>2</v>
      </c>
      <c r="C16" s="11"/>
      <c r="D16" s="186" t="s">
        <v>593</v>
      </c>
      <c r="E16" s="55" t="s">
        <v>236</v>
      </c>
      <c r="F16" s="23">
        <f>F729+F739+F749</f>
        <v>-153231.79</v>
      </c>
      <c r="G16" s="23">
        <f>G729+G739+G749</f>
        <v>339790.12</v>
      </c>
      <c r="H16" s="23">
        <f>H729+H739+H749</f>
        <v>9809696.2400000002</v>
      </c>
      <c r="I16" s="23">
        <f>I729+I739+I749</f>
        <v>17097126.300000001</v>
      </c>
      <c r="J16" s="23">
        <f>SUM(F16:I16)</f>
        <v>27093380.870000001</v>
      </c>
      <c r="K16" s="23"/>
      <c r="L16" s="18">
        <f t="shared" ref="L16:L31" si="1">SUM(G16:I16)</f>
        <v>27246612.66</v>
      </c>
      <c r="M16" s="64"/>
      <c r="N16" s="138"/>
    </row>
    <row r="17" spans="2:20" ht="17.25" x14ac:dyDescent="0.35">
      <c r="B17" s="16">
        <f t="shared" si="0"/>
        <v>3</v>
      </c>
      <c r="C17" s="11"/>
      <c r="D17" s="559" t="s">
        <v>594</v>
      </c>
      <c r="E17" s="55" t="s">
        <v>236</v>
      </c>
      <c r="F17" s="205">
        <f>F783</f>
        <v>149714932.78999999</v>
      </c>
      <c r="G17" s="205">
        <f>G783</f>
        <v>862254076.08000004</v>
      </c>
      <c r="H17" s="205">
        <f>H783</f>
        <v>49056189.789999999</v>
      </c>
      <c r="I17" s="205">
        <f>I783</f>
        <v>40849531.700000003</v>
      </c>
      <c r="J17" s="205">
        <f>SUM(F17:I17)</f>
        <v>1101874730.3599999</v>
      </c>
      <c r="K17" s="23"/>
      <c r="L17" s="80">
        <f t="shared" si="1"/>
        <v>952159797.57000005</v>
      </c>
      <c r="M17" s="64"/>
      <c r="N17" s="138"/>
    </row>
    <row r="18" spans="2:20" ht="15.75" x14ac:dyDescent="0.25">
      <c r="B18" s="16">
        <f t="shared" si="0"/>
        <v>4</v>
      </c>
      <c r="C18" s="138"/>
      <c r="D18" s="186" t="s">
        <v>458</v>
      </c>
      <c r="E18" s="55"/>
      <c r="F18" s="805">
        <f>SUM(F15:F17)</f>
        <v>290600629.24000001</v>
      </c>
      <c r="G18" s="805">
        <f>SUM(G15:G17)</f>
        <v>3328439803.2399998</v>
      </c>
      <c r="H18" s="805">
        <f>SUM(H15:H17)</f>
        <v>120417779.07000002</v>
      </c>
      <c r="I18" s="805">
        <f>SUM(I15:I17)</f>
        <v>58136339.030000001</v>
      </c>
      <c r="J18" s="191">
        <f>SUM(F18:I18)</f>
        <v>3797594550.5799999</v>
      </c>
      <c r="K18" s="191"/>
      <c r="L18" s="803">
        <f t="shared" si="1"/>
        <v>3506993921.3400002</v>
      </c>
      <c r="M18" s="64"/>
      <c r="N18" s="1038" t="b">
        <f>'WP II-I-1.1'!J495=J18</f>
        <v>1</v>
      </c>
      <c r="P18" s="612" t="b">
        <f>'WP II-I-1.1'!F495=F18</f>
        <v>1</v>
      </c>
      <c r="Q18" s="612" t="b">
        <f>'WP II-I-1.1'!G495=G18</f>
        <v>1</v>
      </c>
      <c r="R18" s="612" t="b">
        <f>'WP II-I-1.1'!H495=H18</f>
        <v>1</v>
      </c>
      <c r="S18" s="612" t="b">
        <f>'WP II-I-1.1'!I495=I18</f>
        <v>1</v>
      </c>
      <c r="T18" s="612" t="b">
        <f>'WP II-I-1.1'!J495=J18</f>
        <v>1</v>
      </c>
    </row>
    <row r="19" spans="2:20" ht="15.75" x14ac:dyDescent="0.25">
      <c r="B19" s="16">
        <f t="shared" si="0"/>
        <v>5</v>
      </c>
      <c r="C19" s="138"/>
      <c r="D19" s="186"/>
      <c r="E19" s="55"/>
      <c r="F19" s="803"/>
      <c r="G19" s="803"/>
      <c r="H19" s="803"/>
      <c r="I19" s="803"/>
      <c r="J19" s="692"/>
      <c r="K19" s="692"/>
      <c r="L19" s="803"/>
      <c r="M19" s="64"/>
    </row>
    <row r="20" spans="2:20" ht="15.75" x14ac:dyDescent="0.25">
      <c r="B20" s="16">
        <f t="shared" si="0"/>
        <v>6</v>
      </c>
      <c r="C20" s="138"/>
      <c r="D20" s="154" t="s">
        <v>590</v>
      </c>
      <c r="E20" s="55" t="s">
        <v>280</v>
      </c>
      <c r="F20" s="803">
        <f>F1065</f>
        <v>470031294.91000003</v>
      </c>
      <c r="G20" s="803">
        <f>G1065</f>
        <v>651417051.77999997</v>
      </c>
      <c r="H20" s="803">
        <f>H1065</f>
        <v>29837695.84</v>
      </c>
      <c r="I20" s="803">
        <f>I1065</f>
        <v>39993573.500000007</v>
      </c>
      <c r="J20" s="692">
        <f>SUM(F20:I20)</f>
        <v>1191279616.03</v>
      </c>
      <c r="K20" s="692"/>
      <c r="L20" s="803">
        <f t="shared" si="1"/>
        <v>721248321.12</v>
      </c>
      <c r="M20" s="64"/>
      <c r="P20" s="612"/>
      <c r="Q20" s="612"/>
      <c r="R20" s="612"/>
      <c r="S20" s="612"/>
      <c r="T20" s="612"/>
    </row>
    <row r="21" spans="2:20" ht="17.25" x14ac:dyDescent="0.35">
      <c r="B21" s="16">
        <f t="shared" si="0"/>
        <v>7</v>
      </c>
      <c r="C21" s="138"/>
      <c r="D21" s="560" t="s">
        <v>591</v>
      </c>
      <c r="E21" s="55" t="s">
        <v>313</v>
      </c>
      <c r="F21" s="810">
        <f>F1067+F1068</f>
        <v>10313431.960000001</v>
      </c>
      <c r="G21" s="810">
        <f>G1067+G1068</f>
        <v>15428625.759999998</v>
      </c>
      <c r="H21" s="810">
        <f>H1067+H1068</f>
        <v>25459958.280000001</v>
      </c>
      <c r="I21" s="810">
        <f>I1067+I1068</f>
        <v>0</v>
      </c>
      <c r="J21" s="205">
        <f>SUM(F21:I21)</f>
        <v>51202016</v>
      </c>
      <c r="K21" s="692"/>
      <c r="L21" s="810">
        <f t="shared" si="1"/>
        <v>40888584.039999999</v>
      </c>
      <c r="M21" s="64"/>
    </row>
    <row r="22" spans="2:20" ht="15.75" x14ac:dyDescent="0.25">
      <c r="B22" s="16">
        <f t="shared" si="0"/>
        <v>8</v>
      </c>
      <c r="C22" s="138"/>
      <c r="D22" s="11" t="s">
        <v>459</v>
      </c>
      <c r="E22" s="55"/>
      <c r="F22" s="805">
        <f>SUM(F20:F21)</f>
        <v>480344726.87</v>
      </c>
      <c r="G22" s="805">
        <f>SUM(G20:G21)</f>
        <v>666845677.53999996</v>
      </c>
      <c r="H22" s="805">
        <f>SUM(H20:H21)</f>
        <v>55297654.120000005</v>
      </c>
      <c r="I22" s="805">
        <f>SUM(I20:I21)</f>
        <v>39993573.500000007</v>
      </c>
      <c r="J22" s="191">
        <f>SUM(F22:I22)</f>
        <v>1242481632.0299997</v>
      </c>
      <c r="K22" s="191"/>
      <c r="L22" s="805">
        <f t="shared" si="1"/>
        <v>762136905.15999997</v>
      </c>
      <c r="M22" s="64"/>
      <c r="N22" s="1038" t="b">
        <f>'WP II-I-1.1'!J496=J22</f>
        <v>1</v>
      </c>
      <c r="P22" s="612" t="b">
        <f>'WP II-I-1.1'!F496=F22</f>
        <v>1</v>
      </c>
      <c r="Q22" s="612" t="b">
        <f>'WP II-I-1.1'!G496=G22</f>
        <v>1</v>
      </c>
      <c r="R22" s="612" t="b">
        <f>'WP II-I-1.1'!H496=H22</f>
        <v>1</v>
      </c>
      <c r="S22" s="612" t="b">
        <f>'WP II-I-1.1'!I496=I22</f>
        <v>1</v>
      </c>
      <c r="T22" s="612" t="b">
        <f>'WP II-I-1.1'!J496=J22</f>
        <v>1</v>
      </c>
    </row>
    <row r="23" spans="2:20" ht="15.75" x14ac:dyDescent="0.25">
      <c r="B23" s="16">
        <f t="shared" si="0"/>
        <v>9</v>
      </c>
      <c r="C23" s="138"/>
      <c r="D23" s="11"/>
      <c r="E23" s="55"/>
      <c r="F23" s="803"/>
      <c r="G23" s="803"/>
      <c r="H23" s="803"/>
      <c r="I23" s="803"/>
      <c r="J23" s="191"/>
      <c r="K23" s="692"/>
      <c r="L23" s="803"/>
      <c r="M23" s="64"/>
    </row>
    <row r="24" spans="2:20" ht="15.75" x14ac:dyDescent="0.25">
      <c r="B24" s="16">
        <f t="shared" si="0"/>
        <v>10</v>
      </c>
      <c r="C24" s="138"/>
      <c r="D24" s="11" t="s">
        <v>343</v>
      </c>
      <c r="E24" s="55" t="s">
        <v>288</v>
      </c>
      <c r="F24" s="803">
        <f>+F1103</f>
        <v>147081866.29999998</v>
      </c>
      <c r="G24" s="803">
        <f>+G1103</f>
        <v>482520278.13999999</v>
      </c>
      <c r="H24" s="803">
        <f>+H1103</f>
        <v>8908968.5599999987</v>
      </c>
      <c r="I24" s="803">
        <f>+I1103</f>
        <v>3557512.7199999979</v>
      </c>
      <c r="J24" s="692">
        <f>SUM(F24:I24)</f>
        <v>642068625.71999991</v>
      </c>
      <c r="K24" s="692"/>
      <c r="L24" s="803">
        <f t="shared" si="1"/>
        <v>494986759.41999996</v>
      </c>
      <c r="M24" s="64"/>
      <c r="N24" s="1038" t="b">
        <f>'WP II-I-1.1'!J497=J24</f>
        <v>1</v>
      </c>
      <c r="P24" s="612" t="b">
        <f>'WP II-I-1.1'!F497=F24</f>
        <v>1</v>
      </c>
      <c r="Q24" s="612" t="b">
        <f>'WP II-I-1.1'!G497=G24</f>
        <v>1</v>
      </c>
      <c r="R24" s="612" t="b">
        <f>'WP II-I-1.1'!H497=H24</f>
        <v>1</v>
      </c>
      <c r="S24" s="612">
        <f>'WP II-I-1.1'!I497-I24</f>
        <v>0</v>
      </c>
      <c r="T24" s="612" t="b">
        <f>'WP II-I-1.1'!J497=J24</f>
        <v>1</v>
      </c>
    </row>
    <row r="25" spans="2:20" ht="15.75" x14ac:dyDescent="0.25">
      <c r="B25" s="16">
        <f t="shared" ref="B25:B29" si="2">B24+1</f>
        <v>11</v>
      </c>
      <c r="C25" s="138"/>
      <c r="D25" s="186" t="s">
        <v>460</v>
      </c>
      <c r="E25" s="55" t="s">
        <v>299</v>
      </c>
      <c r="F25" s="803">
        <f>+F1163</f>
        <v>128677128.80689844</v>
      </c>
      <c r="G25" s="803">
        <f>+G1163</f>
        <v>140081472.55408657</v>
      </c>
      <c r="H25" s="803">
        <f>+H1163</f>
        <v>1780846.8491166488</v>
      </c>
      <c r="I25" s="803">
        <f>+I1163</f>
        <v>2876698.2188438536</v>
      </c>
      <c r="J25" s="692">
        <f>SUM(F25:I25)</f>
        <v>273416146.42894554</v>
      </c>
      <c r="K25" s="692"/>
      <c r="L25" s="803">
        <f t="shared" si="1"/>
        <v>144739017.62204707</v>
      </c>
      <c r="M25" s="64"/>
      <c r="N25" s="1038">
        <f>'WP II-I-1.1'!J498-J25</f>
        <v>0</v>
      </c>
      <c r="P25" s="612">
        <f>'WP II-I-1.1'!F498-F25</f>
        <v>0</v>
      </c>
      <c r="Q25" s="612">
        <f>'WP II-I-1.1'!G498-G25</f>
        <v>0</v>
      </c>
      <c r="R25" s="612">
        <f>'WP II-I-1.1'!H498-H25</f>
        <v>0</v>
      </c>
      <c r="S25" s="612">
        <f>'WP II-I-1.1'!I498-I25</f>
        <v>0</v>
      </c>
      <c r="T25" s="612">
        <f>'WP II-I-1.1'!J498-J25</f>
        <v>0</v>
      </c>
    </row>
    <row r="26" spans="2:20" ht="15.75" x14ac:dyDescent="0.25">
      <c r="B26" s="16">
        <f t="shared" si="2"/>
        <v>12</v>
      </c>
      <c r="C26" s="138"/>
      <c r="D26" s="122"/>
      <c r="E26" s="187"/>
      <c r="F26" s="803"/>
      <c r="G26" s="803"/>
      <c r="H26" s="803"/>
      <c r="I26" s="803"/>
      <c r="J26" s="803"/>
      <c r="K26" s="803"/>
      <c r="L26" s="803"/>
      <c r="M26" s="64"/>
    </row>
    <row r="27" spans="2:20" ht="15.75" x14ac:dyDescent="0.25">
      <c r="B27" s="16">
        <f t="shared" si="2"/>
        <v>13</v>
      </c>
      <c r="C27" s="138"/>
      <c r="D27" s="11" t="s">
        <v>461</v>
      </c>
      <c r="E27" s="55" t="s">
        <v>462</v>
      </c>
      <c r="F27" s="803">
        <f>+F83</f>
        <v>910883577.74595118</v>
      </c>
      <c r="G27" s="803">
        <f>+G83</f>
        <v>1009018361.9291828</v>
      </c>
      <c r="H27" s="803">
        <f>+H83</f>
        <v>32952955.556200724</v>
      </c>
      <c r="I27" s="803">
        <f>+I83</f>
        <v>17186005.438984018</v>
      </c>
      <c r="J27" s="692">
        <f>SUM(F27:I27)</f>
        <v>1970040900.6703186</v>
      </c>
      <c r="K27" s="692"/>
      <c r="L27" s="803">
        <f t="shared" si="1"/>
        <v>1059157322.9243675</v>
      </c>
      <c r="M27" s="64"/>
      <c r="N27" s="1038">
        <f>'WP II-I-1.1'!J494-J27</f>
        <v>0</v>
      </c>
      <c r="P27" s="612">
        <f>'WP II-I-1.1'!F494-F27</f>
        <v>0</v>
      </c>
      <c r="Q27" s="612">
        <f>'WP II-I-1.1'!G494-G27</f>
        <v>0</v>
      </c>
      <c r="R27" s="612">
        <f>'WP II-I-1.1'!H494-H27</f>
        <v>0</v>
      </c>
      <c r="S27" s="612">
        <f>'WP II-I-1.1'!I494-I27</f>
        <v>0</v>
      </c>
      <c r="T27" s="612">
        <f>'WP II-I-1.1'!J494-J27</f>
        <v>0</v>
      </c>
    </row>
    <row r="28" spans="2:20" ht="15.75" x14ac:dyDescent="0.25">
      <c r="B28" s="16">
        <f t="shared" si="2"/>
        <v>14</v>
      </c>
      <c r="C28" s="138"/>
      <c r="D28" s="186"/>
      <c r="E28" s="187"/>
      <c r="F28" s="803"/>
      <c r="G28" s="803"/>
      <c r="H28" s="803"/>
      <c r="I28" s="803"/>
      <c r="J28" s="803"/>
      <c r="K28" s="692"/>
      <c r="L28" s="647"/>
      <c r="M28" s="64"/>
      <c r="N28" s="138"/>
    </row>
    <row r="29" spans="2:20" ht="15.75" x14ac:dyDescent="0.25">
      <c r="B29" s="16">
        <f t="shared" si="2"/>
        <v>15</v>
      </c>
      <c r="C29" s="188"/>
      <c r="D29" s="189" t="s">
        <v>463</v>
      </c>
      <c r="E29" s="187"/>
      <c r="F29" s="805">
        <f>+F18+F22+F24+F25+F27</f>
        <v>1957587928.9628496</v>
      </c>
      <c r="G29" s="805">
        <f>+G18+G22+G24+G25+G27</f>
        <v>5626905593.4032698</v>
      </c>
      <c r="H29" s="805">
        <f>+H18+H22+H24+H25+H27</f>
        <v>219358204.1553174</v>
      </c>
      <c r="I29" s="805">
        <f>+I18+I22+I24+I25+I27</f>
        <v>121750128.90782787</v>
      </c>
      <c r="J29" s="191">
        <f>SUM(F29:I29)</f>
        <v>7925601855.429265</v>
      </c>
      <c r="K29" s="191"/>
      <c r="L29" s="805">
        <f t="shared" si="1"/>
        <v>5968013926.4664154</v>
      </c>
      <c r="M29" s="104"/>
      <c r="N29" s="1292" t="b">
        <f>ROUND('WP II-I-1.1'!$J$509,0)=ROUND(J29,0)</f>
        <v>1</v>
      </c>
    </row>
    <row r="30" spans="2:20" s="321" customFormat="1" ht="15.75" x14ac:dyDescent="0.25">
      <c r="B30" s="16">
        <v>16</v>
      </c>
      <c r="C30" s="609"/>
      <c r="D30" s="1"/>
      <c r="E30" s="1036"/>
      <c r="F30" s="803"/>
      <c r="G30" s="803"/>
      <c r="H30" s="803"/>
      <c r="I30" s="803"/>
      <c r="J30" s="803"/>
      <c r="K30" s="803"/>
      <c r="L30" s="803"/>
      <c r="M30" s="45"/>
      <c r="N30" s="609"/>
    </row>
    <row r="31" spans="2:20" ht="15.75" x14ac:dyDescent="0.25">
      <c r="B31" s="16">
        <f>B30+1</f>
        <v>17</v>
      </c>
      <c r="C31" s="138"/>
      <c r="D31" s="11" t="s">
        <v>464</v>
      </c>
      <c r="E31" s="55" t="s">
        <v>318</v>
      </c>
      <c r="F31" s="621">
        <f>+F1223</f>
        <v>46131716.729999997</v>
      </c>
      <c r="G31" s="621">
        <f>+G1223</f>
        <v>66812956.150000006</v>
      </c>
      <c r="H31" s="621">
        <f>+H1223</f>
        <v>14115591</v>
      </c>
      <c r="I31" s="621">
        <f>+I1223</f>
        <v>85782</v>
      </c>
      <c r="J31" s="694">
        <f>SUM(F31:I31)</f>
        <v>127146045.88</v>
      </c>
      <c r="K31" s="692"/>
      <c r="L31" s="803">
        <f t="shared" si="1"/>
        <v>81014329.150000006</v>
      </c>
      <c r="M31" s="64"/>
      <c r="N31" s="1038">
        <f>'WP II-I-1.1'!J499--J31</f>
        <v>0</v>
      </c>
    </row>
    <row r="32" spans="2:20" ht="15.75" thickBot="1" x14ac:dyDescent="0.25">
      <c r="B32" s="16">
        <f>B31+1</f>
        <v>18</v>
      </c>
      <c r="C32" s="138"/>
      <c r="D32" s="11"/>
      <c r="E32" s="11"/>
      <c r="F32" s="571"/>
      <c r="G32" s="571"/>
      <c r="H32" s="571"/>
      <c r="I32" s="571"/>
      <c r="J32" s="571"/>
      <c r="K32" s="647"/>
      <c r="L32" s="647"/>
      <c r="M32" s="64"/>
      <c r="N32" s="138"/>
    </row>
    <row r="33" spans="2:16" ht="16.5" thickBot="1" x14ac:dyDescent="0.3">
      <c r="B33" s="16">
        <f>B32+1</f>
        <v>19</v>
      </c>
      <c r="C33" s="138"/>
      <c r="D33" s="192" t="s">
        <v>337</v>
      </c>
      <c r="E33" s="193"/>
      <c r="F33" s="812">
        <f>+F29-F31</f>
        <v>1911456212.2328496</v>
      </c>
      <c r="G33" s="812">
        <f>+G29-G31</f>
        <v>5560092637.2532701</v>
      </c>
      <c r="H33" s="812">
        <f>+H29-H31</f>
        <v>205242613.1553174</v>
      </c>
      <c r="I33" s="812">
        <f>+I29-I31</f>
        <v>121664346.90782787</v>
      </c>
      <c r="J33" s="195">
        <f>SUM(F33:I33)</f>
        <v>7798455809.5492659</v>
      </c>
      <c r="K33" s="191"/>
      <c r="L33" s="196">
        <f>G33+H33+I33</f>
        <v>5886999597.3164158</v>
      </c>
      <c r="M33" s="64"/>
      <c r="N33" s="197" t="b">
        <f>ROUND('WP II-I-1.1'!$J$510,0)=ROUND(J33,0)</f>
        <v>1</v>
      </c>
      <c r="P33" s="197">
        <f>'WP II-I-1.1'!$G$489+'WP II-I-1.1'!$H$489+'WP II-I-1.1'!$I$489-L33</f>
        <v>-2.0475387573242188E-3</v>
      </c>
    </row>
    <row r="34" spans="2:16" ht="15" x14ac:dyDescent="0.2"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2:16" ht="15" x14ac:dyDescent="0.2"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</row>
    <row r="36" spans="2:16" ht="15" x14ac:dyDescent="0.2"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</row>
    <row r="37" spans="2:16" ht="15" x14ac:dyDescent="0.2"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</row>
    <row r="38" spans="2:16" ht="15" x14ac:dyDescent="0.2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</row>
    <row r="39" spans="2:16" ht="15" x14ac:dyDescent="0.2"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</row>
    <row r="40" spans="2:16" ht="21.75" customHeight="1" x14ac:dyDescent="0.25">
      <c r="B40" s="780"/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138"/>
      <c r="N40" s="138"/>
    </row>
    <row r="41" spans="2:16" ht="16.5" thickBot="1" x14ac:dyDescent="0.3">
      <c r="B41" s="780"/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105"/>
      <c r="N41" s="138"/>
    </row>
    <row r="42" spans="2:16" ht="15.75" x14ac:dyDescent="0.25">
      <c r="B42" s="829" t="str">
        <f>$B$4</f>
        <v>2025 RATE CASE</v>
      </c>
      <c r="C42" s="835"/>
      <c r="D42" s="836"/>
      <c r="E42" s="780"/>
      <c r="F42" s="780"/>
      <c r="G42" s="780"/>
      <c r="H42" s="780"/>
      <c r="I42" s="780"/>
      <c r="J42" s="780"/>
      <c r="K42" s="780"/>
      <c r="L42" s="780"/>
      <c r="M42" s="138"/>
      <c r="N42" s="138"/>
    </row>
    <row r="43" spans="2:16" ht="15.75" x14ac:dyDescent="0.25">
      <c r="B43" s="826" t="str">
        <f>$B$5</f>
        <v>ONCOR ELECTRIC DELIVERY COMPANY LLC</v>
      </c>
      <c r="C43" s="304"/>
      <c r="D43" s="837"/>
      <c r="E43" s="780"/>
      <c r="F43" s="780"/>
      <c r="G43" s="780"/>
      <c r="H43" s="780"/>
      <c r="I43" s="780"/>
      <c r="J43" s="780"/>
      <c r="K43" s="780"/>
      <c r="L43" s="780"/>
      <c r="M43" s="64"/>
      <c r="N43" s="138"/>
    </row>
    <row r="44" spans="2:16" ht="15.75" x14ac:dyDescent="0.25">
      <c r="B44" s="341" t="str">
        <f>$B$6</f>
        <v>CONSOLIDATED FUNCTIONALIZED COST OF SERVICE</v>
      </c>
      <c r="C44" s="304"/>
      <c r="D44" s="837"/>
      <c r="E44" s="780"/>
      <c r="F44" s="780"/>
      <c r="G44" s="780"/>
      <c r="H44" s="780"/>
      <c r="I44" s="780"/>
      <c r="J44" s="780"/>
      <c r="K44" s="780"/>
      <c r="L44" s="780"/>
      <c r="M44" s="64"/>
      <c r="N44" s="138"/>
    </row>
    <row r="45" spans="2:16" ht="15.75" x14ac:dyDescent="0.25">
      <c r="B45" s="341" t="str">
        <f>$B$7</f>
        <v>TEST YEAR ENDING 12/31/2024</v>
      </c>
      <c r="C45" s="304"/>
      <c r="D45" s="837"/>
      <c r="M45" s="64"/>
      <c r="N45" s="138"/>
    </row>
    <row r="46" spans="2:16" ht="15.75" x14ac:dyDescent="0.25">
      <c r="B46" s="341" t="str">
        <f>$B$8</f>
        <v>SPONSOR:  MATTHEW A. TROXLE</v>
      </c>
      <c r="C46" s="304"/>
      <c r="D46" s="837"/>
      <c r="E46" s="781"/>
      <c r="F46" s="781"/>
      <c r="G46" s="781"/>
      <c r="H46" s="781"/>
      <c r="I46" s="781"/>
      <c r="J46" s="781"/>
      <c r="K46" s="781"/>
      <c r="L46" s="781"/>
      <c r="M46" s="64"/>
      <c r="N46" s="138"/>
    </row>
    <row r="47" spans="2:16" ht="16.5" thickBot="1" x14ac:dyDescent="0.3">
      <c r="B47" s="345"/>
      <c r="C47" s="838"/>
      <c r="D47" s="839"/>
      <c r="M47" s="64"/>
      <c r="N47" s="138"/>
    </row>
    <row r="48" spans="2:16" ht="15.75" x14ac:dyDescent="0.25">
      <c r="B48" s="769"/>
      <c r="C48" s="770"/>
      <c r="D48" s="771"/>
      <c r="E48" s="177"/>
      <c r="F48" s="176" t="s">
        <v>6</v>
      </c>
      <c r="G48" s="12" t="s">
        <v>7</v>
      </c>
      <c r="H48" s="12" t="s">
        <v>8</v>
      </c>
      <c r="I48" s="178" t="s">
        <v>9</v>
      </c>
      <c r="J48" s="12" t="s">
        <v>10</v>
      </c>
      <c r="K48" s="16"/>
      <c r="L48" s="110" t="str">
        <f>L$10</f>
        <v>DIST + MET</v>
      </c>
      <c r="M48" s="64"/>
      <c r="N48" s="138"/>
    </row>
    <row r="49" spans="2:20" ht="15.75" x14ac:dyDescent="0.25">
      <c r="B49" s="174" t="s">
        <v>2</v>
      </c>
      <c r="C49" s="179"/>
      <c r="D49" s="180" t="s">
        <v>466</v>
      </c>
      <c r="E49" s="181" t="s">
        <v>350</v>
      </c>
      <c r="F49" s="181"/>
      <c r="G49" s="14"/>
      <c r="H49" s="14"/>
      <c r="I49" s="14"/>
      <c r="J49" s="14"/>
      <c r="K49" s="16"/>
      <c r="L49" s="93" t="str">
        <f>L$11</f>
        <v xml:space="preserve"> + TBILLTDCS</v>
      </c>
      <c r="M49" s="64"/>
      <c r="N49" s="138"/>
    </row>
    <row r="50" spans="2:20" ht="15" x14ac:dyDescent="0.2">
      <c r="B50" s="174"/>
      <c r="C50" s="179"/>
      <c r="D50" s="181"/>
      <c r="E50" s="181"/>
      <c r="F50" s="181"/>
      <c r="G50" s="14"/>
      <c r="H50" s="14"/>
      <c r="I50" s="14"/>
      <c r="J50" s="14"/>
      <c r="K50" s="16"/>
      <c r="L50" s="93"/>
      <c r="M50" s="64"/>
      <c r="N50" s="138"/>
    </row>
    <row r="51" spans="2:20" ht="15.75" thickBot="1" x14ac:dyDescent="0.25">
      <c r="B51" s="182" t="s">
        <v>13</v>
      </c>
      <c r="C51" s="183"/>
      <c r="D51" s="184" t="s">
        <v>14</v>
      </c>
      <c r="E51" s="184" t="s">
        <v>15</v>
      </c>
      <c r="F51" s="15" t="s">
        <v>16</v>
      </c>
      <c r="G51" s="15" t="s">
        <v>17</v>
      </c>
      <c r="H51" s="15" t="s">
        <v>18</v>
      </c>
      <c r="I51" s="15" t="s">
        <v>21</v>
      </c>
      <c r="J51" s="15" t="s">
        <v>22</v>
      </c>
      <c r="K51" s="16"/>
      <c r="L51" s="95" t="s">
        <v>398</v>
      </c>
      <c r="M51" s="64"/>
      <c r="N51" s="138"/>
    </row>
    <row r="52" spans="2:20" ht="15" x14ac:dyDescent="0.2">
      <c r="B52" s="64"/>
      <c r="C52" s="11"/>
      <c r="D52" s="11"/>
      <c r="E52" s="11"/>
      <c r="F52" s="11"/>
      <c r="G52" s="11"/>
      <c r="H52" s="11"/>
      <c r="I52" s="11"/>
      <c r="J52" s="98"/>
      <c r="K52" s="23"/>
      <c r="L52" s="1"/>
      <c r="M52" s="64"/>
      <c r="N52" s="138"/>
    </row>
    <row r="53" spans="2:20" ht="15.75" x14ac:dyDescent="0.25">
      <c r="B53" s="16">
        <f t="shared" ref="B53:B60" si="3">B52+1</f>
        <v>1</v>
      </c>
      <c r="C53" s="11"/>
      <c r="D53" s="199" t="s">
        <v>596</v>
      </c>
      <c r="E53" s="200" t="s">
        <v>24</v>
      </c>
      <c r="F53" s="98">
        <f>F106</f>
        <v>6784530</v>
      </c>
      <c r="G53" s="98">
        <f>G106</f>
        <v>8645784</v>
      </c>
      <c r="H53" s="98">
        <f>H106</f>
        <v>324360</v>
      </c>
      <c r="I53" s="98">
        <f>I106</f>
        <v>145326</v>
      </c>
      <c r="J53" s="98">
        <f>SUM(F53:I53)</f>
        <v>15900000</v>
      </c>
      <c r="K53" s="23"/>
      <c r="L53" s="202">
        <f t="shared" ref="L53:L119" si="4">SUM(G53:I53)</f>
        <v>9115470</v>
      </c>
      <c r="M53" s="64"/>
      <c r="N53" s="1067" t="b">
        <f>SUM('WP II-I-1.1'!F18:I20)=J53</f>
        <v>1</v>
      </c>
    </row>
    <row r="54" spans="2:20" ht="15.75" x14ac:dyDescent="0.25">
      <c r="B54" s="16">
        <f t="shared" si="3"/>
        <v>2</v>
      </c>
      <c r="C54" s="11"/>
      <c r="D54" s="199" t="s">
        <v>597</v>
      </c>
      <c r="E54" s="200" t="s">
        <v>24</v>
      </c>
      <c r="F54" s="98">
        <f>F121</f>
        <v>16264706889.359999</v>
      </c>
      <c r="G54" s="98">
        <f>G121</f>
        <v>468976125.50999999</v>
      </c>
      <c r="H54" s="98">
        <f>H121</f>
        <v>0</v>
      </c>
      <c r="I54" s="98">
        <f>I121</f>
        <v>0</v>
      </c>
      <c r="J54" s="98">
        <f>SUM(F54:I54)</f>
        <v>16733683014.869999</v>
      </c>
      <c r="K54" s="23"/>
      <c r="L54" s="202">
        <f t="shared" si="4"/>
        <v>468976125.50999999</v>
      </c>
      <c r="M54" s="64"/>
      <c r="N54" s="138" t="b">
        <f>SUM('WP II-I-1.1'!F26:I38)=J54</f>
        <v>1</v>
      </c>
    </row>
    <row r="55" spans="2:20" ht="17.25" x14ac:dyDescent="0.35">
      <c r="B55" s="16">
        <f t="shared" si="3"/>
        <v>3</v>
      </c>
      <c r="C55" s="11"/>
      <c r="D55" s="558" t="s">
        <v>595</v>
      </c>
      <c r="E55" s="200" t="s">
        <v>24</v>
      </c>
      <c r="F55" s="204">
        <f>F159</f>
        <v>1083160577.3199995</v>
      </c>
      <c r="G55" s="204">
        <f>G159</f>
        <v>19438204192.369999</v>
      </c>
      <c r="H55" s="204">
        <f>H159</f>
        <v>784983594.01999998</v>
      </c>
      <c r="I55" s="204">
        <f>I159</f>
        <v>334873235.67999995</v>
      </c>
      <c r="J55" s="204">
        <f>SUM(F55:I55)</f>
        <v>21641221599.389999</v>
      </c>
      <c r="K55" s="23"/>
      <c r="L55" s="206">
        <f t="shared" si="4"/>
        <v>20558061022.07</v>
      </c>
      <c r="M55" s="64"/>
      <c r="N55" s="138" t="b">
        <f>SUM('WP II-I-1.1'!F56:I72)=J55</f>
        <v>1</v>
      </c>
    </row>
    <row r="56" spans="2:20" ht="15.75" x14ac:dyDescent="0.25">
      <c r="B56" s="16">
        <f t="shared" si="3"/>
        <v>4</v>
      </c>
      <c r="C56" s="138"/>
      <c r="D56" s="199" t="s">
        <v>467</v>
      </c>
      <c r="E56" s="200"/>
      <c r="F56" s="208">
        <f>SUM(F53:F55)</f>
        <v>17354651996.679996</v>
      </c>
      <c r="G56" s="208">
        <f>SUM(G53:G55)</f>
        <v>19915826101.879997</v>
      </c>
      <c r="H56" s="208">
        <f>SUM(H53:H55)</f>
        <v>785307954.01999998</v>
      </c>
      <c r="I56" s="208">
        <f>SUM(I53:I55)</f>
        <v>335018561.67999995</v>
      </c>
      <c r="J56" s="190">
        <f>SUM(F56:I56)</f>
        <v>38390804614.259995</v>
      </c>
      <c r="K56" s="191"/>
      <c r="L56" s="37">
        <f t="shared" si="4"/>
        <v>21036152617.579998</v>
      </c>
      <c r="M56" s="64"/>
      <c r="N56" s="1038" t="b">
        <f>SUM(F56:I56)=J56</f>
        <v>1</v>
      </c>
      <c r="P56" s="612"/>
      <c r="Q56" s="612"/>
      <c r="R56" s="612"/>
      <c r="S56" s="612"/>
      <c r="T56" s="612"/>
    </row>
    <row r="57" spans="2:20" ht="15.75" x14ac:dyDescent="0.25">
      <c r="B57" s="16">
        <f t="shared" si="3"/>
        <v>5</v>
      </c>
      <c r="C57" s="138"/>
      <c r="D57" s="199"/>
      <c r="E57" s="200"/>
      <c r="F57" s="201"/>
      <c r="G57" s="201"/>
      <c r="H57" s="201"/>
      <c r="I57" s="201"/>
      <c r="J57" s="98"/>
      <c r="K57" s="23"/>
      <c r="L57" s="202">
        <f t="shared" si="4"/>
        <v>0</v>
      </c>
      <c r="M57" s="64"/>
      <c r="N57" s="138"/>
    </row>
    <row r="58" spans="2:20" ht="15.75" x14ac:dyDescent="0.25">
      <c r="B58" s="16">
        <f t="shared" si="3"/>
        <v>6</v>
      </c>
      <c r="C58" s="138"/>
      <c r="D58" s="199" t="s">
        <v>468</v>
      </c>
      <c r="E58" s="200" t="s">
        <v>86</v>
      </c>
      <c r="F58" s="201">
        <f>+F199</f>
        <v>215189393.04999995</v>
      </c>
      <c r="G58" s="201">
        <f>+G199</f>
        <v>329554332.70999992</v>
      </c>
      <c r="H58" s="201">
        <f>+H199</f>
        <v>45511526.899999984</v>
      </c>
      <c r="I58" s="201">
        <f>+I199</f>
        <v>21845189.11999999</v>
      </c>
      <c r="J58" s="98">
        <f>SUM(F58:I58)</f>
        <v>612100441.77999985</v>
      </c>
      <c r="K58" s="23"/>
      <c r="L58" s="202">
        <f t="shared" si="4"/>
        <v>396911048.7299999</v>
      </c>
      <c r="M58" s="64"/>
      <c r="N58" s="138" t="b">
        <f>SUM('WP II-I-1.1'!F93:I101)+SUM('WP II-I-1.1'!F105:I106)=J58</f>
        <v>1</v>
      </c>
    </row>
    <row r="59" spans="2:20" ht="17.25" x14ac:dyDescent="0.35">
      <c r="B59" s="16">
        <f t="shared" si="3"/>
        <v>7</v>
      </c>
      <c r="C59" s="138"/>
      <c r="D59" s="199" t="s">
        <v>469</v>
      </c>
      <c r="E59" s="200" t="s">
        <v>104</v>
      </c>
      <c r="F59" s="203">
        <f>+F219</f>
        <v>251234689.53999996</v>
      </c>
      <c r="G59" s="203">
        <f>+G219</f>
        <v>314549234.46999985</v>
      </c>
      <c r="H59" s="203">
        <f>+H219</f>
        <v>32909657.379999992</v>
      </c>
      <c r="I59" s="203">
        <f>+I219</f>
        <v>51364318.699999981</v>
      </c>
      <c r="J59" s="204">
        <f>SUM(F59:I59)</f>
        <v>650057900.08999968</v>
      </c>
      <c r="K59" s="205"/>
      <c r="L59" s="206">
        <f t="shared" si="4"/>
        <v>398823210.54999983</v>
      </c>
      <c r="M59" s="64"/>
      <c r="N59" s="138" t="b">
        <f>SUM('WP II-I-1.1'!F102:I104)=J59</f>
        <v>1</v>
      </c>
    </row>
    <row r="60" spans="2:20" ht="15.75" x14ac:dyDescent="0.25">
      <c r="B60" s="16">
        <f t="shared" si="3"/>
        <v>8</v>
      </c>
      <c r="C60" s="188"/>
      <c r="D60" s="207" t="s">
        <v>470</v>
      </c>
      <c r="E60" s="200"/>
      <c r="F60" s="208">
        <f>+F56+F58+F59</f>
        <v>17821076079.269997</v>
      </c>
      <c r="G60" s="208">
        <f>+G56+G58+G59</f>
        <v>20559929669.059998</v>
      </c>
      <c r="H60" s="208">
        <f>+H56+H58+H59</f>
        <v>863729138.29999995</v>
      </c>
      <c r="I60" s="208">
        <f>+I56+I58+I59</f>
        <v>408228069.49999994</v>
      </c>
      <c r="J60" s="190">
        <f>SUM(F60:I60)</f>
        <v>39652962956.129997</v>
      </c>
      <c r="K60" s="191"/>
      <c r="L60" s="37">
        <f t="shared" si="4"/>
        <v>21831886876.859997</v>
      </c>
      <c r="M60" s="104"/>
      <c r="N60" s="188" t="b">
        <f>SUM(F60:I60)=J60</f>
        <v>1</v>
      </c>
    </row>
    <row r="61" spans="2:20" ht="15.75" x14ac:dyDescent="0.25">
      <c r="B61" s="16">
        <f t="shared" ref="B61:B83" si="5">B60+1</f>
        <v>9</v>
      </c>
      <c r="C61" s="138"/>
      <c r="D61" s="199"/>
      <c r="E61" s="200"/>
      <c r="F61" s="201"/>
      <c r="G61" s="201"/>
      <c r="H61" s="201"/>
      <c r="I61" s="201"/>
      <c r="J61" s="201"/>
      <c r="K61" s="202"/>
      <c r="L61" s="202">
        <f t="shared" si="4"/>
        <v>0</v>
      </c>
      <c r="M61" s="64"/>
      <c r="N61" s="138"/>
    </row>
    <row r="62" spans="2:20" ht="15.75" x14ac:dyDescent="0.25">
      <c r="B62" s="16">
        <f t="shared" si="5"/>
        <v>10</v>
      </c>
      <c r="C62" s="138"/>
      <c r="D62" s="209" t="s">
        <v>471</v>
      </c>
      <c r="E62" s="200" t="s">
        <v>34</v>
      </c>
      <c r="F62" s="201">
        <f>+F363+F320</f>
        <v>4197068945.54</v>
      </c>
      <c r="G62" s="201">
        <f>+G363+G320</f>
        <v>6508839495.7099981</v>
      </c>
      <c r="H62" s="201">
        <f>+H363+H320</f>
        <v>442591160.38</v>
      </c>
      <c r="I62" s="201">
        <f>+I363+I320</f>
        <v>129824318.92</v>
      </c>
      <c r="J62" s="98">
        <f>SUM(F62:I62)</f>
        <v>11278323920.549997</v>
      </c>
      <c r="K62" s="23"/>
      <c r="L62" s="202">
        <f t="shared" si="4"/>
        <v>7081254975.0099983</v>
      </c>
      <c r="M62" s="64"/>
      <c r="N62" s="643">
        <f>SUM('WP II-I-1.1'!F22:I24)+SUM('WP II-I-1.1'!F40:I52)+SUM('WP II-I-1.1'!F74:I89)+SUM('WP II-I-1.1'!F108:I121)-J62</f>
        <v>0</v>
      </c>
    </row>
    <row r="63" spans="2:20" ht="15.75" x14ac:dyDescent="0.25">
      <c r="B63" s="16">
        <f t="shared" si="5"/>
        <v>11</v>
      </c>
      <c r="C63" s="138"/>
      <c r="D63" s="199"/>
      <c r="E63" s="200"/>
      <c r="F63" s="210"/>
      <c r="G63" s="210"/>
      <c r="H63" s="210"/>
      <c r="I63" s="210"/>
      <c r="J63" s="201"/>
      <c r="K63" s="202"/>
      <c r="L63" s="211"/>
      <c r="M63" s="64"/>
      <c r="N63" s="138"/>
    </row>
    <row r="64" spans="2:20" ht="15.75" x14ac:dyDescent="0.25">
      <c r="B64" s="16">
        <f t="shared" si="5"/>
        <v>12</v>
      </c>
      <c r="C64" s="188"/>
      <c r="D64" s="212" t="s">
        <v>472</v>
      </c>
      <c r="E64" s="55"/>
      <c r="F64" s="208">
        <f>+F60-F62</f>
        <v>13624007133.729996</v>
      </c>
      <c r="G64" s="208">
        <f>+G60-G62</f>
        <v>14051090173.349998</v>
      </c>
      <c r="H64" s="208">
        <f>+H60-H62</f>
        <v>421137977.91999996</v>
      </c>
      <c r="I64" s="208">
        <f>+I60-I62</f>
        <v>278403750.57999992</v>
      </c>
      <c r="J64" s="190">
        <f>SUM(F64:I64)</f>
        <v>28374639035.579994</v>
      </c>
      <c r="K64" s="191"/>
      <c r="L64" s="37">
        <f t="shared" si="4"/>
        <v>14750631901.849998</v>
      </c>
      <c r="M64" s="104"/>
      <c r="N64" s="188"/>
    </row>
    <row r="65" spans="1:16" ht="15.75" x14ac:dyDescent="0.25">
      <c r="B65" s="16">
        <f t="shared" si="5"/>
        <v>13</v>
      </c>
      <c r="C65" s="138"/>
      <c r="D65" s="199"/>
      <c r="E65" s="200"/>
      <c r="F65" s="11"/>
      <c r="G65" s="11"/>
      <c r="H65" s="11"/>
      <c r="I65" s="11"/>
      <c r="J65" s="11"/>
      <c r="K65" s="1"/>
      <c r="L65" s="1"/>
      <c r="M65" s="64"/>
      <c r="N65" s="138"/>
    </row>
    <row r="66" spans="1:16" ht="15.75" x14ac:dyDescent="0.25">
      <c r="B66" s="16">
        <f t="shared" si="5"/>
        <v>14</v>
      </c>
      <c r="C66" s="138"/>
      <c r="D66" s="213" t="s">
        <v>473</v>
      </c>
      <c r="E66" s="214"/>
      <c r="F66" s="11"/>
      <c r="G66" s="11"/>
      <c r="H66" s="11"/>
      <c r="I66" s="11"/>
      <c r="J66" s="11"/>
      <c r="K66" s="1"/>
      <c r="L66" s="1"/>
      <c r="M66" s="64"/>
      <c r="N66" s="138"/>
    </row>
    <row r="67" spans="1:16" ht="15.75" x14ac:dyDescent="0.25">
      <c r="B67" s="16">
        <f t="shared" si="5"/>
        <v>15</v>
      </c>
      <c r="C67" s="138"/>
      <c r="D67" s="39"/>
      <c r="E67" s="200"/>
      <c r="F67" s="1"/>
      <c r="G67" s="1"/>
      <c r="H67" s="1"/>
      <c r="I67" s="1"/>
      <c r="J67" s="1"/>
      <c r="K67" s="1"/>
      <c r="L67" s="1"/>
      <c r="M67" s="64"/>
      <c r="N67" s="138"/>
    </row>
    <row r="68" spans="1:16" s="1002" customFormat="1" ht="15.75" x14ac:dyDescent="0.25">
      <c r="A68" s="321"/>
      <c r="B68" s="16">
        <f t="shared" si="5"/>
        <v>16</v>
      </c>
      <c r="C68" s="609"/>
      <c r="D68" s="40" t="s">
        <v>111</v>
      </c>
      <c r="E68" s="350" t="s">
        <v>112</v>
      </c>
      <c r="F68" s="202">
        <f>+F244</f>
        <v>0</v>
      </c>
      <c r="G68" s="202">
        <f>+G244</f>
        <v>0</v>
      </c>
      <c r="H68" s="202">
        <f>+H244</f>
        <v>0</v>
      </c>
      <c r="I68" s="202">
        <f>+I244</f>
        <v>0</v>
      </c>
      <c r="J68" s="23">
        <f t="shared" ref="J68:J77" si="6">SUM(F68:I68)</f>
        <v>0</v>
      </c>
      <c r="K68" s="23"/>
      <c r="L68" s="202">
        <f t="shared" si="4"/>
        <v>0</v>
      </c>
      <c r="M68" s="1001"/>
      <c r="N68" s="1000"/>
    </row>
    <row r="69" spans="1:16" ht="15.75" x14ac:dyDescent="0.25">
      <c r="B69" s="16">
        <f t="shared" si="5"/>
        <v>17</v>
      </c>
      <c r="C69" s="138"/>
      <c r="D69" s="39" t="s">
        <v>113</v>
      </c>
      <c r="E69" s="200" t="s">
        <v>114</v>
      </c>
      <c r="F69" s="202">
        <f>+F388</f>
        <v>61450357.970000021</v>
      </c>
      <c r="G69" s="202">
        <f>+G388</f>
        <v>6705448.3699999982</v>
      </c>
      <c r="H69" s="202">
        <f>+H388</f>
        <v>0</v>
      </c>
      <c r="I69" s="202">
        <f>+I388</f>
        <v>0</v>
      </c>
      <c r="J69" s="23">
        <f t="shared" si="6"/>
        <v>68155806.340000018</v>
      </c>
      <c r="K69" s="23"/>
      <c r="L69" s="202">
        <f t="shared" si="4"/>
        <v>6705448.3699999982</v>
      </c>
      <c r="M69" s="64"/>
      <c r="N69" s="138"/>
    </row>
    <row r="70" spans="1:16" ht="15.75" x14ac:dyDescent="0.25">
      <c r="B70" s="16">
        <f t="shared" si="5"/>
        <v>18</v>
      </c>
      <c r="C70" s="138"/>
      <c r="D70" s="40" t="s">
        <v>474</v>
      </c>
      <c r="E70" s="200" t="s">
        <v>475</v>
      </c>
      <c r="F70" s="23">
        <f>F409</f>
        <v>0</v>
      </c>
      <c r="G70" s="23">
        <f>G409</f>
        <v>0</v>
      </c>
      <c r="H70" s="23">
        <f>H409</f>
        <v>0</v>
      </c>
      <c r="I70" s="23">
        <f>I409</f>
        <v>0</v>
      </c>
      <c r="J70" s="23">
        <f t="shared" si="6"/>
        <v>0</v>
      </c>
      <c r="K70" s="23"/>
      <c r="L70" s="23">
        <f t="shared" si="4"/>
        <v>0</v>
      </c>
      <c r="M70" s="64"/>
      <c r="N70" s="138"/>
    </row>
    <row r="71" spans="1:16" ht="15.75" x14ac:dyDescent="0.25">
      <c r="B71" s="16">
        <f t="shared" si="5"/>
        <v>19</v>
      </c>
      <c r="C71" s="138"/>
      <c r="D71" s="39" t="s">
        <v>476</v>
      </c>
      <c r="E71" s="200" t="s">
        <v>116</v>
      </c>
      <c r="F71" s="202">
        <f>+F435</f>
        <v>219128707.50999999</v>
      </c>
      <c r="G71" s="202">
        <f>+G435</f>
        <v>157958065.75</v>
      </c>
      <c r="H71" s="202">
        <f>+H435</f>
        <v>1241799.47</v>
      </c>
      <c r="I71" s="202">
        <f>+I435</f>
        <v>0</v>
      </c>
      <c r="J71" s="23">
        <f t="shared" si="6"/>
        <v>378328572.73000002</v>
      </c>
      <c r="K71" s="23"/>
      <c r="L71" s="202">
        <f t="shared" si="4"/>
        <v>159199865.22</v>
      </c>
      <c r="M71" s="64"/>
      <c r="N71" s="138"/>
    </row>
    <row r="72" spans="1:16" ht="15.75" x14ac:dyDescent="0.25">
      <c r="B72" s="16">
        <f t="shared" si="5"/>
        <v>20</v>
      </c>
      <c r="C72" s="138"/>
      <c r="D72" s="39" t="s">
        <v>118</v>
      </c>
      <c r="E72" s="200" t="s">
        <v>119</v>
      </c>
      <c r="F72" s="201">
        <f>+F455</f>
        <v>-56089574.129999995</v>
      </c>
      <c r="G72" s="201">
        <f>+G455</f>
        <v>-25613472.190000005</v>
      </c>
      <c r="H72" s="201">
        <f>+H455</f>
        <v>-298798.5199999999</v>
      </c>
      <c r="I72" s="201">
        <f>+I455</f>
        <v>175757.58000000461</v>
      </c>
      <c r="J72" s="98">
        <f t="shared" si="6"/>
        <v>-81826087.25999999</v>
      </c>
      <c r="K72" s="23"/>
      <c r="L72" s="202">
        <f t="shared" si="4"/>
        <v>-25736513.129999999</v>
      </c>
      <c r="M72" s="64"/>
      <c r="N72" s="138"/>
    </row>
    <row r="73" spans="1:16" ht="15.75" x14ac:dyDescent="0.25">
      <c r="B73" s="16">
        <f t="shared" si="5"/>
        <v>21</v>
      </c>
      <c r="C73" s="138"/>
      <c r="D73" s="39" t="s">
        <v>120</v>
      </c>
      <c r="E73" s="200" t="s">
        <v>121</v>
      </c>
      <c r="F73" s="201">
        <f>+F476</f>
        <v>17382401.434679456</v>
      </c>
      <c r="G73" s="201">
        <f>+G476</f>
        <v>127742955.85948826</v>
      </c>
      <c r="H73" s="201">
        <f>+H476</f>
        <v>584939.38897891541</v>
      </c>
      <c r="I73" s="201">
        <f>+I476</f>
        <v>529501.175314861</v>
      </c>
      <c r="J73" s="98">
        <f t="shared" si="6"/>
        <v>146239797.85846153</v>
      </c>
      <c r="K73" s="23"/>
      <c r="L73" s="202">
        <f t="shared" si="4"/>
        <v>128857396.42378204</v>
      </c>
      <c r="M73" s="64"/>
      <c r="N73" s="138"/>
    </row>
    <row r="74" spans="1:16" ht="15.75" x14ac:dyDescent="0.25">
      <c r="B74" s="16">
        <f t="shared" si="5"/>
        <v>22</v>
      </c>
      <c r="C74" s="138"/>
      <c r="D74" s="40" t="s">
        <v>477</v>
      </c>
      <c r="E74" s="200" t="s">
        <v>123</v>
      </c>
      <c r="F74" s="201">
        <f>F499</f>
        <v>517979.78</v>
      </c>
      <c r="G74" s="201">
        <f>G499</f>
        <v>-1977961.88</v>
      </c>
      <c r="H74" s="201">
        <f>H499</f>
        <v>-302530.2</v>
      </c>
      <c r="I74" s="201">
        <f>I499</f>
        <v>0</v>
      </c>
      <c r="J74" s="98">
        <f t="shared" si="6"/>
        <v>-1762512.2999999998</v>
      </c>
      <c r="K74" s="23"/>
      <c r="L74" s="202">
        <f t="shared" si="4"/>
        <v>-2280492.08</v>
      </c>
      <c r="M74" s="64"/>
      <c r="N74" s="138"/>
    </row>
    <row r="75" spans="1:16" ht="15.75" x14ac:dyDescent="0.25">
      <c r="B75" s="16">
        <f t="shared" si="5"/>
        <v>23</v>
      </c>
      <c r="C75" s="138"/>
      <c r="D75" s="40" t="s">
        <v>478</v>
      </c>
      <c r="E75" s="200" t="s">
        <v>127</v>
      </c>
      <c r="F75" s="201">
        <f>F614</f>
        <v>-413550841.78000003</v>
      </c>
      <c r="G75" s="201">
        <f>G614</f>
        <v>626025299.63999987</v>
      </c>
      <c r="H75" s="201">
        <f>H614</f>
        <v>30745549.989999995</v>
      </c>
      <c r="I75" s="201">
        <f>I614</f>
        <v>2989198.340000012</v>
      </c>
      <c r="J75" s="98">
        <f t="shared" si="6"/>
        <v>246209206.18999985</v>
      </c>
      <c r="K75" s="23"/>
      <c r="L75" s="202">
        <f t="shared" si="4"/>
        <v>659760047.96999991</v>
      </c>
      <c r="M75" s="64"/>
      <c r="N75" s="138"/>
    </row>
    <row r="76" spans="1:16" ht="17.25" x14ac:dyDescent="0.35">
      <c r="B76" s="16">
        <f t="shared" si="5"/>
        <v>24</v>
      </c>
      <c r="C76" s="138"/>
      <c r="D76" s="40" t="s">
        <v>1107</v>
      </c>
      <c r="E76" s="200" t="s">
        <v>480</v>
      </c>
      <c r="F76" s="203">
        <f>+F413</f>
        <v>-1258956234.8500001</v>
      </c>
      <c r="G76" s="203">
        <f>+G413</f>
        <v>-1434321915.47</v>
      </c>
      <c r="H76" s="203">
        <f>+H413</f>
        <v>-11971648.140000001</v>
      </c>
      <c r="I76" s="203">
        <f>+I413</f>
        <v>-52031200.460000001</v>
      </c>
      <c r="J76" s="204">
        <f t="shared" si="6"/>
        <v>-2757280998.9200001</v>
      </c>
      <c r="K76" s="205"/>
      <c r="L76" s="206">
        <f t="shared" si="4"/>
        <v>-1498324764.0700002</v>
      </c>
      <c r="M76" s="64"/>
      <c r="N76" s="138"/>
    </row>
    <row r="77" spans="1:16" ht="15.75" x14ac:dyDescent="0.25">
      <c r="B77" s="16">
        <f t="shared" si="5"/>
        <v>25</v>
      </c>
      <c r="C77" s="188"/>
      <c r="D77" s="153" t="s">
        <v>444</v>
      </c>
      <c r="E77" s="153"/>
      <c r="F77" s="208">
        <f>SUM(F68:F76)</f>
        <v>-1430117204.0653207</v>
      </c>
      <c r="G77" s="208">
        <f>SUM(G68:G76)</f>
        <v>-543481579.92051196</v>
      </c>
      <c r="H77" s="208">
        <f>SUM(H68:H76)</f>
        <v>19999311.988978911</v>
      </c>
      <c r="I77" s="208">
        <f>SUM(I68:I76)</f>
        <v>-48336743.364685126</v>
      </c>
      <c r="J77" s="190">
        <f t="shared" si="6"/>
        <v>-2001936215.3615389</v>
      </c>
      <c r="K77" s="191"/>
      <c r="L77" s="37">
        <f t="shared" si="4"/>
        <v>-571819011.29621816</v>
      </c>
      <c r="M77" s="104"/>
      <c r="N77" s="188"/>
    </row>
    <row r="78" spans="1:16" ht="15.75" thickBot="1" x14ac:dyDescent="0.25">
      <c r="B78" s="16">
        <f t="shared" si="5"/>
        <v>26</v>
      </c>
      <c r="C78" s="138"/>
      <c r="D78" s="39"/>
      <c r="E78" s="39"/>
      <c r="F78" s="571"/>
      <c r="G78" s="571"/>
      <c r="H78" s="571"/>
      <c r="I78" s="571"/>
      <c r="J78" s="571"/>
      <c r="K78" s="647"/>
      <c r="L78" s="647"/>
      <c r="M78" s="64"/>
      <c r="N78" s="138"/>
    </row>
    <row r="79" spans="1:16" ht="16.5" thickBot="1" x14ac:dyDescent="0.3">
      <c r="B79" s="16">
        <f t="shared" si="5"/>
        <v>27</v>
      </c>
      <c r="C79" s="188"/>
      <c r="D79" s="215" t="s">
        <v>481</v>
      </c>
      <c r="E79" s="216"/>
      <c r="F79" s="814">
        <f>+F64+F77</f>
        <v>12193889929.664675</v>
      </c>
      <c r="G79" s="814">
        <f>+G64+G77</f>
        <v>13507608593.429487</v>
      </c>
      <c r="H79" s="814">
        <f>+H64+H77</f>
        <v>441137289.90897888</v>
      </c>
      <c r="I79" s="814">
        <f>+I64+I77</f>
        <v>230067007.21531481</v>
      </c>
      <c r="J79" s="218">
        <f>SUM(F79:I79)</f>
        <v>26372702820.218452</v>
      </c>
      <c r="K79" s="807"/>
      <c r="L79" s="219">
        <f t="shared" si="4"/>
        <v>14178812890.553782</v>
      </c>
      <c r="M79" s="104"/>
      <c r="N79" s="643" t="b">
        <f>SUM(G79:I79)=L79</f>
        <v>1</v>
      </c>
      <c r="P79" s="612">
        <f>'WP II-I-1.1'!$J$492-J79</f>
        <v>0</v>
      </c>
    </row>
    <row r="80" spans="1:16" ht="15" x14ac:dyDescent="0.2">
      <c r="B80" s="16">
        <f t="shared" si="5"/>
        <v>28</v>
      </c>
      <c r="C80" s="138"/>
      <c r="D80" s="220"/>
      <c r="E80" s="220"/>
      <c r="F80" s="851"/>
      <c r="G80" s="851"/>
      <c r="H80" s="851"/>
      <c r="I80" s="851"/>
      <c r="J80" s="851"/>
      <c r="K80" s="813"/>
      <c r="L80" s="813"/>
      <c r="M80" s="64"/>
      <c r="N80" s="138"/>
    </row>
    <row r="81" spans="2:18" ht="15.75" x14ac:dyDescent="0.25">
      <c r="B81" s="16">
        <f t="shared" si="5"/>
        <v>29</v>
      </c>
      <c r="C81" s="138"/>
      <c r="D81" s="46" t="s">
        <v>482</v>
      </c>
      <c r="E81" s="220"/>
      <c r="F81" s="815">
        <f>F620</f>
        <v>7.4700000000000003E-2</v>
      </c>
      <c r="G81" s="815">
        <f>G620</f>
        <v>7.4700000000000003E-2</v>
      </c>
      <c r="H81" s="815">
        <f>H620</f>
        <v>7.4700000000000003E-2</v>
      </c>
      <c r="I81" s="815">
        <f>I620</f>
        <v>7.4700000000000003E-2</v>
      </c>
      <c r="J81" s="815">
        <f>J83/J79</f>
        <v>7.4700000000000003E-2</v>
      </c>
      <c r="K81" s="815"/>
      <c r="L81" s="815">
        <f>L83/L79</f>
        <v>7.4700000000000003E-2</v>
      </c>
      <c r="M81" s="64"/>
      <c r="N81" s="138"/>
    </row>
    <row r="82" spans="2:18" ht="15.75" thickBot="1" x14ac:dyDescent="0.25">
      <c r="B82" s="16">
        <f t="shared" si="5"/>
        <v>30</v>
      </c>
      <c r="C82" s="138"/>
      <c r="D82" s="1"/>
      <c r="E82" s="1"/>
      <c r="F82" s="851"/>
      <c r="G82" s="851"/>
      <c r="H82" s="851"/>
      <c r="I82" s="851"/>
      <c r="J82" s="851"/>
      <c r="K82" s="813"/>
      <c r="L82" s="813"/>
      <c r="M82" s="64"/>
      <c r="N82" s="138"/>
    </row>
    <row r="83" spans="2:18" ht="16.5" thickBot="1" x14ac:dyDescent="0.3">
      <c r="B83" s="16">
        <f t="shared" si="5"/>
        <v>31</v>
      </c>
      <c r="C83" s="188"/>
      <c r="D83" s="223" t="s">
        <v>483</v>
      </c>
      <c r="E83" s="224"/>
      <c r="F83" s="814">
        <f>+F79*F81</f>
        <v>910883577.74595118</v>
      </c>
      <c r="G83" s="814">
        <f>+G79*G81</f>
        <v>1009018361.9291828</v>
      </c>
      <c r="H83" s="814">
        <f>+H79*H81</f>
        <v>32952955.556200724</v>
      </c>
      <c r="I83" s="814">
        <f>+I79*I81</f>
        <v>17186005.438984018</v>
      </c>
      <c r="J83" s="218">
        <f>SUM(F83:I83)</f>
        <v>1970040900.6703186</v>
      </c>
      <c r="K83" s="807"/>
      <c r="L83" s="219">
        <f t="shared" si="4"/>
        <v>1059157322.9243675</v>
      </c>
      <c r="M83" s="104"/>
      <c r="N83" s="197" t="b">
        <f>IF(ROUND(J83-'WP II-I-1.1'!J494,2)=0,TRUE,J83-'WP II-I-1.1'!J494)</f>
        <v>1</v>
      </c>
    </row>
    <row r="84" spans="2:18" ht="15.75" x14ac:dyDescent="0.25">
      <c r="B84" s="16"/>
      <c r="C84" s="188"/>
      <c r="K84" s="37"/>
      <c r="L84" s="37"/>
      <c r="M84" s="104"/>
      <c r="N84" s="1038">
        <f>ROUND('WP II-I-1.1'!F494,0)-ROUND(F83,0)</f>
        <v>0</v>
      </c>
      <c r="O84" s="612">
        <f>'WP II-I-1.1'!G494</f>
        <v>1009018361.9291829</v>
      </c>
      <c r="P84" s="612">
        <f>'WP II-I-1.1'!G494-G83</f>
        <v>0</v>
      </c>
      <c r="Q84" s="612">
        <f>'WP II-I-1.1'!H494-H83</f>
        <v>0</v>
      </c>
      <c r="R84" s="612" t="b">
        <f>'WP II-I-1.1'!I494=I83</f>
        <v>1</v>
      </c>
    </row>
    <row r="85" spans="2:18" ht="15.75" x14ac:dyDescent="0.25"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04"/>
      <c r="N85" s="188"/>
    </row>
    <row r="86" spans="2:18" ht="15.75" x14ac:dyDescent="0.25"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04"/>
      <c r="N86" s="188"/>
    </row>
    <row r="87" spans="2:18" ht="15.75" x14ac:dyDescent="0.25"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04"/>
      <c r="N87" s="188"/>
    </row>
    <row r="88" spans="2:18" ht="15.75" x14ac:dyDescent="0.25"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04"/>
      <c r="N88" s="188"/>
    </row>
    <row r="89" spans="2:18" ht="15.75" x14ac:dyDescent="0.25">
      <c r="B89" s="783"/>
      <c r="C89" s="783"/>
      <c r="D89" s="783"/>
      <c r="E89" s="783"/>
      <c r="F89" s="783"/>
      <c r="G89" s="783"/>
      <c r="H89" s="783"/>
      <c r="I89" s="783"/>
      <c r="J89" s="783"/>
      <c r="K89" s="783"/>
      <c r="L89" s="783"/>
      <c r="M89" s="104"/>
      <c r="N89" s="188"/>
    </row>
    <row r="90" spans="2:18" ht="16.5" thickBot="1" x14ac:dyDescent="0.3">
      <c r="B90" s="783"/>
      <c r="C90" s="783"/>
      <c r="D90" s="783"/>
      <c r="E90" s="783"/>
      <c r="F90" s="783"/>
      <c r="G90" s="783"/>
      <c r="H90" s="783"/>
      <c r="I90" s="783"/>
      <c r="J90" s="783"/>
      <c r="K90" s="783"/>
      <c r="L90" s="783"/>
      <c r="M90" s="104"/>
      <c r="N90" s="188"/>
    </row>
    <row r="91" spans="2:18" ht="15" x14ac:dyDescent="0.25">
      <c r="B91" s="829" t="str">
        <f>$B$4</f>
        <v>2025 RATE CASE</v>
      </c>
      <c r="C91" s="835"/>
      <c r="D91" s="836"/>
      <c r="E91" s="783"/>
      <c r="F91" s="783"/>
      <c r="G91" s="783"/>
      <c r="H91" s="783"/>
      <c r="I91" s="783"/>
      <c r="J91" s="783"/>
      <c r="K91" s="783"/>
      <c r="L91" s="783"/>
      <c r="M91" s="105" t="str">
        <f>$M$2</f>
        <v xml:space="preserve"> </v>
      </c>
    </row>
    <row r="92" spans="2:18" ht="15" x14ac:dyDescent="0.25">
      <c r="B92" s="826" t="str">
        <f>$B$5</f>
        <v>ONCOR ELECTRIC DELIVERY COMPANY LLC</v>
      </c>
      <c r="C92" s="304"/>
      <c r="D92" s="837"/>
      <c r="E92" s="783"/>
      <c r="F92" s="783"/>
      <c r="G92" s="783"/>
      <c r="H92" s="783"/>
      <c r="I92" s="783"/>
      <c r="J92" s="783"/>
      <c r="K92" s="783"/>
      <c r="L92" s="783"/>
      <c r="M92" s="64"/>
    </row>
    <row r="93" spans="2:18" ht="15" x14ac:dyDescent="0.25">
      <c r="B93" s="341" t="str">
        <f>$B$6</f>
        <v>CONSOLIDATED FUNCTIONALIZED COST OF SERVICE</v>
      </c>
      <c r="C93" s="304"/>
      <c r="D93" s="837"/>
      <c r="E93" s="783"/>
      <c r="F93" s="783"/>
      <c r="G93" s="783"/>
      <c r="H93" s="783"/>
      <c r="I93" s="783"/>
      <c r="J93" s="783"/>
      <c r="K93" s="783"/>
      <c r="L93" s="783"/>
      <c r="M93" s="64"/>
    </row>
    <row r="94" spans="2:18" ht="15" x14ac:dyDescent="0.25">
      <c r="B94" s="341" t="str">
        <f>$B$7</f>
        <v>TEST YEAR ENDING 12/31/2024</v>
      </c>
      <c r="C94" s="339"/>
      <c r="D94" s="340"/>
      <c r="M94" s="64"/>
    </row>
    <row r="95" spans="2:18" ht="15.75" customHeight="1" x14ac:dyDescent="0.25">
      <c r="B95" s="341" t="str">
        <f>$B$8</f>
        <v>SPONSOR:  MATTHEW A. TROXLE</v>
      </c>
      <c r="C95" s="304"/>
      <c r="D95" s="837"/>
      <c r="E95" s="304"/>
      <c r="F95" s="304"/>
      <c r="G95" s="304"/>
      <c r="H95" s="304"/>
      <c r="I95" s="304"/>
      <c r="J95" s="304"/>
      <c r="K95" s="304"/>
      <c r="L95" s="304"/>
      <c r="M95" s="64"/>
    </row>
    <row r="96" spans="2:18" ht="15.75" thickBot="1" x14ac:dyDescent="0.3">
      <c r="B96" s="345"/>
      <c r="C96" s="849"/>
      <c r="D96" s="850"/>
      <c r="M96" s="64"/>
      <c r="N96" s="101"/>
    </row>
    <row r="97" spans="2:14" x14ac:dyDescent="0.2">
      <c r="B97" s="12"/>
      <c r="C97" s="13"/>
      <c r="D97" s="13"/>
      <c r="E97" s="13"/>
      <c r="F97" s="176" t="s">
        <v>6</v>
      </c>
      <c r="G97" s="12" t="s">
        <v>7</v>
      </c>
      <c r="H97" s="12" t="s">
        <v>8</v>
      </c>
      <c r="I97" s="178" t="s">
        <v>9</v>
      </c>
      <c r="J97" s="12" t="s">
        <v>10</v>
      </c>
      <c r="K97" s="16"/>
      <c r="L97" s="110" t="s">
        <v>907</v>
      </c>
      <c r="M97" s="64"/>
      <c r="N97" s="101"/>
    </row>
    <row r="98" spans="2:14" ht="15" x14ac:dyDescent="0.25">
      <c r="B98" s="14" t="s">
        <v>2</v>
      </c>
      <c r="C98" s="14" t="s">
        <v>349</v>
      </c>
      <c r="D98" s="226" t="s">
        <v>484</v>
      </c>
      <c r="E98" s="14" t="s">
        <v>350</v>
      </c>
      <c r="F98" s="181"/>
      <c r="G98" s="14"/>
      <c r="H98" s="14"/>
      <c r="I98" s="14"/>
      <c r="J98" s="14"/>
      <c r="K98" s="16"/>
      <c r="L98" s="93" t="s">
        <v>908</v>
      </c>
      <c r="M98" s="64"/>
      <c r="N98" s="101"/>
    </row>
    <row r="99" spans="2:14" x14ac:dyDescent="0.2">
      <c r="B99" s="14"/>
      <c r="C99" s="14"/>
      <c r="D99" s="14"/>
      <c r="E99" s="14"/>
      <c r="F99" s="181"/>
      <c r="G99" s="14"/>
      <c r="H99" s="14"/>
      <c r="I99" s="14"/>
      <c r="J99" s="14"/>
      <c r="K99" s="16"/>
      <c r="L99" s="93"/>
      <c r="M99" s="64"/>
      <c r="N99" s="101"/>
    </row>
    <row r="100" spans="2:14" ht="15" thickBot="1" x14ac:dyDescent="0.25">
      <c r="B100" s="15"/>
      <c r="C100" s="15" t="s">
        <v>13</v>
      </c>
      <c r="D100" s="15" t="s">
        <v>14</v>
      </c>
      <c r="E100" s="15" t="s">
        <v>15</v>
      </c>
      <c r="F100" s="15" t="s">
        <v>16</v>
      </c>
      <c r="G100" s="15" t="s">
        <v>17</v>
      </c>
      <c r="H100" s="15" t="s">
        <v>18</v>
      </c>
      <c r="I100" s="15" t="s">
        <v>21</v>
      </c>
      <c r="J100" s="15" t="s">
        <v>22</v>
      </c>
      <c r="K100" s="16"/>
      <c r="L100" s="997" t="s">
        <v>397</v>
      </c>
      <c r="M100" s="64"/>
      <c r="N100" s="101"/>
    </row>
    <row r="101" spans="2:14" x14ac:dyDescent="0.2">
      <c r="B101" s="64"/>
      <c r="C101" s="64"/>
      <c r="D101" s="96"/>
      <c r="E101" s="96"/>
      <c r="F101" s="227"/>
      <c r="G101" s="227"/>
      <c r="H101" s="228"/>
      <c r="I101" s="228"/>
      <c r="J101" s="96"/>
      <c r="K101" s="1"/>
      <c r="L101" s="228"/>
      <c r="M101" s="64"/>
      <c r="N101" s="101"/>
    </row>
    <row r="102" spans="2:14" ht="15" customHeight="1" x14ac:dyDescent="0.25">
      <c r="B102" s="16">
        <f t="shared" ref="B102:B121" si="7">B101+1</f>
        <v>1</v>
      </c>
      <c r="C102" s="8" t="s">
        <v>485</v>
      </c>
      <c r="D102" s="8"/>
      <c r="E102" s="19" t="s">
        <v>24</v>
      </c>
      <c r="F102" s="20"/>
      <c r="G102" s="21"/>
      <c r="H102" s="21"/>
      <c r="I102" s="8"/>
      <c r="J102" s="8"/>
      <c r="K102" s="8"/>
      <c r="L102" s="8"/>
      <c r="M102" s="64"/>
      <c r="N102" s="101"/>
    </row>
    <row r="103" spans="2:14" s="321" customFormat="1" x14ac:dyDescent="0.2">
      <c r="B103" s="16">
        <f t="shared" si="7"/>
        <v>2</v>
      </c>
      <c r="C103" s="1" t="s">
        <v>25</v>
      </c>
      <c r="D103" s="1" t="s">
        <v>26</v>
      </c>
      <c r="E103" s="16"/>
      <c r="F103" s="1317">
        <f>'WP II-I-1.1'!F18</f>
        <v>0</v>
      </c>
      <c r="G103" s="1318">
        <f>'WP II-I-1.1'!G18</f>
        <v>0</v>
      </c>
      <c r="H103" s="1318">
        <f>'WP II-I-1.1'!H18</f>
        <v>0</v>
      </c>
      <c r="I103" s="1319">
        <f>'WP II-I-1.1'!I18</f>
        <v>0</v>
      </c>
      <c r="J103" s="229">
        <f>SUM(F103:I103)</f>
        <v>0</v>
      </c>
      <c r="K103" s="229"/>
      <c r="L103" s="17">
        <f t="shared" si="4"/>
        <v>0</v>
      </c>
      <c r="M103" s="45"/>
      <c r="N103" s="751">
        <f t="shared" ref="N103:N104" si="8">J103-L103-F103</f>
        <v>0</v>
      </c>
    </row>
    <row r="104" spans="2:14" s="321" customFormat="1" x14ac:dyDescent="0.2">
      <c r="B104" s="16">
        <f t="shared" si="7"/>
        <v>3</v>
      </c>
      <c r="C104" s="1" t="s">
        <v>27</v>
      </c>
      <c r="D104" s="1" t="s">
        <v>28</v>
      </c>
      <c r="E104" s="16"/>
      <c r="F104" s="1320">
        <f>'WP II-I-1.1'!F19</f>
        <v>0</v>
      </c>
      <c r="G104" s="230">
        <f>'WP II-I-1.1'!G19</f>
        <v>0</v>
      </c>
      <c r="H104" s="230">
        <f>'WP II-I-1.1'!H19</f>
        <v>0</v>
      </c>
      <c r="I104" s="1321">
        <f>'WP II-I-1.1'!I19</f>
        <v>0</v>
      </c>
      <c r="J104" s="229">
        <f>SUM(F104:I104)</f>
        <v>0</v>
      </c>
      <c r="K104" s="229"/>
      <c r="L104" s="17">
        <f t="shared" si="4"/>
        <v>0</v>
      </c>
      <c r="M104" s="45"/>
      <c r="N104" s="751">
        <f t="shared" si="8"/>
        <v>0</v>
      </c>
    </row>
    <row r="105" spans="2:14" s="321" customFormat="1" ht="16.5" x14ac:dyDescent="0.35">
      <c r="B105" s="16">
        <f t="shared" si="7"/>
        <v>4</v>
      </c>
      <c r="C105" s="1" t="s">
        <v>29</v>
      </c>
      <c r="D105" s="1" t="s">
        <v>32</v>
      </c>
      <c r="E105" s="16"/>
      <c r="F105" s="982">
        <f>'WP II-I-1.1'!F20</f>
        <v>6784530</v>
      </c>
      <c r="G105" s="983">
        <f>'WP II-I-1.1'!G20</f>
        <v>8645784</v>
      </c>
      <c r="H105" s="983">
        <f>'WP II-I-1.1'!H20</f>
        <v>324360</v>
      </c>
      <c r="I105" s="984">
        <f>'WP II-I-1.1'!I20</f>
        <v>145326</v>
      </c>
      <c r="J105" s="238">
        <f>SUM(F105:I105)</f>
        <v>15900000</v>
      </c>
      <c r="K105" s="229"/>
      <c r="L105" s="232">
        <f t="shared" si="4"/>
        <v>9115470</v>
      </c>
      <c r="M105" s="45"/>
      <c r="N105" s="751">
        <f>J105-L105-F105</f>
        <v>0</v>
      </c>
    </row>
    <row r="106" spans="2:14" ht="15" x14ac:dyDescent="0.25">
      <c r="B106" s="16">
        <f t="shared" si="7"/>
        <v>5</v>
      </c>
      <c r="C106" s="8"/>
      <c r="D106" s="233" t="s">
        <v>444</v>
      </c>
      <c r="E106" s="1315"/>
      <c r="F106" s="816">
        <f>SUM(F103:F105)</f>
        <v>6784530</v>
      </c>
      <c r="G106" s="816">
        <f>SUM(G103:G105)</f>
        <v>8645784</v>
      </c>
      <c r="H106" s="816">
        <f>SUM(H103:H105)</f>
        <v>324360</v>
      </c>
      <c r="I106" s="816">
        <f>SUM(I103:I105)</f>
        <v>145326</v>
      </c>
      <c r="J106" s="236">
        <f>SUM(F106:I106)</f>
        <v>15900000</v>
      </c>
      <c r="K106" s="236"/>
      <c r="L106" s="816">
        <f t="shared" si="4"/>
        <v>9115470</v>
      </c>
      <c r="M106" s="64"/>
      <c r="N106" s="751">
        <f>J106-L106-F106</f>
        <v>0</v>
      </c>
    </row>
    <row r="107" spans="2:14" ht="15" x14ac:dyDescent="0.25">
      <c r="B107" s="16">
        <f t="shared" si="7"/>
        <v>6</v>
      </c>
      <c r="C107" s="8" t="s">
        <v>517</v>
      </c>
      <c r="D107" s="8"/>
      <c r="E107" s="1315" t="s">
        <v>24</v>
      </c>
      <c r="F107" s="805"/>
      <c r="G107" s="805"/>
      <c r="H107" s="805"/>
      <c r="I107" s="805"/>
      <c r="J107" s="8"/>
      <c r="K107" s="8"/>
      <c r="L107" s="805"/>
      <c r="M107" s="64"/>
      <c r="N107" s="751">
        <f t="shared" ref="N107:N121" si="9">J107-L107-F107</f>
        <v>0</v>
      </c>
    </row>
    <row r="108" spans="2:14" s="321" customFormat="1" ht="15" x14ac:dyDescent="0.25">
      <c r="B108" s="16">
        <f t="shared" si="7"/>
        <v>7</v>
      </c>
      <c r="C108" s="1" t="s">
        <v>37</v>
      </c>
      <c r="D108" s="1" t="s">
        <v>38</v>
      </c>
      <c r="E108" s="1315"/>
      <c r="F108" s="985">
        <f>'WP II-I-1.1'!F26</f>
        <v>159848557.65000001</v>
      </c>
      <c r="G108" s="1322">
        <f>'WP II-I-1.1'!G26</f>
        <v>0</v>
      </c>
      <c r="H108" s="986">
        <f>'WP II-I-1.1'!H26</f>
        <v>0</v>
      </c>
      <c r="I108" s="987">
        <f>'WP II-I-1.1'!I26</f>
        <v>0</v>
      </c>
      <c r="J108" s="229">
        <f t="shared" ref="J108:J121" si="10">SUM(F108:I108)</f>
        <v>159848557.65000001</v>
      </c>
      <c r="K108" s="229"/>
      <c r="L108" s="17">
        <f t="shared" si="4"/>
        <v>0</v>
      </c>
      <c r="M108" s="45"/>
      <c r="N108" s="751">
        <f t="shared" si="9"/>
        <v>0</v>
      </c>
    </row>
    <row r="109" spans="2:14" s="321" customFormat="1" x14ac:dyDescent="0.2">
      <c r="B109" s="16">
        <f t="shared" si="7"/>
        <v>8</v>
      </c>
      <c r="C109" s="1" t="s">
        <v>39</v>
      </c>
      <c r="D109" s="1" t="s">
        <v>40</v>
      </c>
      <c r="E109" s="16"/>
      <c r="F109" s="980">
        <f>'WP II-I-1.1'!F27</f>
        <v>675723772.92999995</v>
      </c>
      <c r="G109" s="1323">
        <f>'WP II-I-1.1'!G27</f>
        <v>0</v>
      </c>
      <c r="H109" s="802">
        <f>'WP II-I-1.1'!H27</f>
        <v>0</v>
      </c>
      <c r="I109" s="981">
        <f>'WP II-I-1.1'!I27</f>
        <v>0</v>
      </c>
      <c r="J109" s="229">
        <f t="shared" si="10"/>
        <v>675723772.92999995</v>
      </c>
      <c r="K109" s="229"/>
      <c r="L109" s="17">
        <f t="shared" si="4"/>
        <v>0</v>
      </c>
      <c r="M109" s="45"/>
      <c r="N109" s="751">
        <f t="shared" si="9"/>
        <v>0</v>
      </c>
    </row>
    <row r="110" spans="2:14" s="321" customFormat="1" x14ac:dyDescent="0.2">
      <c r="B110" s="16">
        <f t="shared" si="7"/>
        <v>9</v>
      </c>
      <c r="C110" s="1" t="s">
        <v>1229</v>
      </c>
      <c r="D110" s="1" t="s">
        <v>1230</v>
      </c>
      <c r="E110" s="16"/>
      <c r="F110" s="980">
        <f>'WP II-I-1.1'!F28</f>
        <v>0</v>
      </c>
      <c r="G110" s="1323">
        <f>'WP II-I-1.1'!G28</f>
        <v>0</v>
      </c>
      <c r="H110" s="802">
        <f>'WP II-I-1.1'!H28</f>
        <v>0</v>
      </c>
      <c r="I110" s="981">
        <f>'WP II-I-1.1'!I28</f>
        <v>0</v>
      </c>
      <c r="J110" s="229">
        <f t="shared" ref="J110:J112" si="11">SUM(F110:I110)</f>
        <v>0</v>
      </c>
      <c r="K110" s="229"/>
      <c r="L110" s="17">
        <f t="shared" ref="L110:L112" si="12">SUM(G110:I110)</f>
        <v>0</v>
      </c>
      <c r="M110" s="45"/>
      <c r="N110" s="751"/>
    </row>
    <row r="111" spans="2:14" s="321" customFormat="1" x14ac:dyDescent="0.2">
      <c r="B111" s="16">
        <f t="shared" si="7"/>
        <v>10</v>
      </c>
      <c r="C111" s="1" t="s">
        <v>1231</v>
      </c>
      <c r="D111" s="1" t="s">
        <v>1232</v>
      </c>
      <c r="E111" s="16"/>
      <c r="F111" s="980">
        <f>'WP II-I-1.1'!F29</f>
        <v>150825746.09999999</v>
      </c>
      <c r="G111" s="1323">
        <f>'WP II-I-1.1'!G29</f>
        <v>0</v>
      </c>
      <c r="H111" s="802">
        <f>'WP II-I-1.1'!H29</f>
        <v>0</v>
      </c>
      <c r="I111" s="981">
        <f>'WP II-I-1.1'!I29</f>
        <v>0</v>
      </c>
      <c r="J111" s="229">
        <f t="shared" si="11"/>
        <v>150825746.09999999</v>
      </c>
      <c r="K111" s="229"/>
      <c r="L111" s="17">
        <f t="shared" si="12"/>
        <v>0</v>
      </c>
      <c r="M111" s="45"/>
      <c r="N111" s="751"/>
    </row>
    <row r="112" spans="2:14" s="321" customFormat="1" x14ac:dyDescent="0.2">
      <c r="B112" s="16">
        <f t="shared" si="7"/>
        <v>11</v>
      </c>
      <c r="C112" s="1" t="s">
        <v>1233</v>
      </c>
      <c r="D112" s="1" t="s">
        <v>103</v>
      </c>
      <c r="E112" s="16"/>
      <c r="F112" s="980">
        <f>'WP II-I-1.1'!F30</f>
        <v>3528604.25</v>
      </c>
      <c r="G112" s="1323">
        <f>'WP II-I-1.1'!G30</f>
        <v>0</v>
      </c>
      <c r="H112" s="802">
        <f>'WP II-I-1.1'!H30</f>
        <v>0</v>
      </c>
      <c r="I112" s="981">
        <f>'WP II-I-1.1'!I30</f>
        <v>0</v>
      </c>
      <c r="J112" s="229">
        <f t="shared" si="11"/>
        <v>3528604.25</v>
      </c>
      <c r="K112" s="229"/>
      <c r="L112" s="17">
        <f t="shared" si="12"/>
        <v>0</v>
      </c>
      <c r="M112" s="45"/>
      <c r="N112" s="751"/>
    </row>
    <row r="113" spans="2:14" s="321" customFormat="1" x14ac:dyDescent="0.2">
      <c r="B113" s="16">
        <f t="shared" si="7"/>
        <v>12</v>
      </c>
      <c r="C113" s="1" t="s">
        <v>41</v>
      </c>
      <c r="D113" s="1" t="s">
        <v>42</v>
      </c>
      <c r="E113" s="16"/>
      <c r="F113" s="980">
        <f>'WP II-I-1.1'!F31</f>
        <v>654785374.42999995</v>
      </c>
      <c r="G113" s="1323">
        <f>'WP II-I-1.1'!G31</f>
        <v>0</v>
      </c>
      <c r="H113" s="802">
        <f>'WP II-I-1.1'!H31</f>
        <v>0</v>
      </c>
      <c r="I113" s="981">
        <f>'WP II-I-1.1'!I31</f>
        <v>0</v>
      </c>
      <c r="J113" s="229">
        <f t="shared" si="10"/>
        <v>654785374.42999995</v>
      </c>
      <c r="K113" s="229"/>
      <c r="L113" s="17">
        <f t="shared" si="4"/>
        <v>0</v>
      </c>
      <c r="M113" s="45"/>
      <c r="N113" s="751">
        <f t="shared" si="9"/>
        <v>0</v>
      </c>
    </row>
    <row r="114" spans="2:14" s="321" customFormat="1" x14ac:dyDescent="0.2">
      <c r="B114" s="16">
        <f t="shared" si="7"/>
        <v>13</v>
      </c>
      <c r="C114" s="1" t="s">
        <v>43</v>
      </c>
      <c r="D114" s="1" t="s">
        <v>44</v>
      </c>
      <c r="E114" s="16"/>
      <c r="F114" s="980">
        <f>'WP II-I-1.1'!F32</f>
        <v>4499775077.6599998</v>
      </c>
      <c r="G114" s="1323">
        <f>'WP II-I-1.1'!G32</f>
        <v>468976125.50999999</v>
      </c>
      <c r="H114" s="802">
        <f>'WP II-I-1.1'!H32</f>
        <v>0</v>
      </c>
      <c r="I114" s="981">
        <f>'WP II-I-1.1'!I32</f>
        <v>0</v>
      </c>
      <c r="J114" s="229">
        <f t="shared" si="10"/>
        <v>4968751203.1700001</v>
      </c>
      <c r="K114" s="229"/>
      <c r="L114" s="17">
        <f t="shared" si="4"/>
        <v>468976125.50999999</v>
      </c>
      <c r="M114" s="45"/>
      <c r="N114" s="751">
        <f t="shared" si="9"/>
        <v>0</v>
      </c>
    </row>
    <row r="115" spans="2:14" s="321" customFormat="1" x14ac:dyDescent="0.2">
      <c r="B115" s="16">
        <f t="shared" si="7"/>
        <v>14</v>
      </c>
      <c r="C115" s="1" t="s">
        <v>45</v>
      </c>
      <c r="D115" s="1" t="s">
        <v>46</v>
      </c>
      <c r="E115" s="16"/>
      <c r="F115" s="980">
        <f>'WP II-I-1.1'!F33</f>
        <v>2153423296.3499999</v>
      </c>
      <c r="G115" s="1323">
        <f>'WP II-I-1.1'!G33</f>
        <v>0</v>
      </c>
      <c r="H115" s="802">
        <f>'WP II-I-1.1'!H33</f>
        <v>0</v>
      </c>
      <c r="I115" s="981">
        <f>'WP II-I-1.1'!I33</f>
        <v>0</v>
      </c>
      <c r="J115" s="229">
        <f t="shared" si="10"/>
        <v>2153423296.3499999</v>
      </c>
      <c r="K115" s="229"/>
      <c r="L115" s="17">
        <f t="shared" si="4"/>
        <v>0</v>
      </c>
      <c r="M115" s="45"/>
      <c r="N115" s="751">
        <f t="shared" si="9"/>
        <v>0</v>
      </c>
    </row>
    <row r="116" spans="2:14" s="321" customFormat="1" x14ac:dyDescent="0.2">
      <c r="B116" s="16">
        <f t="shared" si="7"/>
        <v>15</v>
      </c>
      <c r="C116" s="1" t="s">
        <v>47</v>
      </c>
      <c r="D116" s="647" t="s">
        <v>48</v>
      </c>
      <c r="E116" s="16"/>
      <c r="F116" s="980">
        <f>'WP II-I-1.1'!F34</f>
        <v>4073573578.29</v>
      </c>
      <c r="G116" s="1323">
        <f>'WP II-I-1.1'!G34</f>
        <v>0</v>
      </c>
      <c r="H116" s="802">
        <f>'WP II-I-1.1'!H34</f>
        <v>0</v>
      </c>
      <c r="I116" s="981">
        <f>'WP II-I-1.1'!I34</f>
        <v>0</v>
      </c>
      <c r="J116" s="229">
        <f t="shared" si="10"/>
        <v>4073573578.29</v>
      </c>
      <c r="K116" s="229"/>
      <c r="L116" s="17">
        <f t="shared" si="4"/>
        <v>0</v>
      </c>
      <c r="M116" s="45"/>
      <c r="N116" s="751">
        <f t="shared" si="9"/>
        <v>0</v>
      </c>
    </row>
    <row r="117" spans="2:14" s="321" customFormat="1" x14ac:dyDescent="0.2">
      <c r="B117" s="16">
        <f t="shared" si="7"/>
        <v>16</v>
      </c>
      <c r="C117" s="1" t="s">
        <v>49</v>
      </c>
      <c r="D117" s="1" t="s">
        <v>486</v>
      </c>
      <c r="E117" s="16"/>
      <c r="F117" s="980">
        <f>'WP II-I-1.1'!F35</f>
        <v>3734793370.8099999</v>
      </c>
      <c r="G117" s="1323">
        <f>'WP II-I-1.1'!G35</f>
        <v>0</v>
      </c>
      <c r="H117" s="802">
        <f>'WP II-I-1.1'!H35</f>
        <v>0</v>
      </c>
      <c r="I117" s="981">
        <f>'WP II-I-1.1'!I35</f>
        <v>0</v>
      </c>
      <c r="J117" s="229">
        <f t="shared" si="10"/>
        <v>3734793370.8099999</v>
      </c>
      <c r="K117" s="229"/>
      <c r="L117" s="17">
        <f t="shared" si="4"/>
        <v>0</v>
      </c>
      <c r="M117" s="45"/>
      <c r="N117" s="751">
        <f t="shared" si="9"/>
        <v>0</v>
      </c>
    </row>
    <row r="118" spans="2:14" s="321" customFormat="1" x14ac:dyDescent="0.2">
      <c r="B118" s="16">
        <f t="shared" si="7"/>
        <v>17</v>
      </c>
      <c r="C118" s="1" t="s">
        <v>51</v>
      </c>
      <c r="D118" s="647" t="s">
        <v>644</v>
      </c>
      <c r="E118" s="16"/>
      <c r="F118" s="980">
        <f>'WP II-I-1.1'!F36</f>
        <v>61796401.399999999</v>
      </c>
      <c r="G118" s="1323">
        <f>'WP II-I-1.1'!G36</f>
        <v>0</v>
      </c>
      <c r="H118" s="802">
        <f>'WP II-I-1.1'!H36</f>
        <v>0</v>
      </c>
      <c r="I118" s="981">
        <f>'WP II-I-1.1'!I36</f>
        <v>0</v>
      </c>
      <c r="J118" s="229">
        <f t="shared" si="10"/>
        <v>61796401.399999999</v>
      </c>
      <c r="K118" s="229"/>
      <c r="L118" s="17">
        <f t="shared" si="4"/>
        <v>0</v>
      </c>
      <c r="M118" s="45"/>
      <c r="N118" s="751">
        <f t="shared" si="9"/>
        <v>0</v>
      </c>
    </row>
    <row r="119" spans="2:14" s="321" customFormat="1" x14ac:dyDescent="0.2">
      <c r="B119" s="16">
        <f t="shared" si="7"/>
        <v>18</v>
      </c>
      <c r="C119" s="1" t="s">
        <v>53</v>
      </c>
      <c r="D119" s="29" t="s">
        <v>487</v>
      </c>
      <c r="E119" s="16"/>
      <c r="F119" s="980">
        <f>'WP II-I-1.1'!F37</f>
        <v>96633109.489999995</v>
      </c>
      <c r="G119" s="1323">
        <f>'WP II-I-1.1'!G37</f>
        <v>0</v>
      </c>
      <c r="H119" s="802">
        <f>'WP II-I-1.1'!H37</f>
        <v>0</v>
      </c>
      <c r="I119" s="981">
        <f>'WP II-I-1.1'!I37</f>
        <v>0</v>
      </c>
      <c r="J119" s="229">
        <f t="shared" si="10"/>
        <v>96633109.489999995</v>
      </c>
      <c r="K119" s="229"/>
      <c r="L119" s="17">
        <f t="shared" si="4"/>
        <v>0</v>
      </c>
      <c r="M119" s="45"/>
      <c r="N119" s="751">
        <f t="shared" si="9"/>
        <v>0</v>
      </c>
    </row>
    <row r="120" spans="2:14" s="321" customFormat="1" ht="16.5" x14ac:dyDescent="0.35">
      <c r="B120" s="16">
        <f t="shared" si="7"/>
        <v>19</v>
      </c>
      <c r="C120" s="1" t="s">
        <v>55</v>
      </c>
      <c r="D120" s="1" t="s">
        <v>56</v>
      </c>
      <c r="E120" s="16"/>
      <c r="F120" s="982">
        <f>'WP II-I-1.1'!F38</f>
        <v>0</v>
      </c>
      <c r="G120" s="1324">
        <f>'WP II-I-1.1'!G38</f>
        <v>0</v>
      </c>
      <c r="H120" s="983">
        <f>'WP II-I-1.1'!H38</f>
        <v>0</v>
      </c>
      <c r="I120" s="984">
        <f>'WP II-I-1.1'!I38</f>
        <v>0</v>
      </c>
      <c r="J120" s="238">
        <f t="shared" si="10"/>
        <v>0</v>
      </c>
      <c r="K120" s="229"/>
      <c r="L120" s="232">
        <f t="shared" ref="L120:L185" si="13">SUM(G120:I120)</f>
        <v>0</v>
      </c>
      <c r="M120" s="45"/>
      <c r="N120" s="751">
        <f t="shared" si="9"/>
        <v>0</v>
      </c>
    </row>
    <row r="121" spans="2:14" ht="15" x14ac:dyDescent="0.25">
      <c r="B121" s="16">
        <f t="shared" si="7"/>
        <v>20</v>
      </c>
      <c r="C121" s="8"/>
      <c r="D121" s="233" t="s">
        <v>444</v>
      </c>
      <c r="E121" s="19"/>
      <c r="F121" s="805">
        <f>SUM(F108:F120)</f>
        <v>16264706889.359999</v>
      </c>
      <c r="G121" s="805">
        <f>SUM(G108:G120)</f>
        <v>468976125.50999999</v>
      </c>
      <c r="H121" s="805">
        <f>SUM(H108:H120)</f>
        <v>0</v>
      </c>
      <c r="I121" s="805">
        <f>SUM(I108:I120)</f>
        <v>0</v>
      </c>
      <c r="J121" s="236">
        <f t="shared" si="10"/>
        <v>16733683014.869999</v>
      </c>
      <c r="K121" s="236"/>
      <c r="L121" s="805">
        <f t="shared" si="13"/>
        <v>468976125.50999999</v>
      </c>
      <c r="M121" s="64"/>
      <c r="N121" s="751">
        <f t="shared" si="9"/>
        <v>0</v>
      </c>
    </row>
    <row r="122" spans="2:14" ht="15" x14ac:dyDescent="0.25">
      <c r="B122" s="783"/>
      <c r="C122" s="783"/>
      <c r="D122" s="783"/>
      <c r="E122" s="783"/>
      <c r="F122" s="862"/>
      <c r="G122" s="862"/>
      <c r="H122" s="862"/>
      <c r="I122" s="862"/>
      <c r="J122" s="862"/>
      <c r="K122" s="862"/>
      <c r="L122" s="862"/>
      <c r="M122" s="105" t="str">
        <f>$M$2</f>
        <v xml:space="preserve"> </v>
      </c>
    </row>
    <row r="123" spans="2:14" ht="15.75" thickBot="1" x14ac:dyDescent="0.3">
      <c r="B123" s="783"/>
      <c r="C123" s="783"/>
      <c r="D123" s="783"/>
      <c r="E123" s="783"/>
      <c r="F123" s="783"/>
      <c r="G123" s="783"/>
      <c r="H123" s="783"/>
      <c r="I123" s="783"/>
      <c r="J123" s="783"/>
      <c r="K123" s="783"/>
      <c r="L123" s="783"/>
      <c r="M123" s="105"/>
    </row>
    <row r="124" spans="2:14" ht="15" x14ac:dyDescent="0.25">
      <c r="B124" s="856" t="str">
        <f>$B$4</f>
        <v>2025 RATE CASE</v>
      </c>
      <c r="C124" s="835"/>
      <c r="D124" s="836"/>
      <c r="E124" s="783"/>
      <c r="F124" s="783"/>
      <c r="G124" s="783"/>
      <c r="H124" s="783"/>
      <c r="I124" s="783"/>
      <c r="J124" s="783"/>
      <c r="K124" s="783"/>
      <c r="L124" s="783"/>
    </row>
    <row r="125" spans="2:14" ht="15" x14ac:dyDescent="0.25">
      <c r="B125" s="857" t="str">
        <f>$B$5</f>
        <v>ONCOR ELECTRIC DELIVERY COMPANY LLC</v>
      </c>
      <c r="C125" s="304"/>
      <c r="D125" s="837"/>
      <c r="E125" s="783"/>
      <c r="F125" s="783"/>
      <c r="G125" s="783"/>
      <c r="H125" s="783"/>
      <c r="I125" s="783"/>
      <c r="J125" s="783"/>
      <c r="K125" s="783"/>
      <c r="L125" s="783"/>
      <c r="M125" s="64"/>
    </row>
    <row r="126" spans="2:14" ht="15" x14ac:dyDescent="0.25">
      <c r="B126" s="857" t="str">
        <f>$B$6</f>
        <v>CONSOLIDATED FUNCTIONALIZED COST OF SERVICE</v>
      </c>
      <c r="C126" s="304"/>
      <c r="D126" s="837"/>
      <c r="E126" s="783"/>
      <c r="F126" s="783"/>
      <c r="G126" s="783"/>
      <c r="H126" s="783"/>
      <c r="I126" s="783"/>
      <c r="J126" s="783"/>
      <c r="K126" s="783"/>
      <c r="L126" s="783"/>
      <c r="M126" s="64"/>
    </row>
    <row r="127" spans="2:14" ht="15" x14ac:dyDescent="0.25">
      <c r="B127" s="826" t="str">
        <f>$B$7</f>
        <v>TEST YEAR ENDING 12/31/2024</v>
      </c>
      <c r="C127" s="339"/>
      <c r="D127" s="340"/>
      <c r="M127" s="64"/>
    </row>
    <row r="128" spans="2:14" ht="15.75" customHeight="1" x14ac:dyDescent="0.25">
      <c r="B128" s="857" t="str">
        <f>$B$8</f>
        <v>SPONSOR:  MATTHEW A. TROXLE</v>
      </c>
      <c r="C128" s="304"/>
      <c r="D128" s="837"/>
      <c r="E128" s="304"/>
      <c r="F128" s="304"/>
      <c r="G128" s="304"/>
      <c r="H128" s="304"/>
      <c r="I128" s="304"/>
      <c r="J128" s="304"/>
      <c r="K128" s="304"/>
      <c r="L128" s="304"/>
      <c r="M128" s="64"/>
    </row>
    <row r="129" spans="2:14" ht="15" thickBot="1" x14ac:dyDescent="0.25">
      <c r="B129" s="858"/>
      <c r="C129" s="849"/>
      <c r="D129" s="850"/>
      <c r="M129" s="64"/>
      <c r="N129" s="101"/>
    </row>
    <row r="130" spans="2:14" x14ac:dyDescent="0.2">
      <c r="B130" s="12"/>
      <c r="C130" s="13"/>
      <c r="D130" s="13"/>
      <c r="E130" s="13"/>
      <c r="F130" s="176" t="s">
        <v>6</v>
      </c>
      <c r="G130" s="12" t="s">
        <v>7</v>
      </c>
      <c r="H130" s="12" t="s">
        <v>8</v>
      </c>
      <c r="I130" s="178" t="s">
        <v>9</v>
      </c>
      <c r="J130" s="12" t="s">
        <v>10</v>
      </c>
      <c r="K130" s="16"/>
      <c r="L130" s="110" t="s">
        <v>907</v>
      </c>
      <c r="M130" s="64"/>
      <c r="N130" s="101"/>
    </row>
    <row r="131" spans="2:14" ht="15" x14ac:dyDescent="0.25">
      <c r="B131" s="14" t="s">
        <v>2</v>
      </c>
      <c r="C131" s="14" t="s">
        <v>349</v>
      </c>
      <c r="D131" s="226" t="s">
        <v>518</v>
      </c>
      <c r="E131" s="14" t="s">
        <v>350</v>
      </c>
      <c r="F131" s="181"/>
      <c r="G131" s="14"/>
      <c r="H131" s="14"/>
      <c r="I131" s="14"/>
      <c r="J131" s="14"/>
      <c r="K131" s="16"/>
      <c r="L131" s="93" t="s">
        <v>908</v>
      </c>
      <c r="M131" s="64"/>
      <c r="N131" s="101"/>
    </row>
    <row r="132" spans="2:14" x14ac:dyDescent="0.2">
      <c r="B132" s="14"/>
      <c r="C132" s="14"/>
      <c r="D132" s="14"/>
      <c r="E132" s="14"/>
      <c r="F132" s="181"/>
      <c r="G132" s="14"/>
      <c r="H132" s="14"/>
      <c r="I132" s="14"/>
      <c r="J132" s="14"/>
      <c r="K132" s="16"/>
      <c r="L132" s="93"/>
      <c r="M132" s="64"/>
      <c r="N132" s="101"/>
    </row>
    <row r="133" spans="2:14" ht="15" thickBot="1" x14ac:dyDescent="0.25">
      <c r="B133" s="15"/>
      <c r="C133" s="15" t="s">
        <v>13</v>
      </c>
      <c r="D133" s="15" t="s">
        <v>14</v>
      </c>
      <c r="E133" s="15" t="s">
        <v>15</v>
      </c>
      <c r="F133" s="15" t="s">
        <v>16</v>
      </c>
      <c r="G133" s="15" t="s">
        <v>17</v>
      </c>
      <c r="H133" s="15" t="s">
        <v>18</v>
      </c>
      <c r="I133" s="15" t="s">
        <v>21</v>
      </c>
      <c r="J133" s="15" t="s">
        <v>22</v>
      </c>
      <c r="K133" s="16"/>
      <c r="L133" s="997" t="s">
        <v>397</v>
      </c>
      <c r="M133" s="64"/>
      <c r="N133" s="101"/>
    </row>
    <row r="134" spans="2:14" x14ac:dyDescent="0.2">
      <c r="B134" s="64"/>
      <c r="C134" s="64"/>
      <c r="D134" s="96"/>
      <c r="E134" s="96"/>
      <c r="F134" s="227"/>
      <c r="G134" s="227"/>
      <c r="H134" s="228"/>
      <c r="I134" s="228"/>
      <c r="J134" s="96"/>
      <c r="K134" s="1"/>
      <c r="L134" s="228"/>
      <c r="M134" s="64"/>
      <c r="N134" s="101"/>
    </row>
    <row r="135" spans="2:14" ht="15" x14ac:dyDescent="0.25">
      <c r="B135" s="16">
        <v>1</v>
      </c>
      <c r="C135" s="8" t="s">
        <v>518</v>
      </c>
      <c r="D135" s="8"/>
      <c r="E135" s="19" t="s">
        <v>24</v>
      </c>
      <c r="F135" s="21"/>
      <c r="G135" s="21"/>
      <c r="H135" s="21"/>
      <c r="I135" s="21"/>
      <c r="J135" s="8"/>
      <c r="K135" s="8"/>
      <c r="L135" s="21"/>
      <c r="M135" s="64"/>
    </row>
    <row r="136" spans="2:14" s="321" customFormat="1" x14ac:dyDescent="0.2">
      <c r="B136" s="16">
        <f t="shared" ref="B136:B137" si="14">B135+1</f>
        <v>2</v>
      </c>
      <c r="C136" s="1" t="s">
        <v>59</v>
      </c>
      <c r="D136" s="1" t="s">
        <v>40</v>
      </c>
      <c r="E136" s="16"/>
      <c r="F136" s="985">
        <f>'WP II-I-1.1'!F56</f>
        <v>2551204.7000000002</v>
      </c>
      <c r="G136" s="1322">
        <f>'WP II-I-1.1'!G56</f>
        <v>26320548.329999998</v>
      </c>
      <c r="H136" s="986">
        <f>'WP II-I-1.1'!H56</f>
        <v>0</v>
      </c>
      <c r="I136" s="987">
        <f>'WP II-I-1.1'!I56</f>
        <v>0</v>
      </c>
      <c r="J136" s="229">
        <f t="shared" ref="J136:J159" si="15">SUM(F136:I136)</f>
        <v>28871753.029999997</v>
      </c>
      <c r="K136" s="229"/>
      <c r="L136" s="17">
        <f t="shared" si="13"/>
        <v>26320548.329999998</v>
      </c>
      <c r="M136" s="45"/>
      <c r="N136" s="751">
        <f t="shared" ref="N136:N168" si="16">J136-L136-F136</f>
        <v>0</v>
      </c>
    </row>
    <row r="137" spans="2:14" s="321" customFormat="1" x14ac:dyDescent="0.2">
      <c r="B137" s="16">
        <f t="shared" si="14"/>
        <v>3</v>
      </c>
      <c r="C137" s="1" t="s">
        <v>60</v>
      </c>
      <c r="D137" s="29" t="s">
        <v>42</v>
      </c>
      <c r="E137" s="16"/>
      <c r="F137" s="980">
        <f>'WP II-I-1.1'!F57</f>
        <v>135093650.06999999</v>
      </c>
      <c r="G137" s="1323">
        <f>'WP II-I-1.1'!G57</f>
        <v>262616639.71000001</v>
      </c>
      <c r="H137" s="802">
        <f>'WP II-I-1.1'!H57</f>
        <v>0</v>
      </c>
      <c r="I137" s="981">
        <f>'WP II-I-1.1'!I57</f>
        <v>0</v>
      </c>
      <c r="J137" s="229">
        <f t="shared" si="15"/>
        <v>397710289.77999997</v>
      </c>
      <c r="K137" s="229"/>
      <c r="L137" s="17">
        <f t="shared" si="13"/>
        <v>262616639.71000001</v>
      </c>
      <c r="M137" s="45"/>
      <c r="N137" s="751">
        <f t="shared" si="16"/>
        <v>0</v>
      </c>
    </row>
    <row r="138" spans="2:14" s="321" customFormat="1" x14ac:dyDescent="0.2">
      <c r="B138" s="16">
        <f>B137+1</f>
        <v>4</v>
      </c>
      <c r="C138" s="1" t="s">
        <v>61</v>
      </c>
      <c r="D138" s="1" t="s">
        <v>44</v>
      </c>
      <c r="E138" s="16"/>
      <c r="F138" s="980">
        <f>'WP II-I-1.1'!F58</f>
        <v>909625324.47999954</v>
      </c>
      <c r="G138" s="1323">
        <f>'WP II-I-1.1'!G58</f>
        <v>2475128207.190002</v>
      </c>
      <c r="H138" s="802">
        <f>'WP II-I-1.1'!H58</f>
        <v>0</v>
      </c>
      <c r="I138" s="981">
        <f>'WP II-I-1.1'!I58</f>
        <v>0</v>
      </c>
      <c r="J138" s="229">
        <f t="shared" si="15"/>
        <v>3384753531.6700015</v>
      </c>
      <c r="K138" s="229"/>
      <c r="L138" s="17">
        <f t="shared" si="13"/>
        <v>2475128207.190002</v>
      </c>
      <c r="M138" s="45"/>
      <c r="N138" s="751">
        <f t="shared" si="16"/>
        <v>0</v>
      </c>
    </row>
    <row r="139" spans="2:14" s="321" customFormat="1" x14ac:dyDescent="0.2">
      <c r="B139" s="16">
        <f t="shared" ref="B139:B168" si="17">B138+1</f>
        <v>5</v>
      </c>
      <c r="C139" s="1" t="s">
        <v>1234</v>
      </c>
      <c r="D139" s="1" t="s">
        <v>1230</v>
      </c>
      <c r="E139" s="16"/>
      <c r="F139" s="980">
        <f>'WP II-I-1.1'!F59</f>
        <v>0</v>
      </c>
      <c r="G139" s="1323">
        <f>'WP II-I-1.1'!G59</f>
        <v>0</v>
      </c>
      <c r="H139" s="802">
        <f>'WP II-I-1.1'!H59</f>
        <v>0</v>
      </c>
      <c r="I139" s="981">
        <f>'WP II-I-1.1'!I59</f>
        <v>0</v>
      </c>
      <c r="J139" s="229">
        <f t="shared" ref="J139:J140" si="18">SUM(F139:I139)</f>
        <v>0</v>
      </c>
      <c r="K139" s="229"/>
      <c r="L139" s="17">
        <f t="shared" ref="L139:L140" si="19">SUM(G139:I139)</f>
        <v>0</v>
      </c>
      <c r="M139" s="45"/>
      <c r="N139" s="751">
        <f t="shared" ref="N139:N140" si="20">J139-L139-F139</f>
        <v>0</v>
      </c>
    </row>
    <row r="140" spans="2:14" s="321" customFormat="1" x14ac:dyDescent="0.2">
      <c r="B140" s="16">
        <f t="shared" si="17"/>
        <v>6</v>
      </c>
      <c r="C140" s="1" t="s">
        <v>1235</v>
      </c>
      <c r="D140" s="1" t="s">
        <v>1232</v>
      </c>
      <c r="E140" s="16"/>
      <c r="F140" s="980">
        <f>'WP II-I-1.1'!F60</f>
        <v>0</v>
      </c>
      <c r="G140" s="1323">
        <f>'WP II-I-1.1'!G60</f>
        <v>327580421.52000022</v>
      </c>
      <c r="H140" s="802">
        <f>'WP II-I-1.1'!H60</f>
        <v>121073893.45000005</v>
      </c>
      <c r="I140" s="981">
        <f>'WP II-I-1.1'!I60</f>
        <v>334873235.67999995</v>
      </c>
      <c r="J140" s="229">
        <f t="shared" si="18"/>
        <v>783527550.65000021</v>
      </c>
      <c r="K140" s="229"/>
      <c r="L140" s="17">
        <f t="shared" si="19"/>
        <v>783527550.65000021</v>
      </c>
      <c r="M140" s="45"/>
      <c r="N140" s="751">
        <f t="shared" si="20"/>
        <v>0</v>
      </c>
    </row>
    <row r="141" spans="2:14" s="321" customFormat="1" x14ac:dyDescent="0.2">
      <c r="B141" s="16">
        <f t="shared" si="17"/>
        <v>7</v>
      </c>
      <c r="C141" s="1" t="s">
        <v>1236</v>
      </c>
      <c r="D141" s="1" t="s">
        <v>103</v>
      </c>
      <c r="E141" s="16"/>
      <c r="F141" s="980">
        <f>'WP II-I-1.1'!F61</f>
        <v>0</v>
      </c>
      <c r="G141" s="1323">
        <f>'WP II-I-1.1'!G61</f>
        <v>0</v>
      </c>
      <c r="H141" s="802">
        <f>'WP II-I-1.1'!H61</f>
        <v>38191350.260000005</v>
      </c>
      <c r="I141" s="981">
        <f>'WP II-I-1.1'!I61</f>
        <v>0</v>
      </c>
      <c r="J141" s="229">
        <f t="shared" si="15"/>
        <v>38191350.260000005</v>
      </c>
      <c r="K141" s="229"/>
      <c r="L141" s="17">
        <f t="shared" si="13"/>
        <v>38191350.260000005</v>
      </c>
      <c r="M141" s="45"/>
      <c r="N141" s="751">
        <f t="shared" si="16"/>
        <v>0</v>
      </c>
    </row>
    <row r="142" spans="2:14" s="321" customFormat="1" x14ac:dyDescent="0.2">
      <c r="B142" s="16">
        <f t="shared" si="17"/>
        <v>8</v>
      </c>
      <c r="C142" s="1" t="s">
        <v>359</v>
      </c>
      <c r="D142" s="29" t="s">
        <v>489</v>
      </c>
      <c r="E142" s="16"/>
      <c r="F142" s="985">
        <f>'WP II-I-1.2'!F27</f>
        <v>0</v>
      </c>
      <c r="G142" s="1322">
        <f>'WP II-I-1.2'!G27</f>
        <v>2972866230.1907825</v>
      </c>
      <c r="H142" s="986">
        <f>'WP II-I-1.2'!H27</f>
        <v>0</v>
      </c>
      <c r="I142" s="987">
        <f>'WP II-I-1.2'!I27</f>
        <v>0</v>
      </c>
      <c r="J142" s="229">
        <f t="shared" si="15"/>
        <v>2972866230.1907825</v>
      </c>
      <c r="K142" s="229"/>
      <c r="L142" s="17">
        <f t="shared" si="13"/>
        <v>2972866230.1907825</v>
      </c>
      <c r="M142" s="45"/>
      <c r="N142" s="751">
        <f t="shared" si="16"/>
        <v>0</v>
      </c>
    </row>
    <row r="143" spans="2:14" s="321" customFormat="1" x14ac:dyDescent="0.2">
      <c r="B143" s="16">
        <f t="shared" si="17"/>
        <v>9</v>
      </c>
      <c r="C143" s="1" t="s">
        <v>361</v>
      </c>
      <c r="D143" s="29" t="s">
        <v>490</v>
      </c>
      <c r="E143" s="16"/>
      <c r="F143" s="980">
        <f>'WP II-I-1.2'!F28</f>
        <v>0</v>
      </c>
      <c r="G143" s="1323">
        <f>'WP II-I-1.2'!G28</f>
        <v>550545026.16921711</v>
      </c>
      <c r="H143" s="802">
        <f>'WP II-I-1.2'!H28</f>
        <v>0</v>
      </c>
      <c r="I143" s="981">
        <f>'WP II-I-1.2'!I28</f>
        <v>0</v>
      </c>
      <c r="J143" s="229">
        <f t="shared" si="15"/>
        <v>550545026.16921711</v>
      </c>
      <c r="K143" s="229"/>
      <c r="L143" s="17">
        <f t="shared" si="13"/>
        <v>550545026.16921711</v>
      </c>
      <c r="M143" s="45"/>
      <c r="N143" s="751">
        <f t="shared" si="16"/>
        <v>0</v>
      </c>
    </row>
    <row r="144" spans="2:14" s="321" customFormat="1" x14ac:dyDescent="0.2">
      <c r="B144" s="16">
        <f t="shared" si="17"/>
        <v>10</v>
      </c>
      <c r="C144" s="1" t="s">
        <v>364</v>
      </c>
      <c r="D144" s="1" t="s">
        <v>491</v>
      </c>
      <c r="E144" s="16"/>
      <c r="F144" s="980">
        <f>'WP II-I-1.2'!F30</f>
        <v>0</v>
      </c>
      <c r="G144" s="1323">
        <f>'WP II-I-1.2'!G30</f>
        <v>1905927086.1466675</v>
      </c>
      <c r="H144" s="802">
        <f>'WP II-I-1.2'!H30</f>
        <v>0</v>
      </c>
      <c r="I144" s="981">
        <f>'WP II-I-1.2'!I30</f>
        <v>0</v>
      </c>
      <c r="J144" s="229">
        <f t="shared" si="15"/>
        <v>1905927086.1466675</v>
      </c>
      <c r="K144" s="229"/>
      <c r="L144" s="17">
        <f t="shared" si="13"/>
        <v>1905927086.1466675</v>
      </c>
      <c r="M144" s="45"/>
      <c r="N144" s="751">
        <f t="shared" si="16"/>
        <v>0</v>
      </c>
    </row>
    <row r="145" spans="2:14" s="321" customFormat="1" x14ac:dyDescent="0.2">
      <c r="B145" s="16">
        <f t="shared" si="17"/>
        <v>11</v>
      </c>
      <c r="C145" s="1" t="s">
        <v>366</v>
      </c>
      <c r="D145" s="1" t="s">
        <v>492</v>
      </c>
      <c r="E145" s="16"/>
      <c r="F145" s="980">
        <f>'WP II-I-1.2'!F31</f>
        <v>0</v>
      </c>
      <c r="G145" s="1323">
        <f>'WP II-I-1.2'!G31</f>
        <v>276691306.83333248</v>
      </c>
      <c r="H145" s="802">
        <f>'WP II-I-1.2'!H31</f>
        <v>0</v>
      </c>
      <c r="I145" s="981">
        <f>'WP II-I-1.2'!I31</f>
        <v>0</v>
      </c>
      <c r="J145" s="229">
        <f t="shared" si="15"/>
        <v>276691306.83333248</v>
      </c>
      <c r="K145" s="229"/>
      <c r="L145" s="17">
        <f t="shared" si="13"/>
        <v>276691306.83333248</v>
      </c>
      <c r="M145" s="45"/>
      <c r="N145" s="751">
        <f t="shared" si="16"/>
        <v>0</v>
      </c>
    </row>
    <row r="146" spans="2:14" s="321" customFormat="1" x14ac:dyDescent="0.2">
      <c r="B146" s="16">
        <f t="shared" si="17"/>
        <v>12</v>
      </c>
      <c r="C146" s="1" t="s">
        <v>369</v>
      </c>
      <c r="D146" s="1" t="s">
        <v>370</v>
      </c>
      <c r="E146" s="16"/>
      <c r="F146" s="980">
        <f>'WP II-I-1.2'!F33</f>
        <v>0</v>
      </c>
      <c r="G146" s="1323">
        <f>'WP II-I-1.2'!G33</f>
        <v>1079935972.4845948</v>
      </c>
      <c r="H146" s="802">
        <f>'WP II-I-1.2'!H33</f>
        <v>0</v>
      </c>
      <c r="I146" s="981">
        <f>'WP II-I-1.2'!I33</f>
        <v>0</v>
      </c>
      <c r="J146" s="229">
        <f t="shared" si="15"/>
        <v>1079935972.4845948</v>
      </c>
      <c r="K146" s="229"/>
      <c r="L146" s="17">
        <f t="shared" si="13"/>
        <v>1079935972.4845948</v>
      </c>
      <c r="M146" s="45"/>
      <c r="N146" s="751">
        <f t="shared" si="16"/>
        <v>0</v>
      </c>
    </row>
    <row r="147" spans="2:14" s="321" customFormat="1" x14ac:dyDescent="0.2">
      <c r="B147" s="16">
        <f t="shared" si="17"/>
        <v>13</v>
      </c>
      <c r="C147" s="1" t="s">
        <v>371</v>
      </c>
      <c r="D147" s="1" t="s">
        <v>372</v>
      </c>
      <c r="E147" s="16"/>
      <c r="F147" s="980">
        <f>'WP II-I-1.2'!F34</f>
        <v>0</v>
      </c>
      <c r="G147" s="1323">
        <f>'WP II-I-1.2'!G34</f>
        <v>557386865.60540497</v>
      </c>
      <c r="H147" s="802">
        <f>'WP II-I-1.2'!H34</f>
        <v>0</v>
      </c>
      <c r="I147" s="981">
        <f>'WP II-I-1.2'!I34</f>
        <v>0</v>
      </c>
      <c r="J147" s="229">
        <f t="shared" si="15"/>
        <v>557386865.60540497</v>
      </c>
      <c r="K147" s="229"/>
      <c r="L147" s="17">
        <f t="shared" si="13"/>
        <v>557386865.60540497</v>
      </c>
      <c r="M147" s="45"/>
      <c r="N147" s="751">
        <f t="shared" si="16"/>
        <v>0</v>
      </c>
    </row>
    <row r="148" spans="2:14" s="321" customFormat="1" x14ac:dyDescent="0.2">
      <c r="B148" s="16">
        <f t="shared" si="17"/>
        <v>14</v>
      </c>
      <c r="C148" s="1" t="s">
        <v>374</v>
      </c>
      <c r="D148" s="29" t="s">
        <v>493</v>
      </c>
      <c r="E148" s="28"/>
      <c r="F148" s="980">
        <f>'WP II-I-1.2'!F36</f>
        <v>0</v>
      </c>
      <c r="G148" s="1323">
        <f>'WP II-I-1.2'!G36</f>
        <v>2535747234.0759034</v>
      </c>
      <c r="H148" s="802">
        <f>'WP II-I-1.2'!H36</f>
        <v>0</v>
      </c>
      <c r="I148" s="981">
        <f>'WP II-I-1.2'!I36</f>
        <v>0</v>
      </c>
      <c r="J148" s="229">
        <f t="shared" si="15"/>
        <v>2535747234.0759034</v>
      </c>
      <c r="K148" s="229"/>
      <c r="L148" s="17">
        <f t="shared" si="13"/>
        <v>2535747234.0759034</v>
      </c>
      <c r="M148" s="45"/>
      <c r="N148" s="751">
        <f t="shared" si="16"/>
        <v>0</v>
      </c>
    </row>
    <row r="149" spans="2:14" s="321" customFormat="1" x14ac:dyDescent="0.2">
      <c r="B149" s="16">
        <f t="shared" si="17"/>
        <v>15</v>
      </c>
      <c r="C149" s="1" t="s">
        <v>376</v>
      </c>
      <c r="D149" s="29" t="s">
        <v>494</v>
      </c>
      <c r="E149" s="28"/>
      <c r="F149" s="980">
        <f>'WP II-I-1.2'!F37</f>
        <v>0</v>
      </c>
      <c r="G149" s="1323">
        <f>'WP II-I-1.2'!G37</f>
        <v>641176084.73409665</v>
      </c>
      <c r="H149" s="802">
        <f>'WP II-I-1.2'!H37</f>
        <v>0</v>
      </c>
      <c r="I149" s="981">
        <f>'WP II-I-1.2'!I37</f>
        <v>0</v>
      </c>
      <c r="J149" s="229">
        <f t="shared" si="15"/>
        <v>641176084.73409665</v>
      </c>
      <c r="K149" s="229"/>
      <c r="L149" s="17">
        <f t="shared" si="13"/>
        <v>641176084.73409665</v>
      </c>
      <c r="M149" s="45"/>
      <c r="N149" s="751">
        <f t="shared" si="16"/>
        <v>0</v>
      </c>
    </row>
    <row r="150" spans="2:14" s="321" customFormat="1" x14ac:dyDescent="0.2">
      <c r="B150" s="16">
        <f t="shared" si="17"/>
        <v>16</v>
      </c>
      <c r="C150" s="1" t="s">
        <v>379</v>
      </c>
      <c r="D150" s="1" t="str">
        <f>'WP II-I-1.2'!D39</f>
        <v>Regulators, Protectors, Primary Transformers</v>
      </c>
      <c r="E150" s="16"/>
      <c r="F150" s="980">
        <f>'WP II-I-1.2'!F39</f>
        <v>0</v>
      </c>
      <c r="G150" s="1323">
        <f>'WP II-I-1.2'!G39</f>
        <v>218577637.44999996</v>
      </c>
      <c r="H150" s="802">
        <f>'WP II-I-1.2'!H39</f>
        <v>0</v>
      </c>
      <c r="I150" s="981">
        <f>'WP II-I-1.2'!I39</f>
        <v>0</v>
      </c>
      <c r="J150" s="229">
        <f t="shared" si="15"/>
        <v>218577637.44999996</v>
      </c>
      <c r="K150" s="229"/>
      <c r="L150" s="17">
        <f t="shared" si="13"/>
        <v>218577637.44999996</v>
      </c>
      <c r="M150" s="45"/>
      <c r="N150" s="751">
        <f t="shared" si="16"/>
        <v>0</v>
      </c>
    </row>
    <row r="151" spans="2:14" s="321" customFormat="1" x14ac:dyDescent="0.2">
      <c r="B151" s="16">
        <f t="shared" si="17"/>
        <v>17</v>
      </c>
      <c r="C151" s="1" t="s">
        <v>381</v>
      </c>
      <c r="D151" s="1" t="str">
        <f>'WP II-I-1.2'!D40</f>
        <v>Secondary Transformers</v>
      </c>
      <c r="E151" s="16"/>
      <c r="F151" s="980">
        <f>'WP II-I-1.2'!F40</f>
        <v>0</v>
      </c>
      <c r="G151" s="1323">
        <f>'WP II-I-1.2'!G40</f>
        <v>2781139440.8000002</v>
      </c>
      <c r="H151" s="802">
        <f>'WP II-I-1.2'!H40</f>
        <v>0</v>
      </c>
      <c r="I151" s="981">
        <f>'WP II-I-1.2'!I40</f>
        <v>0</v>
      </c>
      <c r="J151" s="229">
        <f t="shared" si="15"/>
        <v>2781139440.8000002</v>
      </c>
      <c r="K151" s="229"/>
      <c r="L151" s="17">
        <f t="shared" si="13"/>
        <v>2781139440.8000002</v>
      </c>
      <c r="M151" s="45"/>
      <c r="N151" s="751">
        <f t="shared" si="16"/>
        <v>0</v>
      </c>
    </row>
    <row r="152" spans="2:14" s="321" customFormat="1" x14ac:dyDescent="0.2">
      <c r="B152" s="16">
        <f t="shared" si="17"/>
        <v>18</v>
      </c>
      <c r="C152" s="1" t="s">
        <v>383</v>
      </c>
      <c r="D152" s="1" t="str">
        <f>'WP II-I-1.2'!D41</f>
        <v>Capacitors</v>
      </c>
      <c r="E152" s="16"/>
      <c r="F152" s="982">
        <f>'WP II-I-1.2'!F41</f>
        <v>0</v>
      </c>
      <c r="G152" s="1324">
        <f>'WP II-I-1.2'!G41</f>
        <v>167948847.31999999</v>
      </c>
      <c r="H152" s="983">
        <f>'WP II-I-1.2'!H41</f>
        <v>0</v>
      </c>
      <c r="I152" s="984">
        <f>'WP II-I-1.2'!I41</f>
        <v>0</v>
      </c>
      <c r="J152" s="229">
        <f t="shared" si="15"/>
        <v>167948847.31999999</v>
      </c>
      <c r="K152" s="229"/>
      <c r="L152" s="17">
        <f t="shared" si="13"/>
        <v>167948847.31999999</v>
      </c>
      <c r="M152" s="45"/>
      <c r="N152" s="751">
        <f t="shared" si="16"/>
        <v>0</v>
      </c>
    </row>
    <row r="153" spans="2:14" s="321" customFormat="1" x14ac:dyDescent="0.2">
      <c r="B153" s="16">
        <f t="shared" si="17"/>
        <v>19</v>
      </c>
      <c r="C153" s="1" t="s">
        <v>72</v>
      </c>
      <c r="D153" s="29" t="s">
        <v>73</v>
      </c>
      <c r="E153" s="28"/>
      <c r="F153" s="980">
        <f>'WP II-I-1.1'!F67</f>
        <v>0</v>
      </c>
      <c r="G153" s="1323">
        <f>'WP II-I-1.1'!G67</f>
        <v>1970343942.5799999</v>
      </c>
      <c r="H153" s="802">
        <f>'WP II-I-1.1'!H67</f>
        <v>0</v>
      </c>
      <c r="I153" s="981">
        <f>'WP II-I-1.1'!I67</f>
        <v>0</v>
      </c>
      <c r="J153" s="229">
        <f t="shared" si="15"/>
        <v>1970343942.5799999</v>
      </c>
      <c r="K153" s="229"/>
      <c r="L153" s="17">
        <f t="shared" si="13"/>
        <v>1970343942.5799999</v>
      </c>
      <c r="M153" s="45"/>
      <c r="N153" s="751">
        <f t="shared" si="16"/>
        <v>0</v>
      </c>
    </row>
    <row r="154" spans="2:14" s="321" customFormat="1" x14ac:dyDescent="0.2">
      <c r="B154" s="16">
        <f t="shared" si="17"/>
        <v>20</v>
      </c>
      <c r="C154" s="1" t="s">
        <v>74</v>
      </c>
      <c r="D154" s="1" t="s">
        <v>75</v>
      </c>
      <c r="E154" s="16"/>
      <c r="F154" s="980">
        <f>'WP II-I-1.1'!F68</f>
        <v>0</v>
      </c>
      <c r="G154" s="1323">
        <f>'WP II-I-1.1'!G68</f>
        <v>0</v>
      </c>
      <c r="H154" s="802">
        <f>'WP II-I-1.1'!H68</f>
        <v>625718350.30999994</v>
      </c>
      <c r="I154" s="981">
        <f>'WP II-I-1.1'!I68</f>
        <v>0</v>
      </c>
      <c r="J154" s="229">
        <f t="shared" si="15"/>
        <v>625718350.30999994</v>
      </c>
      <c r="K154" s="229"/>
      <c r="L154" s="17">
        <f t="shared" si="13"/>
        <v>625718350.30999994</v>
      </c>
      <c r="M154" s="45"/>
      <c r="N154" s="751">
        <f t="shared" si="16"/>
        <v>0</v>
      </c>
    </row>
    <row r="155" spans="2:14" s="321" customFormat="1" x14ac:dyDescent="0.2">
      <c r="B155" s="16">
        <f t="shared" si="17"/>
        <v>21</v>
      </c>
      <c r="C155" s="1" t="s">
        <v>76</v>
      </c>
      <c r="D155" s="1" t="s">
        <v>495</v>
      </c>
      <c r="E155" s="16"/>
      <c r="F155" s="980">
        <f>'WP II-I-1.1'!F69</f>
        <v>0</v>
      </c>
      <c r="G155" s="1323">
        <f>'WP II-I-1.1'!G69</f>
        <v>56332960.560000002</v>
      </c>
      <c r="H155" s="802">
        <f>'WP II-I-1.1'!H69</f>
        <v>0</v>
      </c>
      <c r="I155" s="981">
        <f>'WP II-I-1.1'!I69</f>
        <v>0</v>
      </c>
      <c r="J155" s="229">
        <f t="shared" si="15"/>
        <v>56332960.560000002</v>
      </c>
      <c r="K155" s="229"/>
      <c r="L155" s="17">
        <f t="shared" si="13"/>
        <v>56332960.560000002</v>
      </c>
      <c r="M155" s="45"/>
      <c r="N155" s="751">
        <f t="shared" si="16"/>
        <v>0</v>
      </c>
    </row>
    <row r="156" spans="2:14" s="321" customFormat="1" x14ac:dyDescent="0.2">
      <c r="B156" s="16">
        <f t="shared" si="17"/>
        <v>22</v>
      </c>
      <c r="C156" s="1" t="s">
        <v>78</v>
      </c>
      <c r="D156" s="1" t="s">
        <v>496</v>
      </c>
      <c r="E156" s="16"/>
      <c r="F156" s="980">
        <f>'WP II-I-1.1'!F70</f>
        <v>0</v>
      </c>
      <c r="G156" s="1323">
        <f>'WP II-I-1.1'!G70</f>
        <v>0</v>
      </c>
      <c r="H156" s="802">
        <f>'WP II-I-1.1'!H70</f>
        <v>0</v>
      </c>
      <c r="I156" s="981">
        <f>'WP II-I-1.1'!I70</f>
        <v>0</v>
      </c>
      <c r="J156" s="229">
        <f t="shared" si="15"/>
        <v>0</v>
      </c>
      <c r="K156" s="229"/>
      <c r="L156" s="17">
        <f t="shared" si="13"/>
        <v>0</v>
      </c>
      <c r="M156" s="45"/>
      <c r="N156" s="751">
        <f t="shared" si="16"/>
        <v>0</v>
      </c>
    </row>
    <row r="157" spans="2:14" s="321" customFormat="1" x14ac:dyDescent="0.2">
      <c r="B157" s="16">
        <f t="shared" si="17"/>
        <v>23</v>
      </c>
      <c r="C157" s="1" t="s">
        <v>80</v>
      </c>
      <c r="D157" s="1" t="s">
        <v>84</v>
      </c>
      <c r="E157" s="16"/>
      <c r="F157" s="980">
        <f>'WP II-I-1.1'!F71</f>
        <v>0</v>
      </c>
      <c r="G157" s="1323">
        <f>'WP II-I-1.1'!G71</f>
        <v>543768085.23000002</v>
      </c>
      <c r="H157" s="802">
        <f>'WP II-I-1.1'!H71</f>
        <v>0</v>
      </c>
      <c r="I157" s="981">
        <f>'WP II-I-1.1'!I71</f>
        <v>0</v>
      </c>
      <c r="J157" s="229">
        <f t="shared" si="15"/>
        <v>543768085.23000002</v>
      </c>
      <c r="K157" s="229"/>
      <c r="L157" s="17">
        <f t="shared" si="13"/>
        <v>543768085.23000002</v>
      </c>
      <c r="M157" s="45"/>
      <c r="N157" s="751">
        <f t="shared" si="16"/>
        <v>0</v>
      </c>
    </row>
    <row r="158" spans="2:14" s="321" customFormat="1" ht="16.5" x14ac:dyDescent="0.35">
      <c r="B158" s="16">
        <f t="shared" si="17"/>
        <v>24</v>
      </c>
      <c r="C158" s="1" t="s">
        <v>82</v>
      </c>
      <c r="D158" s="1" t="s">
        <v>38</v>
      </c>
      <c r="E158" s="16"/>
      <c r="F158" s="982">
        <f>'WP II-I-1.1'!F72</f>
        <v>35890398.07</v>
      </c>
      <c r="G158" s="1324">
        <f>'WP II-I-1.1'!G72</f>
        <v>88171655.439999998</v>
      </c>
      <c r="H158" s="983">
        <f>'WP II-I-1.1'!H72</f>
        <v>0</v>
      </c>
      <c r="I158" s="984">
        <f>'WP II-I-1.1'!I72</f>
        <v>0</v>
      </c>
      <c r="J158" s="238">
        <f t="shared" si="15"/>
        <v>124062053.50999999</v>
      </c>
      <c r="K158" s="229"/>
      <c r="L158" s="232">
        <f t="shared" si="13"/>
        <v>88171655.439999998</v>
      </c>
      <c r="M158" s="45"/>
      <c r="N158" s="751">
        <f t="shared" si="16"/>
        <v>0</v>
      </c>
    </row>
    <row r="159" spans="2:14" ht="15" x14ac:dyDescent="0.25">
      <c r="B159" s="16">
        <f t="shared" si="17"/>
        <v>25</v>
      </c>
      <c r="C159" s="64"/>
      <c r="D159" s="233" t="s">
        <v>444</v>
      </c>
      <c r="E159" s="121"/>
      <c r="F159" s="21">
        <f>SUM(F136:F158)</f>
        <v>1083160577.3199995</v>
      </c>
      <c r="G159" s="21">
        <f>SUM(G136:G158)</f>
        <v>19438204192.369999</v>
      </c>
      <c r="H159" s="21">
        <f>SUM(H136:H158)</f>
        <v>784983594.01999998</v>
      </c>
      <c r="I159" s="21">
        <f>SUM(I136:I158)</f>
        <v>334873235.67999995</v>
      </c>
      <c r="J159" s="235">
        <f t="shared" si="15"/>
        <v>21641221599.389999</v>
      </c>
      <c r="K159" s="236"/>
      <c r="L159" s="805">
        <f t="shared" si="13"/>
        <v>20558061022.07</v>
      </c>
      <c r="M159" s="64"/>
      <c r="N159" s="751">
        <f t="shared" si="16"/>
        <v>0</v>
      </c>
    </row>
    <row r="160" spans="2:14" x14ac:dyDescent="0.2">
      <c r="B160" s="16">
        <f t="shared" si="17"/>
        <v>26</v>
      </c>
      <c r="C160" s="64"/>
      <c r="D160" s="1"/>
      <c r="E160" s="16"/>
      <c r="F160" s="18"/>
      <c r="G160" s="18"/>
      <c r="H160" s="18"/>
      <c r="I160" s="1"/>
      <c r="J160" s="1"/>
      <c r="K160" s="1"/>
      <c r="L160" s="1"/>
      <c r="M160" s="64"/>
      <c r="N160" s="751">
        <f t="shared" si="16"/>
        <v>0</v>
      </c>
    </row>
    <row r="161" spans="2:14" ht="15" x14ac:dyDescent="0.25">
      <c r="B161" s="16">
        <f t="shared" si="17"/>
        <v>27</v>
      </c>
      <c r="C161" s="64"/>
      <c r="D161" s="233" t="s">
        <v>519</v>
      </c>
      <c r="E161" s="16"/>
      <c r="F161" s="21">
        <f>SUM(F142:F143)</f>
        <v>0</v>
      </c>
      <c r="G161" s="21">
        <f>SUM(G142:G143)</f>
        <v>3523411256.3599997</v>
      </c>
      <c r="H161" s="21">
        <f>SUM(H142:H143)</f>
        <v>0</v>
      </c>
      <c r="I161" s="21">
        <f>SUM(I142:I143)</f>
        <v>0</v>
      </c>
      <c r="J161" s="235">
        <f>SUM(F161:I161)</f>
        <v>3523411256.3599997</v>
      </c>
      <c r="K161" s="236"/>
      <c r="L161" s="805">
        <f t="shared" si="13"/>
        <v>3523411256.3599997</v>
      </c>
      <c r="M161" s="64"/>
      <c r="N161" s="751">
        <f t="shared" si="16"/>
        <v>0</v>
      </c>
    </row>
    <row r="162" spans="2:14" ht="15" x14ac:dyDescent="0.25">
      <c r="B162" s="16">
        <f t="shared" si="17"/>
        <v>28</v>
      </c>
      <c r="C162" s="64"/>
      <c r="D162" s="233" t="s">
        <v>520</v>
      </c>
      <c r="E162" s="16"/>
      <c r="F162" s="21">
        <f>SUM(F144:F145)</f>
        <v>0</v>
      </c>
      <c r="G162" s="21">
        <f>SUM(G144:G145)</f>
        <v>2182618392.98</v>
      </c>
      <c r="H162" s="21">
        <f>SUM(H144:H145)</f>
        <v>0</v>
      </c>
      <c r="I162" s="21">
        <f>SUM(I144:I145)</f>
        <v>0</v>
      </c>
      <c r="J162" s="235">
        <f>SUM(F162:I162)</f>
        <v>2182618392.98</v>
      </c>
      <c r="K162" s="236"/>
      <c r="L162" s="805">
        <f t="shared" si="13"/>
        <v>2182618392.98</v>
      </c>
      <c r="M162" s="64"/>
      <c r="N162" s="751">
        <f t="shared" si="16"/>
        <v>0</v>
      </c>
    </row>
    <row r="163" spans="2:14" ht="15" x14ac:dyDescent="0.25">
      <c r="B163" s="16">
        <f t="shared" si="17"/>
        <v>29</v>
      </c>
      <c r="C163" s="64"/>
      <c r="D163" s="233" t="s">
        <v>521</v>
      </c>
      <c r="E163" s="16"/>
      <c r="F163" s="21">
        <f>SUM(F146:F147)</f>
        <v>0</v>
      </c>
      <c r="G163" s="21">
        <f>SUM(G146:G147)</f>
        <v>1637322838.0899997</v>
      </c>
      <c r="H163" s="21">
        <f>SUM(H146:H147)</f>
        <v>0</v>
      </c>
      <c r="I163" s="21">
        <f>SUM(I146:I147)</f>
        <v>0</v>
      </c>
      <c r="J163" s="235">
        <f>SUM(F163:I163)</f>
        <v>1637322838.0899997</v>
      </c>
      <c r="K163" s="236"/>
      <c r="L163" s="805">
        <f t="shared" si="13"/>
        <v>1637322838.0899997</v>
      </c>
      <c r="M163" s="64"/>
      <c r="N163" s="751">
        <f t="shared" si="16"/>
        <v>0</v>
      </c>
    </row>
    <row r="164" spans="2:14" ht="15" x14ac:dyDescent="0.25">
      <c r="B164" s="16">
        <f t="shared" si="17"/>
        <v>30</v>
      </c>
      <c r="C164" s="64"/>
      <c r="D164" s="233" t="s">
        <v>522</v>
      </c>
      <c r="E164" s="16"/>
      <c r="F164" s="21">
        <f>SUM(F148:F149)</f>
        <v>0</v>
      </c>
      <c r="G164" s="21">
        <f>SUM(G148:G149)</f>
        <v>3176923318.8099999</v>
      </c>
      <c r="H164" s="21">
        <f>SUM(H148:H149)</f>
        <v>0</v>
      </c>
      <c r="I164" s="21">
        <f>SUM(I148:I149)</f>
        <v>0</v>
      </c>
      <c r="J164" s="235">
        <f>SUM(F164:I164)</f>
        <v>3176923318.8099999</v>
      </c>
      <c r="K164" s="236"/>
      <c r="L164" s="805">
        <f t="shared" si="13"/>
        <v>3176923318.8099999</v>
      </c>
      <c r="M164" s="64"/>
      <c r="N164" s="751">
        <f t="shared" si="16"/>
        <v>0</v>
      </c>
    </row>
    <row r="165" spans="2:14" ht="15" x14ac:dyDescent="0.25">
      <c r="B165" s="16">
        <f t="shared" si="17"/>
        <v>31</v>
      </c>
      <c r="C165" s="64"/>
      <c r="D165" s="233" t="s">
        <v>523</v>
      </c>
      <c r="E165" s="16"/>
      <c r="F165" s="21">
        <f>SUM(F150:F152)</f>
        <v>0</v>
      </c>
      <c r="G165" s="21">
        <f>SUM(G150:G152)</f>
        <v>3167665925.5700002</v>
      </c>
      <c r="H165" s="21">
        <f>SUM(H150:H152)</f>
        <v>0</v>
      </c>
      <c r="I165" s="21">
        <f>SUM(I150:I152)</f>
        <v>0</v>
      </c>
      <c r="J165" s="235">
        <f>SUM(F165:I165)</f>
        <v>3167665925.5700002</v>
      </c>
      <c r="K165" s="236"/>
      <c r="L165" s="805">
        <f t="shared" si="13"/>
        <v>3167665925.5700002</v>
      </c>
      <c r="M165" s="64"/>
      <c r="N165" s="751">
        <f t="shared" si="16"/>
        <v>0</v>
      </c>
    </row>
    <row r="166" spans="2:14" ht="15" thickBot="1" x14ac:dyDescent="0.25">
      <c r="B166" s="16">
        <f t="shared" si="17"/>
        <v>32</v>
      </c>
      <c r="C166" s="64"/>
      <c r="D166" s="1"/>
      <c r="E166" s="16"/>
      <c r="F166" s="18"/>
      <c r="G166" s="18"/>
      <c r="H166" s="18"/>
      <c r="I166" s="1"/>
      <c r="J166" s="1"/>
      <c r="K166" s="1"/>
      <c r="L166" s="1"/>
      <c r="M166" s="64"/>
      <c r="N166" s="751">
        <f t="shared" si="16"/>
        <v>0</v>
      </c>
    </row>
    <row r="167" spans="2:14" ht="15" x14ac:dyDescent="0.25">
      <c r="B167" s="16">
        <f t="shared" si="17"/>
        <v>33</v>
      </c>
      <c r="C167" s="239" t="s">
        <v>497</v>
      </c>
      <c r="D167" s="240"/>
      <c r="E167" s="241" t="s">
        <v>24</v>
      </c>
      <c r="F167" s="242">
        <f>F106+F121+F159</f>
        <v>17354651996.679996</v>
      </c>
      <c r="G167" s="242">
        <f>G106+G121+G159</f>
        <v>19915826101.879997</v>
      </c>
      <c r="H167" s="242">
        <f>H106+H121+H159</f>
        <v>785307954.01999998</v>
      </c>
      <c r="I167" s="242">
        <f>I106+I121+I159</f>
        <v>335018561.67999995</v>
      </c>
      <c r="J167" s="243">
        <f>SUM(F167:I167)</f>
        <v>38390804614.259995</v>
      </c>
      <c r="K167" s="191"/>
      <c r="L167" s="244">
        <f t="shared" si="13"/>
        <v>21036152617.579998</v>
      </c>
      <c r="M167" s="64"/>
      <c r="N167" s="751">
        <f t="shared" si="16"/>
        <v>0</v>
      </c>
    </row>
    <row r="168" spans="2:14" ht="15.75" thickBot="1" x14ac:dyDescent="0.3">
      <c r="B168" s="16">
        <f t="shared" si="17"/>
        <v>34</v>
      </c>
      <c r="C168" s="245" t="s">
        <v>498</v>
      </c>
      <c r="D168" s="246"/>
      <c r="E168" s="247" t="s">
        <v>24</v>
      </c>
      <c r="F168" s="248">
        <f>F121+F159</f>
        <v>17347867466.679996</v>
      </c>
      <c r="G168" s="248">
        <f>G121+G159</f>
        <v>19907180317.879997</v>
      </c>
      <c r="H168" s="248">
        <f>H121+H159</f>
        <v>784983594.01999998</v>
      </c>
      <c r="I168" s="248">
        <f>I121+I159</f>
        <v>334873235.67999995</v>
      </c>
      <c r="J168" s="249">
        <f>SUM(F168:I168)</f>
        <v>38374904614.259995</v>
      </c>
      <c r="K168" s="191"/>
      <c r="L168" s="250">
        <f t="shared" si="13"/>
        <v>21027037147.579998</v>
      </c>
      <c r="M168" s="64"/>
      <c r="N168" s="751">
        <f t="shared" si="16"/>
        <v>0</v>
      </c>
    </row>
    <row r="169" spans="2:14" x14ac:dyDescent="0.2">
      <c r="B169" s="64"/>
      <c r="C169" s="64"/>
      <c r="D169" s="64"/>
      <c r="E169" s="64"/>
      <c r="F169" s="64"/>
      <c r="G169" s="64"/>
      <c r="H169" s="64"/>
      <c r="I169" s="64"/>
      <c r="J169" s="64"/>
      <c r="K169" s="45"/>
      <c r="L169" s="45"/>
    </row>
    <row r="170" spans="2:14" ht="15" x14ac:dyDescent="0.25">
      <c r="B170" s="783"/>
      <c r="C170" s="783"/>
      <c r="D170" s="783"/>
      <c r="E170" s="783"/>
      <c r="F170" s="783"/>
      <c r="G170" s="783"/>
      <c r="H170" s="783"/>
      <c r="I170" s="783"/>
      <c r="J170" s="783"/>
      <c r="K170" s="783"/>
      <c r="L170" s="783"/>
      <c r="M170" s="105" t="str">
        <f>$M$2</f>
        <v xml:space="preserve"> </v>
      </c>
    </row>
    <row r="171" spans="2:14" ht="15.75" thickBot="1" x14ac:dyDescent="0.3">
      <c r="B171" s="783"/>
      <c r="C171" s="783"/>
      <c r="D171" s="783"/>
      <c r="E171" s="783"/>
      <c r="F171" s="783"/>
      <c r="G171" s="783"/>
      <c r="H171" s="783"/>
      <c r="I171" s="783"/>
      <c r="J171" s="783"/>
      <c r="K171" s="783"/>
      <c r="L171" s="783"/>
      <c r="M171" s="105"/>
    </row>
    <row r="172" spans="2:14" ht="15" x14ac:dyDescent="0.25">
      <c r="B172" s="829" t="str">
        <f>$B$4</f>
        <v>2025 RATE CASE</v>
      </c>
      <c r="C172" s="835"/>
      <c r="D172" s="836"/>
      <c r="E172" s="783"/>
      <c r="F172" s="783"/>
      <c r="G172" s="783"/>
      <c r="H172" s="783"/>
      <c r="I172" s="783"/>
      <c r="J172" s="783"/>
      <c r="K172" s="783"/>
      <c r="L172" s="783"/>
    </row>
    <row r="173" spans="2:14" ht="15" x14ac:dyDescent="0.25">
      <c r="B173" s="826" t="str">
        <f>$B$5</f>
        <v>ONCOR ELECTRIC DELIVERY COMPANY LLC</v>
      </c>
      <c r="C173" s="304"/>
      <c r="D173" s="837"/>
      <c r="E173" s="783"/>
      <c r="F173" s="783"/>
      <c r="G173" s="783"/>
      <c r="H173" s="783"/>
      <c r="I173" s="783"/>
      <c r="J173" s="783"/>
      <c r="K173" s="783"/>
      <c r="L173" s="783"/>
      <c r="M173" s="64"/>
    </row>
    <row r="174" spans="2:14" ht="15" x14ac:dyDescent="0.25">
      <c r="B174" s="341" t="str">
        <f>$B$6</f>
        <v>CONSOLIDATED FUNCTIONALIZED COST OF SERVICE</v>
      </c>
      <c r="C174" s="304"/>
      <c r="D174" s="837"/>
      <c r="E174" s="783"/>
      <c r="F174" s="783"/>
      <c r="G174" s="783"/>
      <c r="H174" s="783"/>
      <c r="I174" s="783"/>
      <c r="J174" s="783"/>
      <c r="K174" s="783"/>
      <c r="L174" s="783"/>
      <c r="M174" s="64"/>
    </row>
    <row r="175" spans="2:14" ht="15" x14ac:dyDescent="0.25">
      <c r="B175" s="341" t="str">
        <f>$B$7</f>
        <v>TEST YEAR ENDING 12/31/2024</v>
      </c>
      <c r="C175" s="304"/>
      <c r="D175" s="837"/>
      <c r="E175" s="304"/>
      <c r="F175" s="304"/>
      <c r="G175" s="304"/>
      <c r="H175" s="304"/>
      <c r="I175" s="304"/>
      <c r="J175" s="304"/>
      <c r="K175" s="304"/>
      <c r="L175" s="304"/>
      <c r="M175" s="64"/>
    </row>
    <row r="176" spans="2:14" ht="15.75" customHeight="1" x14ac:dyDescent="0.25">
      <c r="B176" s="341" t="str">
        <f>$B$8</f>
        <v>SPONSOR:  MATTHEW A. TROXLE</v>
      </c>
      <c r="C176" s="304"/>
      <c r="D176" s="837"/>
      <c r="E176" s="304"/>
      <c r="F176" s="304"/>
      <c r="G176" s="304"/>
      <c r="H176" s="304"/>
      <c r="I176" s="304"/>
      <c r="J176" s="304"/>
      <c r="K176" s="304"/>
      <c r="L176" s="304"/>
      <c r="M176" s="64"/>
    </row>
    <row r="177" spans="2:14" ht="15.75" thickBot="1" x14ac:dyDescent="0.3">
      <c r="B177" s="345"/>
      <c r="C177" s="840"/>
      <c r="D177" s="841"/>
      <c r="E177" s="304"/>
      <c r="F177" s="304"/>
      <c r="G177" s="304"/>
      <c r="H177" s="304"/>
      <c r="I177" s="304"/>
      <c r="J177" s="304"/>
      <c r="K177" s="304"/>
      <c r="L177" s="304"/>
      <c r="M177" s="64"/>
    </row>
    <row r="178" spans="2:14" x14ac:dyDescent="0.2">
      <c r="B178" s="12"/>
      <c r="C178" s="13"/>
      <c r="D178" s="13"/>
      <c r="E178" s="13"/>
      <c r="F178" s="176" t="s">
        <v>6</v>
      </c>
      <c r="G178" s="12" t="s">
        <v>7</v>
      </c>
      <c r="H178" s="12" t="s">
        <v>8</v>
      </c>
      <c r="I178" s="178" t="s">
        <v>9</v>
      </c>
      <c r="J178" s="12" t="s">
        <v>10</v>
      </c>
      <c r="K178" s="16"/>
      <c r="L178" s="110" t="s">
        <v>907</v>
      </c>
      <c r="M178" s="64"/>
    </row>
    <row r="179" spans="2:14" ht="15" x14ac:dyDescent="0.25">
      <c r="B179" s="14" t="s">
        <v>2</v>
      </c>
      <c r="C179" s="14" t="s">
        <v>349</v>
      </c>
      <c r="D179" s="226" t="s">
        <v>499</v>
      </c>
      <c r="E179" s="14" t="s">
        <v>350</v>
      </c>
      <c r="F179" s="181"/>
      <c r="G179" s="14"/>
      <c r="H179" s="14"/>
      <c r="I179" s="14"/>
      <c r="J179" s="14"/>
      <c r="K179" s="16"/>
      <c r="L179" s="93" t="s">
        <v>908</v>
      </c>
      <c r="M179" s="64"/>
    </row>
    <row r="180" spans="2:14" x14ac:dyDescent="0.2">
      <c r="B180" s="14"/>
      <c r="C180" s="14"/>
      <c r="D180" s="14"/>
      <c r="E180" s="14"/>
      <c r="F180" s="181"/>
      <c r="G180" s="14"/>
      <c r="H180" s="14"/>
      <c r="I180" s="14"/>
      <c r="J180" s="14"/>
      <c r="K180" s="16"/>
      <c r="L180" s="93"/>
      <c r="M180" s="64"/>
    </row>
    <row r="181" spans="2:14" ht="15" thickBot="1" x14ac:dyDescent="0.25">
      <c r="B181" s="15"/>
      <c r="C181" s="15" t="s">
        <v>13</v>
      </c>
      <c r="D181" s="15" t="s">
        <v>14</v>
      </c>
      <c r="E181" s="15" t="s">
        <v>15</v>
      </c>
      <c r="F181" s="15" t="s">
        <v>16</v>
      </c>
      <c r="G181" s="15" t="s">
        <v>17</v>
      </c>
      <c r="H181" s="15" t="s">
        <v>18</v>
      </c>
      <c r="I181" s="15" t="s">
        <v>21</v>
      </c>
      <c r="J181" s="15" t="s">
        <v>22</v>
      </c>
      <c r="K181" s="16"/>
      <c r="L181" s="997" t="s">
        <v>397</v>
      </c>
      <c r="M181" s="64"/>
    </row>
    <row r="182" spans="2:14" x14ac:dyDescent="0.2">
      <c r="B182" s="64"/>
      <c r="C182" s="96"/>
      <c r="D182" s="96"/>
      <c r="E182" s="251"/>
      <c r="F182" s="96"/>
      <c r="G182" s="96"/>
      <c r="H182" s="96"/>
      <c r="I182" s="1"/>
      <c r="J182" s="1"/>
      <c r="K182" s="1"/>
      <c r="L182" s="1"/>
      <c r="M182" s="64"/>
    </row>
    <row r="183" spans="2:14" ht="15" x14ac:dyDescent="0.25">
      <c r="B183" s="16">
        <f t="shared" ref="B183:B199" si="21">B182+1</f>
        <v>1</v>
      </c>
      <c r="C183" s="47" t="s">
        <v>499</v>
      </c>
      <c r="D183" s="47"/>
      <c r="E183" s="55" t="s">
        <v>86</v>
      </c>
      <c r="F183" s="47"/>
      <c r="G183" s="47"/>
      <c r="H183" s="47"/>
      <c r="I183" s="47"/>
      <c r="J183" s="47"/>
      <c r="K183" s="8"/>
      <c r="L183" s="8"/>
      <c r="M183" s="64"/>
    </row>
    <row r="184" spans="2:14" s="321" customFormat="1" x14ac:dyDescent="0.2">
      <c r="B184" s="16">
        <f t="shared" si="21"/>
        <v>2</v>
      </c>
      <c r="C184" s="1" t="s">
        <v>87</v>
      </c>
      <c r="D184" s="1" t="s">
        <v>38</v>
      </c>
      <c r="E184" s="16"/>
      <c r="F184" s="985">
        <f>'WP II-I-1.1'!F93</f>
        <v>9811323.5500000045</v>
      </c>
      <c r="G184" s="986">
        <f>'WP II-I-1.1'!G93</f>
        <v>25309317.540000007</v>
      </c>
      <c r="H184" s="986">
        <f>'WP II-I-1.1'!H93</f>
        <v>4008542.709999999</v>
      </c>
      <c r="I184" s="987">
        <f>'WP II-I-1.1'!I93</f>
        <v>2615601.4699999988</v>
      </c>
      <c r="J184" s="229">
        <f t="shared" ref="J184:J193" si="22">SUM(F184:I184)</f>
        <v>41744785.270000011</v>
      </c>
      <c r="K184" s="229"/>
      <c r="L184" s="17">
        <f t="shared" si="13"/>
        <v>31933461.720000006</v>
      </c>
      <c r="M184" s="45"/>
      <c r="N184" s="751">
        <f t="shared" ref="N184:N199" si="23">J184-L184-F184</f>
        <v>0</v>
      </c>
    </row>
    <row r="185" spans="2:14" s="321" customFormat="1" x14ac:dyDescent="0.2">
      <c r="B185" s="16">
        <f t="shared" si="21"/>
        <v>3</v>
      </c>
      <c r="C185" s="1" t="s">
        <v>88</v>
      </c>
      <c r="D185" s="1" t="s">
        <v>40</v>
      </c>
      <c r="E185" s="16"/>
      <c r="F185" s="980">
        <f>'WP II-I-1.1'!F94</f>
        <v>60382.02</v>
      </c>
      <c r="G185" s="802">
        <f>'WP II-I-1.1'!G94</f>
        <v>77649.91</v>
      </c>
      <c r="H185" s="802">
        <f>'WP II-I-1.1'!H94</f>
        <v>3248.17</v>
      </c>
      <c r="I185" s="981">
        <f>'WP II-I-1.1'!I94</f>
        <v>1318.1000000000001</v>
      </c>
      <c r="J185" s="229">
        <f t="shared" si="22"/>
        <v>142598.20000000001</v>
      </c>
      <c r="K185" s="229"/>
      <c r="L185" s="17">
        <f t="shared" si="13"/>
        <v>82216.180000000008</v>
      </c>
      <c r="M185" s="45"/>
      <c r="N185" s="751">
        <f t="shared" si="23"/>
        <v>0</v>
      </c>
    </row>
    <row r="186" spans="2:14" s="321" customFormat="1" x14ac:dyDescent="0.2">
      <c r="B186" s="16">
        <f t="shared" si="21"/>
        <v>4</v>
      </c>
      <c r="C186" s="1" t="s">
        <v>89</v>
      </c>
      <c r="D186" s="1" t="s">
        <v>42</v>
      </c>
      <c r="E186" s="16"/>
      <c r="F186" s="980">
        <f>'WP II-I-1.1'!F95</f>
        <v>120851001.34</v>
      </c>
      <c r="G186" s="802">
        <f>'WP II-I-1.1'!G95</f>
        <v>212329938.52999988</v>
      </c>
      <c r="H186" s="802">
        <f>'WP II-I-1.1'!H95</f>
        <v>32267267.569999993</v>
      </c>
      <c r="I186" s="981">
        <f>'WP II-I-1.1'!I95</f>
        <v>18151522.199999988</v>
      </c>
      <c r="J186" s="229">
        <f t="shared" si="22"/>
        <v>383599729.63999987</v>
      </c>
      <c r="K186" s="229"/>
      <c r="L186" s="17">
        <f t="shared" ref="L186:L244" si="24">SUM(G186:I186)</f>
        <v>262748728.29999986</v>
      </c>
      <c r="M186" s="45"/>
      <c r="N186" s="751">
        <f t="shared" si="23"/>
        <v>0</v>
      </c>
    </row>
    <row r="187" spans="2:14" s="321" customFormat="1" x14ac:dyDescent="0.2">
      <c r="B187" s="16">
        <f t="shared" si="21"/>
        <v>5</v>
      </c>
      <c r="C187" s="1" t="s">
        <v>90</v>
      </c>
      <c r="D187" s="1" t="s">
        <v>91</v>
      </c>
      <c r="E187" s="16"/>
      <c r="F187" s="980">
        <f>'WP II-I-1.1'!F96</f>
        <v>12493434.429999992</v>
      </c>
      <c r="G187" s="802">
        <f>'WP II-I-1.1'!G96</f>
        <v>13217077.590000005</v>
      </c>
      <c r="H187" s="802">
        <f>'WP II-I-1.1'!H96</f>
        <v>1565800.9000000006</v>
      </c>
      <c r="I187" s="981">
        <f>'WP II-I-1.1'!I96</f>
        <v>1076747.3500000006</v>
      </c>
      <c r="J187" s="229">
        <f t="shared" si="22"/>
        <v>28353060.27</v>
      </c>
      <c r="K187" s="229"/>
      <c r="L187" s="17">
        <f t="shared" si="24"/>
        <v>15859625.840000007</v>
      </c>
      <c r="M187" s="45"/>
      <c r="N187" s="751">
        <f t="shared" si="23"/>
        <v>0</v>
      </c>
    </row>
    <row r="188" spans="2:14" s="321" customFormat="1" x14ac:dyDescent="0.2">
      <c r="B188" s="16">
        <f t="shared" si="21"/>
        <v>6</v>
      </c>
      <c r="C188" s="1" t="s">
        <v>92</v>
      </c>
      <c r="D188" s="1" t="s">
        <v>94</v>
      </c>
      <c r="E188" s="16"/>
      <c r="F188" s="980">
        <f>'WP II-I-1.1'!F97</f>
        <v>10018623.910000002</v>
      </c>
      <c r="G188" s="802">
        <f>'WP II-I-1.1'!G97</f>
        <v>10180663.920000006</v>
      </c>
      <c r="H188" s="802">
        <f>'WP II-I-1.1'!H97</f>
        <v>0</v>
      </c>
      <c r="I188" s="981">
        <f>'WP II-I-1.1'!I97</f>
        <v>0</v>
      </c>
      <c r="J188" s="229">
        <f t="shared" si="22"/>
        <v>20199287.830000006</v>
      </c>
      <c r="K188" s="229"/>
      <c r="L188" s="17">
        <f t="shared" si="24"/>
        <v>10180663.920000006</v>
      </c>
      <c r="M188" s="45"/>
      <c r="N188" s="751">
        <f t="shared" si="23"/>
        <v>0</v>
      </c>
    </row>
    <row r="189" spans="2:14" s="321" customFormat="1" x14ac:dyDescent="0.2">
      <c r="B189" s="16">
        <f t="shared" si="21"/>
        <v>7</v>
      </c>
      <c r="C189" s="1" t="s">
        <v>95</v>
      </c>
      <c r="D189" s="1" t="s">
        <v>500</v>
      </c>
      <c r="E189" s="16"/>
      <c r="F189" s="980">
        <f>'WP II-I-1.1'!F98</f>
        <v>3579102.600000001</v>
      </c>
      <c r="G189" s="802">
        <f>'WP II-I-1.1'!G98</f>
        <v>5998112.8099999931</v>
      </c>
      <c r="H189" s="802">
        <f>'WP II-I-1.1'!H98</f>
        <v>468889.48</v>
      </c>
      <c r="I189" s="981">
        <f>'WP II-I-1.1'!I98</f>
        <v>0</v>
      </c>
      <c r="J189" s="229">
        <f t="shared" si="22"/>
        <v>10046104.889999995</v>
      </c>
      <c r="K189" s="229"/>
      <c r="L189" s="17">
        <f t="shared" si="24"/>
        <v>6467002.2899999935</v>
      </c>
      <c r="M189" s="45"/>
      <c r="N189" s="751">
        <f t="shared" si="23"/>
        <v>0</v>
      </c>
    </row>
    <row r="190" spans="2:14" s="321" customFormat="1" x14ac:dyDescent="0.2">
      <c r="B190" s="16">
        <f t="shared" si="21"/>
        <v>8</v>
      </c>
      <c r="C190" s="1" t="s">
        <v>97</v>
      </c>
      <c r="D190" s="1" t="s">
        <v>501</v>
      </c>
      <c r="E190" s="16"/>
      <c r="F190" s="980">
        <f>'WP II-I-1.1'!F99</f>
        <v>13465046.320000002</v>
      </c>
      <c r="G190" s="802">
        <f>'WP II-I-1.1'!G99</f>
        <v>21790023.310000058</v>
      </c>
      <c r="H190" s="802">
        <f>'WP II-I-1.1'!H99</f>
        <v>1794789.6000000022</v>
      </c>
      <c r="I190" s="981">
        <f>'WP II-I-1.1'!I99</f>
        <v>0</v>
      </c>
      <c r="J190" s="229">
        <f t="shared" si="22"/>
        <v>37049859.230000064</v>
      </c>
      <c r="K190" s="229"/>
      <c r="L190" s="17">
        <f t="shared" si="24"/>
        <v>23584812.91000006</v>
      </c>
      <c r="M190" s="45"/>
      <c r="N190" s="751">
        <f t="shared" si="23"/>
        <v>0</v>
      </c>
    </row>
    <row r="191" spans="2:14" s="321" customFormat="1" x14ac:dyDescent="0.2">
      <c r="B191" s="16">
        <f t="shared" si="21"/>
        <v>9</v>
      </c>
      <c r="C191" s="1" t="s">
        <v>99</v>
      </c>
      <c r="D191" s="1" t="s">
        <v>100</v>
      </c>
      <c r="E191" s="16"/>
      <c r="F191" s="980">
        <f>'WP II-I-1.1'!F100</f>
        <v>35716452.379999958</v>
      </c>
      <c r="G191" s="802">
        <f>'WP II-I-1.1'!G100</f>
        <v>22852989.259999957</v>
      </c>
      <c r="H191" s="802">
        <f>'WP II-I-1.1'!H100</f>
        <v>2971389.4799999963</v>
      </c>
      <c r="I191" s="981">
        <f>'WP II-I-1.1'!I100</f>
        <v>0</v>
      </c>
      <c r="J191" s="229">
        <f t="shared" si="22"/>
        <v>61540831.119999908</v>
      </c>
      <c r="K191" s="229"/>
      <c r="L191" s="17">
        <f t="shared" si="24"/>
        <v>25824378.739999954</v>
      </c>
      <c r="M191" s="45"/>
      <c r="N191" s="751">
        <f t="shared" si="23"/>
        <v>0</v>
      </c>
    </row>
    <row r="192" spans="2:14" s="321" customFormat="1" ht="16.5" x14ac:dyDescent="0.35">
      <c r="B192" s="16">
        <f t="shared" si="21"/>
        <v>10</v>
      </c>
      <c r="C192" s="1" t="s">
        <v>101</v>
      </c>
      <c r="D192" s="1" t="s">
        <v>102</v>
      </c>
      <c r="E192" s="16"/>
      <c r="F192" s="982">
        <f>'WP II-I-1.1'!F101</f>
        <v>2683861.8499999996</v>
      </c>
      <c r="G192" s="983">
        <f>'WP II-I-1.1'!G101</f>
        <v>8159482.280000004</v>
      </c>
      <c r="H192" s="983">
        <f>'WP II-I-1.1'!H101</f>
        <v>910269.58000000031</v>
      </c>
      <c r="I192" s="984">
        <f>'WP II-I-1.1'!I101</f>
        <v>0</v>
      </c>
      <c r="J192" s="238">
        <f t="shared" si="22"/>
        <v>11753613.710000003</v>
      </c>
      <c r="K192" s="229"/>
      <c r="L192" s="232">
        <f t="shared" si="24"/>
        <v>9069751.860000005</v>
      </c>
      <c r="M192" s="45"/>
      <c r="N192" s="751">
        <f t="shared" si="23"/>
        <v>0</v>
      </c>
    </row>
    <row r="193" spans="2:14" ht="15" x14ac:dyDescent="0.25">
      <c r="B193" s="16">
        <f t="shared" si="21"/>
        <v>11</v>
      </c>
      <c r="C193" s="1"/>
      <c r="D193" s="233" t="s">
        <v>444</v>
      </c>
      <c r="E193" s="19"/>
      <c r="F193" s="804">
        <f>SUM(F184:F192)</f>
        <v>208679228.39999995</v>
      </c>
      <c r="G193" s="804">
        <f>SUM(G184:G192)</f>
        <v>319915255.14999992</v>
      </c>
      <c r="H193" s="804">
        <f>SUM(H184:H192)</f>
        <v>43990197.48999998</v>
      </c>
      <c r="I193" s="804">
        <f>SUM(I184:I192)</f>
        <v>21845189.11999999</v>
      </c>
      <c r="J193" s="235">
        <f t="shared" si="22"/>
        <v>594429870.15999985</v>
      </c>
      <c r="K193" s="236"/>
      <c r="L193" s="804">
        <f t="shared" si="24"/>
        <v>385750641.75999987</v>
      </c>
      <c r="M193" s="64"/>
      <c r="N193" s="751">
        <f t="shared" si="23"/>
        <v>0</v>
      </c>
    </row>
    <row r="194" spans="2:14" ht="15" x14ac:dyDescent="0.25">
      <c r="B194" s="16">
        <f t="shared" si="21"/>
        <v>12</v>
      </c>
      <c r="C194" s="8"/>
      <c r="D194" s="233"/>
      <c r="E194" s="19"/>
      <c r="F194" s="17"/>
      <c r="G194" s="17"/>
      <c r="H194" s="17"/>
      <c r="I194" s="17"/>
      <c r="J194" s="98"/>
      <c r="K194" s="23"/>
      <c r="L194" s="17"/>
      <c r="M194" s="64"/>
      <c r="N194" s="751"/>
    </row>
    <row r="195" spans="2:14" s="321" customFormat="1" x14ac:dyDescent="0.2">
      <c r="B195" s="16">
        <f t="shared" si="21"/>
        <v>13</v>
      </c>
      <c r="C195" s="1" t="s">
        <v>105</v>
      </c>
      <c r="D195" s="1" t="s">
        <v>502</v>
      </c>
      <c r="E195" s="16"/>
      <c r="F195" s="985">
        <f>'WP II-I-1.1'!F105</f>
        <v>6510164.6499999994</v>
      </c>
      <c r="G195" s="986">
        <f>'WP II-I-1.1'!G105</f>
        <v>9639077.560000021</v>
      </c>
      <c r="H195" s="986">
        <f>'WP II-I-1.1'!H105</f>
        <v>1521329.4100000004</v>
      </c>
      <c r="I195" s="987">
        <f>'WP II-I-1.1'!I105</f>
        <v>0</v>
      </c>
      <c r="J195" s="229">
        <f>SUM(F195:I195)</f>
        <v>17670571.62000002</v>
      </c>
      <c r="K195" s="229"/>
      <c r="L195" s="17">
        <f t="shared" si="24"/>
        <v>11160406.970000021</v>
      </c>
      <c r="M195" s="45"/>
      <c r="N195" s="751">
        <f t="shared" si="23"/>
        <v>0</v>
      </c>
    </row>
    <row r="196" spans="2:14" s="321" customFormat="1" ht="16.5" x14ac:dyDescent="0.35">
      <c r="B196" s="16">
        <f t="shared" si="21"/>
        <v>14</v>
      </c>
      <c r="C196" s="1" t="s">
        <v>107</v>
      </c>
      <c r="D196" s="1" t="s">
        <v>503</v>
      </c>
      <c r="E196" s="16"/>
      <c r="F196" s="1325">
        <f>'WP II-I-1.1'!F106</f>
        <v>0</v>
      </c>
      <c r="G196" s="1326">
        <f>'WP II-I-1.1'!G106</f>
        <v>0</v>
      </c>
      <c r="H196" s="1326">
        <f>'WP II-I-1.1'!H106</f>
        <v>0</v>
      </c>
      <c r="I196" s="1327">
        <f>'WP II-I-1.1'!I106</f>
        <v>0</v>
      </c>
      <c r="J196" s="238">
        <f>SUM(F196:I196)</f>
        <v>0</v>
      </c>
      <c r="K196" s="238"/>
      <c r="L196" s="232">
        <f t="shared" si="24"/>
        <v>0</v>
      </c>
      <c r="M196" s="45"/>
      <c r="N196" s="751">
        <f t="shared" si="23"/>
        <v>0</v>
      </c>
    </row>
    <row r="197" spans="2:14" ht="15" x14ac:dyDescent="0.25">
      <c r="B197" s="16">
        <f t="shared" si="21"/>
        <v>15</v>
      </c>
      <c r="C197" s="8"/>
      <c r="D197" s="233" t="s">
        <v>444</v>
      </c>
      <c r="E197" s="19"/>
      <c r="F197" s="20">
        <f>+F196+F195</f>
        <v>6510164.6499999994</v>
      </c>
      <c r="G197" s="20">
        <f>+G196+G195</f>
        <v>9639077.560000021</v>
      </c>
      <c r="H197" s="20">
        <f>+H196+H195</f>
        <v>1521329.4100000004</v>
      </c>
      <c r="I197" s="20">
        <f>+I196+I195</f>
        <v>0</v>
      </c>
      <c r="J197" s="20">
        <f>SUM(F197:I197)</f>
        <v>17670571.62000002</v>
      </c>
      <c r="K197" s="20"/>
      <c r="L197" s="804">
        <f t="shared" si="24"/>
        <v>11160406.970000021</v>
      </c>
      <c r="M197" s="64"/>
      <c r="N197" s="751">
        <f t="shared" si="23"/>
        <v>0</v>
      </c>
    </row>
    <row r="198" spans="2:14" ht="15.75" thickBot="1" x14ac:dyDescent="0.3">
      <c r="B198" s="16">
        <f t="shared" si="21"/>
        <v>16</v>
      </c>
      <c r="C198" s="8"/>
      <c r="D198" s="233"/>
      <c r="E198" s="19"/>
      <c r="F198" s="21"/>
      <c r="G198" s="21"/>
      <c r="H198" s="21"/>
      <c r="I198" s="21"/>
      <c r="J198" s="8"/>
      <c r="K198" s="8"/>
      <c r="L198" s="805"/>
      <c r="M198" s="64"/>
      <c r="N198" s="751"/>
    </row>
    <row r="199" spans="2:14" ht="15.75" thickBot="1" x14ac:dyDescent="0.3">
      <c r="B199" s="16">
        <f t="shared" si="21"/>
        <v>17</v>
      </c>
      <c r="C199" s="223" t="s">
        <v>504</v>
      </c>
      <c r="D199" s="224"/>
      <c r="E199" s="252" t="s">
        <v>86</v>
      </c>
      <c r="F199" s="194">
        <f>+F197+F193</f>
        <v>215189393.04999995</v>
      </c>
      <c r="G199" s="194">
        <f>+G197+G193</f>
        <v>329554332.70999992</v>
      </c>
      <c r="H199" s="194">
        <f>+H197+H193</f>
        <v>45511526.899999984</v>
      </c>
      <c r="I199" s="194">
        <f>+I197+I193</f>
        <v>21845189.11999999</v>
      </c>
      <c r="J199" s="195">
        <f>SUM(F199:I199)</f>
        <v>612100441.77999985</v>
      </c>
      <c r="K199" s="191"/>
      <c r="L199" s="196">
        <f t="shared" si="24"/>
        <v>396911048.7299999</v>
      </c>
      <c r="M199" s="64"/>
      <c r="N199" s="751">
        <f t="shared" si="23"/>
        <v>0</v>
      </c>
    </row>
    <row r="200" spans="2:14" x14ac:dyDescent="0.2">
      <c r="B200" s="64"/>
      <c r="C200" s="64"/>
      <c r="D200" s="64"/>
      <c r="E200" s="64"/>
      <c r="F200" s="64"/>
      <c r="G200" s="64"/>
      <c r="H200" s="64"/>
      <c r="I200" s="64"/>
      <c r="J200" s="64"/>
      <c r="K200" s="45"/>
      <c r="L200" s="45"/>
      <c r="M200" s="64"/>
    </row>
    <row r="201" spans="2:14" ht="15" x14ac:dyDescent="0.25">
      <c r="B201" s="783"/>
      <c r="C201" s="783"/>
      <c r="D201" s="783"/>
      <c r="E201" s="783"/>
      <c r="F201" s="783"/>
      <c r="G201" s="783"/>
      <c r="H201" s="783"/>
      <c r="I201" s="783"/>
      <c r="J201" s="783"/>
      <c r="K201" s="783"/>
      <c r="L201" s="783"/>
      <c r="M201" s="105" t="str">
        <f>$M$2</f>
        <v xml:space="preserve"> </v>
      </c>
    </row>
    <row r="202" spans="2:14" ht="15.75" thickBot="1" x14ac:dyDescent="0.3">
      <c r="B202" s="339"/>
      <c r="C202" s="304"/>
      <c r="D202" s="304"/>
      <c r="E202" s="783"/>
      <c r="F202" s="783"/>
      <c r="G202" s="783"/>
      <c r="H202" s="783"/>
      <c r="I202" s="783"/>
      <c r="J202" s="783"/>
      <c r="K202" s="783"/>
      <c r="L202" s="783"/>
      <c r="M202" s="64"/>
    </row>
    <row r="203" spans="2:14" ht="15" x14ac:dyDescent="0.25">
      <c r="B203" s="829" t="str">
        <f>$B$4</f>
        <v>2025 RATE CASE</v>
      </c>
      <c r="C203" s="835"/>
      <c r="D203" s="836"/>
      <c r="E203" s="783"/>
      <c r="F203" s="783"/>
      <c r="G203" s="783"/>
      <c r="H203" s="783"/>
      <c r="I203" s="783"/>
      <c r="J203" s="783"/>
      <c r="K203" s="783"/>
      <c r="L203" s="783"/>
    </row>
    <row r="204" spans="2:14" ht="15" x14ac:dyDescent="0.25">
      <c r="B204" s="826" t="str">
        <f>$B$5</f>
        <v>ONCOR ELECTRIC DELIVERY COMPANY LLC</v>
      </c>
      <c r="C204" s="304"/>
      <c r="D204" s="837"/>
      <c r="E204" s="783"/>
      <c r="F204" s="783"/>
      <c r="G204" s="783"/>
      <c r="H204" s="783"/>
      <c r="I204" s="783"/>
      <c r="J204" s="783"/>
      <c r="K204" s="783"/>
      <c r="L204" s="783"/>
      <c r="M204" s="64"/>
    </row>
    <row r="205" spans="2:14" ht="15" x14ac:dyDescent="0.25">
      <c r="B205" s="341" t="str">
        <f>$B$6</f>
        <v>CONSOLIDATED FUNCTIONALIZED COST OF SERVICE</v>
      </c>
      <c r="C205" s="304"/>
      <c r="D205" s="837"/>
      <c r="E205" s="783"/>
      <c r="F205" s="783"/>
      <c r="G205" s="783"/>
      <c r="H205" s="783"/>
      <c r="I205" s="783"/>
      <c r="J205" s="783"/>
      <c r="K205" s="783"/>
      <c r="L205" s="783"/>
      <c r="M205" s="64"/>
    </row>
    <row r="206" spans="2:14" ht="15" x14ac:dyDescent="0.25">
      <c r="B206" s="341" t="str">
        <f>$B$7</f>
        <v>TEST YEAR ENDING 12/31/2024</v>
      </c>
      <c r="C206" s="304"/>
      <c r="D206" s="837"/>
      <c r="E206" s="304"/>
      <c r="F206" s="304"/>
      <c r="G206" s="304"/>
      <c r="H206" s="304"/>
      <c r="I206" s="304"/>
      <c r="J206" s="304"/>
      <c r="K206" s="304"/>
      <c r="L206" s="304"/>
      <c r="M206" s="64"/>
    </row>
    <row r="207" spans="2:14" ht="15" x14ac:dyDescent="0.25">
      <c r="B207" s="341" t="str">
        <f>$B$8</f>
        <v>SPONSOR:  MATTHEW A. TROXLE</v>
      </c>
      <c r="C207" s="304"/>
      <c r="D207" s="837"/>
      <c r="E207" s="304"/>
      <c r="F207" s="304"/>
      <c r="G207" s="304"/>
      <c r="H207" s="304"/>
      <c r="I207" s="304"/>
      <c r="J207" s="304"/>
      <c r="K207" s="304"/>
      <c r="L207" s="304"/>
      <c r="M207" s="64"/>
    </row>
    <row r="208" spans="2:14" ht="15.75" thickBot="1" x14ac:dyDescent="0.3">
      <c r="B208" s="863"/>
      <c r="C208" s="840"/>
      <c r="D208" s="841"/>
      <c r="E208" s="304"/>
      <c r="F208" s="304"/>
      <c r="G208" s="304"/>
      <c r="H208" s="304"/>
      <c r="I208" s="304"/>
      <c r="J208" s="304"/>
      <c r="K208" s="304"/>
      <c r="L208" s="304"/>
      <c r="M208" s="64"/>
    </row>
    <row r="209" spans="2:14" x14ac:dyDescent="0.2">
      <c r="B209" s="12"/>
      <c r="C209" s="13"/>
      <c r="D209" s="13"/>
      <c r="E209" s="13"/>
      <c r="F209" s="176" t="s">
        <v>6</v>
      </c>
      <c r="G209" s="12" t="s">
        <v>7</v>
      </c>
      <c r="H209" s="12" t="s">
        <v>8</v>
      </c>
      <c r="I209" s="178" t="s">
        <v>9</v>
      </c>
      <c r="J209" s="12" t="s">
        <v>10</v>
      </c>
      <c r="K209" s="16"/>
      <c r="L209" s="110" t="s">
        <v>907</v>
      </c>
      <c r="M209" s="64"/>
    </row>
    <row r="210" spans="2:14" ht="15" x14ac:dyDescent="0.25">
      <c r="B210" s="14" t="s">
        <v>2</v>
      </c>
      <c r="C210" s="14" t="s">
        <v>349</v>
      </c>
      <c r="D210" s="226" t="s">
        <v>103</v>
      </c>
      <c r="E210" s="14" t="s">
        <v>350</v>
      </c>
      <c r="F210" s="181"/>
      <c r="G210" s="14"/>
      <c r="H210" s="14"/>
      <c r="I210" s="14"/>
      <c r="J210" s="14"/>
      <c r="K210" s="16"/>
      <c r="L210" s="93" t="s">
        <v>908</v>
      </c>
      <c r="M210" s="64"/>
    </row>
    <row r="211" spans="2:14" x14ac:dyDescent="0.2">
      <c r="B211" s="14"/>
      <c r="C211" s="14"/>
      <c r="D211" s="14"/>
      <c r="E211" s="14"/>
      <c r="F211" s="181"/>
      <c r="G211" s="14"/>
      <c r="H211" s="14"/>
      <c r="I211" s="14"/>
      <c r="J211" s="14"/>
      <c r="K211" s="16"/>
      <c r="L211" s="93"/>
      <c r="M211" s="64"/>
    </row>
    <row r="212" spans="2:14" ht="15" thickBot="1" x14ac:dyDescent="0.25">
      <c r="B212" s="15"/>
      <c r="C212" s="15" t="s">
        <v>13</v>
      </c>
      <c r="D212" s="15" t="s">
        <v>14</v>
      </c>
      <c r="E212" s="15" t="s">
        <v>15</v>
      </c>
      <c r="F212" s="15" t="s">
        <v>16</v>
      </c>
      <c r="G212" s="15" t="s">
        <v>17</v>
      </c>
      <c r="H212" s="15" t="s">
        <v>18</v>
      </c>
      <c r="I212" s="15" t="s">
        <v>21</v>
      </c>
      <c r="J212" s="15" t="s">
        <v>22</v>
      </c>
      <c r="K212" s="16"/>
      <c r="L212" s="997" t="s">
        <v>397</v>
      </c>
      <c r="M212" s="64"/>
    </row>
    <row r="213" spans="2:14" x14ac:dyDescent="0.2">
      <c r="B213" s="64"/>
      <c r="C213" s="96"/>
      <c r="D213" s="96"/>
      <c r="E213" s="251"/>
      <c r="F213" s="96"/>
      <c r="G213" s="96"/>
      <c r="H213" s="96"/>
      <c r="I213" s="1"/>
      <c r="J213" s="1"/>
      <c r="K213" s="1"/>
      <c r="L213" s="1"/>
      <c r="M213" s="64"/>
    </row>
    <row r="214" spans="2:14" ht="15" x14ac:dyDescent="0.25">
      <c r="B214" s="49">
        <v>1</v>
      </c>
      <c r="C214" s="620" t="s">
        <v>1237</v>
      </c>
      <c r="D214" s="620" t="s">
        <v>1230</v>
      </c>
      <c r="E214" s="1315" t="s">
        <v>104</v>
      </c>
      <c r="F214" s="802">
        <f>'WP II-I-1.1'!F102</f>
        <v>42064361.090000004</v>
      </c>
      <c r="G214" s="802">
        <f>'WP II-I-1.1'!G102</f>
        <v>68043568.759999901</v>
      </c>
      <c r="H214" s="802">
        <f>'WP II-I-1.1'!H102</f>
        <v>16420909.21000002</v>
      </c>
      <c r="I214" s="802">
        <f>'WP II-I-1.1'!I102</f>
        <v>43509118.869999982</v>
      </c>
      <c r="J214" s="668">
        <f t="shared" ref="J214:J215" si="25">SUM(F214:I214)</f>
        <v>170037957.92999992</v>
      </c>
      <c r="K214" s="668"/>
      <c r="L214" s="802">
        <f t="shared" si="24"/>
        <v>127973596.83999991</v>
      </c>
      <c r="M214" s="64"/>
    </row>
    <row r="215" spans="2:14" x14ac:dyDescent="0.2">
      <c r="B215" s="45">
        <f>B214+1</f>
        <v>2</v>
      </c>
      <c r="C215" s="620" t="s">
        <v>1238</v>
      </c>
      <c r="D215" s="620" t="s">
        <v>1232</v>
      </c>
      <c r="E215" s="16"/>
      <c r="F215" s="802">
        <f>'WP II-I-1.1'!F103</f>
        <v>166633757.63999996</v>
      </c>
      <c r="G215" s="802">
        <f>'WP II-I-1.1'!G103</f>
        <v>188210803.86999995</v>
      </c>
      <c r="H215" s="802">
        <f>'WP II-I-1.1'!H103</f>
        <v>5189735.49</v>
      </c>
      <c r="I215" s="802">
        <f>'WP II-I-1.1'!I103</f>
        <v>364002.32</v>
      </c>
      <c r="J215" s="668">
        <f t="shared" si="25"/>
        <v>360398299.31999987</v>
      </c>
      <c r="K215" s="668"/>
      <c r="L215" s="802">
        <f t="shared" si="24"/>
        <v>193764541.67999995</v>
      </c>
      <c r="M215" s="64"/>
    </row>
    <row r="216" spans="2:14" s="321" customFormat="1" ht="16.5" x14ac:dyDescent="0.35">
      <c r="B216" s="45">
        <f t="shared" ref="B216:B225" si="26">B215+1</f>
        <v>3</v>
      </c>
      <c r="C216" s="620" t="s">
        <v>1239</v>
      </c>
      <c r="D216" s="620" t="s">
        <v>103</v>
      </c>
      <c r="F216" s="802">
        <f>'WP II-I-1.1'!F104</f>
        <v>42536570.810000002</v>
      </c>
      <c r="G216" s="802">
        <f>'WP II-I-1.1'!G104</f>
        <v>58294861.840000004</v>
      </c>
      <c r="H216" s="802">
        <f>'WP II-I-1.1'!H104</f>
        <v>11299012.679999974</v>
      </c>
      <c r="I216" s="802">
        <f>'WP II-I-1.1'!I104</f>
        <v>7491197.5099999998</v>
      </c>
      <c r="J216" s="238">
        <f>SUM(F216:I216)</f>
        <v>119621642.83999999</v>
      </c>
      <c r="K216" s="238"/>
      <c r="L216" s="232">
        <f t="shared" si="24"/>
        <v>77085072.029999986</v>
      </c>
      <c r="M216" s="45"/>
      <c r="N216" s="751">
        <f t="shared" ref="N216:N217" si="27">J216-L216-F216</f>
        <v>0</v>
      </c>
    </row>
    <row r="217" spans="2:14" ht="15" x14ac:dyDescent="0.25">
      <c r="B217" s="64">
        <f t="shared" si="26"/>
        <v>4</v>
      </c>
      <c r="C217" s="8"/>
      <c r="D217" s="233" t="s">
        <v>444</v>
      </c>
      <c r="E217" s="19"/>
      <c r="F217" s="805">
        <f>SUM(F214:F216)</f>
        <v>251234689.53999996</v>
      </c>
      <c r="G217" s="805">
        <f t="shared" ref="G217:L217" si="28">SUM(G214:G216)</f>
        <v>314549234.46999985</v>
      </c>
      <c r="H217" s="805">
        <f t="shared" si="28"/>
        <v>32909657.379999992</v>
      </c>
      <c r="I217" s="805">
        <f t="shared" si="28"/>
        <v>51364318.699999981</v>
      </c>
      <c r="J217" s="236">
        <f>SUM(J214:J216)</f>
        <v>650057900.08999979</v>
      </c>
      <c r="K217" s="236">
        <f t="shared" si="28"/>
        <v>0</v>
      </c>
      <c r="L217" s="805">
        <f t="shared" si="28"/>
        <v>398823210.54999983</v>
      </c>
      <c r="M217" s="64"/>
      <c r="N217" s="751">
        <f t="shared" si="27"/>
        <v>0</v>
      </c>
    </row>
    <row r="218" spans="2:14" ht="15.75" thickBot="1" x14ac:dyDescent="0.3">
      <c r="B218" s="64">
        <f t="shared" si="26"/>
        <v>5</v>
      </c>
      <c r="C218" s="1"/>
      <c r="D218" s="233"/>
      <c r="E218" s="16"/>
      <c r="F218" s="18"/>
      <c r="G218" s="18"/>
      <c r="H218" s="18"/>
      <c r="I218" s="18"/>
      <c r="J218" s="1"/>
      <c r="K218" s="1"/>
      <c r="L218" s="18"/>
      <c r="M218" s="64"/>
    </row>
    <row r="219" spans="2:14" ht="15.75" thickBot="1" x14ac:dyDescent="0.3">
      <c r="B219" s="64">
        <f t="shared" si="26"/>
        <v>6</v>
      </c>
      <c r="C219" s="223" t="s">
        <v>505</v>
      </c>
      <c r="D219" s="224"/>
      <c r="E219" s="252"/>
      <c r="F219" s="253">
        <f>+F217</f>
        <v>251234689.53999996</v>
      </c>
      <c r="G219" s="253">
        <f>+G217</f>
        <v>314549234.46999985</v>
      </c>
      <c r="H219" s="253">
        <f>+H217</f>
        <v>32909657.379999992</v>
      </c>
      <c r="I219" s="253">
        <f>+I217</f>
        <v>51364318.699999981</v>
      </c>
      <c r="J219" s="195">
        <f>SUM(F219:I219)</f>
        <v>650057900.08999968</v>
      </c>
      <c r="K219" s="191"/>
      <c r="L219" s="254">
        <f t="shared" si="24"/>
        <v>398823210.54999983</v>
      </c>
      <c r="M219" s="64"/>
      <c r="N219" s="751">
        <f t="shared" ref="N219" si="29">J219-L219-F219</f>
        <v>0</v>
      </c>
    </row>
    <row r="220" spans="2:14" ht="15" thickBot="1" x14ac:dyDescent="0.25">
      <c r="B220" s="64">
        <f t="shared" si="26"/>
        <v>7</v>
      </c>
      <c r="C220" s="11"/>
      <c r="D220" s="11"/>
      <c r="E220" s="10"/>
      <c r="F220" s="11"/>
      <c r="G220" s="11"/>
      <c r="H220" s="11"/>
      <c r="I220" s="11"/>
      <c r="J220" s="11"/>
      <c r="K220" s="1"/>
      <c r="L220" s="1"/>
      <c r="M220" s="64"/>
    </row>
    <row r="221" spans="2:14" ht="15.75" thickBot="1" x14ac:dyDescent="0.3">
      <c r="B221" s="64">
        <f t="shared" si="26"/>
        <v>8</v>
      </c>
      <c r="C221" s="223" t="s">
        <v>506</v>
      </c>
      <c r="D221" s="224"/>
      <c r="E221" s="252" t="s">
        <v>507</v>
      </c>
      <c r="F221" s="253">
        <f>+F199+F219</f>
        <v>466424082.58999991</v>
      </c>
      <c r="G221" s="253">
        <f>+G199+G219</f>
        <v>644103567.17999983</v>
      </c>
      <c r="H221" s="253">
        <f>+H199+H219</f>
        <v>78421184.279999971</v>
      </c>
      <c r="I221" s="253">
        <f>+I199+I219</f>
        <v>73209507.819999963</v>
      </c>
      <c r="J221" s="195">
        <f>SUM(F221:I221)</f>
        <v>1262158341.8699996</v>
      </c>
      <c r="K221" s="191"/>
      <c r="L221" s="254">
        <f t="shared" si="24"/>
        <v>795734259.27999973</v>
      </c>
      <c r="M221" s="64"/>
      <c r="N221" s="751">
        <f t="shared" ref="N221" si="30">J221-L221-F221</f>
        <v>0</v>
      </c>
    </row>
    <row r="222" spans="2:14" ht="15" thickBot="1" x14ac:dyDescent="0.25">
      <c r="B222" s="64">
        <f t="shared" si="26"/>
        <v>9</v>
      </c>
      <c r="C222" s="11"/>
      <c r="D222" s="11"/>
      <c r="E222" s="10"/>
      <c r="F222" s="11"/>
      <c r="G222" s="11"/>
      <c r="H222" s="11"/>
      <c r="I222" s="11"/>
      <c r="J222" s="11"/>
      <c r="K222" s="1"/>
      <c r="L222" s="1"/>
      <c r="M222" s="64"/>
    </row>
    <row r="223" spans="2:14" ht="15.75" thickBot="1" x14ac:dyDescent="0.3">
      <c r="B223" s="64">
        <f t="shared" si="26"/>
        <v>10</v>
      </c>
      <c r="C223" s="223" t="s">
        <v>508</v>
      </c>
      <c r="D223" s="224"/>
      <c r="E223" s="252" t="s">
        <v>509</v>
      </c>
      <c r="F223" s="194">
        <f>+F221+F167</f>
        <v>17821076079.269997</v>
      </c>
      <c r="G223" s="194">
        <f>+G221+G167</f>
        <v>20559929669.059998</v>
      </c>
      <c r="H223" s="194">
        <f>+H221+H167</f>
        <v>863729138.29999995</v>
      </c>
      <c r="I223" s="194">
        <f>+I221+I167</f>
        <v>408228069.49999988</v>
      </c>
      <c r="J223" s="195">
        <f>SUM(F223:I223)</f>
        <v>39652962956.129997</v>
      </c>
      <c r="K223" s="191"/>
      <c r="L223" s="196">
        <f t="shared" si="24"/>
        <v>21831886876.859997</v>
      </c>
      <c r="M223" s="64"/>
      <c r="N223" s="751">
        <f t="shared" ref="N223" si="31">J223-L223-F223</f>
        <v>0</v>
      </c>
    </row>
    <row r="224" spans="2:14" ht="15.75" thickBot="1" x14ac:dyDescent="0.3">
      <c r="B224" s="64">
        <f t="shared" si="26"/>
        <v>11</v>
      </c>
      <c r="C224" s="8"/>
      <c r="D224" s="1"/>
      <c r="E224" s="16"/>
      <c r="F224" s="1"/>
      <c r="G224" s="1"/>
      <c r="H224" s="1"/>
      <c r="I224" s="1"/>
      <c r="J224" s="1"/>
      <c r="K224" s="1"/>
      <c r="L224" s="1"/>
      <c r="M224" s="64"/>
    </row>
    <row r="225" spans="2:14" ht="15.75" thickBot="1" x14ac:dyDescent="0.3">
      <c r="B225" s="64">
        <f t="shared" si="26"/>
        <v>12</v>
      </c>
      <c r="C225" s="223" t="s">
        <v>510</v>
      </c>
      <c r="D225" s="224"/>
      <c r="E225" s="252" t="s">
        <v>509</v>
      </c>
      <c r="F225" s="194">
        <f>+F221+F168</f>
        <v>17814291549.269997</v>
      </c>
      <c r="G225" s="194">
        <f>+G221+G168</f>
        <v>20551283885.059998</v>
      </c>
      <c r="H225" s="194">
        <f>+H221+H168</f>
        <v>863404778.29999995</v>
      </c>
      <c r="I225" s="194">
        <f>+I221+I168</f>
        <v>408082743.49999988</v>
      </c>
      <c r="J225" s="195">
        <f>SUM(F225:I225)</f>
        <v>39637062956.129997</v>
      </c>
      <c r="K225" s="191"/>
      <c r="L225" s="196">
        <f t="shared" si="24"/>
        <v>21822771406.859997</v>
      </c>
      <c r="M225" s="64"/>
      <c r="N225" s="751">
        <f t="shared" ref="N225" si="32">J225-L225-F225</f>
        <v>0</v>
      </c>
    </row>
    <row r="226" spans="2:14" x14ac:dyDescent="0.2">
      <c r="B226" s="64"/>
      <c r="C226" s="64"/>
      <c r="D226" s="64"/>
      <c r="E226" s="64"/>
      <c r="F226" s="64"/>
      <c r="G226" s="64"/>
      <c r="H226" s="64"/>
      <c r="I226" s="64"/>
      <c r="J226" s="64"/>
      <c r="K226" s="45"/>
      <c r="L226" s="45"/>
      <c r="M226" s="64"/>
    </row>
    <row r="227" spans="2:14" ht="15" x14ac:dyDescent="0.25">
      <c r="B227" s="783"/>
      <c r="C227" s="783"/>
      <c r="D227" s="783"/>
      <c r="E227" s="783"/>
      <c r="F227" s="783"/>
      <c r="G227" s="783"/>
      <c r="H227" s="783"/>
      <c r="I227" s="783"/>
      <c r="J227" s="783"/>
      <c r="K227" s="783"/>
      <c r="L227" s="783"/>
      <c r="M227" s="105" t="str">
        <f>$M$2</f>
        <v xml:space="preserve"> </v>
      </c>
    </row>
    <row r="228" spans="2:14" ht="15.75" thickBot="1" x14ac:dyDescent="0.3">
      <c r="C228" s="783"/>
      <c r="D228" s="783"/>
      <c r="E228" s="783"/>
      <c r="F228" s="783"/>
      <c r="G228" s="783"/>
      <c r="H228" s="783"/>
      <c r="I228" s="783"/>
      <c r="J228" s="783"/>
      <c r="K228" s="783"/>
      <c r="L228" s="783"/>
      <c r="M228" s="64"/>
    </row>
    <row r="229" spans="2:14" ht="15" x14ac:dyDescent="0.25">
      <c r="B229" s="829" t="str">
        <f>$B$4</f>
        <v>2025 RATE CASE</v>
      </c>
      <c r="C229" s="835"/>
      <c r="D229" s="836"/>
      <c r="E229" s="783"/>
      <c r="F229" s="783"/>
      <c r="G229" s="783"/>
      <c r="H229" s="783"/>
      <c r="I229" s="783"/>
      <c r="J229" s="783"/>
      <c r="K229" s="783"/>
      <c r="L229" s="783"/>
    </row>
    <row r="230" spans="2:14" ht="15" x14ac:dyDescent="0.25">
      <c r="B230" s="826" t="str">
        <f>$B$5</f>
        <v>ONCOR ELECTRIC DELIVERY COMPANY LLC</v>
      </c>
      <c r="C230" s="304"/>
      <c r="D230" s="837"/>
      <c r="E230" s="783"/>
      <c r="F230" s="783"/>
      <c r="G230" s="783"/>
      <c r="H230" s="783"/>
      <c r="I230" s="783"/>
      <c r="J230" s="783"/>
      <c r="K230" s="783"/>
      <c r="L230" s="783"/>
      <c r="M230" s="64"/>
    </row>
    <row r="231" spans="2:14" ht="15" x14ac:dyDescent="0.25">
      <c r="B231" s="341" t="str">
        <f>$B$6</f>
        <v>CONSOLIDATED FUNCTIONALIZED COST OF SERVICE</v>
      </c>
      <c r="C231" s="304"/>
      <c r="D231" s="837"/>
      <c r="E231" s="783"/>
      <c r="F231" s="783"/>
      <c r="G231" s="783"/>
      <c r="H231" s="783"/>
      <c r="I231" s="783"/>
      <c r="J231" s="783"/>
      <c r="K231" s="783"/>
      <c r="L231" s="783"/>
      <c r="M231" s="64"/>
    </row>
    <row r="232" spans="2:14" ht="15" x14ac:dyDescent="0.25">
      <c r="B232" s="341" t="str">
        <f>$B$7</f>
        <v>TEST YEAR ENDING 12/31/2024</v>
      </c>
      <c r="C232" s="304"/>
      <c r="D232" s="837"/>
      <c r="E232" s="304"/>
      <c r="F232" s="304"/>
      <c r="G232" s="304"/>
      <c r="H232" s="304"/>
      <c r="I232" s="304"/>
      <c r="J232" s="304"/>
      <c r="K232" s="304"/>
      <c r="L232" s="304"/>
      <c r="M232" s="64"/>
    </row>
    <row r="233" spans="2:14" ht="15" x14ac:dyDescent="0.25">
      <c r="B233" s="341" t="str">
        <f>$B$8</f>
        <v>SPONSOR:  MATTHEW A. TROXLE</v>
      </c>
      <c r="C233" s="304"/>
      <c r="D233" s="837"/>
      <c r="E233" s="304"/>
      <c r="F233" s="304"/>
      <c r="G233" s="304"/>
      <c r="H233" s="304"/>
      <c r="I233" s="304"/>
      <c r="J233" s="304"/>
      <c r="K233" s="304"/>
      <c r="L233" s="304"/>
      <c r="M233" s="64"/>
    </row>
    <row r="234" spans="2:14" ht="15.75" thickBot="1" x14ac:dyDescent="0.3">
      <c r="B234" s="345"/>
      <c r="C234" s="840"/>
      <c r="D234" s="841"/>
      <c r="E234" s="304"/>
      <c r="F234" s="304"/>
      <c r="G234" s="304"/>
      <c r="H234" s="304"/>
      <c r="I234" s="304"/>
      <c r="J234" s="304"/>
      <c r="K234" s="304"/>
      <c r="L234" s="304"/>
      <c r="M234" s="64"/>
    </row>
    <row r="235" spans="2:14" x14ac:dyDescent="0.2">
      <c r="B235" s="12"/>
      <c r="C235" s="13"/>
      <c r="D235" s="13"/>
      <c r="E235" s="13"/>
      <c r="F235" s="176" t="s">
        <v>6</v>
      </c>
      <c r="G235" s="12" t="s">
        <v>7</v>
      </c>
      <c r="H235" s="12" t="s">
        <v>8</v>
      </c>
      <c r="I235" s="178" t="s">
        <v>9</v>
      </c>
      <c r="J235" s="12" t="s">
        <v>10</v>
      </c>
      <c r="K235" s="16"/>
      <c r="L235" s="110" t="s">
        <v>907</v>
      </c>
      <c r="M235" s="64"/>
    </row>
    <row r="236" spans="2:14" ht="15" x14ac:dyDescent="0.25">
      <c r="B236" s="14" t="s">
        <v>2</v>
      </c>
      <c r="C236" s="14" t="s">
        <v>349</v>
      </c>
      <c r="D236" s="226" t="s">
        <v>511</v>
      </c>
      <c r="E236" s="14" t="s">
        <v>350</v>
      </c>
      <c r="F236" s="181"/>
      <c r="G236" s="14"/>
      <c r="H236" s="14"/>
      <c r="I236" s="14"/>
      <c r="J236" s="14"/>
      <c r="K236" s="16"/>
      <c r="L236" s="93" t="s">
        <v>908</v>
      </c>
      <c r="M236" s="64"/>
    </row>
    <row r="237" spans="2:14" x14ac:dyDescent="0.2">
      <c r="B237" s="14"/>
      <c r="C237" s="14"/>
      <c r="D237" s="14"/>
      <c r="E237" s="14"/>
      <c r="F237" s="181"/>
      <c r="G237" s="14"/>
      <c r="H237" s="14"/>
      <c r="I237" s="14"/>
      <c r="J237" s="14"/>
      <c r="K237" s="16"/>
      <c r="L237" s="93"/>
      <c r="M237" s="64"/>
    </row>
    <row r="238" spans="2:14" ht="15" thickBot="1" x14ac:dyDescent="0.25">
      <c r="B238" s="15"/>
      <c r="C238" s="15" t="s">
        <v>13</v>
      </c>
      <c r="D238" s="15" t="s">
        <v>14</v>
      </c>
      <c r="E238" s="15" t="s">
        <v>15</v>
      </c>
      <c r="F238" s="15" t="s">
        <v>16</v>
      </c>
      <c r="G238" s="15" t="s">
        <v>17</v>
      </c>
      <c r="H238" s="15" t="s">
        <v>18</v>
      </c>
      <c r="I238" s="15" t="s">
        <v>21</v>
      </c>
      <c r="J238" s="15" t="s">
        <v>22</v>
      </c>
      <c r="K238" s="16"/>
      <c r="L238" s="997" t="s">
        <v>397</v>
      </c>
      <c r="M238" s="64"/>
    </row>
    <row r="239" spans="2:14" x14ac:dyDescent="0.2">
      <c r="B239" s="64"/>
      <c r="C239" s="96"/>
      <c r="D239" s="96"/>
      <c r="E239" s="251"/>
      <c r="F239" s="96"/>
      <c r="G239" s="96"/>
      <c r="H239" s="96"/>
      <c r="I239" s="1"/>
      <c r="J239" s="1"/>
      <c r="K239" s="1"/>
      <c r="L239" s="1"/>
      <c r="M239" s="64"/>
    </row>
    <row r="240" spans="2:14" ht="15" x14ac:dyDescent="0.25">
      <c r="B240" s="16">
        <f>B239+1</f>
        <v>1</v>
      </c>
      <c r="C240" s="8"/>
      <c r="D240" s="8" t="s">
        <v>511</v>
      </c>
      <c r="E240" s="19"/>
      <c r="F240" s="8"/>
      <c r="G240" s="8"/>
      <c r="H240" s="23"/>
      <c r="I240" s="8"/>
      <c r="J240" s="8"/>
      <c r="K240" s="8"/>
      <c r="L240" s="8"/>
      <c r="M240" s="64"/>
    </row>
    <row r="241" spans="2:14" s="321" customFormat="1" ht="16.5" x14ac:dyDescent="0.35">
      <c r="B241" s="16">
        <f>B240+1</f>
        <v>2</v>
      </c>
      <c r="C241" s="1" t="s">
        <v>512</v>
      </c>
      <c r="D241" s="1" t="s">
        <v>111</v>
      </c>
      <c r="E241" s="16"/>
      <c r="F241" s="1328">
        <f>'WP II-I-1.1'!F125</f>
        <v>0</v>
      </c>
      <c r="G241" s="1329">
        <f>'WP II-I-1.1'!G125</f>
        <v>0</v>
      </c>
      <c r="H241" s="1329">
        <f>'WP II-I-1.1'!H125</f>
        <v>0</v>
      </c>
      <c r="I241" s="1330">
        <f>'WP II-I-1.1'!I125</f>
        <v>0</v>
      </c>
      <c r="J241" s="238">
        <f>SUM(F241:I241)</f>
        <v>0</v>
      </c>
      <c r="K241" s="238"/>
      <c r="L241" s="232">
        <f t="shared" si="24"/>
        <v>0</v>
      </c>
      <c r="M241" s="45"/>
      <c r="N241" s="751">
        <f t="shared" ref="N241:N242" si="33">J241-L241-F241</f>
        <v>0</v>
      </c>
    </row>
    <row r="242" spans="2:14" ht="15" x14ac:dyDescent="0.25">
      <c r="B242" s="16">
        <f>B241+1</f>
        <v>3</v>
      </c>
      <c r="C242" s="1"/>
      <c r="D242" s="233" t="s">
        <v>444</v>
      </c>
      <c r="E242" s="19"/>
      <c r="F242" s="805">
        <f>+F241</f>
        <v>0</v>
      </c>
      <c r="G242" s="805">
        <f>+G241</f>
        <v>0</v>
      </c>
      <c r="H242" s="805">
        <f>+H241</f>
        <v>0</v>
      </c>
      <c r="I242" s="805">
        <f>+I241</f>
        <v>0</v>
      </c>
      <c r="J242" s="236">
        <f>SUM(F242:I242)</f>
        <v>0</v>
      </c>
      <c r="K242" s="236"/>
      <c r="L242" s="805">
        <f t="shared" si="24"/>
        <v>0</v>
      </c>
      <c r="M242" s="64"/>
      <c r="N242" s="751">
        <f t="shared" si="33"/>
        <v>0</v>
      </c>
    </row>
    <row r="243" spans="2:14" ht="15.75" thickBot="1" x14ac:dyDescent="0.3">
      <c r="B243" s="16">
        <f>B242+1</f>
        <v>4</v>
      </c>
      <c r="C243" s="1"/>
      <c r="D243" s="1"/>
      <c r="E243" s="19"/>
      <c r="F243" s="18"/>
      <c r="G243" s="18"/>
      <c r="H243" s="18"/>
      <c r="I243" s="18"/>
      <c r="J243" s="8"/>
      <c r="K243" s="8"/>
      <c r="L243" s="18"/>
      <c r="M243" s="64"/>
    </row>
    <row r="244" spans="2:14" ht="15.75" thickBot="1" x14ac:dyDescent="0.3">
      <c r="B244" s="16">
        <f>B243+1</f>
        <v>5</v>
      </c>
      <c r="C244" s="223" t="s">
        <v>513</v>
      </c>
      <c r="D244" s="224"/>
      <c r="E244" s="252" t="s">
        <v>112</v>
      </c>
      <c r="F244" s="1018">
        <f>F242</f>
        <v>0</v>
      </c>
      <c r="G244" s="1018">
        <f t="shared" ref="G244:J244" si="34">G242</f>
        <v>0</v>
      </c>
      <c r="H244" s="1018">
        <f t="shared" si="34"/>
        <v>0</v>
      </c>
      <c r="I244" s="1018">
        <f t="shared" si="34"/>
        <v>0</v>
      </c>
      <c r="J244" s="1018">
        <f t="shared" si="34"/>
        <v>0</v>
      </c>
      <c r="K244" s="191"/>
      <c r="L244" s="196">
        <f t="shared" si="24"/>
        <v>0</v>
      </c>
      <c r="M244" s="64"/>
      <c r="N244" s="751">
        <f t="shared" ref="N244" si="35">J244-L244-F244</f>
        <v>0</v>
      </c>
    </row>
    <row r="245" spans="2:14" ht="15.75" thickBot="1" x14ac:dyDescent="0.3">
      <c r="B245" s="783"/>
      <c r="C245" s="783"/>
      <c r="D245" s="783"/>
      <c r="E245" s="783"/>
      <c r="F245" s="783"/>
      <c r="G245" s="783"/>
      <c r="H245" s="783"/>
      <c r="I245" s="783"/>
      <c r="J245" s="783"/>
      <c r="K245" s="783"/>
      <c r="L245" s="783"/>
      <c r="M245" s="64"/>
    </row>
    <row r="246" spans="2:14" ht="15" x14ac:dyDescent="0.25">
      <c r="B246" s="829" t="str">
        <f>$B$4</f>
        <v>2025 RATE CASE</v>
      </c>
      <c r="C246" s="835"/>
      <c r="D246" s="836"/>
      <c r="E246" s="783"/>
      <c r="F246" s="783"/>
      <c r="G246" s="783"/>
      <c r="H246" s="783"/>
      <c r="I246" s="783"/>
      <c r="J246" s="783"/>
      <c r="K246" s="783"/>
      <c r="L246" s="783"/>
      <c r="M246" s="105" t="str">
        <f>$M$2</f>
        <v xml:space="preserve"> </v>
      </c>
    </row>
    <row r="247" spans="2:14" ht="15" x14ac:dyDescent="0.25">
      <c r="B247" s="826" t="str">
        <f>$B$5</f>
        <v>ONCOR ELECTRIC DELIVERY COMPANY LLC</v>
      </c>
      <c r="C247" s="304"/>
      <c r="D247" s="837"/>
      <c r="E247" s="783"/>
      <c r="F247" s="783"/>
      <c r="G247" s="783"/>
      <c r="H247" s="783"/>
      <c r="I247" s="783"/>
      <c r="J247" s="783"/>
      <c r="K247" s="783"/>
      <c r="L247" s="783"/>
      <c r="M247" s="64"/>
    </row>
    <row r="248" spans="2:14" ht="15" x14ac:dyDescent="0.25">
      <c r="B248" s="341" t="str">
        <f>$B$6</f>
        <v>CONSOLIDATED FUNCTIONALIZED COST OF SERVICE</v>
      </c>
      <c r="C248" s="304"/>
      <c r="D248" s="837"/>
      <c r="E248" s="783"/>
      <c r="F248" s="783"/>
      <c r="G248" s="783"/>
      <c r="H248" s="783"/>
      <c r="I248" s="783"/>
      <c r="J248" s="783"/>
      <c r="K248" s="783"/>
      <c r="L248" s="783"/>
      <c r="M248" s="64"/>
    </row>
    <row r="249" spans="2:14" ht="15" x14ac:dyDescent="0.25">
      <c r="B249" s="341" t="str">
        <f>$B$7</f>
        <v>TEST YEAR ENDING 12/31/2024</v>
      </c>
      <c r="C249" s="304"/>
      <c r="D249" s="837"/>
      <c r="E249" s="783"/>
      <c r="F249" s="783"/>
      <c r="G249" s="783"/>
      <c r="H249" s="783"/>
      <c r="I249" s="783"/>
      <c r="J249" s="783"/>
      <c r="K249" s="783"/>
      <c r="L249" s="783"/>
      <c r="M249" s="64"/>
    </row>
    <row r="250" spans="2:14" ht="15.75" x14ac:dyDescent="0.25">
      <c r="B250" s="341" t="str">
        <f>$B$8</f>
        <v>SPONSOR:  MATTHEW A. TROXLE</v>
      </c>
      <c r="C250" s="752"/>
      <c r="D250" s="830"/>
      <c r="E250" s="64"/>
      <c r="F250" s="64"/>
      <c r="G250" s="64"/>
      <c r="H250" s="64"/>
      <c r="I250" s="64"/>
      <c r="J250" s="64"/>
      <c r="K250" s="64"/>
      <c r="L250" s="64"/>
      <c r="M250" s="64"/>
    </row>
    <row r="251" spans="2:14" ht="15.75" thickBot="1" x14ac:dyDescent="0.3">
      <c r="B251" s="345"/>
      <c r="C251" s="840"/>
      <c r="D251" s="841"/>
      <c r="E251" s="304"/>
      <c r="F251" s="304"/>
      <c r="G251" s="304"/>
      <c r="H251" s="304"/>
      <c r="I251" s="304"/>
      <c r="J251" s="304"/>
      <c r="K251" s="304"/>
      <c r="L251" s="304"/>
      <c r="M251" s="64"/>
      <c r="N251" s="101"/>
    </row>
    <row r="252" spans="2:14" x14ac:dyDescent="0.2">
      <c r="B252" s="12"/>
      <c r="C252" s="13"/>
      <c r="D252" s="13"/>
      <c r="E252" s="13"/>
      <c r="F252" s="176" t="s">
        <v>6</v>
      </c>
      <c r="G252" s="12" t="s">
        <v>7</v>
      </c>
      <c r="H252" s="12" t="s">
        <v>8</v>
      </c>
      <c r="I252" s="178" t="s">
        <v>9</v>
      </c>
      <c r="J252" s="12" t="s">
        <v>10</v>
      </c>
      <c r="K252" s="16"/>
      <c r="L252" s="110" t="s">
        <v>907</v>
      </c>
      <c r="M252" s="64"/>
      <c r="N252" s="101"/>
    </row>
    <row r="253" spans="2:14" ht="15" x14ac:dyDescent="0.25">
      <c r="B253" s="14" t="s">
        <v>2</v>
      </c>
      <c r="C253" s="14" t="s">
        <v>349</v>
      </c>
      <c r="D253" s="226" t="s">
        <v>514</v>
      </c>
      <c r="E253" s="14" t="s">
        <v>350</v>
      </c>
      <c r="F253" s="181"/>
      <c r="G253" s="14"/>
      <c r="H253" s="14"/>
      <c r="I253" s="14"/>
      <c r="J253" s="14"/>
      <c r="K253" s="16"/>
      <c r="L253" s="93" t="s">
        <v>908</v>
      </c>
      <c r="M253" s="64"/>
      <c r="N253" s="101"/>
    </row>
    <row r="254" spans="2:14" x14ac:dyDescent="0.2">
      <c r="B254" s="14"/>
      <c r="C254" s="14"/>
      <c r="D254" s="14"/>
      <c r="E254" s="14"/>
      <c r="F254" s="181"/>
      <c r="G254" s="14"/>
      <c r="H254" s="14"/>
      <c r="I254" s="14"/>
      <c r="J254" s="14"/>
      <c r="K254" s="16"/>
      <c r="L254" s="93"/>
      <c r="M254" s="64"/>
      <c r="N254" s="101"/>
    </row>
    <row r="255" spans="2:14" ht="15" thickBot="1" x14ac:dyDescent="0.25">
      <c r="B255" s="15"/>
      <c r="C255" s="15" t="s">
        <v>13</v>
      </c>
      <c r="D255" s="15" t="s">
        <v>14</v>
      </c>
      <c r="E255" s="15" t="s">
        <v>15</v>
      </c>
      <c r="F255" s="15" t="s">
        <v>16</v>
      </c>
      <c r="G255" s="15" t="s">
        <v>17</v>
      </c>
      <c r="H255" s="15" t="s">
        <v>18</v>
      </c>
      <c r="I255" s="15" t="s">
        <v>21</v>
      </c>
      <c r="J255" s="15" t="s">
        <v>22</v>
      </c>
      <c r="K255" s="16"/>
      <c r="L255" s="997" t="s">
        <v>397</v>
      </c>
      <c r="M255" s="64"/>
      <c r="N255" s="101"/>
    </row>
    <row r="256" spans="2:14" x14ac:dyDescent="0.2">
      <c r="B256" s="64"/>
      <c r="C256" s="64"/>
      <c r="D256" s="96"/>
      <c r="E256" s="96"/>
      <c r="F256" s="227"/>
      <c r="G256" s="227"/>
      <c r="H256" s="228"/>
      <c r="I256" s="228"/>
      <c r="J256" s="96"/>
      <c r="K256" s="1"/>
      <c r="L256" s="228"/>
      <c r="M256" s="64"/>
      <c r="N256" s="101"/>
    </row>
    <row r="257" spans="2:14" ht="15" x14ac:dyDescent="0.25">
      <c r="B257" s="16">
        <f t="shared" ref="B257:B276" si="36">B256+1</f>
        <v>1</v>
      </c>
      <c r="C257" s="8" t="s">
        <v>515</v>
      </c>
      <c r="D257" s="8"/>
      <c r="E257" s="19" t="s">
        <v>24</v>
      </c>
      <c r="F257" s="20"/>
      <c r="G257" s="21"/>
      <c r="H257" s="21"/>
      <c r="I257" s="8"/>
      <c r="J257" s="8"/>
      <c r="K257" s="8"/>
      <c r="L257" s="8"/>
      <c r="M257" s="64"/>
      <c r="N257" s="101"/>
    </row>
    <row r="258" spans="2:14" s="321" customFormat="1" x14ac:dyDescent="0.2">
      <c r="B258" s="16">
        <f t="shared" si="36"/>
        <v>2</v>
      </c>
      <c r="C258" s="1" t="s">
        <v>25</v>
      </c>
      <c r="D258" s="1" t="s">
        <v>26</v>
      </c>
      <c r="E258" s="16"/>
      <c r="F258" s="1317">
        <f>'WP II-I-1.1'!F22</f>
        <v>0</v>
      </c>
      <c r="G258" s="1318">
        <f>'WP II-I-1.1'!G22</f>
        <v>0</v>
      </c>
      <c r="H258" s="1318">
        <f>'WP II-I-1.1'!H22</f>
        <v>0</v>
      </c>
      <c r="I258" s="1319">
        <f>'WP II-I-1.1'!I22</f>
        <v>0</v>
      </c>
      <c r="J258" s="229">
        <f>SUM(F258:I258)</f>
        <v>0</v>
      </c>
      <c r="K258" s="229"/>
      <c r="L258" s="17">
        <f t="shared" ref="L258:L320" si="37">SUM(G258:I258)</f>
        <v>0</v>
      </c>
      <c r="M258" s="45"/>
      <c r="N258" s="751">
        <f t="shared" ref="N258:N276" si="38">J258-L258-F258</f>
        <v>0</v>
      </c>
    </row>
    <row r="259" spans="2:14" s="321" customFormat="1" x14ac:dyDescent="0.2">
      <c r="B259" s="16">
        <f t="shared" si="36"/>
        <v>3</v>
      </c>
      <c r="C259" s="1" t="s">
        <v>27</v>
      </c>
      <c r="D259" s="1" t="s">
        <v>28</v>
      </c>
      <c r="E259" s="16"/>
      <c r="F259" s="1320">
        <f>'WP II-I-1.1'!F23</f>
        <v>0</v>
      </c>
      <c r="G259" s="230">
        <f>'WP II-I-1.1'!G23</f>
        <v>0</v>
      </c>
      <c r="H259" s="230">
        <f>'WP II-I-1.1'!H23</f>
        <v>0</v>
      </c>
      <c r="I259" s="1321">
        <f>'WP II-I-1.1'!I23</f>
        <v>0</v>
      </c>
      <c r="J259" s="229">
        <f>SUM(F259:I259)</f>
        <v>0</v>
      </c>
      <c r="K259" s="229"/>
      <c r="L259" s="17">
        <f t="shared" si="37"/>
        <v>0</v>
      </c>
      <c r="M259" s="45"/>
      <c r="N259" s="751">
        <f t="shared" si="38"/>
        <v>0</v>
      </c>
    </row>
    <row r="260" spans="2:14" s="321" customFormat="1" ht="16.5" x14ac:dyDescent="0.35">
      <c r="B260" s="16">
        <f t="shared" si="36"/>
        <v>4</v>
      </c>
      <c r="C260" s="1" t="s">
        <v>29</v>
      </c>
      <c r="D260" s="1" t="s">
        <v>32</v>
      </c>
      <c r="E260" s="16"/>
      <c r="F260" s="982">
        <f>'WP II-I-1.1'!F24</f>
        <v>2514612.29</v>
      </c>
      <c r="G260" s="983">
        <f>'WP II-I-1.1'!G24</f>
        <v>3204465.84</v>
      </c>
      <c r="H260" s="983">
        <f>'WP II-I-1.1'!H24</f>
        <v>120220.51</v>
      </c>
      <c r="I260" s="984">
        <f>'WP II-I-1.1'!I24</f>
        <v>53863.5</v>
      </c>
      <c r="J260" s="238">
        <f>SUM(F260:I260)</f>
        <v>5893162.1399999997</v>
      </c>
      <c r="K260" s="238"/>
      <c r="L260" s="232">
        <f t="shared" si="37"/>
        <v>3378549.8499999996</v>
      </c>
      <c r="M260" s="45"/>
      <c r="N260" s="751">
        <f t="shared" si="38"/>
        <v>0</v>
      </c>
    </row>
    <row r="261" spans="2:14" ht="15" x14ac:dyDescent="0.25">
      <c r="B261" s="16">
        <f t="shared" si="36"/>
        <v>5</v>
      </c>
      <c r="C261" s="8"/>
      <c r="D261" s="233" t="s">
        <v>444</v>
      </c>
      <c r="E261" s="1315"/>
      <c r="F261" s="816">
        <f>SUM(F258:F260)</f>
        <v>2514612.29</v>
      </c>
      <c r="G261" s="816">
        <f>SUM(G258:G260)</f>
        <v>3204465.84</v>
      </c>
      <c r="H261" s="816">
        <f>SUM(H258:H260)</f>
        <v>120220.51</v>
      </c>
      <c r="I261" s="816">
        <f>SUM(I258:I260)</f>
        <v>53863.5</v>
      </c>
      <c r="J261" s="236">
        <f>SUM(F261:I261)</f>
        <v>5893162.1399999997</v>
      </c>
      <c r="K261" s="236"/>
      <c r="L261" s="816">
        <f t="shared" si="37"/>
        <v>3378549.8499999996</v>
      </c>
      <c r="M261" s="64"/>
      <c r="N261" s="751">
        <f t="shared" si="38"/>
        <v>0</v>
      </c>
    </row>
    <row r="262" spans="2:14" ht="15" x14ac:dyDescent="0.25">
      <c r="B262" s="16">
        <f t="shared" si="36"/>
        <v>6</v>
      </c>
      <c r="C262" s="8" t="s">
        <v>524</v>
      </c>
      <c r="D262" s="8"/>
      <c r="E262" s="1315" t="s">
        <v>24</v>
      </c>
      <c r="F262" s="805"/>
      <c r="G262" s="805"/>
      <c r="H262" s="805"/>
      <c r="I262" s="805"/>
      <c r="J262" s="8"/>
      <c r="K262" s="8"/>
      <c r="L262" s="21"/>
      <c r="M262" s="64"/>
      <c r="N262" s="751"/>
    </row>
    <row r="263" spans="2:14" s="321" customFormat="1" ht="15" x14ac:dyDescent="0.25">
      <c r="B263" s="16">
        <f t="shared" si="36"/>
        <v>7</v>
      </c>
      <c r="C263" s="1" t="s">
        <v>37</v>
      </c>
      <c r="D263" s="1" t="s">
        <v>38</v>
      </c>
      <c r="E263" s="1315"/>
      <c r="F263" s="985">
        <f>'WP II-I-1.1'!F40</f>
        <v>0</v>
      </c>
      <c r="G263" s="1322">
        <f>'WP II-I-1.1'!G40</f>
        <v>0</v>
      </c>
      <c r="H263" s="986">
        <f>'WP II-I-1.1'!H40</f>
        <v>0</v>
      </c>
      <c r="I263" s="987">
        <f>'WP II-I-1.1'!I40</f>
        <v>0</v>
      </c>
      <c r="J263" s="229">
        <f t="shared" ref="J263:J276" si="39">SUM(F263:I263)</f>
        <v>0</v>
      </c>
      <c r="K263" s="229"/>
      <c r="L263" s="17">
        <f t="shared" si="37"/>
        <v>0</v>
      </c>
      <c r="M263" s="45"/>
      <c r="N263" s="751">
        <f t="shared" si="38"/>
        <v>0</v>
      </c>
    </row>
    <row r="264" spans="2:14" s="321" customFormat="1" x14ac:dyDescent="0.2">
      <c r="B264" s="16">
        <f t="shared" si="36"/>
        <v>8</v>
      </c>
      <c r="C264" s="1" t="s">
        <v>39</v>
      </c>
      <c r="D264" s="1" t="s">
        <v>40</v>
      </c>
      <c r="E264" s="16"/>
      <c r="F264" s="980">
        <f>'WP II-I-1.1'!F41</f>
        <v>140778734.75999999</v>
      </c>
      <c r="G264" s="1323">
        <f>'WP II-I-1.1'!G41</f>
        <v>0</v>
      </c>
      <c r="H264" s="802">
        <f>'WP II-I-1.1'!H41</f>
        <v>0</v>
      </c>
      <c r="I264" s="981">
        <f>'WP II-I-1.1'!I41</f>
        <v>0</v>
      </c>
      <c r="J264" s="229">
        <f t="shared" si="39"/>
        <v>140778734.75999999</v>
      </c>
      <c r="K264" s="229"/>
      <c r="L264" s="17">
        <f t="shared" si="37"/>
        <v>0</v>
      </c>
      <c r="M264" s="45"/>
      <c r="N264" s="751">
        <f t="shared" si="38"/>
        <v>0</v>
      </c>
    </row>
    <row r="265" spans="2:14" s="321" customFormat="1" x14ac:dyDescent="0.2">
      <c r="B265" s="16">
        <f t="shared" si="36"/>
        <v>9</v>
      </c>
      <c r="C265" s="1" t="s">
        <v>1229</v>
      </c>
      <c r="D265" s="1" t="s">
        <v>1230</v>
      </c>
      <c r="E265" s="16"/>
      <c r="F265" s="980">
        <f>'WP II-I-1.1'!F42</f>
        <v>0</v>
      </c>
      <c r="G265" s="1323">
        <f>'WP II-I-1.1'!G42</f>
        <v>0</v>
      </c>
      <c r="H265" s="802">
        <f>'WP II-I-1.1'!H42</f>
        <v>0</v>
      </c>
      <c r="I265" s="981">
        <f>'WP II-I-1.1'!I42</f>
        <v>0</v>
      </c>
      <c r="J265" s="229">
        <f t="shared" ref="J265:J267" si="40">SUM(F265:I265)</f>
        <v>0</v>
      </c>
      <c r="K265" s="229"/>
      <c r="L265" s="17">
        <f t="shared" ref="L265:L267" si="41">SUM(G265:I265)</f>
        <v>0</v>
      </c>
      <c r="M265" s="45"/>
      <c r="N265" s="751"/>
    </row>
    <row r="266" spans="2:14" s="321" customFormat="1" x14ac:dyDescent="0.2">
      <c r="B266" s="16">
        <f t="shared" si="36"/>
        <v>10</v>
      </c>
      <c r="C266" s="1" t="s">
        <v>1231</v>
      </c>
      <c r="D266" s="1" t="s">
        <v>1232</v>
      </c>
      <c r="E266" s="16"/>
      <c r="F266" s="980">
        <f>'WP II-I-1.1'!F43</f>
        <v>56291412.899999999</v>
      </c>
      <c r="G266" s="1323">
        <f>'WP II-I-1.1'!G43</f>
        <v>0</v>
      </c>
      <c r="H266" s="802">
        <f>'WP II-I-1.1'!H43</f>
        <v>0</v>
      </c>
      <c r="I266" s="981">
        <f>'WP II-I-1.1'!I43</f>
        <v>0</v>
      </c>
      <c r="J266" s="229">
        <f t="shared" si="40"/>
        <v>56291412.899999999</v>
      </c>
      <c r="K266" s="229"/>
      <c r="L266" s="17">
        <f t="shared" si="41"/>
        <v>0</v>
      </c>
      <c r="M266" s="45"/>
      <c r="N266" s="751"/>
    </row>
    <row r="267" spans="2:14" s="321" customFormat="1" x14ac:dyDescent="0.2">
      <c r="B267" s="16">
        <f t="shared" si="36"/>
        <v>11</v>
      </c>
      <c r="C267" s="1" t="s">
        <v>1233</v>
      </c>
      <c r="D267" s="1" t="s">
        <v>103</v>
      </c>
      <c r="E267" s="16"/>
      <c r="F267" s="980">
        <f>'WP II-I-1.1'!F44</f>
        <v>1213664.3</v>
      </c>
      <c r="G267" s="1323">
        <f>'WP II-I-1.1'!G44</f>
        <v>0</v>
      </c>
      <c r="H267" s="802">
        <f>'WP II-I-1.1'!H44</f>
        <v>0</v>
      </c>
      <c r="I267" s="981">
        <f>'WP II-I-1.1'!I44</f>
        <v>0</v>
      </c>
      <c r="J267" s="229">
        <f t="shared" si="40"/>
        <v>1213664.3</v>
      </c>
      <c r="K267" s="229"/>
      <c r="L267" s="17">
        <f t="shared" si="41"/>
        <v>0</v>
      </c>
      <c r="M267" s="45"/>
      <c r="N267" s="751"/>
    </row>
    <row r="268" spans="2:14" s="321" customFormat="1" x14ac:dyDescent="0.2">
      <c r="B268" s="16">
        <f t="shared" si="36"/>
        <v>12</v>
      </c>
      <c r="C268" s="1" t="s">
        <v>41</v>
      </c>
      <c r="D268" s="1" t="s">
        <v>42</v>
      </c>
      <c r="E268" s="16"/>
      <c r="F268" s="980">
        <f>'WP II-I-1.1'!F45</f>
        <v>164438992.55000001</v>
      </c>
      <c r="G268" s="1323">
        <f>'WP II-I-1.1'!G45</f>
        <v>0</v>
      </c>
      <c r="H268" s="802">
        <f>'WP II-I-1.1'!H45</f>
        <v>0</v>
      </c>
      <c r="I268" s="981">
        <f>'WP II-I-1.1'!I45</f>
        <v>0</v>
      </c>
      <c r="J268" s="229">
        <f t="shared" si="39"/>
        <v>164438992.55000001</v>
      </c>
      <c r="K268" s="229"/>
      <c r="L268" s="17">
        <f t="shared" si="37"/>
        <v>0</v>
      </c>
      <c r="M268" s="45"/>
      <c r="N268" s="751">
        <f t="shared" si="38"/>
        <v>0</v>
      </c>
    </row>
    <row r="269" spans="2:14" s="321" customFormat="1" x14ac:dyDescent="0.2">
      <c r="B269" s="16">
        <f t="shared" si="36"/>
        <v>13</v>
      </c>
      <c r="C269" s="1" t="s">
        <v>43</v>
      </c>
      <c r="D269" s="1" t="s">
        <v>44</v>
      </c>
      <c r="E269" s="16"/>
      <c r="F269" s="980">
        <f>'WP II-I-1.1'!F46</f>
        <v>962965077.25999999</v>
      </c>
      <c r="G269" s="1323">
        <f>'WP II-I-1.1'!G46</f>
        <v>134427843.09999999</v>
      </c>
      <c r="H269" s="802">
        <f>'WP II-I-1.1'!H46</f>
        <v>0</v>
      </c>
      <c r="I269" s="981">
        <f>'WP II-I-1.1'!I46</f>
        <v>0</v>
      </c>
      <c r="J269" s="229">
        <f t="shared" si="39"/>
        <v>1097392920.3599999</v>
      </c>
      <c r="K269" s="229"/>
      <c r="L269" s="17">
        <f t="shared" si="37"/>
        <v>134427843.09999999</v>
      </c>
      <c r="M269" s="45"/>
      <c r="N269" s="751">
        <f t="shared" si="38"/>
        <v>0</v>
      </c>
    </row>
    <row r="270" spans="2:14" s="321" customFormat="1" x14ac:dyDescent="0.2">
      <c r="B270" s="16">
        <f t="shared" si="36"/>
        <v>14</v>
      </c>
      <c r="C270" s="1" t="s">
        <v>45</v>
      </c>
      <c r="D270" s="1" t="s">
        <v>46</v>
      </c>
      <c r="E270" s="16"/>
      <c r="F270" s="980">
        <f>'WP II-I-1.1'!F47</f>
        <v>648032224.47000003</v>
      </c>
      <c r="G270" s="1323">
        <f>'WP II-I-1.1'!G47</f>
        <v>0</v>
      </c>
      <c r="H270" s="802">
        <f>'WP II-I-1.1'!H47</f>
        <v>0</v>
      </c>
      <c r="I270" s="981">
        <f>'WP II-I-1.1'!I47</f>
        <v>0</v>
      </c>
      <c r="J270" s="229">
        <f t="shared" si="39"/>
        <v>648032224.47000003</v>
      </c>
      <c r="K270" s="229"/>
      <c r="L270" s="17">
        <f t="shared" si="37"/>
        <v>0</v>
      </c>
      <c r="M270" s="45"/>
      <c r="N270" s="751">
        <f t="shared" si="38"/>
        <v>0</v>
      </c>
    </row>
    <row r="271" spans="2:14" s="321" customFormat="1" x14ac:dyDescent="0.2">
      <c r="B271" s="16">
        <f t="shared" si="36"/>
        <v>15</v>
      </c>
      <c r="C271" s="1" t="s">
        <v>47</v>
      </c>
      <c r="D271" s="1" t="s">
        <v>48</v>
      </c>
      <c r="E271" s="16"/>
      <c r="F271" s="980">
        <f>'WP II-I-1.1'!F48</f>
        <v>1024421623.0999999</v>
      </c>
      <c r="G271" s="1323">
        <f>'WP II-I-1.1'!G48</f>
        <v>0</v>
      </c>
      <c r="H271" s="802">
        <f>'WP II-I-1.1'!H48</f>
        <v>0</v>
      </c>
      <c r="I271" s="981">
        <f>'WP II-I-1.1'!I48</f>
        <v>0</v>
      </c>
      <c r="J271" s="229">
        <f t="shared" si="39"/>
        <v>1024421623.0999999</v>
      </c>
      <c r="K271" s="229"/>
      <c r="L271" s="17">
        <f t="shared" si="37"/>
        <v>0</v>
      </c>
      <c r="M271" s="45"/>
      <c r="N271" s="751">
        <f t="shared" si="38"/>
        <v>0</v>
      </c>
    </row>
    <row r="272" spans="2:14" s="321" customFormat="1" x14ac:dyDescent="0.2">
      <c r="B272" s="16">
        <f t="shared" si="36"/>
        <v>16</v>
      </c>
      <c r="C272" s="1" t="s">
        <v>49</v>
      </c>
      <c r="D272" s="1" t="s">
        <v>486</v>
      </c>
      <c r="E272" s="16"/>
      <c r="F272" s="980">
        <f>'WP II-I-1.1'!F49</f>
        <v>869670013.72000003</v>
      </c>
      <c r="G272" s="1323">
        <f>'WP II-I-1.1'!G49</f>
        <v>0</v>
      </c>
      <c r="H272" s="802">
        <f>'WP II-I-1.1'!H49</f>
        <v>0</v>
      </c>
      <c r="I272" s="981">
        <f>'WP II-I-1.1'!I49</f>
        <v>0</v>
      </c>
      <c r="J272" s="229">
        <f t="shared" si="39"/>
        <v>869670013.72000003</v>
      </c>
      <c r="K272" s="229"/>
      <c r="L272" s="17">
        <f t="shared" si="37"/>
        <v>0</v>
      </c>
      <c r="M272" s="45"/>
      <c r="N272" s="751">
        <f t="shared" si="38"/>
        <v>0</v>
      </c>
    </row>
    <row r="273" spans="2:14" s="321" customFormat="1" x14ac:dyDescent="0.2">
      <c r="B273" s="16">
        <f t="shared" si="36"/>
        <v>17</v>
      </c>
      <c r="C273" s="1" t="s">
        <v>51</v>
      </c>
      <c r="D273" s="647" t="s">
        <v>644</v>
      </c>
      <c r="E273" s="16"/>
      <c r="F273" s="980">
        <f>'WP II-I-1.1'!F50</f>
        <v>24828550.920000002</v>
      </c>
      <c r="G273" s="1323">
        <f>'WP II-I-1.1'!G50</f>
        <v>0</v>
      </c>
      <c r="H273" s="802">
        <f>'WP II-I-1.1'!H50</f>
        <v>0</v>
      </c>
      <c r="I273" s="981">
        <f>'WP II-I-1.1'!I50</f>
        <v>0</v>
      </c>
      <c r="J273" s="229">
        <f t="shared" si="39"/>
        <v>24828550.920000002</v>
      </c>
      <c r="K273" s="229"/>
      <c r="L273" s="17">
        <f t="shared" si="37"/>
        <v>0</v>
      </c>
      <c r="M273" s="45"/>
      <c r="N273" s="751">
        <f t="shared" si="38"/>
        <v>0</v>
      </c>
    </row>
    <row r="274" spans="2:14" s="321" customFormat="1" x14ac:dyDescent="0.2">
      <c r="B274" s="16">
        <f t="shared" si="36"/>
        <v>18</v>
      </c>
      <c r="C274" s="1" t="s">
        <v>53</v>
      </c>
      <c r="D274" s="29" t="s">
        <v>487</v>
      </c>
      <c r="E274" s="16"/>
      <c r="F274" s="980">
        <f>'WP II-I-1.1'!F51</f>
        <v>35777645.020000003</v>
      </c>
      <c r="G274" s="1323">
        <f>'WP II-I-1.1'!G51</f>
        <v>0</v>
      </c>
      <c r="H274" s="802">
        <f>'WP II-I-1.1'!H51</f>
        <v>0</v>
      </c>
      <c r="I274" s="981">
        <f>'WP II-I-1.1'!I51</f>
        <v>0</v>
      </c>
      <c r="J274" s="229">
        <f t="shared" si="39"/>
        <v>35777645.020000003</v>
      </c>
      <c r="K274" s="229"/>
      <c r="L274" s="17">
        <f t="shared" si="37"/>
        <v>0</v>
      </c>
      <c r="M274" s="45"/>
      <c r="N274" s="751">
        <f t="shared" si="38"/>
        <v>0</v>
      </c>
    </row>
    <row r="275" spans="2:14" s="321" customFormat="1" ht="16.5" x14ac:dyDescent="0.35">
      <c r="B275" s="16">
        <f t="shared" si="36"/>
        <v>19</v>
      </c>
      <c r="C275" s="1" t="s">
        <v>55</v>
      </c>
      <c r="D275" s="1" t="s">
        <v>56</v>
      </c>
      <c r="E275" s="16"/>
      <c r="F275" s="982">
        <f>'WP II-I-1.1'!F52</f>
        <v>0</v>
      </c>
      <c r="G275" s="1324">
        <f>'WP II-I-1.1'!G52</f>
        <v>0</v>
      </c>
      <c r="H275" s="983">
        <f>'WP II-I-1.1'!H52</f>
        <v>0</v>
      </c>
      <c r="I275" s="984">
        <f>'WP II-I-1.1'!I52</f>
        <v>0</v>
      </c>
      <c r="J275" s="238">
        <f t="shared" si="39"/>
        <v>0</v>
      </c>
      <c r="K275" s="238"/>
      <c r="L275" s="232">
        <f t="shared" si="37"/>
        <v>0</v>
      </c>
      <c r="M275" s="45"/>
      <c r="N275" s="751">
        <f t="shared" si="38"/>
        <v>0</v>
      </c>
    </row>
    <row r="276" spans="2:14" ht="15" x14ac:dyDescent="0.25">
      <c r="B276" s="16">
        <f t="shared" si="36"/>
        <v>20</v>
      </c>
      <c r="C276" s="8"/>
      <c r="D276" s="233" t="s">
        <v>444</v>
      </c>
      <c r="E276" s="19"/>
      <c r="F276" s="805">
        <f>SUM(F263:F275)</f>
        <v>3928417939.0000005</v>
      </c>
      <c r="G276" s="805">
        <f>SUM(G263:G275)</f>
        <v>134427843.09999999</v>
      </c>
      <c r="H276" s="805">
        <f>SUM(H263:H275)</f>
        <v>0</v>
      </c>
      <c r="I276" s="805">
        <f>SUM(I263:I275)</f>
        <v>0</v>
      </c>
      <c r="J276" s="236">
        <f t="shared" si="39"/>
        <v>4062845782.1000004</v>
      </c>
      <c r="K276" s="236"/>
      <c r="L276" s="805">
        <f t="shared" si="37"/>
        <v>134427843.09999999</v>
      </c>
      <c r="M276" s="64"/>
      <c r="N276" s="751">
        <f t="shared" si="38"/>
        <v>0</v>
      </c>
    </row>
    <row r="277" spans="2:14" ht="15.75" thickBot="1" x14ac:dyDescent="0.3">
      <c r="B277" s="783"/>
      <c r="C277" s="783"/>
      <c r="D277" s="783"/>
      <c r="E277" s="783"/>
      <c r="F277" s="862"/>
      <c r="G277" s="862"/>
      <c r="H277" s="862"/>
      <c r="I277" s="862"/>
      <c r="J277" s="862"/>
      <c r="K277" s="783"/>
      <c r="L277" s="783"/>
    </row>
    <row r="278" spans="2:14" ht="15" x14ac:dyDescent="0.25">
      <c r="B278" s="829" t="str">
        <f>$B$4</f>
        <v>2025 RATE CASE</v>
      </c>
      <c r="C278" s="835"/>
      <c r="D278" s="836"/>
      <c r="E278" s="783"/>
      <c r="F278" s="862"/>
      <c r="G278" s="862"/>
      <c r="H278" s="862"/>
      <c r="I278" s="862"/>
      <c r="J278" s="862"/>
      <c r="K278" s="783"/>
      <c r="L278" s="783"/>
      <c r="M278" s="105" t="str">
        <f>$M$2</f>
        <v xml:space="preserve"> </v>
      </c>
    </row>
    <row r="279" spans="2:14" ht="15" x14ac:dyDescent="0.25">
      <c r="B279" s="826" t="str">
        <f>$B$5</f>
        <v>ONCOR ELECTRIC DELIVERY COMPANY LLC</v>
      </c>
      <c r="C279" s="304"/>
      <c r="D279" s="837"/>
      <c r="E279" s="783"/>
      <c r="F279" s="862"/>
      <c r="G279" s="862"/>
      <c r="H279" s="862"/>
      <c r="I279" s="862"/>
      <c r="J279" s="862"/>
      <c r="K279" s="783"/>
      <c r="L279" s="783"/>
      <c r="M279" s="64"/>
    </row>
    <row r="280" spans="2:14" ht="15" x14ac:dyDescent="0.25">
      <c r="B280" s="341" t="str">
        <f>$B$6</f>
        <v>CONSOLIDATED FUNCTIONALIZED COST OF SERVICE</v>
      </c>
      <c r="C280" s="304"/>
      <c r="D280" s="837"/>
      <c r="E280" s="783"/>
      <c r="F280" s="783"/>
      <c r="G280" s="783"/>
      <c r="H280" s="783"/>
      <c r="I280" s="783"/>
      <c r="J280" s="783"/>
      <c r="K280" s="783"/>
      <c r="L280" s="783"/>
      <c r="M280" s="64"/>
    </row>
    <row r="281" spans="2:14" ht="15" x14ac:dyDescent="0.25">
      <c r="B281" s="341" t="str">
        <f>$B$7</f>
        <v>TEST YEAR ENDING 12/31/2024</v>
      </c>
      <c r="C281" s="304"/>
      <c r="D281" s="837"/>
      <c r="E281" s="783"/>
      <c r="F281" s="783"/>
      <c r="G281" s="783"/>
      <c r="H281" s="783"/>
      <c r="I281" s="783"/>
      <c r="J281" s="783"/>
      <c r="K281" s="783"/>
      <c r="L281" s="783"/>
      <c r="M281" s="64"/>
    </row>
    <row r="282" spans="2:14" ht="15.75" x14ac:dyDescent="0.25">
      <c r="B282" s="341" t="str">
        <f>$B$8</f>
        <v>SPONSOR:  MATTHEW A. TROXLE</v>
      </c>
      <c r="C282" s="752"/>
      <c r="D282" s="830"/>
      <c r="E282" s="64"/>
      <c r="F282" s="64"/>
      <c r="G282" s="64"/>
      <c r="H282" s="64"/>
      <c r="I282" s="64"/>
      <c r="J282" s="64"/>
      <c r="K282" s="64"/>
      <c r="L282" s="64"/>
      <c r="M282" s="64"/>
    </row>
    <row r="283" spans="2:14" ht="15.75" thickBot="1" x14ac:dyDescent="0.3">
      <c r="B283" s="345"/>
      <c r="C283" s="840"/>
      <c r="D283" s="841"/>
      <c r="E283" s="304"/>
      <c r="F283" s="304"/>
      <c r="G283" s="304"/>
      <c r="H283" s="304"/>
      <c r="I283" s="304"/>
      <c r="J283" s="304"/>
      <c r="K283" s="304"/>
      <c r="L283" s="304"/>
      <c r="M283" s="64"/>
      <c r="N283" s="101"/>
    </row>
    <row r="284" spans="2:14" x14ac:dyDescent="0.2">
      <c r="B284" s="12"/>
      <c r="C284" s="13"/>
      <c r="D284" s="13"/>
      <c r="E284" s="13"/>
      <c r="F284" s="176" t="s">
        <v>6</v>
      </c>
      <c r="G284" s="12" t="s">
        <v>7</v>
      </c>
      <c r="H284" s="12" t="s">
        <v>8</v>
      </c>
      <c r="I284" s="178" t="s">
        <v>9</v>
      </c>
      <c r="J284" s="12" t="s">
        <v>10</v>
      </c>
      <c r="K284" s="16"/>
      <c r="L284" s="110" t="s">
        <v>907</v>
      </c>
      <c r="M284" s="64"/>
      <c r="N284" s="101"/>
    </row>
    <row r="285" spans="2:14" ht="15" x14ac:dyDescent="0.25">
      <c r="B285" s="14" t="s">
        <v>2</v>
      </c>
      <c r="C285" s="14" t="s">
        <v>349</v>
      </c>
      <c r="D285" s="226" t="s">
        <v>525</v>
      </c>
      <c r="E285" s="14" t="s">
        <v>350</v>
      </c>
      <c r="F285" s="181"/>
      <c r="G285" s="14"/>
      <c r="H285" s="14"/>
      <c r="I285" s="14"/>
      <c r="J285" s="14"/>
      <c r="K285" s="16"/>
      <c r="L285" s="93" t="s">
        <v>908</v>
      </c>
      <c r="M285" s="64"/>
      <c r="N285" s="101"/>
    </row>
    <row r="286" spans="2:14" x14ac:dyDescent="0.2">
      <c r="B286" s="14"/>
      <c r="C286" s="14"/>
      <c r="D286" s="14"/>
      <c r="E286" s="14"/>
      <c r="F286" s="181"/>
      <c r="G286" s="14"/>
      <c r="H286" s="14"/>
      <c r="I286" s="14"/>
      <c r="J286" s="14"/>
      <c r="K286" s="16"/>
      <c r="L286" s="93"/>
      <c r="M286" s="64"/>
      <c r="N286" s="101"/>
    </row>
    <row r="287" spans="2:14" ht="15" thickBot="1" x14ac:dyDescent="0.25">
      <c r="B287" s="15"/>
      <c r="C287" s="15" t="s">
        <v>13</v>
      </c>
      <c r="D287" s="15" t="s">
        <v>14</v>
      </c>
      <c r="E287" s="15" t="s">
        <v>15</v>
      </c>
      <c r="F287" s="15" t="s">
        <v>16</v>
      </c>
      <c r="G287" s="15" t="s">
        <v>17</v>
      </c>
      <c r="H287" s="15" t="s">
        <v>18</v>
      </c>
      <c r="I287" s="15" t="s">
        <v>21</v>
      </c>
      <c r="J287" s="15" t="s">
        <v>22</v>
      </c>
      <c r="K287" s="16"/>
      <c r="L287" s="997" t="s">
        <v>397</v>
      </c>
      <c r="M287" s="64"/>
      <c r="N287" s="101"/>
    </row>
    <row r="288" spans="2:14" x14ac:dyDescent="0.2">
      <c r="B288" s="64"/>
      <c r="C288" s="64"/>
      <c r="D288" s="96"/>
      <c r="E288" s="96"/>
      <c r="F288" s="227"/>
      <c r="G288" s="227"/>
      <c r="H288" s="228"/>
      <c r="I288" s="228"/>
      <c r="J288" s="96"/>
      <c r="K288" s="1"/>
      <c r="L288" s="228"/>
      <c r="M288" s="64"/>
      <c r="N288" s="101"/>
    </row>
    <row r="289" spans="2:14" ht="15" x14ac:dyDescent="0.25">
      <c r="B289" s="16">
        <v>1</v>
      </c>
      <c r="C289" s="8" t="s">
        <v>525</v>
      </c>
      <c r="D289" s="8"/>
      <c r="E289" s="19" t="s">
        <v>24</v>
      </c>
      <c r="F289" s="21"/>
      <c r="G289" s="21"/>
      <c r="H289" s="21"/>
      <c r="I289" s="21"/>
      <c r="J289" s="8"/>
      <c r="K289" s="8"/>
      <c r="L289" s="21"/>
      <c r="M289" s="64"/>
    </row>
    <row r="290" spans="2:14" s="321" customFormat="1" x14ac:dyDescent="0.2">
      <c r="B290" s="16">
        <f t="shared" ref="B290:B327" si="42">B289+1</f>
        <v>2</v>
      </c>
      <c r="C290" s="1" t="s">
        <v>59</v>
      </c>
      <c r="D290" s="1" t="s">
        <v>40</v>
      </c>
      <c r="E290" s="16"/>
      <c r="F290" s="985">
        <f>'WP II-I-1.1'!F74</f>
        <v>339719.3</v>
      </c>
      <c r="G290" s="1322">
        <f>'WP II-I-1.1'!G74</f>
        <v>9501839.8499999996</v>
      </c>
      <c r="H290" s="986">
        <f>'WP II-I-1.1'!H74</f>
        <v>0</v>
      </c>
      <c r="I290" s="987">
        <f>'WP II-I-1.1'!I74</f>
        <v>0</v>
      </c>
      <c r="J290" s="229">
        <f t="shared" ref="J290:J312" si="43">SUM(F290:I290)</f>
        <v>9841559.1500000004</v>
      </c>
      <c r="K290" s="229"/>
      <c r="L290" s="17">
        <f t="shared" si="37"/>
        <v>9501839.8499999996</v>
      </c>
      <c r="M290" s="45"/>
      <c r="N290" s="751">
        <f t="shared" ref="N290:N312" si="44">J290-L290-F290</f>
        <v>7.5669959187507629E-10</v>
      </c>
    </row>
    <row r="291" spans="2:14" s="321" customFormat="1" x14ac:dyDescent="0.2">
      <c r="B291" s="16">
        <f t="shared" si="42"/>
        <v>3</v>
      </c>
      <c r="C291" s="1" t="s">
        <v>60</v>
      </c>
      <c r="D291" s="29" t="s">
        <v>42</v>
      </c>
      <c r="E291" s="16"/>
      <c r="F291" s="980">
        <f>'WP II-I-1.1'!F75</f>
        <v>22759234.809999999</v>
      </c>
      <c r="G291" s="1323">
        <f>'WP II-I-1.1'!G75</f>
        <v>49998605.829999998</v>
      </c>
      <c r="H291" s="802">
        <f>'WP II-I-1.1'!H75</f>
        <v>0</v>
      </c>
      <c r="I291" s="981">
        <f>'WP II-I-1.1'!I75</f>
        <v>0</v>
      </c>
      <c r="J291" s="229">
        <f t="shared" si="43"/>
        <v>72757840.640000001</v>
      </c>
      <c r="K291" s="229"/>
      <c r="L291" s="17">
        <f t="shared" si="37"/>
        <v>49998605.829999998</v>
      </c>
      <c r="M291" s="45"/>
      <c r="N291" s="751">
        <f t="shared" si="44"/>
        <v>0</v>
      </c>
    </row>
    <row r="292" spans="2:14" s="321" customFormat="1" x14ac:dyDescent="0.2">
      <c r="B292" s="16">
        <f t="shared" si="42"/>
        <v>4</v>
      </c>
      <c r="C292" s="1" t="s">
        <v>61</v>
      </c>
      <c r="D292" s="1" t="s">
        <v>44</v>
      </c>
      <c r="E292" s="16"/>
      <c r="F292" s="980">
        <f>'WP II-I-1.1'!F76</f>
        <v>141628851.40000001</v>
      </c>
      <c r="G292" s="1323">
        <f>'WP II-I-1.1'!G76</f>
        <v>506199349.29000002</v>
      </c>
      <c r="H292" s="802">
        <f>'WP II-I-1.1'!H76</f>
        <v>0</v>
      </c>
      <c r="I292" s="981">
        <f>'WP II-I-1.1'!I76</f>
        <v>0</v>
      </c>
      <c r="J292" s="229">
        <f t="shared" si="43"/>
        <v>647828200.69000006</v>
      </c>
      <c r="K292" s="229"/>
      <c r="L292" s="17">
        <f t="shared" si="37"/>
        <v>506199349.29000002</v>
      </c>
      <c r="M292" s="45"/>
      <c r="N292" s="751">
        <f t="shared" si="44"/>
        <v>0</v>
      </c>
    </row>
    <row r="293" spans="2:14" s="321" customFormat="1" x14ac:dyDescent="0.2">
      <c r="B293" s="16">
        <f t="shared" si="42"/>
        <v>5</v>
      </c>
      <c r="C293" s="1" t="s">
        <v>1234</v>
      </c>
      <c r="D293" s="1" t="s">
        <v>1230</v>
      </c>
      <c r="E293" s="16"/>
      <c r="F293" s="980">
        <f>'WP II-I-1.1'!F77</f>
        <v>0</v>
      </c>
      <c r="G293" s="1323">
        <f>'WP II-I-1.1'!G77</f>
        <v>0</v>
      </c>
      <c r="H293" s="802">
        <f>'WP II-I-1.1'!H77</f>
        <v>0</v>
      </c>
      <c r="I293" s="981">
        <f>'WP II-I-1.1'!I77</f>
        <v>0</v>
      </c>
      <c r="J293" s="229">
        <f t="shared" ref="J293:J295" si="45">SUM(F293:I293)</f>
        <v>0</v>
      </c>
      <c r="K293" s="229"/>
      <c r="L293" s="17">
        <f t="shared" ref="L293:L295" si="46">SUM(G293:I293)</f>
        <v>0</v>
      </c>
      <c r="M293" s="45"/>
      <c r="N293" s="751">
        <f t="shared" ref="N293:N295" si="47">J293-L293-F293</f>
        <v>0</v>
      </c>
    </row>
    <row r="294" spans="2:14" s="321" customFormat="1" x14ac:dyDescent="0.2">
      <c r="B294" s="16">
        <f t="shared" si="42"/>
        <v>6</v>
      </c>
      <c r="C294" s="1" t="s">
        <v>1235</v>
      </c>
      <c r="D294" s="1" t="s">
        <v>1232</v>
      </c>
      <c r="E294" s="16"/>
      <c r="F294" s="980">
        <f>'WP II-I-1.1'!F78</f>
        <v>0</v>
      </c>
      <c r="G294" s="1323">
        <f>'WP II-I-1.1'!G78</f>
        <v>90241525.159999996</v>
      </c>
      <c r="H294" s="802">
        <f>'WP II-I-1.1'!H78</f>
        <v>89519192.670000002</v>
      </c>
      <c r="I294" s="981">
        <f>'WP II-I-1.1'!I78</f>
        <v>108843000.56</v>
      </c>
      <c r="J294" s="229">
        <f t="shared" si="45"/>
        <v>288603718.38999999</v>
      </c>
      <c r="K294" s="229"/>
      <c r="L294" s="17">
        <f t="shared" si="46"/>
        <v>288603718.38999999</v>
      </c>
      <c r="M294" s="45"/>
      <c r="N294" s="751">
        <f t="shared" si="47"/>
        <v>0</v>
      </c>
    </row>
    <row r="295" spans="2:14" s="321" customFormat="1" x14ac:dyDescent="0.2">
      <c r="B295" s="16">
        <f t="shared" si="42"/>
        <v>7</v>
      </c>
      <c r="C295" s="1" t="s">
        <v>1236</v>
      </c>
      <c r="D295" s="1" t="s">
        <v>103</v>
      </c>
      <c r="E295" s="16"/>
      <c r="F295" s="980">
        <f>'WP II-I-1.1'!F79</f>
        <v>0</v>
      </c>
      <c r="G295" s="1323">
        <f>'WP II-I-1.1'!G79</f>
        <v>0</v>
      </c>
      <c r="H295" s="802">
        <f>'WP II-I-1.1'!H79</f>
        <v>39392672.700000003</v>
      </c>
      <c r="I295" s="981">
        <f>'WP II-I-1.1'!I79</f>
        <v>0</v>
      </c>
      <c r="J295" s="229">
        <f t="shared" si="45"/>
        <v>39392672.700000003</v>
      </c>
      <c r="K295" s="229"/>
      <c r="L295" s="17">
        <f t="shared" si="46"/>
        <v>39392672.700000003</v>
      </c>
      <c r="M295" s="45"/>
      <c r="N295" s="751">
        <f t="shared" si="47"/>
        <v>0</v>
      </c>
    </row>
    <row r="296" spans="2:14" s="321" customFormat="1" x14ac:dyDescent="0.2">
      <c r="B296" s="16">
        <f t="shared" si="42"/>
        <v>8</v>
      </c>
      <c r="C296" s="1" t="s">
        <v>359</v>
      </c>
      <c r="D296" s="29" t="s">
        <v>489</v>
      </c>
      <c r="E296" s="16"/>
      <c r="F296" s="985">
        <f>'WP II-I-1.2'!F45</f>
        <v>0</v>
      </c>
      <c r="G296" s="1322">
        <f>'WP II-I-1.2'!G45</f>
        <v>1014653070.4718791</v>
      </c>
      <c r="H296" s="986">
        <f>'WP II-I-1.2'!H45</f>
        <v>0</v>
      </c>
      <c r="I296" s="987">
        <f>'WP II-I-1.2'!I45</f>
        <v>0</v>
      </c>
      <c r="J296" s="229">
        <f t="shared" si="43"/>
        <v>1014653070.4718791</v>
      </c>
      <c r="K296" s="229"/>
      <c r="L296" s="17">
        <f t="shared" si="37"/>
        <v>1014653070.4718791</v>
      </c>
      <c r="M296" s="45"/>
      <c r="N296" s="751">
        <f t="shared" si="44"/>
        <v>0</v>
      </c>
    </row>
    <row r="297" spans="2:14" s="321" customFormat="1" x14ac:dyDescent="0.2">
      <c r="B297" s="16">
        <f t="shared" si="42"/>
        <v>9</v>
      </c>
      <c r="C297" s="1" t="s">
        <v>361</v>
      </c>
      <c r="D297" s="29" t="s">
        <v>490</v>
      </c>
      <c r="E297" s="16"/>
      <c r="F297" s="980">
        <f>'WP II-I-1.2'!F46</f>
        <v>0</v>
      </c>
      <c r="G297" s="1323">
        <f>'WP II-I-1.2'!G46</f>
        <v>187903577.88812062</v>
      </c>
      <c r="H297" s="802">
        <f>'WP II-I-1.2'!H46</f>
        <v>0</v>
      </c>
      <c r="I297" s="981">
        <f>'WP II-I-1.2'!I46</f>
        <v>0</v>
      </c>
      <c r="J297" s="229">
        <f t="shared" si="43"/>
        <v>187903577.88812062</v>
      </c>
      <c r="K297" s="229"/>
      <c r="L297" s="17">
        <f t="shared" si="37"/>
        <v>187903577.88812062</v>
      </c>
      <c r="M297" s="45"/>
      <c r="N297" s="751">
        <f t="shared" si="44"/>
        <v>0</v>
      </c>
    </row>
    <row r="298" spans="2:14" s="321" customFormat="1" x14ac:dyDescent="0.2">
      <c r="B298" s="16">
        <f t="shared" si="42"/>
        <v>10</v>
      </c>
      <c r="C298" s="1" t="s">
        <v>364</v>
      </c>
      <c r="D298" s="1" t="s">
        <v>491</v>
      </c>
      <c r="E298" s="16"/>
      <c r="F298" s="980">
        <f>'WP II-I-1.2'!F48</f>
        <v>0</v>
      </c>
      <c r="G298" s="1323">
        <f>'WP II-I-1.2'!G48</f>
        <v>601790975.08809602</v>
      </c>
      <c r="H298" s="802">
        <f>'WP II-I-1.2'!H48</f>
        <v>0</v>
      </c>
      <c r="I298" s="981">
        <f>'WP II-I-1.2'!I48</f>
        <v>0</v>
      </c>
      <c r="J298" s="229">
        <f t="shared" si="43"/>
        <v>601790975.08809602</v>
      </c>
      <c r="K298" s="229"/>
      <c r="L298" s="17">
        <f t="shared" si="37"/>
        <v>601790975.08809602</v>
      </c>
      <c r="M298" s="45"/>
      <c r="N298" s="751">
        <f t="shared" si="44"/>
        <v>0</v>
      </c>
    </row>
    <row r="299" spans="2:14" s="321" customFormat="1" x14ac:dyDescent="0.2">
      <c r="B299" s="16">
        <f t="shared" si="42"/>
        <v>11</v>
      </c>
      <c r="C299" s="1" t="s">
        <v>366</v>
      </c>
      <c r="D299" s="1" t="s">
        <v>492</v>
      </c>
      <c r="E299" s="16"/>
      <c r="F299" s="980">
        <f>'WP II-I-1.2'!F49</f>
        <v>0</v>
      </c>
      <c r="G299" s="1323">
        <f>'WP II-I-1.2'!G49</f>
        <v>87364481.331903979</v>
      </c>
      <c r="H299" s="802">
        <f>'WP II-I-1.2'!H49</f>
        <v>0</v>
      </c>
      <c r="I299" s="981">
        <f>'WP II-I-1.2'!I49</f>
        <v>0</v>
      </c>
      <c r="J299" s="229">
        <f t="shared" si="43"/>
        <v>87364481.331903979</v>
      </c>
      <c r="K299" s="229"/>
      <c r="L299" s="17">
        <f t="shared" si="37"/>
        <v>87364481.331903979</v>
      </c>
      <c r="M299" s="45"/>
      <c r="N299" s="751">
        <f t="shared" si="44"/>
        <v>0</v>
      </c>
    </row>
    <row r="300" spans="2:14" s="321" customFormat="1" x14ac:dyDescent="0.2">
      <c r="B300" s="16">
        <f t="shared" si="42"/>
        <v>12</v>
      </c>
      <c r="C300" s="1" t="s">
        <v>369</v>
      </c>
      <c r="D300" s="1" t="s">
        <v>370</v>
      </c>
      <c r="E300" s="16"/>
      <c r="F300" s="980">
        <f>'WP II-I-1.2'!F51</f>
        <v>0</v>
      </c>
      <c r="G300" s="1323">
        <f>'WP II-I-1.2'!G51</f>
        <v>362924857.21233314</v>
      </c>
      <c r="H300" s="802">
        <f>'WP II-I-1.2'!H51</f>
        <v>0</v>
      </c>
      <c r="I300" s="981">
        <f>'WP II-I-1.2'!I51</f>
        <v>0</v>
      </c>
      <c r="J300" s="229">
        <f t="shared" si="43"/>
        <v>362924857.21233314</v>
      </c>
      <c r="K300" s="229"/>
      <c r="L300" s="17">
        <f t="shared" si="37"/>
        <v>362924857.21233314</v>
      </c>
      <c r="M300" s="45"/>
      <c r="N300" s="751">
        <f t="shared" si="44"/>
        <v>0</v>
      </c>
    </row>
    <row r="301" spans="2:14" s="321" customFormat="1" x14ac:dyDescent="0.2">
      <c r="B301" s="16">
        <f t="shared" si="42"/>
        <v>13</v>
      </c>
      <c r="C301" s="1" t="s">
        <v>371</v>
      </c>
      <c r="D301" s="1" t="s">
        <v>372</v>
      </c>
      <c r="E301" s="16"/>
      <c r="F301" s="980">
        <f>'WP II-I-1.2'!F52</f>
        <v>0</v>
      </c>
      <c r="G301" s="1323">
        <f>'WP II-I-1.2'!G52</f>
        <v>187316242.59766677</v>
      </c>
      <c r="H301" s="802">
        <f>'WP II-I-1.2'!H52</f>
        <v>0</v>
      </c>
      <c r="I301" s="981">
        <f>'WP II-I-1.2'!I52</f>
        <v>0</v>
      </c>
      <c r="J301" s="229">
        <f t="shared" si="43"/>
        <v>187316242.59766677</v>
      </c>
      <c r="K301" s="229"/>
      <c r="L301" s="17">
        <f t="shared" si="37"/>
        <v>187316242.59766677</v>
      </c>
      <c r="M301" s="45"/>
      <c r="N301" s="751">
        <f t="shared" si="44"/>
        <v>0</v>
      </c>
    </row>
    <row r="302" spans="2:14" s="321" customFormat="1" x14ac:dyDescent="0.2">
      <c r="B302" s="16">
        <f t="shared" si="42"/>
        <v>14</v>
      </c>
      <c r="C302" s="1" t="s">
        <v>374</v>
      </c>
      <c r="D302" s="29" t="s">
        <v>493</v>
      </c>
      <c r="E302" s="28"/>
      <c r="F302" s="980">
        <f>'WP II-I-1.2'!F54</f>
        <v>0</v>
      </c>
      <c r="G302" s="1323">
        <f>'WP II-I-1.2'!G54</f>
        <v>551736249.74043524</v>
      </c>
      <c r="H302" s="802">
        <f>'WP II-I-1.2'!H54</f>
        <v>0</v>
      </c>
      <c r="I302" s="981">
        <f>'WP II-I-1.2'!I54</f>
        <v>0</v>
      </c>
      <c r="J302" s="229">
        <f t="shared" si="43"/>
        <v>551736249.74043524</v>
      </c>
      <c r="K302" s="229"/>
      <c r="L302" s="17">
        <f t="shared" si="37"/>
        <v>551736249.74043524</v>
      </c>
      <c r="M302" s="45"/>
      <c r="N302" s="751">
        <f t="shared" si="44"/>
        <v>0</v>
      </c>
    </row>
    <row r="303" spans="2:14" s="321" customFormat="1" x14ac:dyDescent="0.2">
      <c r="B303" s="16">
        <f t="shared" si="42"/>
        <v>15</v>
      </c>
      <c r="C303" s="1" t="s">
        <v>376</v>
      </c>
      <c r="D303" s="29" t="s">
        <v>494</v>
      </c>
      <c r="E303" s="28"/>
      <c r="F303" s="980">
        <f>'WP II-I-1.2'!F55</f>
        <v>0</v>
      </c>
      <c r="G303" s="1323">
        <f>'WP II-I-1.2'!G55</f>
        <v>139509208.03956473</v>
      </c>
      <c r="H303" s="802">
        <f>'WP II-I-1.2'!H55</f>
        <v>0</v>
      </c>
      <c r="I303" s="981">
        <f>'WP II-I-1.2'!I55</f>
        <v>0</v>
      </c>
      <c r="J303" s="229">
        <f t="shared" si="43"/>
        <v>139509208.03956473</v>
      </c>
      <c r="K303" s="229"/>
      <c r="L303" s="17">
        <f t="shared" si="37"/>
        <v>139509208.03956473</v>
      </c>
      <c r="M303" s="45"/>
      <c r="N303" s="751">
        <f t="shared" si="44"/>
        <v>0</v>
      </c>
    </row>
    <row r="304" spans="2:14" s="321" customFormat="1" x14ac:dyDescent="0.2">
      <c r="B304" s="16">
        <f t="shared" si="42"/>
        <v>16</v>
      </c>
      <c r="C304" s="1" t="s">
        <v>379</v>
      </c>
      <c r="D304" s="1" t="str">
        <f>'WP II-I-1.2'!D39</f>
        <v>Regulators, Protectors, Primary Transformers</v>
      </c>
      <c r="E304" s="16"/>
      <c r="F304" s="980">
        <f>'WP II-I-1.2'!F57</f>
        <v>0</v>
      </c>
      <c r="G304" s="1323">
        <f>'WP II-I-1.2'!G57</f>
        <v>52554365.188390315</v>
      </c>
      <c r="H304" s="802">
        <f>'WP II-I-1.2'!H57</f>
        <v>0</v>
      </c>
      <c r="I304" s="981">
        <f>'WP II-I-1.2'!I57</f>
        <v>0</v>
      </c>
      <c r="J304" s="229">
        <f t="shared" si="43"/>
        <v>52554365.188390315</v>
      </c>
      <c r="K304" s="229"/>
      <c r="L304" s="17">
        <f t="shared" si="37"/>
        <v>52554365.188390315</v>
      </c>
      <c r="M304" s="45"/>
      <c r="N304" s="751">
        <f t="shared" si="44"/>
        <v>0</v>
      </c>
    </row>
    <row r="305" spans="2:14" s="321" customFormat="1" x14ac:dyDescent="0.2">
      <c r="B305" s="16">
        <f t="shared" si="42"/>
        <v>17</v>
      </c>
      <c r="C305" s="1" t="s">
        <v>381</v>
      </c>
      <c r="D305" s="1" t="str">
        <f>'WP II-I-1.2'!D40</f>
        <v>Secondary Transformers</v>
      </c>
      <c r="E305" s="16"/>
      <c r="F305" s="980">
        <f>'WP II-I-1.2'!F58</f>
        <v>0</v>
      </c>
      <c r="G305" s="1323">
        <f>'WP II-I-1.2'!G58</f>
        <v>668691543.73156512</v>
      </c>
      <c r="H305" s="802">
        <f>'WP II-I-1.2'!H58</f>
        <v>0</v>
      </c>
      <c r="I305" s="981">
        <f>'WP II-I-1.2'!I58</f>
        <v>0</v>
      </c>
      <c r="J305" s="229">
        <f t="shared" si="43"/>
        <v>668691543.73156512</v>
      </c>
      <c r="K305" s="229"/>
      <c r="L305" s="17">
        <f t="shared" si="37"/>
        <v>668691543.73156512</v>
      </c>
      <c r="M305" s="45"/>
      <c r="N305" s="751">
        <f t="shared" si="44"/>
        <v>0</v>
      </c>
    </row>
    <row r="306" spans="2:14" s="321" customFormat="1" x14ac:dyDescent="0.2">
      <c r="B306" s="16">
        <f t="shared" si="42"/>
        <v>18</v>
      </c>
      <c r="C306" s="1" t="s">
        <v>383</v>
      </c>
      <c r="D306" s="1" t="str">
        <f>'WP II-I-1.2'!D41</f>
        <v>Capacitors</v>
      </c>
      <c r="E306" s="16"/>
      <c r="F306" s="982">
        <f>'WP II-I-1.2'!F59</f>
        <v>0</v>
      </c>
      <c r="G306" s="1324">
        <f>'WP II-I-1.2'!G59</f>
        <v>40381281.260044515</v>
      </c>
      <c r="H306" s="983">
        <f>'WP II-I-1.2'!H59</f>
        <v>0</v>
      </c>
      <c r="I306" s="984">
        <f>'WP II-I-1.2'!I59</f>
        <v>0</v>
      </c>
      <c r="J306" s="229">
        <f t="shared" si="43"/>
        <v>40381281.260044515</v>
      </c>
      <c r="K306" s="229"/>
      <c r="L306" s="17">
        <f t="shared" si="37"/>
        <v>40381281.260044515</v>
      </c>
      <c r="M306" s="45"/>
      <c r="N306" s="751">
        <f t="shared" si="44"/>
        <v>0</v>
      </c>
    </row>
    <row r="307" spans="2:14" s="321" customFormat="1" x14ac:dyDescent="0.2">
      <c r="B307" s="16">
        <f t="shared" si="42"/>
        <v>19</v>
      </c>
      <c r="C307" s="1" t="s">
        <v>72</v>
      </c>
      <c r="D307" s="29" t="s">
        <v>73</v>
      </c>
      <c r="E307" s="28"/>
      <c r="F307" s="985">
        <f>'WP II-I-1.1'!F85</f>
        <v>0</v>
      </c>
      <c r="G307" s="1322">
        <f>'WP II-I-1.1'!G85</f>
        <v>1237313769.03</v>
      </c>
      <c r="H307" s="986">
        <f>'WP II-I-1.1'!H85</f>
        <v>0</v>
      </c>
      <c r="I307" s="987">
        <f>'WP II-I-1.1'!I85</f>
        <v>0</v>
      </c>
      <c r="J307" s="229">
        <f t="shared" si="43"/>
        <v>1237313769.03</v>
      </c>
      <c r="K307" s="229"/>
      <c r="L307" s="17">
        <f t="shared" si="37"/>
        <v>1237313769.03</v>
      </c>
      <c r="M307" s="45"/>
      <c r="N307" s="751">
        <f t="shared" si="44"/>
        <v>0</v>
      </c>
    </row>
    <row r="308" spans="2:14" s="321" customFormat="1" x14ac:dyDescent="0.2">
      <c r="B308" s="16">
        <f t="shared" si="42"/>
        <v>20</v>
      </c>
      <c r="C308" s="1" t="s">
        <v>74</v>
      </c>
      <c r="D308" s="1" t="s">
        <v>75</v>
      </c>
      <c r="E308" s="16"/>
      <c r="F308" s="980">
        <f>'WP II-I-1.1'!F86</f>
        <v>0</v>
      </c>
      <c r="G308" s="1323">
        <f>'WP II-I-1.1'!G86</f>
        <v>0</v>
      </c>
      <c r="H308" s="802">
        <f>'WP II-I-1.1'!H86</f>
        <v>298670487.00999999</v>
      </c>
      <c r="I308" s="981">
        <f>'WP II-I-1.1'!I86</f>
        <v>0</v>
      </c>
      <c r="J308" s="229">
        <f t="shared" si="43"/>
        <v>298670487.00999999</v>
      </c>
      <c r="K308" s="229"/>
      <c r="L308" s="17">
        <f t="shared" si="37"/>
        <v>298670487.00999999</v>
      </c>
      <c r="M308" s="45"/>
      <c r="N308" s="751">
        <f t="shared" si="44"/>
        <v>0</v>
      </c>
    </row>
    <row r="309" spans="2:14" s="321" customFormat="1" x14ac:dyDescent="0.2">
      <c r="B309" s="16">
        <f t="shared" si="42"/>
        <v>21</v>
      </c>
      <c r="C309" s="1" t="s">
        <v>76</v>
      </c>
      <c r="D309" s="1" t="s">
        <v>495</v>
      </c>
      <c r="E309" s="16"/>
      <c r="F309" s="980">
        <f>'WP II-I-1.1'!F87</f>
        <v>0</v>
      </c>
      <c r="G309" s="1323">
        <f>'WP II-I-1.1'!G87</f>
        <v>74784255.819999993</v>
      </c>
      <c r="H309" s="802">
        <f>'WP II-I-1.1'!H87</f>
        <v>0</v>
      </c>
      <c r="I309" s="981">
        <f>'WP II-I-1.1'!I87</f>
        <v>0</v>
      </c>
      <c r="J309" s="229">
        <f t="shared" si="43"/>
        <v>74784255.819999993</v>
      </c>
      <c r="K309" s="229"/>
      <c r="L309" s="17">
        <f t="shared" si="37"/>
        <v>74784255.819999993</v>
      </c>
      <c r="M309" s="45"/>
      <c r="N309" s="751">
        <f t="shared" si="44"/>
        <v>0</v>
      </c>
    </row>
    <row r="310" spans="2:14" s="321" customFormat="1" x14ac:dyDescent="0.2">
      <c r="B310" s="16">
        <f t="shared" si="42"/>
        <v>22</v>
      </c>
      <c r="C310" s="1" t="s">
        <v>78</v>
      </c>
      <c r="D310" s="1" t="s">
        <v>496</v>
      </c>
      <c r="E310" s="16"/>
      <c r="F310" s="980">
        <f>'WP II-I-1.1'!F88</f>
        <v>0</v>
      </c>
      <c r="G310" s="1323">
        <f>'WP II-I-1.1'!G88</f>
        <v>0</v>
      </c>
      <c r="H310" s="802">
        <f>'WP II-I-1.1'!H88</f>
        <v>0</v>
      </c>
      <c r="I310" s="981">
        <f>'WP II-I-1.1'!I88</f>
        <v>0</v>
      </c>
      <c r="J310" s="229">
        <f t="shared" si="43"/>
        <v>0</v>
      </c>
      <c r="K310" s="229"/>
      <c r="L310" s="17">
        <f t="shared" si="37"/>
        <v>0</v>
      </c>
      <c r="M310" s="45"/>
      <c r="N310" s="751">
        <f t="shared" si="44"/>
        <v>0</v>
      </c>
    </row>
    <row r="311" spans="2:14" s="321" customFormat="1" ht="16.5" x14ac:dyDescent="0.35">
      <c r="B311" s="16">
        <f t="shared" si="42"/>
        <v>23</v>
      </c>
      <c r="C311" s="1" t="s">
        <v>80</v>
      </c>
      <c r="D311" s="1" t="s">
        <v>84</v>
      </c>
      <c r="E311" s="16"/>
      <c r="F311" s="982">
        <f>'WP II-I-1.1'!F89</f>
        <v>0</v>
      </c>
      <c r="G311" s="1324">
        <f>'WP II-I-1.1'!G89</f>
        <v>379251735.44</v>
      </c>
      <c r="H311" s="983">
        <f>'WP II-I-1.1'!H89</f>
        <v>0</v>
      </c>
      <c r="I311" s="984">
        <f>'WP II-I-1.1'!I89</f>
        <v>0</v>
      </c>
      <c r="J311" s="238">
        <f t="shared" si="43"/>
        <v>379251735.44</v>
      </c>
      <c r="K311" s="238"/>
      <c r="L311" s="232">
        <f t="shared" si="37"/>
        <v>379251735.44</v>
      </c>
      <c r="M311" s="45"/>
      <c r="N311" s="751">
        <f t="shared" si="44"/>
        <v>0</v>
      </c>
    </row>
    <row r="312" spans="2:14" ht="15" x14ac:dyDescent="0.25">
      <c r="B312" s="16">
        <f t="shared" si="42"/>
        <v>24</v>
      </c>
      <c r="C312" s="64"/>
      <c r="D312" s="233" t="s">
        <v>444</v>
      </c>
      <c r="E312" s="121"/>
      <c r="F312" s="805">
        <f>SUM(F290:F311)</f>
        <v>164727805.50999999</v>
      </c>
      <c r="G312" s="805">
        <f>SUM(G290:G311)</f>
        <v>6242116932.9699984</v>
      </c>
      <c r="H312" s="805">
        <f>SUM(H290:H311)</f>
        <v>427582352.38</v>
      </c>
      <c r="I312" s="805">
        <f>SUM(I290:I311)</f>
        <v>108843000.56</v>
      </c>
      <c r="J312" s="236">
        <f t="shared" si="43"/>
        <v>6943270091.4199991</v>
      </c>
      <c r="K312" s="236"/>
      <c r="L312" s="805">
        <f t="shared" si="37"/>
        <v>6778542285.9099989</v>
      </c>
      <c r="M312" s="64"/>
      <c r="N312" s="751">
        <f t="shared" si="44"/>
        <v>2.384185791015625E-7</v>
      </c>
    </row>
    <row r="313" spans="2:14" x14ac:dyDescent="0.2">
      <c r="B313" s="16">
        <f t="shared" si="42"/>
        <v>25</v>
      </c>
      <c r="C313" s="64"/>
      <c r="D313" s="1"/>
      <c r="E313" s="16"/>
      <c r="F313" s="18"/>
      <c r="G313" s="18"/>
      <c r="H313" s="18"/>
      <c r="I313" s="1"/>
      <c r="J313" s="1"/>
      <c r="K313" s="1"/>
      <c r="L313" s="1"/>
      <c r="M313" s="64"/>
    </row>
    <row r="314" spans="2:14" ht="15" x14ac:dyDescent="0.25">
      <c r="B314" s="16">
        <f t="shared" si="42"/>
        <v>26</v>
      </c>
      <c r="C314" s="64"/>
      <c r="D314" s="233" t="s">
        <v>519</v>
      </c>
      <c r="E314" s="16"/>
      <c r="F314" s="805">
        <f>SUM(F296:F297)</f>
        <v>0</v>
      </c>
      <c r="G314" s="805">
        <f>SUM(G296:G297)</f>
        <v>1202556648.3599997</v>
      </c>
      <c r="H314" s="805">
        <f>SUM(H296:H297)</f>
        <v>0</v>
      </c>
      <c r="I314" s="805">
        <f>SUM(I296:I297)</f>
        <v>0</v>
      </c>
      <c r="J314" s="236">
        <f>SUM(F314:I314)</f>
        <v>1202556648.3599997</v>
      </c>
      <c r="K314" s="236"/>
      <c r="L314" s="805">
        <f t="shared" si="37"/>
        <v>1202556648.3599997</v>
      </c>
      <c r="M314" s="64"/>
      <c r="N314" s="751">
        <f t="shared" ref="N314:N318" si="48">J314-L314-F314</f>
        <v>0</v>
      </c>
    </row>
    <row r="315" spans="2:14" ht="15" x14ac:dyDescent="0.25">
      <c r="B315" s="16">
        <f t="shared" si="42"/>
        <v>27</v>
      </c>
      <c r="C315" s="64"/>
      <c r="D315" s="233" t="s">
        <v>520</v>
      </c>
      <c r="E315" s="16"/>
      <c r="F315" s="805">
        <f>SUM(F298:F299)</f>
        <v>0</v>
      </c>
      <c r="G315" s="805">
        <f>SUM(G298:G299)</f>
        <v>689155456.41999996</v>
      </c>
      <c r="H315" s="805">
        <f>SUM(H298:H299)</f>
        <v>0</v>
      </c>
      <c r="I315" s="805">
        <f>SUM(I298:I299)</f>
        <v>0</v>
      </c>
      <c r="J315" s="236">
        <f>SUM(F315:I315)</f>
        <v>689155456.41999996</v>
      </c>
      <c r="K315" s="236"/>
      <c r="L315" s="805">
        <f t="shared" si="37"/>
        <v>689155456.41999996</v>
      </c>
      <c r="M315" s="64"/>
      <c r="N315" s="751">
        <f t="shared" si="48"/>
        <v>0</v>
      </c>
    </row>
    <row r="316" spans="2:14" ht="15" x14ac:dyDescent="0.25">
      <c r="B316" s="16">
        <f t="shared" si="42"/>
        <v>28</v>
      </c>
      <c r="C316" s="64"/>
      <c r="D316" s="233" t="s">
        <v>521</v>
      </c>
      <c r="E316" s="16"/>
      <c r="F316" s="805">
        <f>SUM(F300:F301)</f>
        <v>0</v>
      </c>
      <c r="G316" s="805">
        <f>SUM(G300:G301)</f>
        <v>550241099.80999994</v>
      </c>
      <c r="H316" s="805">
        <f>SUM(H300:H301)</f>
        <v>0</v>
      </c>
      <c r="I316" s="805">
        <f>SUM(I300:I301)</f>
        <v>0</v>
      </c>
      <c r="J316" s="236">
        <f>SUM(F316:I316)</f>
        <v>550241099.80999994</v>
      </c>
      <c r="K316" s="236"/>
      <c r="L316" s="805">
        <f t="shared" si="37"/>
        <v>550241099.80999994</v>
      </c>
      <c r="M316" s="64"/>
      <c r="N316" s="751">
        <f t="shared" si="48"/>
        <v>0</v>
      </c>
    </row>
    <row r="317" spans="2:14" ht="15" x14ac:dyDescent="0.25">
      <c r="B317" s="16">
        <f t="shared" si="42"/>
        <v>29</v>
      </c>
      <c r="C317" s="64"/>
      <c r="D317" s="233" t="s">
        <v>522</v>
      </c>
      <c r="E317" s="16"/>
      <c r="F317" s="805">
        <f>SUM(F302:F303)</f>
        <v>0</v>
      </c>
      <c r="G317" s="805">
        <f>SUM(G302:G303)</f>
        <v>691245457.77999997</v>
      </c>
      <c r="H317" s="805">
        <f>SUM(H302:H303)</f>
        <v>0</v>
      </c>
      <c r="I317" s="805">
        <f>SUM(I302:I303)</f>
        <v>0</v>
      </c>
      <c r="J317" s="236">
        <f>SUM(F317:I317)</f>
        <v>691245457.77999997</v>
      </c>
      <c r="K317" s="236"/>
      <c r="L317" s="805">
        <f t="shared" si="37"/>
        <v>691245457.77999997</v>
      </c>
      <c r="M317" s="64"/>
      <c r="N317" s="751">
        <f t="shared" si="48"/>
        <v>0</v>
      </c>
    </row>
    <row r="318" spans="2:14" ht="15" x14ac:dyDescent="0.25">
      <c r="B318" s="16">
        <f t="shared" si="42"/>
        <v>30</v>
      </c>
      <c r="C318" s="64"/>
      <c r="D318" s="233" t="s">
        <v>523</v>
      </c>
      <c r="E318" s="16"/>
      <c r="F318" s="805">
        <f>SUM(F304:F306)</f>
        <v>0</v>
      </c>
      <c r="G318" s="805">
        <f>SUM(G304:G306)</f>
        <v>761627190.18000007</v>
      </c>
      <c r="H318" s="805">
        <f>SUM(H304:H306)</f>
        <v>0</v>
      </c>
      <c r="I318" s="805">
        <f>SUM(I304:I306)</f>
        <v>0</v>
      </c>
      <c r="J318" s="236">
        <f>SUM(F318:I318)</f>
        <v>761627190.18000007</v>
      </c>
      <c r="K318" s="236"/>
      <c r="L318" s="805">
        <f t="shared" si="37"/>
        <v>761627190.18000007</v>
      </c>
      <c r="M318" s="64"/>
      <c r="N318" s="751">
        <f t="shared" si="48"/>
        <v>0</v>
      </c>
    </row>
    <row r="319" spans="2:14" ht="15" thickBot="1" x14ac:dyDescent="0.25">
      <c r="B319" s="16">
        <f t="shared" si="42"/>
        <v>31</v>
      </c>
      <c r="C319" s="64"/>
      <c r="D319" s="1"/>
      <c r="E319" s="16"/>
      <c r="F319" s="18"/>
      <c r="G319" s="18"/>
      <c r="H319" s="18"/>
      <c r="I319" s="1"/>
      <c r="J319" s="1"/>
      <c r="K319" s="1"/>
      <c r="L319" s="1"/>
      <c r="M319" s="64"/>
    </row>
    <row r="320" spans="2:14" ht="15" x14ac:dyDescent="0.25">
      <c r="B320" s="16">
        <f t="shared" si="42"/>
        <v>32</v>
      </c>
      <c r="C320" s="239" t="s">
        <v>526</v>
      </c>
      <c r="D320" s="240"/>
      <c r="E320" s="241" t="s">
        <v>24</v>
      </c>
      <c r="F320" s="242">
        <f>F261+F276+F312</f>
        <v>4095660356.8000002</v>
      </c>
      <c r="G320" s="242">
        <f>G261+G276+G312</f>
        <v>6379749241.9099979</v>
      </c>
      <c r="H320" s="242">
        <f>H261+H276+H312</f>
        <v>427702572.88999999</v>
      </c>
      <c r="I320" s="242">
        <f>I261+I276+I312</f>
        <v>108896864.06</v>
      </c>
      <c r="J320" s="243">
        <f>SUM(F320:I320)</f>
        <v>11012009035.659998</v>
      </c>
      <c r="K320" s="191"/>
      <c r="L320" s="244">
        <f t="shared" si="37"/>
        <v>6916348678.8599987</v>
      </c>
      <c r="M320" s="64"/>
      <c r="N320" s="751">
        <f t="shared" ref="N320:N321" si="49">J320-L320-F320</f>
        <v>0</v>
      </c>
    </row>
    <row r="321" spans="2:15" ht="15.75" thickBot="1" x14ac:dyDescent="0.3">
      <c r="B321" s="16">
        <f t="shared" si="42"/>
        <v>33</v>
      </c>
      <c r="C321" s="245" t="s">
        <v>527</v>
      </c>
      <c r="D321" s="246"/>
      <c r="E321" s="247" t="s">
        <v>24</v>
      </c>
      <c r="F321" s="248">
        <f>F276+F312</f>
        <v>4093145744.5100002</v>
      </c>
      <c r="G321" s="248">
        <f>G276+G312</f>
        <v>6376544776.0699987</v>
      </c>
      <c r="H321" s="248">
        <f>H276+H312</f>
        <v>427582352.38</v>
      </c>
      <c r="I321" s="248">
        <f>I276+I312</f>
        <v>108843000.56</v>
      </c>
      <c r="J321" s="249">
        <f>SUM(F321:I321)</f>
        <v>11006115873.519997</v>
      </c>
      <c r="K321" s="191"/>
      <c r="L321" s="250">
        <f t="shared" ref="L321:L386" si="50">SUM(G321:I321)</f>
        <v>6912970129.0099993</v>
      </c>
      <c r="M321" s="64"/>
      <c r="N321" s="751">
        <f t="shared" si="49"/>
        <v>0</v>
      </c>
    </row>
    <row r="322" spans="2:15" ht="15.75" thickBot="1" x14ac:dyDescent="0.3">
      <c r="B322" s="16">
        <f t="shared" si="42"/>
        <v>34</v>
      </c>
      <c r="C322" s="8"/>
      <c r="D322" s="8"/>
      <c r="E322" s="19"/>
      <c r="F322" s="21"/>
      <c r="G322" s="21"/>
      <c r="H322" s="21"/>
      <c r="I322" s="21"/>
      <c r="J322" s="21"/>
      <c r="K322" s="21"/>
      <c r="L322" s="805"/>
      <c r="M322" s="64"/>
    </row>
    <row r="323" spans="2:15" ht="15" x14ac:dyDescent="0.25">
      <c r="B323" s="16">
        <f t="shared" si="42"/>
        <v>35</v>
      </c>
      <c r="C323" s="255" t="s">
        <v>528</v>
      </c>
      <c r="D323" s="240"/>
      <c r="E323" s="256"/>
      <c r="F323" s="242">
        <f>F106-F261</f>
        <v>4269917.71</v>
      </c>
      <c r="G323" s="242">
        <f>G106-G261</f>
        <v>5441318.1600000001</v>
      </c>
      <c r="H323" s="242">
        <f>H106-H261</f>
        <v>204139.49</v>
      </c>
      <c r="I323" s="242">
        <f>I106-I261</f>
        <v>91462.5</v>
      </c>
      <c r="J323" s="243">
        <f>SUM(F323:I323)</f>
        <v>10006837.860000001</v>
      </c>
      <c r="K323" s="191"/>
      <c r="L323" s="244">
        <f t="shared" si="50"/>
        <v>5736920.1500000004</v>
      </c>
      <c r="M323" s="64"/>
      <c r="N323" s="751">
        <f t="shared" ref="N323:N327" si="51">J323-L323-F323</f>
        <v>0</v>
      </c>
    </row>
    <row r="324" spans="2:15" ht="15" x14ac:dyDescent="0.25">
      <c r="B324" s="16">
        <f t="shared" si="42"/>
        <v>36</v>
      </c>
      <c r="C324" s="173" t="s">
        <v>529</v>
      </c>
      <c r="D324" s="225"/>
      <c r="E324" s="257"/>
      <c r="F324" s="258">
        <f>F121-F276</f>
        <v>12336288950.359999</v>
      </c>
      <c r="G324" s="258">
        <f>G121-G276</f>
        <v>334548282.40999997</v>
      </c>
      <c r="H324" s="258">
        <f>H121-H276</f>
        <v>0</v>
      </c>
      <c r="I324" s="258">
        <f>I121-I276</f>
        <v>0</v>
      </c>
      <c r="J324" s="259">
        <f>SUM(F324:I324)</f>
        <v>12670837232.769999</v>
      </c>
      <c r="K324" s="21"/>
      <c r="L324" s="260">
        <f t="shared" si="50"/>
        <v>334548282.40999997</v>
      </c>
      <c r="M324" s="64"/>
      <c r="N324" s="751">
        <f t="shared" si="51"/>
        <v>0</v>
      </c>
    </row>
    <row r="325" spans="2:15" ht="15" x14ac:dyDescent="0.25">
      <c r="B325" s="16">
        <f t="shared" si="42"/>
        <v>37</v>
      </c>
      <c r="C325" s="173" t="s">
        <v>530</v>
      </c>
      <c r="D325" s="225"/>
      <c r="E325" s="257"/>
      <c r="F325" s="258">
        <f>F159-F312</f>
        <v>918432771.80999947</v>
      </c>
      <c r="G325" s="258">
        <f>G159-G312</f>
        <v>13196087259.400002</v>
      </c>
      <c r="H325" s="258">
        <f>H159-H312</f>
        <v>357401241.63999999</v>
      </c>
      <c r="I325" s="258">
        <f>I159-I312</f>
        <v>226030235.11999995</v>
      </c>
      <c r="J325" s="261">
        <f>SUM(F325:I325)</f>
        <v>14697951507.970001</v>
      </c>
      <c r="K325" s="191"/>
      <c r="L325" s="260">
        <f t="shared" si="50"/>
        <v>13779518736.160002</v>
      </c>
      <c r="M325" s="64"/>
      <c r="N325" s="751">
        <f t="shared" si="51"/>
        <v>0</v>
      </c>
      <c r="O325" s="305"/>
    </row>
    <row r="326" spans="2:15" ht="15" x14ac:dyDescent="0.25">
      <c r="B326" s="16">
        <f t="shared" si="42"/>
        <v>38</v>
      </c>
      <c r="C326" s="173" t="s">
        <v>531</v>
      </c>
      <c r="D326" s="225"/>
      <c r="E326" s="257"/>
      <c r="F326" s="258">
        <f>SUM(F324:F325)</f>
        <v>13254721722.169998</v>
      </c>
      <c r="G326" s="258">
        <f>SUM(G324:G325)</f>
        <v>13530635541.810001</v>
      </c>
      <c r="H326" s="258">
        <f>SUM(H324:H325)</f>
        <v>357401241.63999999</v>
      </c>
      <c r="I326" s="258">
        <f>SUM(I324:I325)</f>
        <v>226030235.11999995</v>
      </c>
      <c r="J326" s="261">
        <f>SUM(F326:I326)</f>
        <v>27368788740.739998</v>
      </c>
      <c r="K326" s="191"/>
      <c r="L326" s="260">
        <f t="shared" si="50"/>
        <v>14114067018.570002</v>
      </c>
      <c r="M326" s="64"/>
      <c r="N326" s="751">
        <f t="shared" si="51"/>
        <v>0</v>
      </c>
    </row>
    <row r="327" spans="2:15" ht="15.75" thickBot="1" x14ac:dyDescent="0.3">
      <c r="B327" s="16">
        <f t="shared" si="42"/>
        <v>39</v>
      </c>
      <c r="C327" s="262" t="s">
        <v>532</v>
      </c>
      <c r="D327" s="246"/>
      <c r="E327" s="263"/>
      <c r="F327" s="248">
        <f>SUM(F323:F325)</f>
        <v>13258991639.879997</v>
      </c>
      <c r="G327" s="248">
        <f>SUM(G323:G325)</f>
        <v>13536076859.970001</v>
      </c>
      <c r="H327" s="248">
        <f>SUM(H323:H325)</f>
        <v>357605381.13</v>
      </c>
      <c r="I327" s="248">
        <f>SUM(I323:I325)</f>
        <v>226121697.61999995</v>
      </c>
      <c r="J327" s="249">
        <f>SUM(F327:I327)</f>
        <v>27378795578.599998</v>
      </c>
      <c r="K327" s="191"/>
      <c r="L327" s="250">
        <f t="shared" si="50"/>
        <v>14119803938.720001</v>
      </c>
      <c r="M327" s="64"/>
      <c r="N327" s="751">
        <f t="shared" si="51"/>
        <v>0</v>
      </c>
    </row>
    <row r="328" spans="2:15" x14ac:dyDescent="0.2">
      <c r="B328" s="64"/>
      <c r="C328" s="64"/>
      <c r="D328" s="64"/>
      <c r="E328" s="64"/>
      <c r="F328" s="64"/>
      <c r="G328" s="64"/>
      <c r="H328" s="64"/>
      <c r="I328" s="64"/>
      <c r="J328" s="64"/>
      <c r="K328" s="45"/>
      <c r="L328" s="45"/>
    </row>
    <row r="329" spans="2:15" ht="15" x14ac:dyDescent="0.25">
      <c r="B329" s="783"/>
      <c r="C329" s="783"/>
      <c r="D329" s="783"/>
      <c r="E329" s="783"/>
      <c r="F329" s="783"/>
      <c r="G329" s="783"/>
      <c r="H329" s="783"/>
      <c r="I329" s="783"/>
      <c r="J329" s="783"/>
      <c r="K329" s="783"/>
      <c r="L329" s="783"/>
      <c r="M329" s="105" t="str">
        <f>$M$2</f>
        <v xml:space="preserve"> </v>
      </c>
    </row>
    <row r="330" spans="2:15" ht="15.75" thickBot="1" x14ac:dyDescent="0.3">
      <c r="B330" s="783"/>
      <c r="C330" s="783"/>
      <c r="D330" s="783"/>
      <c r="E330" s="783"/>
      <c r="F330" s="783"/>
      <c r="G330" s="783"/>
      <c r="H330" s="783"/>
      <c r="I330" s="783"/>
      <c r="J330" s="783"/>
      <c r="K330" s="783"/>
      <c r="L330" s="783"/>
      <c r="M330" s="64"/>
    </row>
    <row r="331" spans="2:15" ht="15" x14ac:dyDescent="0.25">
      <c r="B331" s="829" t="str">
        <f>$B$4</f>
        <v>2025 RATE CASE</v>
      </c>
      <c r="C331" s="835"/>
      <c r="D331" s="836"/>
      <c r="E331" s="783"/>
      <c r="F331" s="783"/>
      <c r="G331" s="783"/>
      <c r="H331" s="783"/>
      <c r="I331" s="783"/>
      <c r="J331" s="783"/>
      <c r="K331" s="783"/>
      <c r="L331" s="783"/>
    </row>
    <row r="332" spans="2:15" ht="15" x14ac:dyDescent="0.25">
      <c r="B332" s="826" t="str">
        <f>$B$5</f>
        <v>ONCOR ELECTRIC DELIVERY COMPANY LLC</v>
      </c>
      <c r="C332" s="304"/>
      <c r="D332" s="837"/>
      <c r="E332" s="783"/>
      <c r="F332" s="783"/>
      <c r="G332" s="783"/>
      <c r="H332" s="783"/>
      <c r="I332" s="783"/>
      <c r="J332" s="783"/>
      <c r="K332" s="783"/>
      <c r="L332" s="783"/>
      <c r="M332" s="64"/>
    </row>
    <row r="333" spans="2:15" ht="15" x14ac:dyDescent="0.25">
      <c r="B333" s="341" t="str">
        <f>$B$6</f>
        <v>CONSOLIDATED FUNCTIONALIZED COST OF SERVICE</v>
      </c>
      <c r="C333" s="304"/>
      <c r="D333" s="837"/>
      <c r="E333" s="783"/>
      <c r="F333" s="783"/>
      <c r="G333" s="783"/>
      <c r="H333" s="783"/>
      <c r="I333" s="783"/>
      <c r="J333" s="783"/>
      <c r="K333" s="783"/>
      <c r="L333" s="783"/>
      <c r="M333" s="64"/>
    </row>
    <row r="334" spans="2:15" ht="15.75" x14ac:dyDescent="0.25">
      <c r="B334" s="341" t="str">
        <f>$B$7</f>
        <v>TEST YEAR ENDING 12/31/2024</v>
      </c>
      <c r="C334" s="752"/>
      <c r="D334" s="830"/>
      <c r="E334" s="64"/>
      <c r="F334" s="64"/>
      <c r="G334" s="64"/>
      <c r="H334" s="64"/>
      <c r="I334" s="64"/>
      <c r="J334" s="64"/>
      <c r="K334" s="64"/>
      <c r="L334" s="64"/>
      <c r="M334" s="64"/>
    </row>
    <row r="335" spans="2:15" ht="15" x14ac:dyDescent="0.25">
      <c r="B335" s="341" t="str">
        <f>$B$8</f>
        <v>SPONSOR:  MATTHEW A. TROXLE</v>
      </c>
      <c r="C335" s="304"/>
      <c r="D335" s="837"/>
      <c r="E335" s="304"/>
      <c r="F335" s="304"/>
      <c r="G335" s="304"/>
      <c r="H335" s="304"/>
      <c r="I335" s="304"/>
      <c r="J335" s="304"/>
      <c r="K335" s="304"/>
      <c r="L335" s="304"/>
      <c r="M335" s="64"/>
    </row>
    <row r="336" spans="2:15" ht="15.75" thickBot="1" x14ac:dyDescent="0.3">
      <c r="B336" s="345"/>
      <c r="C336" s="843"/>
      <c r="D336" s="549"/>
      <c r="F336" s="11"/>
      <c r="G336" s="11"/>
      <c r="H336" s="11"/>
      <c r="I336" s="11"/>
      <c r="J336" s="11"/>
      <c r="K336" s="1"/>
      <c r="L336" s="1"/>
      <c r="M336" s="64"/>
    </row>
    <row r="337" spans="2:14" x14ac:dyDescent="0.2">
      <c r="B337" s="12"/>
      <c r="C337" s="13"/>
      <c r="D337" s="13"/>
      <c r="E337" s="13"/>
      <c r="F337" s="176" t="s">
        <v>6</v>
      </c>
      <c r="G337" s="12" t="s">
        <v>7</v>
      </c>
      <c r="H337" s="12" t="s">
        <v>8</v>
      </c>
      <c r="I337" s="178" t="s">
        <v>9</v>
      </c>
      <c r="J337" s="12" t="s">
        <v>10</v>
      </c>
      <c r="K337" s="16"/>
      <c r="L337" s="110" t="s">
        <v>907</v>
      </c>
      <c r="M337" s="64"/>
    </row>
    <row r="338" spans="2:14" ht="15" x14ac:dyDescent="0.25">
      <c r="B338" s="14" t="s">
        <v>2</v>
      </c>
      <c r="C338" s="14" t="s">
        <v>349</v>
      </c>
      <c r="D338" s="226" t="s">
        <v>533</v>
      </c>
      <c r="E338" s="14" t="s">
        <v>350</v>
      </c>
      <c r="F338" s="181"/>
      <c r="G338" s="14"/>
      <c r="H338" s="14"/>
      <c r="I338" s="14"/>
      <c r="J338" s="14"/>
      <c r="K338" s="16"/>
      <c r="L338" s="93" t="s">
        <v>908</v>
      </c>
      <c r="M338" s="64"/>
    </row>
    <row r="339" spans="2:14" x14ac:dyDescent="0.2">
      <c r="B339" s="14"/>
      <c r="C339" s="14"/>
      <c r="D339" s="14"/>
      <c r="E339" s="14"/>
      <c r="F339" s="181"/>
      <c r="G339" s="14"/>
      <c r="H339" s="14"/>
      <c r="I339" s="14"/>
      <c r="J339" s="14"/>
      <c r="K339" s="16"/>
      <c r="L339" s="93"/>
      <c r="M339" s="64"/>
    </row>
    <row r="340" spans="2:14" ht="15" thickBot="1" x14ac:dyDescent="0.25">
      <c r="B340" s="15"/>
      <c r="C340" s="15" t="s">
        <v>13</v>
      </c>
      <c r="D340" s="15" t="s">
        <v>14</v>
      </c>
      <c r="E340" s="15" t="s">
        <v>15</v>
      </c>
      <c r="F340" s="15" t="s">
        <v>16</v>
      </c>
      <c r="G340" s="15" t="s">
        <v>17</v>
      </c>
      <c r="H340" s="15" t="s">
        <v>18</v>
      </c>
      <c r="I340" s="15" t="s">
        <v>21</v>
      </c>
      <c r="J340" s="15" t="s">
        <v>22</v>
      </c>
      <c r="K340" s="16"/>
      <c r="L340" s="997" t="s">
        <v>397</v>
      </c>
      <c r="M340" s="64"/>
    </row>
    <row r="341" spans="2:14" x14ac:dyDescent="0.2">
      <c r="B341" s="64"/>
      <c r="C341" s="16"/>
      <c r="D341" s="16"/>
      <c r="E341" s="16"/>
      <c r="F341" s="16"/>
      <c r="G341" s="1"/>
      <c r="H341" s="16"/>
      <c r="I341" s="1"/>
      <c r="J341" s="1"/>
      <c r="K341" s="1"/>
      <c r="L341" s="1"/>
      <c r="M341" s="64"/>
    </row>
    <row r="342" spans="2:14" x14ac:dyDescent="0.2">
      <c r="B342" s="16"/>
      <c r="C342" s="1"/>
      <c r="D342" s="1"/>
      <c r="E342" s="16"/>
      <c r="F342" s="17"/>
      <c r="G342" s="17"/>
      <c r="H342" s="23"/>
      <c r="I342" s="23"/>
      <c r="J342" s="1"/>
      <c r="K342" s="1"/>
      <c r="L342" s="23"/>
      <c r="M342" s="64"/>
    </row>
    <row r="343" spans="2:14" ht="15" x14ac:dyDescent="0.25">
      <c r="B343" s="16">
        <f t="shared" ref="B343:B368" si="52">B342+1</f>
        <v>1</v>
      </c>
      <c r="C343" s="8" t="s">
        <v>284</v>
      </c>
      <c r="D343" s="1"/>
      <c r="E343" s="19" t="s">
        <v>34</v>
      </c>
      <c r="F343" s="17"/>
      <c r="G343" s="17"/>
      <c r="H343" s="23"/>
      <c r="I343" s="1"/>
      <c r="J343" s="1"/>
      <c r="K343" s="1"/>
      <c r="L343" s="1"/>
      <c r="M343" s="64"/>
    </row>
    <row r="344" spans="2:14" ht="15" x14ac:dyDescent="0.25">
      <c r="B344" s="16">
        <f t="shared" si="52"/>
        <v>2</v>
      </c>
      <c r="C344" s="8" t="s">
        <v>534</v>
      </c>
      <c r="D344" s="8"/>
      <c r="E344" s="19"/>
      <c r="F344" s="8"/>
      <c r="G344" s="8"/>
      <c r="H344" s="23"/>
      <c r="I344" s="8"/>
      <c r="J344" s="8"/>
      <c r="K344" s="8"/>
      <c r="L344" s="8"/>
      <c r="M344" s="64"/>
    </row>
    <row r="345" spans="2:14" s="321" customFormat="1" x14ac:dyDescent="0.2">
      <c r="B345" s="16">
        <f t="shared" si="52"/>
        <v>3</v>
      </c>
      <c r="C345" s="1" t="s">
        <v>87</v>
      </c>
      <c r="D345" s="1" t="s">
        <v>38</v>
      </c>
      <c r="E345" s="16"/>
      <c r="F345" s="985">
        <f>'WP II-I-1.1'!F108</f>
        <v>0</v>
      </c>
      <c r="G345" s="986">
        <f>'WP II-I-1.1'!G108</f>
        <v>0</v>
      </c>
      <c r="H345" s="986">
        <f>'WP II-I-1.1'!H108</f>
        <v>0</v>
      </c>
      <c r="I345" s="987">
        <f>'WP II-I-1.1'!I108</f>
        <v>0</v>
      </c>
      <c r="J345" s="229">
        <f t="shared" ref="J345:J358" si="53">SUM(F345:I345)</f>
        <v>0</v>
      </c>
      <c r="K345" s="229"/>
      <c r="L345" s="17">
        <f t="shared" si="50"/>
        <v>0</v>
      </c>
      <c r="M345" s="45"/>
      <c r="N345" s="751">
        <f t="shared" ref="N345:N368" si="54">J345-L345-F345</f>
        <v>0</v>
      </c>
    </row>
    <row r="346" spans="2:14" s="321" customFormat="1" ht="15" x14ac:dyDescent="0.25">
      <c r="B346" s="16">
        <f t="shared" si="52"/>
        <v>4</v>
      </c>
      <c r="C346" s="1" t="s">
        <v>88</v>
      </c>
      <c r="D346" s="1" t="s">
        <v>40</v>
      </c>
      <c r="E346" s="1315"/>
      <c r="F346" s="980">
        <f>'WP II-I-1.1'!F109</f>
        <v>14265.92</v>
      </c>
      <c r="G346" s="802">
        <f>'WP II-I-1.1'!G109</f>
        <v>18457.990000000002</v>
      </c>
      <c r="H346" s="802">
        <f>'WP II-I-1.1'!H109</f>
        <v>799.17</v>
      </c>
      <c r="I346" s="981">
        <f>'WP II-I-1.1'!I109</f>
        <v>315.04000000000002</v>
      </c>
      <c r="J346" s="229">
        <f t="shared" si="53"/>
        <v>33838.120000000003</v>
      </c>
      <c r="K346" s="229"/>
      <c r="L346" s="17">
        <f t="shared" si="50"/>
        <v>19572.2</v>
      </c>
      <c r="M346" s="45"/>
      <c r="N346" s="751">
        <f t="shared" si="54"/>
        <v>0</v>
      </c>
    </row>
    <row r="347" spans="2:14" s="321" customFormat="1" ht="15" x14ac:dyDescent="0.25">
      <c r="B347" s="16">
        <f t="shared" si="52"/>
        <v>5</v>
      </c>
      <c r="C347" s="1" t="s">
        <v>89</v>
      </c>
      <c r="D347" s="1" t="s">
        <v>42</v>
      </c>
      <c r="E347" s="1315"/>
      <c r="F347" s="980">
        <f>'WP II-I-1.1'!F110</f>
        <v>11952440.51</v>
      </c>
      <c r="G347" s="802">
        <f>'WP II-I-1.1'!G110</f>
        <v>21370930.170000002</v>
      </c>
      <c r="H347" s="802">
        <f>'WP II-I-1.1'!H110</f>
        <v>2970219.48</v>
      </c>
      <c r="I347" s="981">
        <f>'WP II-I-1.1'!I110</f>
        <v>1393656.98</v>
      </c>
      <c r="J347" s="229">
        <f t="shared" si="53"/>
        <v>37687247.139999993</v>
      </c>
      <c r="K347" s="229"/>
      <c r="L347" s="17">
        <f t="shared" si="50"/>
        <v>25734806.630000003</v>
      </c>
      <c r="M347" s="45"/>
      <c r="N347" s="751">
        <f t="shared" si="54"/>
        <v>0</v>
      </c>
    </row>
    <row r="348" spans="2:14" s="321" customFormat="1" ht="15" x14ac:dyDescent="0.25">
      <c r="B348" s="16">
        <f t="shared" si="52"/>
        <v>6</v>
      </c>
      <c r="C348" s="1" t="s">
        <v>90</v>
      </c>
      <c r="D348" s="1" t="s">
        <v>91</v>
      </c>
      <c r="E348" s="1315"/>
      <c r="F348" s="980">
        <f>'WP II-I-1.1'!F111</f>
        <v>2480124.16</v>
      </c>
      <c r="G348" s="802">
        <f>'WP II-I-1.1'!G111</f>
        <v>2172899.64</v>
      </c>
      <c r="H348" s="802">
        <f>'WP II-I-1.1'!H111</f>
        <v>240727.43</v>
      </c>
      <c r="I348" s="981">
        <f>'WP II-I-1.1'!I111</f>
        <v>164071.5</v>
      </c>
      <c r="J348" s="229">
        <f t="shared" si="53"/>
        <v>5057822.7300000004</v>
      </c>
      <c r="K348" s="229"/>
      <c r="L348" s="17">
        <f t="shared" si="50"/>
        <v>2577698.5700000003</v>
      </c>
      <c r="M348" s="45"/>
      <c r="N348" s="751">
        <f t="shared" si="54"/>
        <v>0</v>
      </c>
    </row>
    <row r="349" spans="2:14" s="321" customFormat="1" ht="15" x14ac:dyDescent="0.25">
      <c r="B349" s="16">
        <f t="shared" si="52"/>
        <v>7</v>
      </c>
      <c r="C349" s="1" t="s">
        <v>92</v>
      </c>
      <c r="D349" s="1" t="s">
        <v>94</v>
      </c>
      <c r="E349" s="1315"/>
      <c r="F349" s="980">
        <f>'WP II-I-1.1'!F112</f>
        <v>2447749.25</v>
      </c>
      <c r="G349" s="802">
        <f>'WP II-I-1.1'!G112</f>
        <v>1911250.96</v>
      </c>
      <c r="H349" s="802">
        <f>'WP II-I-1.1'!H112</f>
        <v>0</v>
      </c>
      <c r="I349" s="981">
        <f>'WP II-I-1.1'!I112</f>
        <v>0</v>
      </c>
      <c r="J349" s="229">
        <f t="shared" si="53"/>
        <v>4359000.21</v>
      </c>
      <c r="K349" s="229"/>
      <c r="L349" s="17">
        <f t="shared" si="50"/>
        <v>1911250.96</v>
      </c>
      <c r="M349" s="45"/>
      <c r="N349" s="751">
        <f t="shared" si="54"/>
        <v>0</v>
      </c>
    </row>
    <row r="350" spans="2:14" s="321" customFormat="1" ht="15" x14ac:dyDescent="0.25">
      <c r="B350" s="16">
        <f t="shared" si="52"/>
        <v>8</v>
      </c>
      <c r="C350" s="1" t="s">
        <v>95</v>
      </c>
      <c r="D350" s="1" t="s">
        <v>500</v>
      </c>
      <c r="E350" s="1315"/>
      <c r="F350" s="980">
        <f>'WP II-I-1.1'!F113</f>
        <v>327968.01</v>
      </c>
      <c r="G350" s="802">
        <f>'WP II-I-1.1'!G113</f>
        <v>897247.06</v>
      </c>
      <c r="H350" s="802">
        <f>'WP II-I-1.1'!H113</f>
        <v>85306.45</v>
      </c>
      <c r="I350" s="981">
        <f>'WP II-I-1.1'!I113</f>
        <v>0</v>
      </c>
      <c r="J350" s="229">
        <f t="shared" si="53"/>
        <v>1310521.52</v>
      </c>
      <c r="K350" s="229"/>
      <c r="L350" s="17">
        <f t="shared" si="50"/>
        <v>982553.51</v>
      </c>
      <c r="M350" s="45"/>
      <c r="N350" s="751">
        <f t="shared" si="54"/>
        <v>0</v>
      </c>
    </row>
    <row r="351" spans="2:14" s="321" customFormat="1" ht="15" x14ac:dyDescent="0.25">
      <c r="B351" s="16">
        <f t="shared" si="52"/>
        <v>9</v>
      </c>
      <c r="C351" s="1" t="s">
        <v>97</v>
      </c>
      <c r="D351" s="1" t="s">
        <v>501</v>
      </c>
      <c r="E351" s="1315"/>
      <c r="F351" s="980">
        <f>'WP II-I-1.1'!F114</f>
        <v>3335625.43</v>
      </c>
      <c r="G351" s="802">
        <f>'WP II-I-1.1'!G114</f>
        <v>5513977.5</v>
      </c>
      <c r="H351" s="802">
        <f>'WP II-I-1.1'!H114</f>
        <v>452222.55</v>
      </c>
      <c r="I351" s="981">
        <f>'WP II-I-1.1'!I114</f>
        <v>0</v>
      </c>
      <c r="J351" s="229">
        <f t="shared" si="53"/>
        <v>9301825.4800000004</v>
      </c>
      <c r="K351" s="229"/>
      <c r="L351" s="17">
        <f t="shared" si="50"/>
        <v>5966200.0499999998</v>
      </c>
      <c r="M351" s="45"/>
      <c r="N351" s="751">
        <f t="shared" si="54"/>
        <v>0</v>
      </c>
    </row>
    <row r="352" spans="2:14" s="321" customFormat="1" ht="15" x14ac:dyDescent="0.25">
      <c r="B352" s="16">
        <f t="shared" si="52"/>
        <v>10</v>
      </c>
      <c r="C352" s="1" t="s">
        <v>99</v>
      </c>
      <c r="D352" s="1" t="s">
        <v>100</v>
      </c>
      <c r="E352" s="1315"/>
      <c r="F352" s="980">
        <f>'WP II-I-1.1'!F115</f>
        <v>7783144.54</v>
      </c>
      <c r="G352" s="802">
        <f>'WP II-I-1.1'!G115</f>
        <v>4724590.0999999996</v>
      </c>
      <c r="H352" s="802">
        <f>'WP II-I-1.1'!H115</f>
        <v>537112.02</v>
      </c>
      <c r="I352" s="981">
        <f>'WP II-I-1.1'!I115</f>
        <v>0</v>
      </c>
      <c r="J352" s="229">
        <f t="shared" si="53"/>
        <v>13044846.66</v>
      </c>
      <c r="K352" s="229"/>
      <c r="L352" s="17">
        <f t="shared" si="50"/>
        <v>5261702.1199999992</v>
      </c>
      <c r="M352" s="45"/>
      <c r="N352" s="751">
        <f t="shared" si="54"/>
        <v>0</v>
      </c>
    </row>
    <row r="353" spans="2:15" s="321" customFormat="1" ht="16.5" x14ac:dyDescent="0.35">
      <c r="B353" s="16">
        <f t="shared" si="52"/>
        <v>11</v>
      </c>
      <c r="C353" s="1" t="s">
        <v>101</v>
      </c>
      <c r="D353" s="1" t="s">
        <v>102</v>
      </c>
      <c r="E353" s="1315"/>
      <c r="F353" s="982">
        <f>'WP II-I-1.1'!F116</f>
        <v>844389.01</v>
      </c>
      <c r="G353" s="983">
        <f>'WP II-I-1.1'!G116</f>
        <v>1865874.33</v>
      </c>
      <c r="H353" s="983">
        <f>'WP II-I-1.1'!H116</f>
        <v>193798.38</v>
      </c>
      <c r="I353" s="984">
        <f>'WP II-I-1.1'!I116</f>
        <v>0</v>
      </c>
      <c r="J353" s="238">
        <f t="shared" si="53"/>
        <v>2904061.7199999997</v>
      </c>
      <c r="K353" s="238"/>
      <c r="L353" s="232">
        <f t="shared" si="50"/>
        <v>2059672.71</v>
      </c>
      <c r="M353" s="45"/>
      <c r="N353" s="751">
        <f t="shared" si="54"/>
        <v>0</v>
      </c>
    </row>
    <row r="354" spans="2:15" s="321" customFormat="1" ht="15" x14ac:dyDescent="0.25">
      <c r="B354" s="16">
        <f t="shared" si="52"/>
        <v>12</v>
      </c>
      <c r="C354" s="8"/>
      <c r="D354" s="233" t="s">
        <v>444</v>
      </c>
      <c r="E354" s="1315"/>
      <c r="F354" s="816">
        <f>SUM(F345:F353)</f>
        <v>29185706.830000002</v>
      </c>
      <c r="G354" s="816">
        <f>SUM(G345:G353)</f>
        <v>38475227.75</v>
      </c>
      <c r="H354" s="816">
        <f>SUM(H345:H353)</f>
        <v>4480185.4799999995</v>
      </c>
      <c r="I354" s="816">
        <f>SUM(I345:I353)</f>
        <v>1558043.52</v>
      </c>
      <c r="J354" s="236">
        <f t="shared" si="53"/>
        <v>73699163.579999998</v>
      </c>
      <c r="K354" s="236"/>
      <c r="L354" s="816">
        <f t="shared" si="50"/>
        <v>44513456.75</v>
      </c>
      <c r="M354" s="45"/>
      <c r="N354" s="751">
        <f t="shared" si="54"/>
        <v>0</v>
      </c>
    </row>
    <row r="355" spans="2:15" ht="15" x14ac:dyDescent="0.25">
      <c r="B355" s="16">
        <f t="shared" si="52"/>
        <v>13</v>
      </c>
      <c r="C355" s="1"/>
      <c r="D355" s="233"/>
      <c r="E355" s="1315"/>
      <c r="F355" s="805"/>
      <c r="G355" s="805"/>
      <c r="H355" s="805"/>
      <c r="I355" s="805"/>
      <c r="J355" s="18"/>
      <c r="K355" s="18"/>
      <c r="L355" s="21"/>
      <c r="M355" s="64"/>
    </row>
    <row r="356" spans="2:15" ht="15" x14ac:dyDescent="0.25">
      <c r="B356" s="16">
        <f t="shared" si="52"/>
        <v>14</v>
      </c>
      <c r="C356" s="650" t="s">
        <v>1237</v>
      </c>
      <c r="D356" s="650" t="s">
        <v>1230</v>
      </c>
      <c r="E356" s="1315"/>
      <c r="F356" s="1331">
        <f>'WP II-I-1.1'!F117</f>
        <v>17243264.449999999</v>
      </c>
      <c r="G356" s="613">
        <f>'WP II-I-1.1'!G117</f>
        <v>27983615.629999999</v>
      </c>
      <c r="H356" s="613">
        <f>'WP II-I-1.1'!H117</f>
        <v>6754448.7999999998</v>
      </c>
      <c r="I356" s="1332">
        <f>'WP II-I-1.1'!I117</f>
        <v>17896701.699999999</v>
      </c>
      <c r="J356" s="229">
        <f t="shared" si="53"/>
        <v>69878030.579999998</v>
      </c>
      <c r="K356" s="18"/>
      <c r="L356" s="17">
        <f t="shared" si="50"/>
        <v>52634766.129999995</v>
      </c>
      <c r="M356" s="64"/>
    </row>
    <row r="357" spans="2:15" ht="15" x14ac:dyDescent="0.25">
      <c r="B357" s="16">
        <f t="shared" si="52"/>
        <v>15</v>
      </c>
      <c r="C357" s="650" t="s">
        <v>1238</v>
      </c>
      <c r="D357" s="650" t="s">
        <v>1232</v>
      </c>
      <c r="E357" s="1315"/>
      <c r="F357" s="1333">
        <f>'WP II-I-1.1'!F118</f>
        <v>45880881.789999999</v>
      </c>
      <c r="G357" s="803">
        <f>'WP II-I-1.1'!G118</f>
        <v>51821898.32</v>
      </c>
      <c r="H357" s="803">
        <f>'WP II-I-1.1'!H118</f>
        <v>1428939.99</v>
      </c>
      <c r="I357" s="808">
        <f>'WP II-I-1.1'!I118</f>
        <v>100224.27</v>
      </c>
      <c r="J357" s="229">
        <f t="shared" si="53"/>
        <v>99231944.36999999</v>
      </c>
      <c r="K357" s="18"/>
      <c r="L357" s="17">
        <f t="shared" si="50"/>
        <v>53351062.580000006</v>
      </c>
      <c r="M357" s="64"/>
    </row>
    <row r="358" spans="2:15" s="321" customFormat="1" ht="15" x14ac:dyDescent="0.25">
      <c r="B358" s="16">
        <f t="shared" si="52"/>
        <v>16</v>
      </c>
      <c r="C358" s="650" t="s">
        <v>1239</v>
      </c>
      <c r="D358" s="650" t="s">
        <v>103</v>
      </c>
      <c r="E358" s="1315"/>
      <c r="F358" s="980">
        <f>'WP II-I-1.1'!F119</f>
        <v>7975629.3399999999</v>
      </c>
      <c r="G358" s="802">
        <f>'WP II-I-1.1'!G119</f>
        <v>9583076.1699999999</v>
      </c>
      <c r="H358" s="802">
        <f>'WP II-I-1.1'!H119</f>
        <v>2013076.53</v>
      </c>
      <c r="I358" s="981">
        <f>'WP II-I-1.1'!I119</f>
        <v>1372485.37</v>
      </c>
      <c r="J358" s="229">
        <f t="shared" si="53"/>
        <v>20944267.41</v>
      </c>
      <c r="K358" s="229"/>
      <c r="L358" s="17">
        <f t="shared" si="50"/>
        <v>12968638.07</v>
      </c>
      <c r="M358" s="45"/>
      <c r="N358" s="751">
        <f t="shared" si="54"/>
        <v>0</v>
      </c>
      <c r="O358" s="751">
        <f>'WP II-I-1.1'!$J$119-J358</f>
        <v>0</v>
      </c>
    </row>
    <row r="359" spans="2:15" s="321" customFormat="1" ht="15" x14ac:dyDescent="0.25">
      <c r="B359" s="16">
        <f t="shared" si="52"/>
        <v>17</v>
      </c>
      <c r="C359" s="1" t="s">
        <v>105</v>
      </c>
      <c r="D359" s="1" t="s">
        <v>502</v>
      </c>
      <c r="E359" s="1315"/>
      <c r="F359" s="980">
        <f>'WP II-I-1.1'!F120</f>
        <v>1123106.33</v>
      </c>
      <c r="G359" s="802">
        <f>'WP II-I-1.1'!G120</f>
        <v>1226435.93</v>
      </c>
      <c r="H359" s="802">
        <f>'WP II-I-1.1'!H120</f>
        <v>211936.69</v>
      </c>
      <c r="I359" s="981">
        <f>'WP II-I-1.1'!I120</f>
        <v>0</v>
      </c>
      <c r="J359" s="229">
        <f>SUM(F359:I359)</f>
        <v>2561478.9499999997</v>
      </c>
      <c r="K359" s="229"/>
      <c r="L359" s="17">
        <f t="shared" si="50"/>
        <v>1438372.6199999999</v>
      </c>
      <c r="M359" s="45"/>
      <c r="N359" s="751">
        <f t="shared" si="54"/>
        <v>0</v>
      </c>
      <c r="O359" s="751">
        <f>'WP II-I-1.1'!$J$120-J359</f>
        <v>0</v>
      </c>
    </row>
    <row r="360" spans="2:15" s="321" customFormat="1" ht="16.5" x14ac:dyDescent="0.35">
      <c r="B360" s="16">
        <f t="shared" si="52"/>
        <v>18</v>
      </c>
      <c r="C360" s="1" t="s">
        <v>107</v>
      </c>
      <c r="D360" s="1" t="s">
        <v>108</v>
      </c>
      <c r="E360" s="1315"/>
      <c r="F360" s="982">
        <f>'WP II-I-1.1'!F121</f>
        <v>0</v>
      </c>
      <c r="G360" s="983">
        <f>'WP II-I-1.1'!G121</f>
        <v>0</v>
      </c>
      <c r="H360" s="983">
        <f>'WP II-I-1.1'!H121</f>
        <v>0</v>
      </c>
      <c r="I360" s="984">
        <f>'WP II-I-1.1'!I121</f>
        <v>0</v>
      </c>
      <c r="J360" s="238">
        <f>SUM(F360:I360)</f>
        <v>0</v>
      </c>
      <c r="K360" s="238"/>
      <c r="L360" s="232">
        <f t="shared" si="50"/>
        <v>0</v>
      </c>
      <c r="M360" s="45"/>
      <c r="N360" s="751">
        <f t="shared" si="54"/>
        <v>0</v>
      </c>
      <c r="O360" s="751">
        <f>'WP II-I-1.1'!$J$121-J360</f>
        <v>0</v>
      </c>
    </row>
    <row r="361" spans="2:15" ht="15" x14ac:dyDescent="0.25">
      <c r="B361" s="16">
        <f t="shared" si="52"/>
        <v>19</v>
      </c>
      <c r="C361" s="8"/>
      <c r="D361" s="233" t="s">
        <v>444</v>
      </c>
      <c r="E361" s="19"/>
      <c r="F361" s="805">
        <f>SUM(F356:F360)</f>
        <v>72222881.909999996</v>
      </c>
      <c r="G361" s="805">
        <f t="shared" ref="G361:L361" si="55">SUM(G356:G360)</f>
        <v>90615026.050000012</v>
      </c>
      <c r="H361" s="805">
        <f t="shared" si="55"/>
        <v>10408402.01</v>
      </c>
      <c r="I361" s="805">
        <f t="shared" si="55"/>
        <v>19369411.34</v>
      </c>
      <c r="J361" s="236">
        <f t="shared" si="55"/>
        <v>192615721.30999997</v>
      </c>
      <c r="K361" s="236">
        <f t="shared" si="55"/>
        <v>0</v>
      </c>
      <c r="L361" s="805">
        <f t="shared" si="55"/>
        <v>120392839.40000001</v>
      </c>
      <c r="M361" s="64"/>
      <c r="N361" s="751">
        <f t="shared" si="54"/>
        <v>0</v>
      </c>
      <c r="O361" s="751"/>
    </row>
    <row r="362" spans="2:15" ht="15" thickBot="1" x14ac:dyDescent="0.25">
      <c r="B362" s="16">
        <f t="shared" si="52"/>
        <v>20</v>
      </c>
      <c r="C362" s="1"/>
      <c r="D362" s="1"/>
      <c r="E362" s="16"/>
      <c r="F362" s="17"/>
      <c r="G362" s="17"/>
      <c r="H362" s="23"/>
      <c r="I362" s="1"/>
      <c r="J362" s="1"/>
      <c r="K362" s="1"/>
      <c r="L362" s="1"/>
      <c r="M362" s="64"/>
    </row>
    <row r="363" spans="2:15" ht="15" x14ac:dyDescent="0.25">
      <c r="B363" s="16">
        <f t="shared" si="52"/>
        <v>21</v>
      </c>
      <c r="C363" s="255" t="s">
        <v>536</v>
      </c>
      <c r="D363" s="240"/>
      <c r="E363" s="241"/>
      <c r="F363" s="264">
        <f>+F361+F354</f>
        <v>101408588.73999999</v>
      </c>
      <c r="G363" s="264">
        <f>+G361+G354</f>
        <v>129090253.80000001</v>
      </c>
      <c r="H363" s="264">
        <f>+H361+H354</f>
        <v>14888587.489999998</v>
      </c>
      <c r="I363" s="264">
        <f>+I361+I354</f>
        <v>20927454.859999999</v>
      </c>
      <c r="J363" s="243">
        <f>SUM(F363:I363)</f>
        <v>266314884.89000005</v>
      </c>
      <c r="K363" s="191"/>
      <c r="L363" s="1302">
        <f t="shared" si="50"/>
        <v>164906296.15000004</v>
      </c>
      <c r="M363" s="64"/>
      <c r="N363" s="751">
        <f t="shared" si="54"/>
        <v>0</v>
      </c>
    </row>
    <row r="364" spans="2:15" ht="15.75" thickBot="1" x14ac:dyDescent="0.3">
      <c r="B364" s="16">
        <f t="shared" si="52"/>
        <v>22</v>
      </c>
      <c r="C364" s="262" t="s">
        <v>537</v>
      </c>
      <c r="D364" s="246"/>
      <c r="E364" s="263"/>
      <c r="F364" s="248">
        <f>+F221-F363</f>
        <v>365015493.8499999</v>
      </c>
      <c r="G364" s="248">
        <f>+G221-G363</f>
        <v>515013313.37999982</v>
      </c>
      <c r="H364" s="248">
        <f>+H221-H363</f>
        <v>63532596.789999977</v>
      </c>
      <c r="I364" s="248">
        <f>+I221-I363</f>
        <v>52282052.959999964</v>
      </c>
      <c r="J364" s="249">
        <f>SUM(F364:I364)</f>
        <v>995843456.97999966</v>
      </c>
      <c r="K364" s="191"/>
      <c r="L364" s="250">
        <f t="shared" si="50"/>
        <v>630827963.12999976</v>
      </c>
      <c r="M364" s="64"/>
      <c r="N364" s="751">
        <f t="shared" si="54"/>
        <v>0</v>
      </c>
    </row>
    <row r="365" spans="2:15" ht="15" thickBot="1" x14ac:dyDescent="0.25">
      <c r="B365" s="16">
        <f t="shared" si="52"/>
        <v>23</v>
      </c>
      <c r="C365" s="1"/>
      <c r="D365" s="29"/>
      <c r="E365" s="265"/>
      <c r="F365" s="17"/>
      <c r="G365" s="17"/>
      <c r="H365" s="17"/>
      <c r="I365" s="17"/>
      <c r="J365" s="17"/>
      <c r="K365" s="17"/>
      <c r="L365" s="17"/>
      <c r="M365" s="64"/>
      <c r="N365" s="751"/>
    </row>
    <row r="366" spans="2:15" ht="15.75" thickBot="1" x14ac:dyDescent="0.3">
      <c r="B366" s="16">
        <f t="shared" si="52"/>
        <v>24</v>
      </c>
      <c r="C366" s="223" t="s">
        <v>538</v>
      </c>
      <c r="D366" s="224"/>
      <c r="E366" s="266"/>
      <c r="F366" s="194">
        <f>F364+F327</f>
        <v>13624007133.729998</v>
      </c>
      <c r="G366" s="194">
        <f>G364+G327</f>
        <v>14051090173.35</v>
      </c>
      <c r="H366" s="194">
        <f>H364+H327</f>
        <v>421137977.91999996</v>
      </c>
      <c r="I366" s="194">
        <f>I364+I327</f>
        <v>278403750.57999992</v>
      </c>
      <c r="J366" s="195">
        <f>SUM(F366:I366)</f>
        <v>28374639035.579994</v>
      </c>
      <c r="K366" s="191"/>
      <c r="L366" s="196">
        <f t="shared" si="50"/>
        <v>14750631901.85</v>
      </c>
      <c r="M366" s="64"/>
      <c r="N366" s="751">
        <f t="shared" si="54"/>
        <v>0</v>
      </c>
    </row>
    <row r="367" spans="2:15" ht="15.75" thickBot="1" x14ac:dyDescent="0.3">
      <c r="B367" s="16">
        <f t="shared" si="52"/>
        <v>25</v>
      </c>
      <c r="C367" s="8"/>
      <c r="D367" s="8"/>
      <c r="E367" s="233"/>
      <c r="F367" s="21"/>
      <c r="G367" s="21"/>
      <c r="H367" s="21"/>
      <c r="I367" s="21"/>
      <c r="J367" s="21"/>
      <c r="K367" s="21"/>
      <c r="L367" s="805"/>
      <c r="M367" s="64"/>
      <c r="N367" s="751"/>
    </row>
    <row r="368" spans="2:15" ht="15.75" thickBot="1" x14ac:dyDescent="0.3">
      <c r="B368" s="16">
        <f t="shared" si="52"/>
        <v>26</v>
      </c>
      <c r="C368" s="223" t="s">
        <v>539</v>
      </c>
      <c r="D368" s="224"/>
      <c r="E368" s="266"/>
      <c r="F368" s="194">
        <f>F364+F326</f>
        <v>13619737216.019999</v>
      </c>
      <c r="G368" s="194">
        <f>G364+G326</f>
        <v>14045648855.190001</v>
      </c>
      <c r="H368" s="194">
        <f>H364+H326</f>
        <v>420933838.42999995</v>
      </c>
      <c r="I368" s="194">
        <f>I364+I326</f>
        <v>278312288.07999992</v>
      </c>
      <c r="J368" s="195">
        <f>SUM(F368:I368)</f>
        <v>28364632197.720001</v>
      </c>
      <c r="K368" s="191"/>
      <c r="L368" s="196">
        <f t="shared" si="50"/>
        <v>14744894981.700001</v>
      </c>
      <c r="M368" s="64"/>
      <c r="N368" s="751">
        <f t="shared" si="54"/>
        <v>0</v>
      </c>
    </row>
    <row r="369" spans="2:13" x14ac:dyDescent="0.2">
      <c r="B369" s="64"/>
      <c r="C369" s="64"/>
      <c r="D369" s="64"/>
      <c r="E369" s="64"/>
      <c r="F369" s="64"/>
      <c r="G369" s="64"/>
      <c r="H369" s="64"/>
      <c r="I369" s="64"/>
      <c r="J369" s="64"/>
      <c r="K369" s="45"/>
      <c r="L369" s="45"/>
      <c r="M369" s="64"/>
    </row>
    <row r="370" spans="2:13" ht="15" x14ac:dyDescent="0.25">
      <c r="B370" s="783"/>
      <c r="C370" s="783"/>
      <c r="D370" s="783"/>
      <c r="E370" s="783"/>
      <c r="F370" s="783"/>
      <c r="G370" s="783"/>
      <c r="H370" s="783"/>
      <c r="I370" s="783"/>
      <c r="J370" s="783"/>
      <c r="K370" s="783"/>
      <c r="L370" s="783"/>
      <c r="M370" s="105" t="str">
        <f>$M$2</f>
        <v xml:space="preserve"> </v>
      </c>
    </row>
    <row r="371" spans="2:13" ht="15.75" thickBot="1" x14ac:dyDescent="0.3">
      <c r="B371" s="783"/>
      <c r="C371" s="783"/>
      <c r="D371" s="783"/>
      <c r="E371" s="783"/>
      <c r="F371" s="783"/>
      <c r="G371" s="783"/>
      <c r="H371" s="783"/>
      <c r="I371" s="783"/>
      <c r="J371" s="783"/>
      <c r="K371" s="783"/>
      <c r="L371" s="783"/>
      <c r="M371" s="64"/>
    </row>
    <row r="372" spans="2:13" ht="15" x14ac:dyDescent="0.25">
      <c r="B372" s="829" t="str">
        <f>$B$4</f>
        <v>2025 RATE CASE</v>
      </c>
      <c r="C372" s="835"/>
      <c r="D372" s="836"/>
      <c r="E372" s="783"/>
      <c r="F372" s="783"/>
      <c r="G372" s="783"/>
      <c r="H372" s="783"/>
      <c r="I372" s="783"/>
      <c r="J372" s="783"/>
      <c r="K372" s="783"/>
      <c r="L372" s="783"/>
    </row>
    <row r="373" spans="2:13" ht="15" x14ac:dyDescent="0.25">
      <c r="B373" s="826" t="str">
        <f>$B$5</f>
        <v>ONCOR ELECTRIC DELIVERY COMPANY LLC</v>
      </c>
      <c r="C373" s="304"/>
      <c r="D373" s="837"/>
      <c r="E373" s="783"/>
      <c r="F373" s="783"/>
      <c r="G373" s="783"/>
      <c r="H373" s="783"/>
      <c r="I373" s="783"/>
      <c r="J373" s="783"/>
      <c r="K373" s="783"/>
      <c r="L373" s="783"/>
      <c r="M373" s="64"/>
    </row>
    <row r="374" spans="2:13" ht="15" x14ac:dyDescent="0.25">
      <c r="B374" s="341" t="str">
        <f>$B$6</f>
        <v>CONSOLIDATED FUNCTIONALIZED COST OF SERVICE</v>
      </c>
      <c r="C374" s="304"/>
      <c r="D374" s="837"/>
      <c r="E374" s="783"/>
      <c r="F374" s="783"/>
      <c r="G374" s="783"/>
      <c r="H374" s="783"/>
      <c r="I374" s="783"/>
      <c r="J374" s="783"/>
      <c r="K374" s="783"/>
      <c r="L374" s="783"/>
      <c r="M374" s="64"/>
    </row>
    <row r="375" spans="2:13" ht="15" x14ac:dyDescent="0.25">
      <c r="B375" s="341" t="str">
        <f>$B$7</f>
        <v>TEST YEAR ENDING 12/31/2024</v>
      </c>
      <c r="C375" s="304"/>
      <c r="D375" s="837"/>
      <c r="E375" s="304"/>
      <c r="F375" s="304"/>
      <c r="G375" s="304"/>
      <c r="H375" s="304"/>
      <c r="I375" s="304"/>
      <c r="J375" s="304"/>
      <c r="K375" s="304"/>
      <c r="L375" s="304"/>
      <c r="M375" s="64"/>
    </row>
    <row r="376" spans="2:13" ht="15" x14ac:dyDescent="0.25">
      <c r="B376" s="341" t="str">
        <f>$B$8</f>
        <v>SPONSOR:  MATTHEW A. TROXLE</v>
      </c>
      <c r="C376" s="304"/>
      <c r="D376" s="837"/>
      <c r="E376" s="304"/>
      <c r="F376" s="304"/>
      <c r="G376" s="304"/>
      <c r="H376" s="304"/>
      <c r="I376" s="304"/>
      <c r="J376" s="304"/>
      <c r="K376" s="304"/>
      <c r="L376" s="304"/>
      <c r="M376" s="64"/>
    </row>
    <row r="377" spans="2:13" ht="15.75" thickBot="1" x14ac:dyDescent="0.3">
      <c r="B377" s="345"/>
      <c r="C377" s="840"/>
      <c r="D377" s="841"/>
      <c r="E377" s="304"/>
      <c r="F377" s="304"/>
      <c r="G377" s="304"/>
      <c r="H377" s="304"/>
      <c r="I377" s="304"/>
      <c r="J377" s="304"/>
      <c r="K377" s="304"/>
      <c r="L377" s="304"/>
      <c r="M377" s="64"/>
    </row>
    <row r="378" spans="2:13" x14ac:dyDescent="0.2">
      <c r="B378" s="12"/>
      <c r="C378" s="13"/>
      <c r="D378" s="13"/>
      <c r="E378" s="13"/>
      <c r="F378" s="176" t="s">
        <v>6</v>
      </c>
      <c r="G378" s="12" t="s">
        <v>7</v>
      </c>
      <c r="H378" s="12" t="s">
        <v>8</v>
      </c>
      <c r="I378" s="178" t="s">
        <v>9</v>
      </c>
      <c r="J378" s="12" t="s">
        <v>10</v>
      </c>
      <c r="K378" s="16"/>
      <c r="L378" s="110" t="s">
        <v>907</v>
      </c>
      <c r="M378" s="64"/>
    </row>
    <row r="379" spans="2:13" ht="15" x14ac:dyDescent="0.25">
      <c r="B379" s="14" t="s">
        <v>2</v>
      </c>
      <c r="C379" s="14" t="s">
        <v>349</v>
      </c>
      <c r="D379" s="226" t="s">
        <v>113</v>
      </c>
      <c r="E379" s="14" t="s">
        <v>350</v>
      </c>
      <c r="F379" s="181"/>
      <c r="G379" s="14"/>
      <c r="H379" s="14"/>
      <c r="I379" s="14"/>
      <c r="J379" s="14"/>
      <c r="K379" s="16"/>
      <c r="L379" s="93" t="s">
        <v>908</v>
      </c>
      <c r="M379" s="64"/>
    </row>
    <row r="380" spans="2:13" x14ac:dyDescent="0.2">
      <c r="B380" s="14"/>
      <c r="C380" s="14"/>
      <c r="D380" s="14"/>
      <c r="E380" s="14"/>
      <c r="F380" s="181"/>
      <c r="G380" s="14"/>
      <c r="H380" s="14"/>
      <c r="I380" s="14"/>
      <c r="J380" s="14"/>
      <c r="K380" s="16"/>
      <c r="L380" s="93"/>
      <c r="M380" s="64"/>
    </row>
    <row r="381" spans="2:13" ht="15" thickBot="1" x14ac:dyDescent="0.25">
      <c r="B381" s="15"/>
      <c r="C381" s="15" t="s">
        <v>13</v>
      </c>
      <c r="D381" s="15" t="s">
        <v>14</v>
      </c>
      <c r="E381" s="15" t="s">
        <v>15</v>
      </c>
      <c r="F381" s="15" t="s">
        <v>16</v>
      </c>
      <c r="G381" s="15" t="s">
        <v>17</v>
      </c>
      <c r="H381" s="15" t="s">
        <v>18</v>
      </c>
      <c r="I381" s="15" t="s">
        <v>21</v>
      </c>
      <c r="J381" s="15" t="s">
        <v>22</v>
      </c>
      <c r="K381" s="16"/>
      <c r="L381" s="997" t="s">
        <v>397</v>
      </c>
      <c r="M381" s="64"/>
    </row>
    <row r="382" spans="2:13" x14ac:dyDescent="0.2">
      <c r="B382" s="64"/>
      <c r="C382" s="268"/>
      <c r="D382" s="268"/>
      <c r="E382" s="268"/>
      <c r="F382" s="268"/>
      <c r="G382" s="268"/>
      <c r="H382" s="268"/>
      <c r="I382" s="41"/>
      <c r="J382" s="41"/>
      <c r="K382" s="41"/>
      <c r="L382" s="41"/>
      <c r="M382" s="64"/>
    </row>
    <row r="383" spans="2:13" ht="15" x14ac:dyDescent="0.25">
      <c r="B383" s="16">
        <f t="shared" ref="B383:B388" si="56">B382+1</f>
        <v>1</v>
      </c>
      <c r="C383" s="269" t="s">
        <v>110</v>
      </c>
      <c r="D383" s="34"/>
      <c r="E383" s="35"/>
      <c r="F383" s="37"/>
      <c r="G383" s="34"/>
      <c r="H383" s="34"/>
      <c r="I383" s="34"/>
      <c r="J383" s="34"/>
      <c r="K383" s="34"/>
      <c r="L383" s="34"/>
      <c r="M383" s="64"/>
    </row>
    <row r="384" spans="2:13" ht="15" x14ac:dyDescent="0.25">
      <c r="B384" s="16">
        <f t="shared" si="56"/>
        <v>2</v>
      </c>
      <c r="C384" s="269"/>
      <c r="D384" s="41"/>
      <c r="E384" s="202"/>
      <c r="F384" s="202"/>
      <c r="G384" s="41"/>
      <c r="H384" s="41"/>
      <c r="I384" s="41"/>
      <c r="J384" s="41"/>
      <c r="K384" s="41"/>
      <c r="L384" s="41"/>
      <c r="M384" s="64"/>
    </row>
    <row r="385" spans="2:15" s="321" customFormat="1" ht="16.5" x14ac:dyDescent="0.35">
      <c r="B385" s="16">
        <f t="shared" si="56"/>
        <v>3</v>
      </c>
      <c r="C385" s="41" t="s">
        <v>540</v>
      </c>
      <c r="D385" s="41" t="s">
        <v>113</v>
      </c>
      <c r="E385" s="36" t="s">
        <v>114</v>
      </c>
      <c r="F385" s="1334">
        <f>'WP II-I-1.1'!F126</f>
        <v>61450357.970000021</v>
      </c>
      <c r="G385" s="1335">
        <f>'WP II-I-1.1'!G126</f>
        <v>6705448.3699999982</v>
      </c>
      <c r="H385" s="1335">
        <f>'WP II-I-1.1'!H126</f>
        <v>0</v>
      </c>
      <c r="I385" s="1336">
        <f>'WP II-I-1.1'!I126</f>
        <v>0</v>
      </c>
      <c r="J385" s="238">
        <f>SUM(F385:I385)</f>
        <v>68155806.340000018</v>
      </c>
      <c r="K385" s="238"/>
      <c r="L385" s="232">
        <f t="shared" si="50"/>
        <v>6705448.3699999982</v>
      </c>
      <c r="M385" s="45"/>
      <c r="N385" s="751">
        <f t="shared" ref="N385:N388" si="57">J385-L385-F385</f>
        <v>0</v>
      </c>
      <c r="O385" s="751">
        <f>'WP II-I-1.1'!$J$126-J385</f>
        <v>0</v>
      </c>
    </row>
    <row r="386" spans="2:15" ht="15" x14ac:dyDescent="0.25">
      <c r="B386" s="16">
        <f t="shared" si="56"/>
        <v>4</v>
      </c>
      <c r="C386" s="34"/>
      <c r="D386" s="42" t="s">
        <v>444</v>
      </c>
      <c r="E386" s="37"/>
      <c r="F386" s="37">
        <f>+F385</f>
        <v>61450357.970000021</v>
      </c>
      <c r="G386" s="37">
        <f>+G385</f>
        <v>6705448.3699999982</v>
      </c>
      <c r="H386" s="37">
        <f>+H385</f>
        <v>0</v>
      </c>
      <c r="I386" s="37">
        <f>+I385</f>
        <v>0</v>
      </c>
      <c r="J386" s="235">
        <f>SUM(F386:I386)</f>
        <v>68155806.340000018</v>
      </c>
      <c r="K386" s="236"/>
      <c r="L386" s="807">
        <f t="shared" si="50"/>
        <v>6705448.3699999982</v>
      </c>
      <c r="M386" s="64"/>
      <c r="N386" s="751">
        <f t="shared" si="57"/>
        <v>0</v>
      </c>
    </row>
    <row r="387" spans="2:15" ht="15" thickBot="1" x14ac:dyDescent="0.25">
      <c r="B387" s="16">
        <f t="shared" si="56"/>
        <v>5</v>
      </c>
      <c r="C387" s="41"/>
      <c r="D387" s="41"/>
      <c r="E387" s="202"/>
      <c r="F387" s="202"/>
      <c r="G387" s="41"/>
      <c r="H387" s="41"/>
      <c r="I387" s="41"/>
      <c r="J387" s="41"/>
      <c r="K387" s="41"/>
      <c r="L387" s="41"/>
      <c r="M387" s="64"/>
    </row>
    <row r="388" spans="2:15" ht="15.75" thickBot="1" x14ac:dyDescent="0.3">
      <c r="B388" s="16">
        <f t="shared" si="56"/>
        <v>6</v>
      </c>
      <c r="C388" s="270" t="s">
        <v>541</v>
      </c>
      <c r="D388" s="271"/>
      <c r="E388" s="272" t="s">
        <v>114</v>
      </c>
      <c r="F388" s="217">
        <f>+F386</f>
        <v>61450357.970000021</v>
      </c>
      <c r="G388" s="217">
        <f>+G386</f>
        <v>6705448.3699999982</v>
      </c>
      <c r="H388" s="217">
        <f>+H386</f>
        <v>0</v>
      </c>
      <c r="I388" s="217">
        <f>+I386</f>
        <v>0</v>
      </c>
      <c r="J388" s="195">
        <f>SUM(F388:I388)</f>
        <v>68155806.340000018</v>
      </c>
      <c r="K388" s="191"/>
      <c r="L388" s="219">
        <f t="shared" ref="L388:L435" si="58">SUM(G388:I388)</f>
        <v>6705448.3699999982</v>
      </c>
      <c r="M388" s="64"/>
      <c r="N388" s="751">
        <f t="shared" si="57"/>
        <v>0</v>
      </c>
    </row>
    <row r="389" spans="2:15" x14ac:dyDescent="0.2">
      <c r="B389" s="64"/>
      <c r="C389" s="64"/>
      <c r="D389" s="64"/>
      <c r="E389" s="64"/>
      <c r="F389" s="64"/>
      <c r="G389" s="64"/>
      <c r="H389" s="64"/>
      <c r="I389" s="64"/>
      <c r="J389" s="64"/>
      <c r="K389" s="45"/>
      <c r="L389" s="45"/>
      <c r="M389" s="64"/>
    </row>
    <row r="390" spans="2:15" ht="15" x14ac:dyDescent="0.25">
      <c r="B390" s="783"/>
      <c r="C390" s="783"/>
      <c r="D390" s="783"/>
      <c r="E390" s="783"/>
      <c r="F390" s="783"/>
      <c r="G390" s="783"/>
      <c r="H390" s="783"/>
      <c r="I390" s="783"/>
      <c r="J390" s="783"/>
      <c r="K390" s="783"/>
      <c r="L390" s="783"/>
      <c r="M390" s="105" t="str">
        <f>$M$2</f>
        <v xml:space="preserve"> </v>
      </c>
    </row>
    <row r="391" spans="2:15" ht="15.75" thickBot="1" x14ac:dyDescent="0.3">
      <c r="B391" s="783"/>
      <c r="C391" s="783"/>
      <c r="D391" s="783"/>
      <c r="E391" s="783"/>
      <c r="F391" s="783"/>
      <c r="G391" s="783"/>
      <c r="H391" s="783"/>
      <c r="I391" s="783"/>
      <c r="J391" s="783"/>
      <c r="K391" s="783"/>
      <c r="L391" s="783"/>
      <c r="M391" s="64"/>
    </row>
    <row r="392" spans="2:15" ht="15" x14ac:dyDescent="0.25">
      <c r="B392" s="829" t="str">
        <f>$B$4</f>
        <v>2025 RATE CASE</v>
      </c>
      <c r="C392" s="835"/>
      <c r="D392" s="836"/>
      <c r="E392" s="783"/>
      <c r="F392" s="783"/>
      <c r="G392" s="783"/>
      <c r="H392" s="783"/>
      <c r="I392" s="783"/>
      <c r="J392" s="783"/>
      <c r="K392" s="783"/>
      <c r="L392" s="783"/>
    </row>
    <row r="393" spans="2:15" ht="15" x14ac:dyDescent="0.25">
      <c r="B393" s="826" t="str">
        <f>$B$5</f>
        <v>ONCOR ELECTRIC DELIVERY COMPANY LLC</v>
      </c>
      <c r="C393" s="304"/>
      <c r="D393" s="837"/>
      <c r="E393" s="783"/>
      <c r="F393" s="783"/>
      <c r="G393" s="783"/>
      <c r="H393" s="783"/>
      <c r="I393" s="783"/>
      <c r="J393" s="783"/>
      <c r="K393" s="783"/>
      <c r="L393" s="783"/>
      <c r="M393" s="64"/>
    </row>
    <row r="394" spans="2:15" ht="15" x14ac:dyDescent="0.25">
      <c r="B394" s="341" t="str">
        <f>$B$6</f>
        <v>CONSOLIDATED FUNCTIONALIZED COST OF SERVICE</v>
      </c>
      <c r="C394" s="304"/>
      <c r="D394" s="837"/>
      <c r="E394" s="783"/>
      <c r="F394" s="783"/>
      <c r="G394" s="783"/>
      <c r="H394" s="783"/>
      <c r="I394" s="783"/>
      <c r="J394" s="783"/>
      <c r="K394" s="783"/>
      <c r="L394" s="783"/>
      <c r="M394" s="64"/>
    </row>
    <row r="395" spans="2:15" ht="15" x14ac:dyDescent="0.25">
      <c r="B395" s="341" t="str">
        <f>$B$7</f>
        <v>TEST YEAR ENDING 12/31/2024</v>
      </c>
      <c r="C395" s="304"/>
      <c r="D395" s="837"/>
      <c r="E395" s="304"/>
      <c r="F395" s="304"/>
      <c r="G395" s="304"/>
      <c r="H395" s="304"/>
      <c r="I395" s="304"/>
      <c r="J395" s="304"/>
      <c r="K395" s="304"/>
      <c r="L395" s="304"/>
      <c r="M395" s="64"/>
    </row>
    <row r="396" spans="2:15" ht="15" x14ac:dyDescent="0.25">
      <c r="B396" s="341" t="str">
        <f>$B$8</f>
        <v>SPONSOR:  MATTHEW A. TROXLE</v>
      </c>
      <c r="C396" s="304"/>
      <c r="D396" s="837"/>
      <c r="E396" s="304"/>
      <c r="F396" s="304"/>
      <c r="G396" s="304"/>
      <c r="H396" s="304"/>
      <c r="I396" s="304"/>
      <c r="J396" s="304"/>
      <c r="K396" s="304"/>
      <c r="L396" s="304"/>
      <c r="M396" s="64"/>
    </row>
    <row r="397" spans="2:15" ht="15.75" thickBot="1" x14ac:dyDescent="0.3">
      <c r="B397" s="345"/>
      <c r="C397" s="840"/>
      <c r="D397" s="841"/>
      <c r="E397" s="304"/>
      <c r="F397" s="304"/>
      <c r="G397" s="304"/>
      <c r="H397" s="304"/>
      <c r="I397" s="304"/>
      <c r="J397" s="304"/>
      <c r="K397" s="304"/>
      <c r="L397" s="304"/>
      <c r="M397" s="64"/>
    </row>
    <row r="398" spans="2:15" x14ac:dyDescent="0.2">
      <c r="B398" s="12"/>
      <c r="C398" s="13"/>
      <c r="D398" s="13"/>
      <c r="E398" s="13"/>
      <c r="F398" s="176" t="s">
        <v>6</v>
      </c>
      <c r="G398" s="12" t="s">
        <v>7</v>
      </c>
      <c r="H398" s="12" t="s">
        <v>8</v>
      </c>
      <c r="I398" s="178" t="s">
        <v>9</v>
      </c>
      <c r="J398" s="12" t="s">
        <v>10</v>
      </c>
      <c r="K398" s="16"/>
      <c r="L398" s="110" t="s">
        <v>907</v>
      </c>
      <c r="M398" s="64"/>
    </row>
    <row r="399" spans="2:15" ht="15" x14ac:dyDescent="0.25">
      <c r="B399" s="14" t="s">
        <v>2</v>
      </c>
      <c r="C399" s="14" t="s">
        <v>349</v>
      </c>
      <c r="D399" s="226" t="s">
        <v>542</v>
      </c>
      <c r="E399" s="14" t="s">
        <v>350</v>
      </c>
      <c r="F399" s="181"/>
      <c r="G399" s="14"/>
      <c r="H399" s="14"/>
      <c r="I399" s="14"/>
      <c r="J399" s="14"/>
      <c r="K399" s="16"/>
      <c r="L399" s="93" t="s">
        <v>908</v>
      </c>
      <c r="M399" s="64"/>
    </row>
    <row r="400" spans="2:15" x14ac:dyDescent="0.2">
      <c r="B400" s="14"/>
      <c r="C400" s="14"/>
      <c r="D400" s="14"/>
      <c r="E400" s="14"/>
      <c r="F400" s="181"/>
      <c r="G400" s="14"/>
      <c r="H400" s="14"/>
      <c r="I400" s="14"/>
      <c r="J400" s="14"/>
      <c r="K400" s="16"/>
      <c r="L400" s="93"/>
      <c r="M400" s="64"/>
    </row>
    <row r="401" spans="2:14" ht="15" thickBot="1" x14ac:dyDescent="0.25">
      <c r="B401" s="15"/>
      <c r="C401" s="15" t="s">
        <v>13</v>
      </c>
      <c r="D401" s="15" t="s">
        <v>14</v>
      </c>
      <c r="E401" s="15" t="s">
        <v>15</v>
      </c>
      <c r="F401" s="15" t="s">
        <v>16</v>
      </c>
      <c r="G401" s="15" t="s">
        <v>17</v>
      </c>
      <c r="H401" s="15" t="s">
        <v>18</v>
      </c>
      <c r="I401" s="15" t="s">
        <v>21</v>
      </c>
      <c r="J401" s="15" t="s">
        <v>22</v>
      </c>
      <c r="K401" s="16"/>
      <c r="L401" s="997" t="s">
        <v>397</v>
      </c>
      <c r="M401" s="64"/>
    </row>
    <row r="402" spans="2:14" x14ac:dyDescent="0.2">
      <c r="B402" s="64"/>
      <c r="C402" s="268"/>
      <c r="D402" s="268"/>
      <c r="E402" s="268"/>
      <c r="F402" s="268"/>
      <c r="G402" s="268"/>
      <c r="H402" s="268"/>
      <c r="I402" s="41"/>
      <c r="J402" s="41"/>
      <c r="K402" s="41"/>
      <c r="L402" s="41"/>
      <c r="M402" s="64"/>
    </row>
    <row r="403" spans="2:14" ht="15" x14ac:dyDescent="0.25">
      <c r="B403" s="16">
        <f t="shared" ref="B403:B413" si="59">B402+1</f>
        <v>1</v>
      </c>
      <c r="C403" s="269" t="s">
        <v>110</v>
      </c>
      <c r="D403" s="34"/>
      <c r="E403" s="35"/>
      <c r="F403" s="273"/>
      <c r="G403" s="42"/>
      <c r="H403" s="42"/>
      <c r="I403" s="42"/>
      <c r="J403" s="42"/>
      <c r="K403" s="42"/>
      <c r="L403" s="42"/>
      <c r="M403" s="64"/>
    </row>
    <row r="404" spans="2:14" ht="15" x14ac:dyDescent="0.25">
      <c r="B404" s="16">
        <f t="shared" si="59"/>
        <v>2</v>
      </c>
      <c r="C404" s="269"/>
      <c r="D404" s="41"/>
      <c r="E404" s="202"/>
      <c r="F404" s="274"/>
      <c r="G404" s="275"/>
      <c r="H404" s="275"/>
      <c r="I404" s="275"/>
      <c r="J404" s="275"/>
      <c r="K404" s="275"/>
      <c r="L404" s="275"/>
      <c r="M404" s="64"/>
    </row>
    <row r="405" spans="2:14" ht="15" x14ac:dyDescent="0.25">
      <c r="B405" s="16">
        <f t="shared" si="59"/>
        <v>3</v>
      </c>
      <c r="C405" s="41"/>
      <c r="D405" s="41" t="s">
        <v>131</v>
      </c>
      <c r="E405" s="35" t="s">
        <v>475</v>
      </c>
      <c r="F405" s="1337">
        <v>0</v>
      </c>
      <c r="G405" s="1338">
        <v>0</v>
      </c>
      <c r="H405" s="1338">
        <v>0</v>
      </c>
      <c r="I405" s="1339">
        <v>0</v>
      </c>
      <c r="J405" s="229">
        <f>SUM(F405:I405)</f>
        <v>0</v>
      </c>
      <c r="K405" s="229"/>
      <c r="L405" s="17">
        <f t="shared" si="58"/>
        <v>0</v>
      </c>
      <c r="M405" s="64"/>
      <c r="N405" s="751">
        <f t="shared" ref="N405:N413" si="60">J405-L405-F405</f>
        <v>0</v>
      </c>
    </row>
    <row r="406" spans="2:14" ht="15" x14ac:dyDescent="0.25">
      <c r="B406" s="16">
        <f t="shared" si="59"/>
        <v>4</v>
      </c>
      <c r="C406" s="41"/>
      <c r="D406" s="41" t="s">
        <v>543</v>
      </c>
      <c r="E406" s="35"/>
      <c r="F406" s="1340">
        <v>0</v>
      </c>
      <c r="G406" s="25">
        <v>0</v>
      </c>
      <c r="H406" s="25">
        <v>0</v>
      </c>
      <c r="I406" s="1341">
        <v>0</v>
      </c>
      <c r="J406" s="229">
        <f>SUM(F406:I406)</f>
        <v>0</v>
      </c>
      <c r="K406" s="229"/>
      <c r="L406" s="17">
        <f t="shared" si="58"/>
        <v>0</v>
      </c>
      <c r="M406" s="64"/>
      <c r="N406" s="751">
        <f t="shared" si="60"/>
        <v>0</v>
      </c>
    </row>
    <row r="407" spans="2:14" ht="15" x14ac:dyDescent="0.25">
      <c r="B407" s="16">
        <f t="shared" si="59"/>
        <v>5</v>
      </c>
      <c r="C407" s="41"/>
      <c r="D407" s="41" t="s">
        <v>544</v>
      </c>
      <c r="E407" s="35"/>
      <c r="F407" s="1342">
        <v>0</v>
      </c>
      <c r="G407" s="1343">
        <v>0</v>
      </c>
      <c r="H407" s="1343">
        <v>0</v>
      </c>
      <c r="I407" s="1344">
        <v>0</v>
      </c>
      <c r="J407" s="229">
        <f>SUM(F407:I407)</f>
        <v>0</v>
      </c>
      <c r="K407" s="229"/>
      <c r="L407" s="17">
        <f t="shared" si="58"/>
        <v>0</v>
      </c>
      <c r="M407" s="64"/>
      <c r="N407" s="751">
        <f t="shared" si="60"/>
        <v>0</v>
      </c>
    </row>
    <row r="408" spans="2:14" ht="15.75" thickBot="1" x14ac:dyDescent="0.3">
      <c r="B408" s="16">
        <f t="shared" si="59"/>
        <v>6</v>
      </c>
      <c r="C408" s="41"/>
      <c r="D408" s="41"/>
      <c r="E408" s="35"/>
      <c r="F408" s="25"/>
      <c r="G408" s="25"/>
      <c r="H408" s="25"/>
      <c r="I408" s="25"/>
      <c r="J408" s="97"/>
      <c r="K408" s="229"/>
      <c r="L408" s="17"/>
      <c r="M408" s="64"/>
      <c r="N408" s="751"/>
    </row>
    <row r="409" spans="2:14" ht="15.75" thickBot="1" x14ac:dyDescent="0.3">
      <c r="B409" s="16">
        <f t="shared" si="59"/>
        <v>7</v>
      </c>
      <c r="C409" s="276" t="s">
        <v>545</v>
      </c>
      <c r="D409" s="271"/>
      <c r="E409" s="272" t="s">
        <v>475</v>
      </c>
      <c r="F409" s="277">
        <f>SUM(F405:F407)</f>
        <v>0</v>
      </c>
      <c r="G409" s="277">
        <f>SUM(G405:G407)</f>
        <v>0</v>
      </c>
      <c r="H409" s="277">
        <f>SUM(H405:H407)</f>
        <v>0</v>
      </c>
      <c r="I409" s="277">
        <f>SUM(I405:I407)</f>
        <v>0</v>
      </c>
      <c r="J409" s="195">
        <f>SUM(F409:I409)</f>
        <v>0</v>
      </c>
      <c r="K409" s="191"/>
      <c r="L409" s="278">
        <f t="shared" si="58"/>
        <v>0</v>
      </c>
      <c r="M409" s="64"/>
      <c r="N409" s="751">
        <f t="shared" si="60"/>
        <v>0</v>
      </c>
    </row>
    <row r="410" spans="2:14" x14ac:dyDescent="0.2">
      <c r="B410" s="16">
        <f t="shared" si="59"/>
        <v>8</v>
      </c>
      <c r="C410" s="41"/>
      <c r="D410" s="41"/>
      <c r="E410" s="202"/>
      <c r="F410" s="274"/>
      <c r="G410" s="275"/>
      <c r="H410" s="275"/>
      <c r="I410" s="275"/>
      <c r="J410" s="279"/>
      <c r="K410" s="279"/>
      <c r="L410" s="275"/>
      <c r="M410" s="64"/>
      <c r="N410" s="751"/>
    </row>
    <row r="411" spans="2:14" s="321" customFormat="1" ht="15" x14ac:dyDescent="0.25">
      <c r="B411" s="16">
        <f t="shared" si="59"/>
        <v>9</v>
      </c>
      <c r="C411" s="34" t="s">
        <v>546</v>
      </c>
      <c r="D411" s="42"/>
      <c r="E411" s="35" t="s">
        <v>125</v>
      </c>
      <c r="F411" s="1345">
        <f>-'WP II-I-1.1'!F133</f>
        <v>-1258956234.8500001</v>
      </c>
      <c r="G411" s="1346">
        <f>-'WP II-I-1.1'!G133</f>
        <v>-1434321915.47</v>
      </c>
      <c r="H411" s="1346">
        <f>-'WP II-I-1.1'!H133</f>
        <v>-11971648.140000001</v>
      </c>
      <c r="I411" s="1347">
        <f>-'WP II-I-1.1'!I133</f>
        <v>-52031200.460000001</v>
      </c>
      <c r="J411" s="236">
        <f>SUM(F411:I411)</f>
        <v>-2757280998.9200001</v>
      </c>
      <c r="K411" s="236"/>
      <c r="L411" s="804">
        <f t="shared" si="58"/>
        <v>-1498324764.0700002</v>
      </c>
      <c r="M411" s="118"/>
      <c r="N411" s="751">
        <f t="shared" si="60"/>
        <v>0</v>
      </c>
    </row>
    <row r="412" spans="2:14" ht="15" thickBot="1" x14ac:dyDescent="0.25">
      <c r="B412" s="16">
        <f t="shared" si="59"/>
        <v>10</v>
      </c>
      <c r="C412" s="41"/>
      <c r="D412" s="41"/>
      <c r="E412" s="202"/>
      <c r="F412" s="274"/>
      <c r="G412" s="275"/>
      <c r="H412" s="275"/>
      <c r="I412" s="275"/>
      <c r="J412" s="275"/>
      <c r="K412" s="275"/>
      <c r="L412" s="275"/>
      <c r="M412" s="64"/>
      <c r="N412" s="751"/>
    </row>
    <row r="413" spans="2:14" ht="15.75" thickBot="1" x14ac:dyDescent="0.3">
      <c r="B413" s="16">
        <f t="shared" si="59"/>
        <v>11</v>
      </c>
      <c r="C413" s="276" t="s">
        <v>547</v>
      </c>
      <c r="D413" s="271"/>
      <c r="E413" s="272"/>
      <c r="F413" s="277">
        <f>+F411+F409</f>
        <v>-1258956234.8500001</v>
      </c>
      <c r="G413" s="277">
        <f>+G411+G409</f>
        <v>-1434321915.47</v>
      </c>
      <c r="H413" s="277">
        <f>+H411+H409</f>
        <v>-11971648.140000001</v>
      </c>
      <c r="I413" s="277">
        <f>+I411+I409</f>
        <v>-52031200.460000001</v>
      </c>
      <c r="J413" s="195">
        <f>SUM(F413:I413)</f>
        <v>-2757280998.9200001</v>
      </c>
      <c r="K413" s="191"/>
      <c r="L413" s="278">
        <f t="shared" si="58"/>
        <v>-1498324764.0700002</v>
      </c>
      <c r="M413" s="64"/>
      <c r="N413" s="751">
        <f t="shared" si="60"/>
        <v>0</v>
      </c>
    </row>
    <row r="414" spans="2:14" x14ac:dyDescent="0.2">
      <c r="B414" s="64"/>
      <c r="C414" s="64"/>
      <c r="D414" s="64"/>
      <c r="E414" s="64"/>
      <c r="F414" s="222"/>
      <c r="G414" s="64"/>
      <c r="H414" s="64"/>
      <c r="I414" s="97"/>
      <c r="J414" s="64"/>
      <c r="K414" s="45"/>
      <c r="L414" s="229"/>
      <c r="M414" s="64"/>
    </row>
    <row r="415" spans="2:14" ht="15" x14ac:dyDescent="0.25">
      <c r="B415" s="783"/>
      <c r="C415" s="783"/>
      <c r="D415" s="783"/>
      <c r="E415" s="783"/>
      <c r="F415" s="783"/>
      <c r="G415" s="783"/>
      <c r="H415" s="783"/>
      <c r="I415" s="783"/>
      <c r="J415" s="783"/>
      <c r="K415" s="783"/>
      <c r="L415" s="783"/>
      <c r="M415" s="105" t="str">
        <f>$M$2</f>
        <v xml:space="preserve"> </v>
      </c>
    </row>
    <row r="416" spans="2:14" ht="15.75" thickBot="1" x14ac:dyDescent="0.3">
      <c r="B416" s="783"/>
      <c r="C416" s="783"/>
      <c r="D416" s="783"/>
      <c r="E416" s="783"/>
      <c r="F416" s="783"/>
      <c r="G416" s="783"/>
      <c r="H416" s="783"/>
      <c r="I416" s="783"/>
      <c r="J416" s="783"/>
      <c r="K416" s="783"/>
      <c r="L416" s="783"/>
      <c r="M416" s="64"/>
    </row>
    <row r="417" spans="2:15" ht="15" x14ac:dyDescent="0.25">
      <c r="B417" s="829" t="str">
        <f>$B$4</f>
        <v>2025 RATE CASE</v>
      </c>
      <c r="C417" s="835"/>
      <c r="D417" s="836"/>
      <c r="E417" s="783"/>
      <c r="F417" s="783"/>
      <c r="G417" s="783"/>
      <c r="H417" s="783"/>
      <c r="I417" s="783"/>
      <c r="J417" s="783"/>
      <c r="K417" s="783"/>
      <c r="L417" s="783"/>
    </row>
    <row r="418" spans="2:15" ht="15" x14ac:dyDescent="0.25">
      <c r="B418" s="826" t="str">
        <f>$B$5</f>
        <v>ONCOR ELECTRIC DELIVERY COMPANY LLC</v>
      </c>
      <c r="C418" s="304"/>
      <c r="D418" s="837"/>
      <c r="E418" s="783"/>
      <c r="F418" s="783"/>
      <c r="G418" s="783"/>
      <c r="H418" s="783"/>
      <c r="I418" s="783"/>
      <c r="J418" s="783"/>
      <c r="K418" s="783"/>
      <c r="L418" s="783"/>
      <c r="M418" s="64"/>
    </row>
    <row r="419" spans="2:15" ht="15" x14ac:dyDescent="0.25">
      <c r="B419" s="341" t="str">
        <f>$B$6</f>
        <v>CONSOLIDATED FUNCTIONALIZED COST OF SERVICE</v>
      </c>
      <c r="C419" s="304"/>
      <c r="D419" s="837"/>
      <c r="E419" s="783"/>
      <c r="F419" s="783"/>
      <c r="G419" s="783"/>
      <c r="H419" s="783"/>
      <c r="I419" s="783"/>
      <c r="J419" s="783"/>
      <c r="K419" s="783"/>
      <c r="L419" s="783"/>
      <c r="M419" s="64"/>
    </row>
    <row r="420" spans="2:15" ht="15" x14ac:dyDescent="0.25">
      <c r="B420" s="341" t="str">
        <f>$B$7</f>
        <v>TEST YEAR ENDING 12/31/2024</v>
      </c>
      <c r="C420" s="304"/>
      <c r="D420" s="837"/>
      <c r="E420" s="304"/>
      <c r="F420" s="304"/>
      <c r="G420" s="304"/>
      <c r="H420" s="304"/>
      <c r="I420" s="304"/>
      <c r="J420" s="304"/>
      <c r="K420" s="304"/>
      <c r="L420" s="304"/>
      <c r="M420" s="64"/>
    </row>
    <row r="421" spans="2:15" ht="15" x14ac:dyDescent="0.25">
      <c r="B421" s="341" t="str">
        <f>$B$8</f>
        <v>SPONSOR:  MATTHEW A. TROXLE</v>
      </c>
      <c r="C421" s="304"/>
      <c r="D421" s="837"/>
      <c r="E421" s="304"/>
      <c r="F421" s="304"/>
      <c r="G421" s="304"/>
      <c r="H421" s="304"/>
      <c r="I421" s="304"/>
      <c r="J421" s="304"/>
      <c r="K421" s="304"/>
      <c r="L421" s="304"/>
      <c r="M421" s="64"/>
    </row>
    <row r="422" spans="2:15" ht="15.75" thickBot="1" x14ac:dyDescent="0.3">
      <c r="B422" s="345"/>
      <c r="C422" s="840"/>
      <c r="D422" s="841"/>
      <c r="E422" s="304"/>
      <c r="F422" s="304"/>
      <c r="G422" s="304"/>
      <c r="H422" s="304"/>
      <c r="I422" s="304"/>
      <c r="J422" s="304"/>
      <c r="K422" s="304"/>
      <c r="L422" s="304"/>
      <c r="M422" s="64"/>
    </row>
    <row r="423" spans="2:15" x14ac:dyDescent="0.2">
      <c r="B423" s="12"/>
      <c r="C423" s="13"/>
      <c r="D423" s="13"/>
      <c r="E423" s="13"/>
      <c r="F423" s="176" t="s">
        <v>6</v>
      </c>
      <c r="G423" s="12" t="s">
        <v>7</v>
      </c>
      <c r="H423" s="12" t="s">
        <v>8</v>
      </c>
      <c r="I423" s="178" t="s">
        <v>9</v>
      </c>
      <c r="J423" s="12" t="s">
        <v>10</v>
      </c>
      <c r="K423" s="16"/>
      <c r="L423" s="110" t="s">
        <v>907</v>
      </c>
      <c r="M423" s="64"/>
    </row>
    <row r="424" spans="2:15" ht="15" x14ac:dyDescent="0.25">
      <c r="B424" s="14" t="s">
        <v>2</v>
      </c>
      <c r="C424" s="14" t="s">
        <v>349</v>
      </c>
      <c r="D424" s="226" t="s">
        <v>548</v>
      </c>
      <c r="E424" s="14" t="s">
        <v>350</v>
      </c>
      <c r="F424" s="181"/>
      <c r="G424" s="14"/>
      <c r="H424" s="14"/>
      <c r="I424" s="14"/>
      <c r="J424" s="14"/>
      <c r="K424" s="16"/>
      <c r="L424" s="93" t="s">
        <v>908</v>
      </c>
      <c r="M424" s="64"/>
    </row>
    <row r="425" spans="2:15" x14ac:dyDescent="0.2">
      <c r="B425" s="14"/>
      <c r="C425" s="14"/>
      <c r="D425" s="14"/>
      <c r="E425" s="14"/>
      <c r="F425" s="181"/>
      <c r="G425" s="14"/>
      <c r="H425" s="14"/>
      <c r="I425" s="14"/>
      <c r="J425" s="14"/>
      <c r="K425" s="16"/>
      <c r="L425" s="93"/>
      <c r="M425" s="64"/>
    </row>
    <row r="426" spans="2:15" ht="15" thickBot="1" x14ac:dyDescent="0.25">
      <c r="B426" s="15"/>
      <c r="C426" s="15" t="s">
        <v>13</v>
      </c>
      <c r="D426" s="15" t="s">
        <v>14</v>
      </c>
      <c r="E426" s="15" t="s">
        <v>15</v>
      </c>
      <c r="F426" s="15" t="s">
        <v>16</v>
      </c>
      <c r="G426" s="15" t="s">
        <v>17</v>
      </c>
      <c r="H426" s="15" t="s">
        <v>18</v>
      </c>
      <c r="I426" s="15" t="s">
        <v>21</v>
      </c>
      <c r="J426" s="15" t="s">
        <v>22</v>
      </c>
      <c r="K426" s="16"/>
      <c r="L426" s="997" t="s">
        <v>397</v>
      </c>
      <c r="M426" s="64"/>
    </row>
    <row r="427" spans="2:15" ht="15" x14ac:dyDescent="0.25">
      <c r="B427" s="64"/>
      <c r="C427" s="33"/>
      <c r="D427" s="41"/>
      <c r="E427" s="202"/>
      <c r="F427" s="281"/>
      <c r="G427" s="281"/>
      <c r="H427" s="282"/>
      <c r="I427" s="41"/>
      <c r="J427" s="41"/>
      <c r="K427" s="41"/>
      <c r="L427" s="41"/>
      <c r="M427" s="64"/>
    </row>
    <row r="428" spans="2:15" ht="15" x14ac:dyDescent="0.25">
      <c r="B428" s="16">
        <f t="shared" ref="B428:B435" si="61">B427+1</f>
        <v>1</v>
      </c>
      <c r="C428" s="269" t="s">
        <v>110</v>
      </c>
      <c r="D428" s="41"/>
      <c r="E428" s="202"/>
      <c r="F428" s="281"/>
      <c r="G428" s="281"/>
      <c r="H428" s="282"/>
      <c r="I428" s="41"/>
      <c r="J428" s="41"/>
      <c r="K428" s="41"/>
      <c r="L428" s="41"/>
      <c r="M428" s="64"/>
    </row>
    <row r="429" spans="2:15" ht="15" x14ac:dyDescent="0.25">
      <c r="B429" s="16">
        <f t="shared" si="61"/>
        <v>2</v>
      </c>
      <c r="C429" s="53" t="s">
        <v>549</v>
      </c>
      <c r="D429" s="42"/>
      <c r="E429" s="41"/>
      <c r="F429" s="41"/>
      <c r="G429" s="41"/>
      <c r="H429" s="41"/>
      <c r="I429" s="41"/>
      <c r="J429" s="41"/>
      <c r="K429" s="41"/>
      <c r="L429" s="41"/>
      <c r="M429" s="64"/>
    </row>
    <row r="430" spans="2:15" ht="15" x14ac:dyDescent="0.25">
      <c r="B430" s="16">
        <f t="shared" si="61"/>
        <v>3</v>
      </c>
      <c r="C430" s="41"/>
      <c r="D430" s="34" t="s">
        <v>548</v>
      </c>
      <c r="E430" s="35" t="s">
        <v>116</v>
      </c>
      <c r="F430" s="41"/>
      <c r="G430" s="41"/>
      <c r="H430" s="41"/>
      <c r="I430" s="41"/>
      <c r="J430" s="41"/>
      <c r="K430" s="41"/>
      <c r="L430" s="41"/>
      <c r="M430" s="64"/>
    </row>
    <row r="431" spans="2:15" s="321" customFormat="1" x14ac:dyDescent="0.2">
      <c r="B431" s="16">
        <f t="shared" si="61"/>
        <v>4</v>
      </c>
      <c r="C431" s="41">
        <v>154</v>
      </c>
      <c r="D431" s="41" t="s">
        <v>550</v>
      </c>
      <c r="E431" s="41"/>
      <c r="F431" s="985">
        <f>'WP II-I-1.1'!F127</f>
        <v>204573945.84</v>
      </c>
      <c r="G431" s="986">
        <f>'WP II-I-1.1'!G127</f>
        <v>138215277.31999999</v>
      </c>
      <c r="H431" s="986">
        <f>'WP II-I-1.1'!H127</f>
        <v>1087596.75</v>
      </c>
      <c r="I431" s="987">
        <f>'WP II-I-1.1'!I127</f>
        <v>0</v>
      </c>
      <c r="J431" s="229">
        <f>SUM(F431:I431)</f>
        <v>343876819.90999997</v>
      </c>
      <c r="K431" s="229"/>
      <c r="L431" s="17">
        <f t="shared" si="58"/>
        <v>139302874.06999999</v>
      </c>
      <c r="M431" s="45"/>
      <c r="N431" s="751">
        <f t="shared" ref="N431:N455" si="62">J431-L431-F431</f>
        <v>0</v>
      </c>
      <c r="O431" s="751">
        <f>'WP II-I-1.1'!$J$127-L431-F431</f>
        <v>0</v>
      </c>
    </row>
    <row r="432" spans="2:15" s="321" customFormat="1" ht="16.5" x14ac:dyDescent="0.35">
      <c r="B432" s="16">
        <f t="shared" si="61"/>
        <v>5</v>
      </c>
      <c r="C432" s="41">
        <v>163</v>
      </c>
      <c r="D432" s="41" t="s">
        <v>551</v>
      </c>
      <c r="E432" s="202"/>
      <c r="F432" s="982">
        <f>'WP II-I-1.1'!F128</f>
        <v>14554761.67</v>
      </c>
      <c r="G432" s="983">
        <f>'WP II-I-1.1'!G128</f>
        <v>19742788.43</v>
      </c>
      <c r="H432" s="983">
        <f>'WP II-I-1.1'!H128</f>
        <v>154202.72</v>
      </c>
      <c r="I432" s="984">
        <f>'WP II-I-1.1'!I128</f>
        <v>0</v>
      </c>
      <c r="J432" s="238">
        <f>SUM(F432:I432)</f>
        <v>34451752.82</v>
      </c>
      <c r="K432" s="238"/>
      <c r="L432" s="232">
        <f t="shared" si="58"/>
        <v>19896991.149999999</v>
      </c>
      <c r="M432" s="45"/>
      <c r="N432" s="751">
        <f t="shared" si="62"/>
        <v>0</v>
      </c>
      <c r="O432" s="751">
        <f>'WP II-I-1.1'!$J$128-L432-F432</f>
        <v>0</v>
      </c>
    </row>
    <row r="433" spans="2:14" ht="15" x14ac:dyDescent="0.25">
      <c r="B433" s="16">
        <f t="shared" si="61"/>
        <v>6</v>
      </c>
      <c r="C433" s="34"/>
      <c r="D433" s="42" t="s">
        <v>444</v>
      </c>
      <c r="E433" s="37"/>
      <c r="F433" s="807">
        <f>SUM(F431:F432)</f>
        <v>219128707.50999999</v>
      </c>
      <c r="G433" s="807">
        <f>SUM(G431:G432)</f>
        <v>157958065.75</v>
      </c>
      <c r="H433" s="807">
        <f>SUM(H431:H432)</f>
        <v>1241799.47</v>
      </c>
      <c r="I433" s="807">
        <f>SUM(I431:I432)</f>
        <v>0</v>
      </c>
      <c r="J433" s="236">
        <f>SUM(F433:I433)</f>
        <v>378328572.73000002</v>
      </c>
      <c r="K433" s="236"/>
      <c r="L433" s="807">
        <f t="shared" si="58"/>
        <v>159199865.22</v>
      </c>
      <c r="M433" s="64"/>
      <c r="N433" s="751">
        <f t="shared" si="62"/>
        <v>0</v>
      </c>
    </row>
    <row r="434" spans="2:14" ht="15" thickBot="1" x14ac:dyDescent="0.25">
      <c r="B434" s="16">
        <f t="shared" si="61"/>
        <v>7</v>
      </c>
      <c r="C434" s="41"/>
      <c r="D434" s="275"/>
      <c r="E434" s="202"/>
      <c r="F434" s="202"/>
      <c r="G434" s="41"/>
      <c r="H434" s="41"/>
      <c r="I434" s="41"/>
      <c r="J434" s="41"/>
      <c r="K434" s="41"/>
      <c r="L434" s="41"/>
      <c r="M434" s="64"/>
      <c r="N434" s="751"/>
    </row>
    <row r="435" spans="2:14" ht="15.75" thickBot="1" x14ac:dyDescent="0.3">
      <c r="B435" s="16">
        <f t="shared" si="61"/>
        <v>8</v>
      </c>
      <c r="C435" s="270" t="s">
        <v>552</v>
      </c>
      <c r="D435" s="271"/>
      <c r="E435" s="272" t="s">
        <v>116</v>
      </c>
      <c r="F435" s="217">
        <f>F433</f>
        <v>219128707.50999999</v>
      </c>
      <c r="G435" s="217">
        <f>G433</f>
        <v>157958065.75</v>
      </c>
      <c r="H435" s="217">
        <f>H433</f>
        <v>1241799.47</v>
      </c>
      <c r="I435" s="217">
        <f>I433</f>
        <v>0</v>
      </c>
      <c r="J435" s="195">
        <f>SUM(F435:I435)</f>
        <v>378328572.73000002</v>
      </c>
      <c r="K435" s="191"/>
      <c r="L435" s="219">
        <f t="shared" si="58"/>
        <v>159199865.22</v>
      </c>
      <c r="M435" s="64"/>
      <c r="N435" s="751">
        <f t="shared" si="62"/>
        <v>0</v>
      </c>
    </row>
    <row r="436" spans="2:14" x14ac:dyDescent="0.2">
      <c r="B436" s="64"/>
      <c r="C436" s="64"/>
      <c r="D436" s="64"/>
      <c r="E436" s="64"/>
      <c r="F436" s="64"/>
      <c r="G436" s="64"/>
      <c r="H436" s="64"/>
      <c r="I436" s="64"/>
      <c r="J436" s="64"/>
      <c r="K436" s="45"/>
      <c r="L436" s="45"/>
      <c r="M436" s="64"/>
      <c r="N436" s="751"/>
    </row>
    <row r="437" spans="2:14" ht="15" x14ac:dyDescent="0.25">
      <c r="B437" s="783"/>
      <c r="C437" s="783"/>
      <c r="D437" s="783"/>
      <c r="E437" s="783"/>
      <c r="F437" s="783"/>
      <c r="G437" s="783"/>
      <c r="H437" s="783"/>
      <c r="I437" s="783"/>
      <c r="J437" s="783"/>
      <c r="K437" s="783"/>
      <c r="L437" s="783"/>
      <c r="M437" s="105" t="str">
        <f>$M$2</f>
        <v xml:space="preserve"> </v>
      </c>
      <c r="N437" s="751"/>
    </row>
    <row r="438" spans="2:14" ht="15.75" thickBot="1" x14ac:dyDescent="0.3">
      <c r="B438" s="783"/>
      <c r="C438" s="783"/>
      <c r="D438" s="783"/>
      <c r="E438" s="783"/>
      <c r="F438" s="783"/>
      <c r="G438" s="783"/>
      <c r="H438" s="783"/>
      <c r="I438" s="783"/>
      <c r="J438" s="783"/>
      <c r="K438" s="783"/>
      <c r="L438" s="783"/>
      <c r="M438" s="64"/>
      <c r="N438" s="751"/>
    </row>
    <row r="439" spans="2:14" ht="15" x14ac:dyDescent="0.25">
      <c r="B439" s="829" t="str">
        <f>$B$4</f>
        <v>2025 RATE CASE</v>
      </c>
      <c r="C439" s="835"/>
      <c r="D439" s="836"/>
      <c r="E439" s="783"/>
      <c r="F439" s="783"/>
      <c r="G439" s="783"/>
      <c r="H439" s="783"/>
      <c r="I439" s="783"/>
      <c r="J439" s="783"/>
      <c r="K439" s="783"/>
      <c r="L439" s="783"/>
      <c r="N439" s="751"/>
    </row>
    <row r="440" spans="2:14" ht="15" x14ac:dyDescent="0.25">
      <c r="B440" s="826" t="str">
        <f>$B$5</f>
        <v>ONCOR ELECTRIC DELIVERY COMPANY LLC</v>
      </c>
      <c r="C440" s="304"/>
      <c r="D440" s="837"/>
      <c r="E440" s="783"/>
      <c r="F440" s="783"/>
      <c r="G440" s="783"/>
      <c r="H440" s="783"/>
      <c r="I440" s="783"/>
      <c r="J440" s="783"/>
      <c r="K440" s="783"/>
      <c r="L440" s="783"/>
      <c r="M440" s="64"/>
      <c r="N440" s="751"/>
    </row>
    <row r="441" spans="2:14" ht="15" x14ac:dyDescent="0.25">
      <c r="B441" s="341" t="str">
        <f>$B$6</f>
        <v>CONSOLIDATED FUNCTIONALIZED COST OF SERVICE</v>
      </c>
      <c r="C441" s="304"/>
      <c r="D441" s="837"/>
      <c r="E441" s="783"/>
      <c r="F441" s="783"/>
      <c r="G441" s="783"/>
      <c r="H441" s="783"/>
      <c r="I441" s="783"/>
      <c r="J441" s="783"/>
      <c r="K441" s="783"/>
      <c r="L441" s="783"/>
      <c r="M441" s="64"/>
      <c r="N441" s="751"/>
    </row>
    <row r="442" spans="2:14" ht="15" x14ac:dyDescent="0.25">
      <c r="B442" s="341" t="str">
        <f>$B$7</f>
        <v>TEST YEAR ENDING 12/31/2024</v>
      </c>
      <c r="C442" s="304"/>
      <c r="D442" s="837"/>
      <c r="E442" s="304"/>
      <c r="F442" s="304"/>
      <c r="G442" s="304"/>
      <c r="H442" s="304"/>
      <c r="I442" s="304"/>
      <c r="J442" s="304"/>
      <c r="K442" s="304"/>
      <c r="L442" s="304"/>
      <c r="M442" s="64"/>
      <c r="N442" s="751"/>
    </row>
    <row r="443" spans="2:14" ht="15" x14ac:dyDescent="0.25">
      <c r="B443" s="341" t="str">
        <f>$B$8</f>
        <v>SPONSOR:  MATTHEW A. TROXLE</v>
      </c>
      <c r="C443" s="304"/>
      <c r="D443" s="837"/>
      <c r="E443" s="304"/>
      <c r="F443" s="304"/>
      <c r="G443" s="304"/>
      <c r="H443" s="304"/>
      <c r="I443" s="304"/>
      <c r="J443" s="304"/>
      <c r="K443" s="304"/>
      <c r="L443" s="304"/>
      <c r="M443" s="64"/>
      <c r="N443" s="751"/>
    </row>
    <row r="444" spans="2:14" ht="15.75" thickBot="1" x14ac:dyDescent="0.3">
      <c r="B444" s="345"/>
      <c r="C444" s="840"/>
      <c r="D444" s="841"/>
      <c r="E444" s="304"/>
      <c r="F444" s="304"/>
      <c r="G444" s="304"/>
      <c r="H444" s="304"/>
      <c r="I444" s="304"/>
      <c r="J444" s="304"/>
      <c r="K444" s="304"/>
      <c r="L444" s="304"/>
      <c r="M444" s="64"/>
      <c r="N444" s="751"/>
    </row>
    <row r="445" spans="2:14" x14ac:dyDescent="0.2">
      <c r="B445" s="12"/>
      <c r="C445" s="13"/>
      <c r="D445" s="13"/>
      <c r="E445" s="13"/>
      <c r="F445" s="176" t="s">
        <v>6</v>
      </c>
      <c r="G445" s="12" t="s">
        <v>7</v>
      </c>
      <c r="H445" s="12" t="s">
        <v>8</v>
      </c>
      <c r="I445" s="178" t="s">
        <v>9</v>
      </c>
      <c r="J445" s="12" t="s">
        <v>10</v>
      </c>
      <c r="K445" s="16"/>
      <c r="L445" s="110" t="s">
        <v>907</v>
      </c>
      <c r="M445" s="64"/>
      <c r="N445" s="751"/>
    </row>
    <row r="446" spans="2:14" ht="15" x14ac:dyDescent="0.25">
      <c r="B446" s="14" t="s">
        <v>2</v>
      </c>
      <c r="C446" s="14" t="s">
        <v>349</v>
      </c>
      <c r="D446" s="226" t="s">
        <v>118</v>
      </c>
      <c r="E446" s="14" t="s">
        <v>350</v>
      </c>
      <c r="F446" s="181"/>
      <c r="G446" s="14"/>
      <c r="H446" s="14"/>
      <c r="I446" s="14"/>
      <c r="J446" s="14"/>
      <c r="K446" s="16"/>
      <c r="L446" s="93" t="s">
        <v>908</v>
      </c>
      <c r="M446" s="64"/>
      <c r="N446" s="751"/>
    </row>
    <row r="447" spans="2:14" x14ac:dyDescent="0.2">
      <c r="B447" s="14"/>
      <c r="C447" s="14"/>
      <c r="D447" s="14"/>
      <c r="E447" s="14"/>
      <c r="F447" s="181"/>
      <c r="G447" s="14"/>
      <c r="H447" s="14"/>
      <c r="I447" s="14"/>
      <c r="J447" s="14"/>
      <c r="K447" s="16"/>
      <c r="L447" s="93"/>
      <c r="M447" s="64"/>
      <c r="N447" s="751"/>
    </row>
    <row r="448" spans="2:14" ht="15" thickBot="1" x14ac:dyDescent="0.25">
      <c r="B448" s="15"/>
      <c r="C448" s="15" t="s">
        <v>13</v>
      </c>
      <c r="D448" s="15" t="s">
        <v>14</v>
      </c>
      <c r="E448" s="15" t="s">
        <v>15</v>
      </c>
      <c r="F448" s="15" t="s">
        <v>16</v>
      </c>
      <c r="G448" s="15" t="s">
        <v>17</v>
      </c>
      <c r="H448" s="15" t="s">
        <v>18</v>
      </c>
      <c r="I448" s="15" t="s">
        <v>21</v>
      </c>
      <c r="J448" s="15" t="s">
        <v>22</v>
      </c>
      <c r="K448" s="16"/>
      <c r="L448" s="997" t="s">
        <v>397</v>
      </c>
      <c r="M448" s="64"/>
      <c r="N448" s="751"/>
    </row>
    <row r="449" spans="2:15" x14ac:dyDescent="0.2">
      <c r="B449" s="64"/>
      <c r="C449" s="268"/>
      <c r="D449" s="268"/>
      <c r="E449" s="268"/>
      <c r="F449" s="268"/>
      <c r="G449" s="268"/>
      <c r="H449" s="268"/>
      <c r="I449" s="41"/>
      <c r="J449" s="41"/>
      <c r="K449" s="41"/>
      <c r="L449" s="41"/>
      <c r="M449" s="64"/>
      <c r="N449" s="751"/>
    </row>
    <row r="450" spans="2:15" ht="15" x14ac:dyDescent="0.25">
      <c r="B450" s="16">
        <f t="shared" ref="B450:B455" si="63">B449+1</f>
        <v>1</v>
      </c>
      <c r="C450" s="269" t="s">
        <v>110</v>
      </c>
      <c r="D450" s="41"/>
      <c r="E450" s="41"/>
      <c r="F450" s="41"/>
      <c r="G450" s="41"/>
      <c r="H450" s="41"/>
      <c r="I450" s="41"/>
      <c r="J450" s="41"/>
      <c r="K450" s="41"/>
      <c r="L450" s="41"/>
      <c r="M450" s="64"/>
      <c r="N450" s="751"/>
    </row>
    <row r="451" spans="2:15" ht="15" x14ac:dyDescent="0.25">
      <c r="B451" s="16">
        <f t="shared" si="63"/>
        <v>2</v>
      </c>
      <c r="C451" s="283" t="s">
        <v>549</v>
      </c>
      <c r="D451" s="34"/>
      <c r="E451" s="35" t="s">
        <v>119</v>
      </c>
      <c r="F451" s="284"/>
      <c r="G451" s="284"/>
      <c r="H451" s="284"/>
      <c r="I451" s="284"/>
      <c r="J451" s="34"/>
      <c r="K451" s="34"/>
      <c r="L451" s="285"/>
      <c r="M451" s="64"/>
      <c r="N451" s="751"/>
    </row>
    <row r="452" spans="2:15" s="321" customFormat="1" ht="16.5" x14ac:dyDescent="0.35">
      <c r="B452" s="16">
        <f t="shared" si="63"/>
        <v>3</v>
      </c>
      <c r="C452" s="41"/>
      <c r="D452" s="41" t="s">
        <v>118</v>
      </c>
      <c r="E452" s="41"/>
      <c r="F452" s="1334">
        <f>'WP II-I-1.1'!F129</f>
        <v>-56089574.129999995</v>
      </c>
      <c r="G452" s="1335">
        <f>'WP II-I-1.1'!G129</f>
        <v>-25613472.190000005</v>
      </c>
      <c r="H452" s="1335">
        <f>'WP II-I-1.1'!H129</f>
        <v>-298798.5199999999</v>
      </c>
      <c r="I452" s="1336">
        <f>'WP II-I-1.1'!I129</f>
        <v>175757.58000000461</v>
      </c>
      <c r="J452" s="238">
        <f>SUM(F452:I452)</f>
        <v>-81826087.25999999</v>
      </c>
      <c r="K452" s="238"/>
      <c r="L452" s="232">
        <f t="shared" ref="L452:L501" si="64">SUM(G452:I452)</f>
        <v>-25736513.129999999</v>
      </c>
      <c r="M452" s="45"/>
      <c r="N452" s="751">
        <f t="shared" ref="N452" si="65">J452-L452-F452</f>
        <v>0</v>
      </c>
      <c r="O452" s="751">
        <f>'WP II-I-1.1'!$J$129-L452-F452</f>
        <v>0</v>
      </c>
    </row>
    <row r="453" spans="2:15" ht="15" x14ac:dyDescent="0.25">
      <c r="B453" s="16">
        <f t="shared" si="63"/>
        <v>4</v>
      </c>
      <c r="C453" s="34"/>
      <c r="D453" s="42" t="s">
        <v>444</v>
      </c>
      <c r="E453" s="37"/>
      <c r="F453" s="807">
        <f>+F452</f>
        <v>-56089574.129999995</v>
      </c>
      <c r="G453" s="807">
        <f>+G452</f>
        <v>-25613472.190000005</v>
      </c>
      <c r="H453" s="807">
        <f>+H452</f>
        <v>-298798.5199999999</v>
      </c>
      <c r="I453" s="807">
        <f>+I452</f>
        <v>175757.58000000461</v>
      </c>
      <c r="J453" s="236">
        <f>SUM(F453:I453)</f>
        <v>-81826087.25999999</v>
      </c>
      <c r="K453" s="236"/>
      <c r="L453" s="807">
        <f t="shared" si="64"/>
        <v>-25736513.129999999</v>
      </c>
      <c r="M453" s="64"/>
      <c r="N453" s="751">
        <f t="shared" si="62"/>
        <v>0</v>
      </c>
    </row>
    <row r="454" spans="2:15" ht="15" thickBot="1" x14ac:dyDescent="0.25">
      <c r="B454" s="16">
        <f t="shared" si="63"/>
        <v>5</v>
      </c>
      <c r="C454" s="41"/>
      <c r="D454" s="275"/>
      <c r="E454" s="202"/>
      <c r="F454" s="202"/>
      <c r="G454" s="41"/>
      <c r="H454" s="41"/>
      <c r="I454" s="41"/>
      <c r="J454" s="41"/>
      <c r="K454" s="41"/>
      <c r="L454" s="41"/>
      <c r="M454" s="64"/>
      <c r="N454" s="751"/>
    </row>
    <row r="455" spans="2:15" ht="15.75" thickBot="1" x14ac:dyDescent="0.3">
      <c r="B455" s="16">
        <f t="shared" si="63"/>
        <v>6</v>
      </c>
      <c r="C455" s="270" t="s">
        <v>553</v>
      </c>
      <c r="D455" s="271"/>
      <c r="E455" s="272" t="s">
        <v>119</v>
      </c>
      <c r="F455" s="217">
        <f>+F453</f>
        <v>-56089574.129999995</v>
      </c>
      <c r="G455" s="217">
        <f>+G453</f>
        <v>-25613472.190000005</v>
      </c>
      <c r="H455" s="217">
        <f>+H453</f>
        <v>-298798.5199999999</v>
      </c>
      <c r="I455" s="217">
        <f>+I453</f>
        <v>175757.58000000461</v>
      </c>
      <c r="J455" s="195">
        <f>SUM(F455:I455)</f>
        <v>-81826087.25999999</v>
      </c>
      <c r="K455" s="191"/>
      <c r="L455" s="219">
        <f t="shared" si="64"/>
        <v>-25736513.129999999</v>
      </c>
      <c r="M455" s="64"/>
      <c r="N455" s="751">
        <f t="shared" si="62"/>
        <v>0</v>
      </c>
    </row>
    <row r="456" spans="2:15" x14ac:dyDescent="0.2">
      <c r="B456" s="64"/>
      <c r="C456" s="64"/>
      <c r="D456" s="64"/>
      <c r="E456" s="64"/>
      <c r="F456" s="64"/>
      <c r="G456" s="64"/>
      <c r="H456" s="64"/>
      <c r="I456" s="64"/>
      <c r="J456" s="64"/>
      <c r="K456" s="45"/>
      <c r="L456" s="45"/>
      <c r="M456" s="64"/>
    </row>
    <row r="457" spans="2:15" ht="15" x14ac:dyDescent="0.25">
      <c r="B457" s="783"/>
      <c r="C457" s="783"/>
      <c r="D457" s="783"/>
      <c r="E457" s="783"/>
      <c r="F457" s="783"/>
      <c r="G457" s="783"/>
      <c r="H457" s="783"/>
      <c r="I457" s="783"/>
      <c r="J457" s="783"/>
      <c r="K457" s="783"/>
      <c r="L457" s="783"/>
      <c r="M457" s="105" t="str">
        <f>$M$2</f>
        <v xml:space="preserve"> </v>
      </c>
    </row>
    <row r="458" spans="2:15" ht="15.75" thickBot="1" x14ac:dyDescent="0.3">
      <c r="B458" s="783"/>
      <c r="C458" s="783"/>
      <c r="D458" s="783"/>
      <c r="E458" s="783"/>
      <c r="F458" s="783"/>
      <c r="G458" s="783"/>
      <c r="H458" s="783"/>
      <c r="I458" s="783"/>
      <c r="J458" s="783"/>
      <c r="K458" s="783"/>
      <c r="L458" s="783"/>
      <c r="M458" s="64"/>
    </row>
    <row r="459" spans="2:15" ht="15" x14ac:dyDescent="0.25">
      <c r="B459" s="829" t="str">
        <f>$B$4</f>
        <v>2025 RATE CASE</v>
      </c>
      <c r="C459" s="835"/>
      <c r="D459" s="836"/>
      <c r="E459" s="783"/>
      <c r="F459" s="783"/>
      <c r="G459" s="783"/>
      <c r="H459" s="783"/>
      <c r="I459" s="783"/>
      <c r="J459" s="783"/>
      <c r="K459" s="783"/>
      <c r="L459" s="783"/>
    </row>
    <row r="460" spans="2:15" ht="15" x14ac:dyDescent="0.25">
      <c r="B460" s="826" t="str">
        <f>$B$5</f>
        <v>ONCOR ELECTRIC DELIVERY COMPANY LLC</v>
      </c>
      <c r="C460" s="304"/>
      <c r="D460" s="837"/>
      <c r="E460" s="783"/>
      <c r="F460" s="783"/>
      <c r="G460" s="783"/>
      <c r="H460" s="783"/>
      <c r="I460" s="783"/>
      <c r="J460" s="783"/>
      <c r="K460" s="783"/>
      <c r="L460" s="783"/>
      <c r="M460" s="64"/>
    </row>
    <row r="461" spans="2:15" ht="15" x14ac:dyDescent="0.25">
      <c r="B461" s="341" t="str">
        <f>$B$6</f>
        <v>CONSOLIDATED FUNCTIONALIZED COST OF SERVICE</v>
      </c>
      <c r="C461" s="304"/>
      <c r="D461" s="837"/>
      <c r="E461" s="783"/>
      <c r="F461" s="783"/>
      <c r="G461" s="783"/>
      <c r="H461" s="783"/>
      <c r="I461" s="783"/>
      <c r="J461" s="783"/>
      <c r="K461" s="783"/>
      <c r="L461" s="783"/>
      <c r="M461" s="64"/>
    </row>
    <row r="462" spans="2:15" ht="15" x14ac:dyDescent="0.25">
      <c r="B462" s="341" t="str">
        <f>$B$7</f>
        <v>TEST YEAR ENDING 12/31/2024</v>
      </c>
      <c r="C462" s="304"/>
      <c r="D462" s="837"/>
      <c r="E462" s="304"/>
      <c r="F462" s="304"/>
      <c r="G462" s="304"/>
      <c r="H462" s="304"/>
      <c r="I462" s="304"/>
      <c r="J462" s="304"/>
      <c r="K462" s="304"/>
      <c r="L462" s="304"/>
      <c r="M462" s="64"/>
    </row>
    <row r="463" spans="2:15" ht="15" x14ac:dyDescent="0.25">
      <c r="B463" s="341" t="str">
        <f>$B$8</f>
        <v>SPONSOR:  MATTHEW A. TROXLE</v>
      </c>
      <c r="C463" s="304"/>
      <c r="D463" s="837"/>
      <c r="E463" s="304"/>
      <c r="F463" s="304"/>
      <c r="G463" s="304"/>
      <c r="H463" s="304"/>
      <c r="I463" s="304"/>
      <c r="J463" s="304"/>
      <c r="K463" s="304"/>
      <c r="L463" s="304"/>
      <c r="M463" s="64"/>
    </row>
    <row r="464" spans="2:15" ht="15.75" thickBot="1" x14ac:dyDescent="0.3">
      <c r="B464" s="345"/>
      <c r="C464" s="840"/>
      <c r="D464" s="841"/>
      <c r="E464" s="304"/>
      <c r="F464" s="304"/>
      <c r="G464" s="304"/>
      <c r="H464" s="304"/>
      <c r="I464" s="304"/>
      <c r="J464" s="304"/>
      <c r="K464" s="304"/>
      <c r="L464" s="304"/>
      <c r="M464" s="64"/>
    </row>
    <row r="465" spans="2:15" x14ac:dyDescent="0.2">
      <c r="B465" s="12"/>
      <c r="C465" s="13"/>
      <c r="D465" s="13"/>
      <c r="E465" s="13"/>
      <c r="F465" s="176" t="s">
        <v>6</v>
      </c>
      <c r="G465" s="12" t="s">
        <v>7</v>
      </c>
      <c r="H465" s="12" t="s">
        <v>8</v>
      </c>
      <c r="I465" s="178" t="s">
        <v>9</v>
      </c>
      <c r="J465" s="12" t="s">
        <v>10</v>
      </c>
      <c r="K465" s="16"/>
      <c r="L465" s="110" t="s">
        <v>907</v>
      </c>
      <c r="M465" s="64"/>
    </row>
    <row r="466" spans="2:15" ht="15" x14ac:dyDescent="0.25">
      <c r="B466" s="14" t="s">
        <v>2</v>
      </c>
      <c r="C466" s="14" t="s">
        <v>349</v>
      </c>
      <c r="D466" s="226" t="s">
        <v>120</v>
      </c>
      <c r="E466" s="14" t="s">
        <v>350</v>
      </c>
      <c r="F466" s="181"/>
      <c r="G466" s="14"/>
      <c r="H466" s="14"/>
      <c r="I466" s="14"/>
      <c r="J466" s="14"/>
      <c r="K466" s="16"/>
      <c r="L466" s="93" t="s">
        <v>908</v>
      </c>
      <c r="M466" s="64"/>
    </row>
    <row r="467" spans="2:15" x14ac:dyDescent="0.2">
      <c r="B467" s="14"/>
      <c r="C467" s="14"/>
      <c r="D467" s="14"/>
      <c r="E467" s="14"/>
      <c r="F467" s="181"/>
      <c r="G467" s="14"/>
      <c r="H467" s="14"/>
      <c r="I467" s="14"/>
      <c r="J467" s="14"/>
      <c r="K467" s="16"/>
      <c r="L467" s="93"/>
      <c r="M467" s="64"/>
    </row>
    <row r="468" spans="2:15" ht="15" thickBot="1" x14ac:dyDescent="0.25">
      <c r="B468" s="15"/>
      <c r="C468" s="15" t="s">
        <v>13</v>
      </c>
      <c r="D468" s="15" t="s">
        <v>14</v>
      </c>
      <c r="E468" s="15" t="s">
        <v>15</v>
      </c>
      <c r="F468" s="15" t="s">
        <v>16</v>
      </c>
      <c r="G468" s="15" t="s">
        <v>17</v>
      </c>
      <c r="H468" s="15" t="s">
        <v>18</v>
      </c>
      <c r="I468" s="15" t="s">
        <v>21</v>
      </c>
      <c r="J468" s="15" t="s">
        <v>22</v>
      </c>
      <c r="K468" s="16"/>
      <c r="L468" s="997" t="s">
        <v>397</v>
      </c>
      <c r="M468" s="64"/>
    </row>
    <row r="469" spans="2:15" x14ac:dyDescent="0.2">
      <c r="B469" s="64"/>
      <c r="C469" s="268"/>
      <c r="D469" s="268"/>
      <c r="E469" s="268"/>
      <c r="F469" s="268"/>
      <c r="G469" s="268"/>
      <c r="H469" s="268"/>
      <c r="I469" s="41"/>
      <c r="J469" s="41"/>
      <c r="K469" s="41"/>
      <c r="L469" s="41"/>
      <c r="M469" s="64"/>
    </row>
    <row r="470" spans="2:15" ht="15" x14ac:dyDescent="0.25">
      <c r="B470" s="16">
        <f t="shared" ref="B470:B478" si="66">B469+1</f>
        <v>1</v>
      </c>
      <c r="C470" s="269" t="s">
        <v>110</v>
      </c>
      <c r="D470" s="34"/>
      <c r="E470" s="35"/>
      <c r="F470" s="37"/>
      <c r="G470" s="34"/>
      <c r="H470" s="34"/>
      <c r="I470" s="34"/>
      <c r="J470" s="34"/>
      <c r="K470" s="34"/>
      <c r="L470" s="34"/>
      <c r="M470" s="64"/>
    </row>
    <row r="471" spans="2:15" ht="15" x14ac:dyDescent="0.25">
      <c r="B471" s="16">
        <f t="shared" si="66"/>
        <v>2</v>
      </c>
      <c r="C471" s="283" t="s">
        <v>549</v>
      </c>
      <c r="D471" s="42"/>
      <c r="E471" s="202"/>
      <c r="F471" s="202"/>
      <c r="G471" s="41"/>
      <c r="H471" s="41"/>
      <c r="I471" s="41"/>
      <c r="J471" s="41"/>
      <c r="K471" s="41"/>
      <c r="L471" s="41"/>
      <c r="M471" s="64"/>
    </row>
    <row r="472" spans="2:15" ht="15" x14ac:dyDescent="0.25">
      <c r="B472" s="16">
        <f t="shared" si="66"/>
        <v>3</v>
      </c>
      <c r="C472" s="34">
        <v>165</v>
      </c>
      <c r="D472" s="283" t="s">
        <v>120</v>
      </c>
      <c r="E472" s="35" t="s">
        <v>121</v>
      </c>
      <c r="F472" s="37"/>
      <c r="G472" s="34"/>
      <c r="H472" s="34"/>
      <c r="I472" s="34"/>
      <c r="J472" s="34"/>
      <c r="K472" s="34"/>
      <c r="L472" s="34"/>
      <c r="M472" s="64"/>
    </row>
    <row r="473" spans="2:15" s="321" customFormat="1" ht="16.5" x14ac:dyDescent="0.35">
      <c r="B473" s="16">
        <f t="shared" si="66"/>
        <v>4</v>
      </c>
      <c r="C473" s="41"/>
      <c r="D473" s="34" t="s">
        <v>120</v>
      </c>
      <c r="E473" s="286"/>
      <c r="F473" s="1334">
        <f>'WP II-I-1.1'!F130</f>
        <v>17382401.434679456</v>
      </c>
      <c r="G473" s="1335">
        <f>'WP II-I-1.1'!G130</f>
        <v>127742955.85948826</v>
      </c>
      <c r="H473" s="1335">
        <f>'WP II-I-1.1'!H130</f>
        <v>584939.38897891541</v>
      </c>
      <c r="I473" s="1336">
        <f>'WP II-I-1.1'!I130</f>
        <v>529501.175314861</v>
      </c>
      <c r="J473" s="238">
        <f>SUM(F473:I473)</f>
        <v>146239797.85846153</v>
      </c>
      <c r="K473" s="238"/>
      <c r="L473" s="232">
        <f t="shared" si="64"/>
        <v>128857396.42378204</v>
      </c>
      <c r="M473" s="45"/>
      <c r="N473" s="751">
        <f t="shared" ref="N473:N478" si="67">J473-L473-F473</f>
        <v>3.7252902984619141E-8</v>
      </c>
      <c r="O473" s="751">
        <f>'WP II-I-1.1'!$J$130-L473-F473</f>
        <v>3.7252902984619141E-8</v>
      </c>
    </row>
    <row r="474" spans="2:15" ht="15" x14ac:dyDescent="0.25">
      <c r="B474" s="16">
        <f t="shared" si="66"/>
        <v>5</v>
      </c>
      <c r="C474" s="34"/>
      <c r="D474" s="42" t="s">
        <v>444</v>
      </c>
      <c r="E474" s="287"/>
      <c r="F474" s="807">
        <f>SUM(F473:F473)</f>
        <v>17382401.434679456</v>
      </c>
      <c r="G474" s="807">
        <f>SUM(G473:G473)</f>
        <v>127742955.85948826</v>
      </c>
      <c r="H474" s="807">
        <f>SUM(H473:H473)</f>
        <v>584939.38897891541</v>
      </c>
      <c r="I474" s="807">
        <f>SUM(I473:I473)</f>
        <v>529501.175314861</v>
      </c>
      <c r="J474" s="236">
        <f>SUM(F474:I474)</f>
        <v>146239797.85846153</v>
      </c>
      <c r="K474" s="236"/>
      <c r="L474" s="807">
        <f t="shared" si="64"/>
        <v>128857396.42378204</v>
      </c>
      <c r="M474" s="64"/>
      <c r="N474" s="751">
        <f t="shared" si="67"/>
        <v>3.7252902984619141E-8</v>
      </c>
    </row>
    <row r="475" spans="2:15" ht="15.75" thickBot="1" x14ac:dyDescent="0.3">
      <c r="B475" s="16">
        <f t="shared" si="66"/>
        <v>6</v>
      </c>
      <c r="C475" s="34"/>
      <c r="D475" s="42"/>
      <c r="E475" s="287"/>
      <c r="F475" s="288"/>
      <c r="G475" s="288"/>
      <c r="H475" s="288"/>
      <c r="I475" s="288"/>
      <c r="J475" s="288"/>
      <c r="K475" s="288"/>
      <c r="L475" s="289"/>
      <c r="M475" s="64"/>
    </row>
    <row r="476" spans="2:15" ht="15.75" thickBot="1" x14ac:dyDescent="0.3">
      <c r="B476" s="16">
        <f t="shared" si="66"/>
        <v>7</v>
      </c>
      <c r="C476" s="276" t="s">
        <v>554</v>
      </c>
      <c r="D476" s="271"/>
      <c r="E476" s="272" t="s">
        <v>121</v>
      </c>
      <c r="F476" s="217">
        <f>+F474</f>
        <v>17382401.434679456</v>
      </c>
      <c r="G476" s="217">
        <f>+G474</f>
        <v>127742955.85948826</v>
      </c>
      <c r="H476" s="217">
        <f>+H474</f>
        <v>584939.38897891541</v>
      </c>
      <c r="I476" s="217">
        <f>+I474</f>
        <v>529501.175314861</v>
      </c>
      <c r="J476" s="195">
        <f>SUM(F476:I476)</f>
        <v>146239797.85846153</v>
      </c>
      <c r="K476" s="191"/>
      <c r="L476" s="219">
        <f t="shared" si="64"/>
        <v>128857396.42378204</v>
      </c>
      <c r="M476" s="64"/>
      <c r="N476" s="751">
        <f t="shared" si="67"/>
        <v>3.7252902984619141E-8</v>
      </c>
    </row>
    <row r="477" spans="2:15" ht="15" thickBot="1" x14ac:dyDescent="0.25">
      <c r="B477" s="16">
        <f t="shared" si="66"/>
        <v>8</v>
      </c>
      <c r="C477" s="41"/>
      <c r="D477" s="275"/>
      <c r="E477" s="286"/>
      <c r="F477" s="202"/>
      <c r="G477" s="202"/>
      <c r="H477" s="202"/>
      <c r="I477" s="202"/>
      <c r="J477" s="202"/>
      <c r="K477" s="202"/>
      <c r="L477" s="202"/>
      <c r="M477" s="64"/>
    </row>
    <row r="478" spans="2:15" ht="15.75" thickBot="1" x14ac:dyDescent="0.3">
      <c r="B478" s="16">
        <f t="shared" si="66"/>
        <v>9</v>
      </c>
      <c r="C478" s="276" t="s">
        <v>555</v>
      </c>
      <c r="D478" s="271"/>
      <c r="E478" s="272" t="s">
        <v>556</v>
      </c>
      <c r="F478" s="217">
        <f>+F476+F455+F435</f>
        <v>180421534.81467944</v>
      </c>
      <c r="G478" s="217">
        <f>+G476+G455+G435</f>
        <v>260087549.41948825</v>
      </c>
      <c r="H478" s="217">
        <f>+H476+H455+H435</f>
        <v>1527940.3389789155</v>
      </c>
      <c r="I478" s="217">
        <f>+I476+I455+I435</f>
        <v>705258.75531486562</v>
      </c>
      <c r="J478" s="195">
        <f>SUM(F478:I478)</f>
        <v>442742283.32846147</v>
      </c>
      <c r="K478" s="191"/>
      <c r="L478" s="219">
        <f t="shared" si="64"/>
        <v>262320748.51378202</v>
      </c>
      <c r="M478" s="64"/>
      <c r="N478" s="751">
        <f t="shared" si="67"/>
        <v>0</v>
      </c>
    </row>
    <row r="479" spans="2:15" x14ac:dyDescent="0.2">
      <c r="B479" s="64"/>
      <c r="C479" s="64"/>
      <c r="D479" s="64"/>
      <c r="E479" s="64"/>
      <c r="F479" s="64"/>
      <c r="G479" s="64"/>
      <c r="H479" s="64"/>
      <c r="I479" s="64"/>
      <c r="J479" s="64"/>
      <c r="K479" s="45"/>
      <c r="L479" s="45"/>
      <c r="M479" s="64"/>
    </row>
    <row r="480" spans="2:15" ht="15" x14ac:dyDescent="0.25">
      <c r="B480" s="783"/>
      <c r="C480" s="783"/>
      <c r="D480" s="783"/>
      <c r="E480" s="783"/>
      <c r="F480" s="783"/>
      <c r="G480" s="783"/>
      <c r="H480" s="783"/>
      <c r="I480" s="783"/>
      <c r="J480" s="783"/>
      <c r="K480" s="783"/>
      <c r="L480" s="783"/>
      <c r="M480" s="105" t="str">
        <f>$M$2</f>
        <v xml:space="preserve"> </v>
      </c>
    </row>
    <row r="481" spans="2:15" ht="15.75" thickBot="1" x14ac:dyDescent="0.3">
      <c r="B481" s="783"/>
      <c r="C481" s="783"/>
      <c r="D481" s="783"/>
      <c r="E481" s="783"/>
      <c r="F481" s="783"/>
      <c r="G481" s="783"/>
      <c r="H481" s="783"/>
      <c r="I481" s="783"/>
      <c r="J481" s="783"/>
      <c r="K481" s="783"/>
      <c r="L481" s="783"/>
      <c r="M481" s="64"/>
    </row>
    <row r="482" spans="2:15" ht="15" x14ac:dyDescent="0.25">
      <c r="B482" s="829" t="str">
        <f>$B$4</f>
        <v>2025 RATE CASE</v>
      </c>
      <c r="C482" s="835"/>
      <c r="D482" s="836"/>
      <c r="E482" s="783"/>
      <c r="F482" s="783"/>
      <c r="G482" s="783"/>
      <c r="H482" s="783"/>
      <c r="I482" s="783"/>
      <c r="J482" s="783"/>
      <c r="K482" s="783"/>
      <c r="L482" s="783"/>
    </row>
    <row r="483" spans="2:15" ht="15" x14ac:dyDescent="0.25">
      <c r="B483" s="826" t="str">
        <f>$B$5</f>
        <v>ONCOR ELECTRIC DELIVERY COMPANY LLC</v>
      </c>
      <c r="C483" s="304"/>
      <c r="D483" s="837"/>
      <c r="E483" s="783"/>
      <c r="F483" s="783"/>
      <c r="G483" s="783"/>
      <c r="H483" s="783"/>
      <c r="I483" s="783"/>
      <c r="J483" s="783"/>
      <c r="K483" s="783"/>
      <c r="L483" s="783"/>
      <c r="M483" s="64"/>
    </row>
    <row r="484" spans="2:15" ht="15" x14ac:dyDescent="0.25">
      <c r="B484" s="341" t="str">
        <f>$B$6</f>
        <v>CONSOLIDATED FUNCTIONALIZED COST OF SERVICE</v>
      </c>
      <c r="C484" s="304"/>
      <c r="D484" s="837"/>
      <c r="E484" s="783"/>
      <c r="F484" s="783"/>
      <c r="G484" s="783"/>
      <c r="H484" s="783"/>
      <c r="I484" s="783"/>
      <c r="J484" s="783"/>
      <c r="K484" s="783"/>
      <c r="L484" s="783"/>
      <c r="M484" s="64"/>
    </row>
    <row r="485" spans="2:15" ht="15" x14ac:dyDescent="0.25">
      <c r="B485" s="341" t="str">
        <f>$B$7</f>
        <v>TEST YEAR ENDING 12/31/2024</v>
      </c>
      <c r="C485" s="304"/>
      <c r="D485" s="837"/>
      <c r="E485" s="304"/>
      <c r="F485" s="304"/>
      <c r="G485" s="304"/>
      <c r="H485" s="304"/>
      <c r="I485" s="304"/>
      <c r="J485" s="304"/>
      <c r="K485" s="304"/>
      <c r="L485" s="304"/>
      <c r="M485" s="64"/>
    </row>
    <row r="486" spans="2:15" ht="15" x14ac:dyDescent="0.25">
      <c r="B486" s="341" t="str">
        <f>$B$8</f>
        <v>SPONSOR:  MATTHEW A. TROXLE</v>
      </c>
      <c r="C486" s="304"/>
      <c r="D486" s="837"/>
      <c r="E486" s="304"/>
      <c r="F486" s="304"/>
      <c r="G486" s="304"/>
      <c r="H486" s="304"/>
      <c r="I486" s="304"/>
      <c r="J486" s="304"/>
      <c r="K486" s="304"/>
      <c r="L486" s="304"/>
      <c r="M486" s="64"/>
    </row>
    <row r="487" spans="2:15" ht="15.75" thickBot="1" x14ac:dyDescent="0.3">
      <c r="B487" s="345"/>
      <c r="C487" s="840"/>
      <c r="D487" s="841"/>
      <c r="E487" s="304"/>
      <c r="F487" s="304"/>
      <c r="G487" s="304"/>
      <c r="H487" s="304"/>
      <c r="I487" s="304"/>
      <c r="J487" s="304"/>
      <c r="K487" s="304"/>
      <c r="L487" s="304"/>
      <c r="M487" s="64"/>
    </row>
    <row r="488" spans="2:15" x14ac:dyDescent="0.2">
      <c r="B488" s="12"/>
      <c r="C488" s="13"/>
      <c r="D488" s="13"/>
      <c r="E488" s="13"/>
      <c r="F488" s="176" t="s">
        <v>6</v>
      </c>
      <c r="G488" s="12" t="s">
        <v>7</v>
      </c>
      <c r="H488" s="12" t="s">
        <v>8</v>
      </c>
      <c r="I488" s="178" t="s">
        <v>9</v>
      </c>
      <c r="J488" s="12" t="s">
        <v>10</v>
      </c>
      <c r="K488" s="16"/>
      <c r="L488" s="110" t="s">
        <v>907</v>
      </c>
      <c r="M488" s="64"/>
    </row>
    <row r="489" spans="2:15" ht="15" x14ac:dyDescent="0.25">
      <c r="B489" s="14" t="s">
        <v>2</v>
      </c>
      <c r="C489" s="14" t="s">
        <v>349</v>
      </c>
      <c r="D489" s="226" t="s">
        <v>122</v>
      </c>
      <c r="E489" s="14" t="s">
        <v>350</v>
      </c>
      <c r="F489" s="181"/>
      <c r="G489" s="14"/>
      <c r="H489" s="14"/>
      <c r="I489" s="14"/>
      <c r="J489" s="14"/>
      <c r="K489" s="16"/>
      <c r="L489" s="93" t="s">
        <v>908</v>
      </c>
      <c r="M489" s="64"/>
    </row>
    <row r="490" spans="2:15" x14ac:dyDescent="0.2">
      <c r="B490" s="14"/>
      <c r="C490" s="14"/>
      <c r="D490" s="14"/>
      <c r="E490" s="14"/>
      <c r="F490" s="181"/>
      <c r="G490" s="14"/>
      <c r="H490" s="14"/>
      <c r="I490" s="14"/>
      <c r="J490" s="14"/>
      <c r="K490" s="16"/>
      <c r="L490" s="93"/>
      <c r="M490" s="64"/>
    </row>
    <row r="491" spans="2:15" ht="15" thickBot="1" x14ac:dyDescent="0.25">
      <c r="B491" s="15"/>
      <c r="C491" s="15" t="s">
        <v>13</v>
      </c>
      <c r="D491" s="15" t="s">
        <v>14</v>
      </c>
      <c r="E491" s="15" t="s">
        <v>15</v>
      </c>
      <c r="F491" s="15" t="s">
        <v>16</v>
      </c>
      <c r="G491" s="15" t="s">
        <v>17</v>
      </c>
      <c r="H491" s="15" t="s">
        <v>18</v>
      </c>
      <c r="I491" s="15" t="s">
        <v>21</v>
      </c>
      <c r="J491" s="15" t="s">
        <v>22</v>
      </c>
      <c r="K491" s="16"/>
      <c r="L491" s="997" t="s">
        <v>397</v>
      </c>
      <c r="M491" s="64"/>
    </row>
    <row r="492" spans="2:15" x14ac:dyDescent="0.2">
      <c r="B492" s="64"/>
      <c r="C492" s="268"/>
      <c r="D492" s="268"/>
      <c r="E492" s="268"/>
      <c r="F492" s="268"/>
      <c r="G492" s="268"/>
      <c r="H492" s="268"/>
      <c r="I492" s="41"/>
      <c r="J492" s="41"/>
      <c r="K492" s="41"/>
      <c r="L492" s="41"/>
      <c r="M492" s="64"/>
    </row>
    <row r="493" spans="2:15" ht="17.25" customHeight="1" x14ac:dyDescent="0.25">
      <c r="B493" s="16">
        <f t="shared" ref="B493" si="68">B492+1</f>
        <v>1</v>
      </c>
      <c r="C493" s="269" t="s">
        <v>557</v>
      </c>
      <c r="D493" s="34"/>
      <c r="E493" s="35" t="s">
        <v>123</v>
      </c>
      <c r="F493" s="37"/>
      <c r="G493" s="34"/>
      <c r="H493" s="34"/>
      <c r="I493" s="34"/>
      <c r="J493" s="34"/>
      <c r="K493" s="34"/>
      <c r="L493" s="34"/>
      <c r="M493" s="64"/>
    </row>
    <row r="494" spans="2:15" s="321" customFormat="1" ht="15" x14ac:dyDescent="0.25">
      <c r="B494" s="16">
        <f>B493+1</f>
        <v>2</v>
      </c>
      <c r="C494" s="269"/>
      <c r="D494" s="611" t="s">
        <v>1108</v>
      </c>
      <c r="E494" s="202"/>
      <c r="F494" s="1348">
        <f>'WP II-I-1.1'!F131</f>
        <v>517979.78</v>
      </c>
      <c r="G494" s="1349">
        <f>'WP II-I-1.1'!G131</f>
        <v>-1971551.94</v>
      </c>
      <c r="H494" s="1349">
        <f>'WP II-I-1.1'!H131</f>
        <v>0</v>
      </c>
      <c r="I494" s="1349">
        <f>'WP II-I-1.1'!I131</f>
        <v>0</v>
      </c>
      <c r="J494" s="1350">
        <f>SUM(F494:I494)</f>
        <v>-1453572.16</v>
      </c>
      <c r="K494" s="41"/>
      <c r="L494" s="802">
        <f t="shared" si="64"/>
        <v>-1971551.94</v>
      </c>
      <c r="M494" s="45"/>
      <c r="N494" s="751">
        <f t="shared" ref="N494:N499" si="69">J494-L494-F494</f>
        <v>0</v>
      </c>
      <c r="O494" s="751">
        <f>'WP II-I-1.1'!$J$131-L494-F494</f>
        <v>0</v>
      </c>
    </row>
    <row r="495" spans="2:15" s="321" customFormat="1" ht="16.5" x14ac:dyDescent="0.35">
      <c r="B495" s="16">
        <f t="shared" ref="B495:B501" si="70">B494+1</f>
        <v>3</v>
      </c>
      <c r="C495" s="611"/>
      <c r="D495" s="1305"/>
      <c r="E495" s="35"/>
      <c r="F495" s="980">
        <v>0</v>
      </c>
      <c r="G495" s="802">
        <v>0</v>
      </c>
      <c r="H495" s="802">
        <v>0</v>
      </c>
      <c r="I495" s="802">
        <v>0</v>
      </c>
      <c r="J495" s="1351">
        <v>0</v>
      </c>
      <c r="K495" s="238"/>
      <c r="L495" s="802">
        <f t="shared" si="64"/>
        <v>0</v>
      </c>
      <c r="M495" s="45"/>
      <c r="N495" s="751">
        <f t="shared" si="69"/>
        <v>0</v>
      </c>
    </row>
    <row r="496" spans="2:15" s="321" customFormat="1" ht="16.5" x14ac:dyDescent="0.35">
      <c r="B496" s="16">
        <f t="shared" si="70"/>
        <v>4</v>
      </c>
      <c r="C496" s="41"/>
      <c r="D496" s="611" t="s">
        <v>1137</v>
      </c>
      <c r="E496" s="35"/>
      <c r="F496" s="980">
        <f>'WP II-I-1.1'!F132</f>
        <v>0</v>
      </c>
      <c r="G496" s="802">
        <f>'WP II-I-1.1'!G132</f>
        <v>-6409.94</v>
      </c>
      <c r="H496" s="802">
        <f>'WP II-I-1.1'!H132</f>
        <v>-302530.2</v>
      </c>
      <c r="I496" s="802">
        <f>'WP II-I-1.1'!I132</f>
        <v>0</v>
      </c>
      <c r="J496" s="1351">
        <f>SUM(F496:I496)</f>
        <v>-308940.14</v>
      </c>
      <c r="K496" s="238"/>
      <c r="L496" s="802">
        <f t="shared" si="64"/>
        <v>-308940.14</v>
      </c>
      <c r="M496" s="45"/>
      <c r="N496" s="751">
        <f t="shared" si="69"/>
        <v>0</v>
      </c>
    </row>
    <row r="497" spans="2:14" s="321" customFormat="1" ht="16.5" x14ac:dyDescent="0.35">
      <c r="B497" s="16">
        <f t="shared" si="70"/>
        <v>5</v>
      </c>
      <c r="C497" s="41"/>
      <c r="D497" s="577"/>
      <c r="E497" s="806"/>
      <c r="F497" s="980">
        <v>0</v>
      </c>
      <c r="G497" s="802">
        <v>0</v>
      </c>
      <c r="H497" s="802">
        <v>0</v>
      </c>
      <c r="I497" s="802">
        <v>0</v>
      </c>
      <c r="J497" s="981">
        <v>0</v>
      </c>
      <c r="K497" s="238"/>
      <c r="L497" s="802">
        <f t="shared" si="64"/>
        <v>0</v>
      </c>
      <c r="M497" s="45"/>
      <c r="N497" s="751"/>
    </row>
    <row r="498" spans="2:14" s="321" customFormat="1" ht="16.5" x14ac:dyDescent="0.35">
      <c r="B498" s="16">
        <f t="shared" si="70"/>
        <v>6</v>
      </c>
      <c r="C498" s="41"/>
      <c r="D498" s="577"/>
      <c r="E498" s="806"/>
      <c r="F498" s="982">
        <v>0</v>
      </c>
      <c r="G498" s="983">
        <v>0</v>
      </c>
      <c r="H498" s="983">
        <v>0</v>
      </c>
      <c r="I498" s="983">
        <v>0</v>
      </c>
      <c r="J498" s="984">
        <v>0</v>
      </c>
      <c r="K498" s="238"/>
      <c r="L498" s="232">
        <f t="shared" si="64"/>
        <v>0</v>
      </c>
      <c r="M498" s="45"/>
      <c r="N498" s="751"/>
    </row>
    <row r="499" spans="2:14" ht="15" x14ac:dyDescent="0.25">
      <c r="B499" s="16">
        <f t="shared" si="70"/>
        <v>7</v>
      </c>
      <c r="C499" s="34"/>
      <c r="D499" s="42" t="s">
        <v>444</v>
      </c>
      <c r="E499" s="287"/>
      <c r="F499" s="807">
        <f>SUM(F494:F498)</f>
        <v>517979.78</v>
      </c>
      <c r="G499" s="807">
        <f t="shared" ref="G499:L499" si="71">SUM(G494:G498)</f>
        <v>-1977961.88</v>
      </c>
      <c r="H499" s="807">
        <f t="shared" si="71"/>
        <v>-302530.2</v>
      </c>
      <c r="I499" s="807">
        <f t="shared" si="71"/>
        <v>0</v>
      </c>
      <c r="J499" s="807">
        <f t="shared" si="71"/>
        <v>-1762512.2999999998</v>
      </c>
      <c r="K499" s="807"/>
      <c r="L499" s="807">
        <f t="shared" si="71"/>
        <v>-2280492.08</v>
      </c>
      <c r="M499" s="64"/>
      <c r="N499" s="751">
        <f t="shared" si="69"/>
        <v>0</v>
      </c>
    </row>
    <row r="500" spans="2:14" ht="15.75" thickBot="1" x14ac:dyDescent="0.3">
      <c r="B500" s="16">
        <f t="shared" si="70"/>
        <v>8</v>
      </c>
      <c r="C500" s="34"/>
      <c r="D500" s="42"/>
      <c r="E500" s="35"/>
      <c r="F500" s="37"/>
      <c r="G500" s="37"/>
      <c r="H500" s="37"/>
      <c r="I500" s="37"/>
      <c r="J500" s="34"/>
      <c r="K500" s="34"/>
      <c r="L500" s="37"/>
      <c r="M500" s="64"/>
    </row>
    <row r="501" spans="2:14" ht="15.75" thickBot="1" x14ac:dyDescent="0.3">
      <c r="B501" s="16">
        <f t="shared" si="70"/>
        <v>9</v>
      </c>
      <c r="C501" s="276" t="s">
        <v>558</v>
      </c>
      <c r="D501" s="271"/>
      <c r="E501" s="272"/>
      <c r="F501" s="217">
        <f>+F499+F478+F435+F413+F388</f>
        <v>-797437654.77532065</v>
      </c>
      <c r="G501" s="217">
        <f>+G499+G478+G435+G413+G388</f>
        <v>-1011548813.8105117</v>
      </c>
      <c r="H501" s="217">
        <f>+H499+H478+H435+H413+H388</f>
        <v>-9504438.5310210846</v>
      </c>
      <c r="I501" s="217">
        <f>+I499+I478+I435+I413+I388</f>
        <v>-51325941.704685137</v>
      </c>
      <c r="J501" s="195">
        <f>SUM(F501:I501)</f>
        <v>-1869816848.8215387</v>
      </c>
      <c r="K501" s="191"/>
      <c r="L501" s="219">
        <f t="shared" si="64"/>
        <v>-1072379194.0462179</v>
      </c>
      <c r="M501" s="64"/>
      <c r="N501" s="751">
        <f t="shared" ref="N501" si="72">J501-L501-F501</f>
        <v>0</v>
      </c>
    </row>
    <row r="502" spans="2:14" x14ac:dyDescent="0.2">
      <c r="B502" s="64"/>
      <c r="C502" s="64"/>
      <c r="D502" s="64"/>
      <c r="E502" s="64"/>
      <c r="F502" s="64"/>
      <c r="G502" s="64"/>
      <c r="H502" s="64"/>
      <c r="I502" s="64"/>
      <c r="J502" s="64"/>
      <c r="K502" s="45"/>
      <c r="L502" s="45"/>
      <c r="M502" s="64"/>
    </row>
    <row r="503" spans="2:14" ht="15" x14ac:dyDescent="0.25">
      <c r="B503" s="783"/>
      <c r="C503" s="783"/>
      <c r="D503" s="783"/>
      <c r="E503" s="783"/>
      <c r="F503" s="783"/>
      <c r="G503" s="783"/>
      <c r="H503" s="783"/>
      <c r="I503" s="783"/>
      <c r="J503" s="783"/>
      <c r="K503" s="783"/>
      <c r="L503" s="783"/>
      <c r="M503" s="105" t="str">
        <f>$M$2</f>
        <v xml:space="preserve"> </v>
      </c>
    </row>
    <row r="504" spans="2:14" ht="15.75" thickBot="1" x14ac:dyDescent="0.3">
      <c r="B504" s="783"/>
      <c r="C504" s="783"/>
      <c r="D504" s="783"/>
      <c r="E504" s="783"/>
      <c r="F504" s="783"/>
      <c r="G504" s="783"/>
      <c r="H504" s="783"/>
      <c r="I504" s="783"/>
      <c r="J504" s="783"/>
      <c r="K504" s="783"/>
      <c r="L504" s="783"/>
      <c r="M504" s="64"/>
    </row>
    <row r="505" spans="2:14" ht="15" x14ac:dyDescent="0.25">
      <c r="B505" s="829" t="str">
        <f>$B$4</f>
        <v>2025 RATE CASE</v>
      </c>
      <c r="C505" s="835"/>
      <c r="D505" s="836"/>
      <c r="E505" s="783"/>
      <c r="F505" s="783"/>
      <c r="G505" s="783"/>
      <c r="H505" s="783"/>
      <c r="I505" s="783"/>
      <c r="J505" s="783"/>
      <c r="K505" s="783"/>
      <c r="L505" s="783"/>
    </row>
    <row r="506" spans="2:14" ht="15" x14ac:dyDescent="0.25">
      <c r="B506" s="826" t="str">
        <f>$B$5</f>
        <v>ONCOR ELECTRIC DELIVERY COMPANY LLC</v>
      </c>
      <c r="C506" s="304"/>
      <c r="D506" s="837"/>
      <c r="E506" s="783"/>
      <c r="F506" s="783"/>
      <c r="G506" s="783"/>
      <c r="H506" s="783"/>
      <c r="I506" s="783"/>
      <c r="J506" s="783"/>
      <c r="K506" s="783"/>
      <c r="L506" s="783"/>
      <c r="M506" s="64"/>
    </row>
    <row r="507" spans="2:14" ht="15" x14ac:dyDescent="0.25">
      <c r="B507" s="341" t="str">
        <f>$B$6</f>
        <v>CONSOLIDATED FUNCTIONALIZED COST OF SERVICE</v>
      </c>
      <c r="C507" s="304"/>
      <c r="D507" s="837"/>
      <c r="E507" s="783"/>
      <c r="F507" s="783"/>
      <c r="G507" s="783"/>
      <c r="H507" s="783"/>
      <c r="I507" s="783"/>
      <c r="J507" s="783"/>
      <c r="K507" s="783"/>
      <c r="L507" s="783"/>
      <c r="M507" s="64"/>
    </row>
    <row r="508" spans="2:14" ht="15" x14ac:dyDescent="0.25">
      <c r="B508" s="341" t="str">
        <f>$B$7</f>
        <v>TEST YEAR ENDING 12/31/2024</v>
      </c>
      <c r="C508" s="304"/>
      <c r="D508" s="837"/>
      <c r="E508" s="304"/>
      <c r="F508" s="304"/>
      <c r="G508" s="304"/>
      <c r="H508" s="304"/>
      <c r="I508" s="304"/>
      <c r="J508" s="304"/>
      <c r="K508" s="304"/>
      <c r="L508" s="304"/>
      <c r="M508" s="64"/>
    </row>
    <row r="509" spans="2:14" ht="15" x14ac:dyDescent="0.25">
      <c r="B509" s="341" t="str">
        <f>$B$8</f>
        <v>SPONSOR:  MATTHEW A. TROXLE</v>
      </c>
      <c r="C509" s="304"/>
      <c r="D509" s="837"/>
      <c r="E509" s="304"/>
      <c r="F509" s="304"/>
      <c r="G509" s="304"/>
      <c r="H509" s="304"/>
      <c r="I509" s="304"/>
      <c r="J509" s="304"/>
      <c r="K509" s="304"/>
      <c r="L509" s="304"/>
      <c r="M509" s="64"/>
    </row>
    <row r="510" spans="2:14" ht="15.75" thickBot="1" x14ac:dyDescent="0.3">
      <c r="B510" s="345"/>
      <c r="C510" s="840"/>
      <c r="D510" s="841"/>
      <c r="E510" s="304"/>
      <c r="F510" s="304"/>
      <c r="G510" s="304"/>
      <c r="H510" s="304"/>
      <c r="I510" s="304"/>
      <c r="J510" s="304"/>
      <c r="K510" s="304"/>
      <c r="L510" s="304"/>
      <c r="M510" s="64"/>
    </row>
    <row r="511" spans="2:14" x14ac:dyDescent="0.2">
      <c r="B511" s="12"/>
      <c r="C511" s="13"/>
      <c r="D511" s="13"/>
      <c r="E511" s="13"/>
      <c r="F511" s="176" t="s">
        <v>6</v>
      </c>
      <c r="G511" s="12" t="s">
        <v>7</v>
      </c>
      <c r="H511" s="12" t="s">
        <v>8</v>
      </c>
      <c r="I511" s="178" t="s">
        <v>9</v>
      </c>
      <c r="J511" s="12" t="s">
        <v>10</v>
      </c>
      <c r="K511" s="16"/>
      <c r="L511" s="110" t="s">
        <v>907</v>
      </c>
      <c r="M511" s="64"/>
    </row>
    <row r="512" spans="2:14" ht="15" x14ac:dyDescent="0.25">
      <c r="B512" s="14" t="s">
        <v>2</v>
      </c>
      <c r="C512" s="14" t="s">
        <v>349</v>
      </c>
      <c r="D512" s="226" t="s">
        <v>559</v>
      </c>
      <c r="E512" s="14" t="s">
        <v>350</v>
      </c>
      <c r="F512" s="181"/>
      <c r="G512" s="14"/>
      <c r="H512" s="14"/>
      <c r="I512" s="14"/>
      <c r="J512" s="14"/>
      <c r="K512" s="16"/>
      <c r="L512" s="93" t="s">
        <v>908</v>
      </c>
      <c r="M512" s="64"/>
    </row>
    <row r="513" spans="2:14" x14ac:dyDescent="0.2">
      <c r="B513" s="14"/>
      <c r="C513" s="14"/>
      <c r="D513" s="14"/>
      <c r="E513" s="14"/>
      <c r="F513" s="181"/>
      <c r="G513" s="14"/>
      <c r="H513" s="14"/>
      <c r="I513" s="14"/>
      <c r="J513" s="14"/>
      <c r="K513" s="16"/>
      <c r="L513" s="93"/>
      <c r="M513" s="64"/>
    </row>
    <row r="514" spans="2:14" ht="15" thickBot="1" x14ac:dyDescent="0.25">
      <c r="B514" s="15"/>
      <c r="C514" s="15" t="s">
        <v>13</v>
      </c>
      <c r="D514" s="15" t="s">
        <v>14</v>
      </c>
      <c r="E514" s="15" t="s">
        <v>15</v>
      </c>
      <c r="F514" s="15" t="s">
        <v>16</v>
      </c>
      <c r="G514" s="15" t="s">
        <v>17</v>
      </c>
      <c r="H514" s="15" t="s">
        <v>18</v>
      </c>
      <c r="I514" s="15" t="s">
        <v>21</v>
      </c>
      <c r="J514" s="15" t="s">
        <v>22</v>
      </c>
      <c r="K514" s="16"/>
      <c r="L514" s="997" t="s">
        <v>397</v>
      </c>
      <c r="M514" s="64"/>
    </row>
    <row r="515" spans="2:14" s="321" customFormat="1" x14ac:dyDescent="0.2">
      <c r="B515" s="45"/>
      <c r="C515" s="268"/>
      <c r="D515" s="268"/>
      <c r="E515" s="268"/>
      <c r="F515" s="268"/>
      <c r="G515" s="268"/>
      <c r="H515" s="268"/>
      <c r="I515" s="41"/>
      <c r="J515" s="41"/>
      <c r="K515" s="41"/>
      <c r="L515" s="41"/>
      <c r="M515" s="45"/>
    </row>
    <row r="516" spans="2:14" s="321" customFormat="1" ht="15" x14ac:dyDescent="0.25">
      <c r="B516" s="16">
        <f t="shared" ref="B516:B575" si="73">B515+1</f>
        <v>1</v>
      </c>
      <c r="C516" s="269" t="s">
        <v>110</v>
      </c>
      <c r="D516" s="41"/>
      <c r="E516" s="41"/>
      <c r="F516" s="41"/>
      <c r="G516" s="41"/>
      <c r="H516" s="41"/>
      <c r="I516" s="41"/>
      <c r="J516" s="41"/>
      <c r="K516" s="41"/>
      <c r="L516" s="41"/>
      <c r="M516" s="45"/>
    </row>
    <row r="517" spans="2:14" s="321" customFormat="1" ht="15" x14ac:dyDescent="0.25">
      <c r="B517" s="16">
        <f t="shared" si="73"/>
        <v>2</v>
      </c>
      <c r="C517" s="34" t="s">
        <v>560</v>
      </c>
      <c r="D517" s="42"/>
      <c r="E517" s="806" t="s">
        <v>127</v>
      </c>
      <c r="F517" s="823"/>
      <c r="G517" s="823"/>
      <c r="H517" s="807"/>
      <c r="I517" s="34"/>
      <c r="J517" s="34"/>
      <c r="K517" s="34"/>
      <c r="L517" s="34"/>
      <c r="M517" s="45"/>
    </row>
    <row r="518" spans="2:14" s="321" customFormat="1" ht="15" x14ac:dyDescent="0.25">
      <c r="B518" s="16">
        <f t="shared" si="73"/>
        <v>3</v>
      </c>
      <c r="C518" s="34" t="s">
        <v>561</v>
      </c>
      <c r="D518" s="42"/>
      <c r="E518" s="806"/>
      <c r="F518" s="823"/>
      <c r="G518" s="823"/>
      <c r="H518" s="807"/>
      <c r="I518" s="34"/>
      <c r="J518" s="34"/>
      <c r="K518" s="34"/>
      <c r="L518" s="34"/>
      <c r="M518" s="45"/>
    </row>
    <row r="519" spans="2:14" s="321" customFormat="1" x14ac:dyDescent="0.2">
      <c r="B519" s="16">
        <f t="shared" si="73"/>
        <v>4</v>
      </c>
      <c r="C519" s="1008">
        <v>189</v>
      </c>
      <c r="D519" s="321" t="s">
        <v>1324</v>
      </c>
      <c r="F519" s="985">
        <f>'WP II-I-1.1'!F136</f>
        <v>0</v>
      </c>
      <c r="G519" s="986">
        <f>'WP II-I-1.1'!G136</f>
        <v>0</v>
      </c>
      <c r="H519" s="986">
        <f>'WP II-I-1.1'!H136</f>
        <v>0</v>
      </c>
      <c r="I519" s="987">
        <f>'WP II-I-1.1'!I136</f>
        <v>0</v>
      </c>
      <c r="J519" s="229">
        <f t="shared" ref="J519:J537" si="74">SUM(F519:I519)</f>
        <v>0</v>
      </c>
      <c r="K519" s="229"/>
      <c r="L519" s="17">
        <f t="shared" ref="L519:L597" si="75">SUM(G519:I519)</f>
        <v>0</v>
      </c>
      <c r="M519" s="45"/>
      <c r="N519" s="751">
        <f t="shared" ref="N519:N537" si="76">J519-L519-F519</f>
        <v>0</v>
      </c>
    </row>
    <row r="520" spans="2:14" s="321" customFormat="1" x14ac:dyDescent="0.2">
      <c r="B520" s="16">
        <f t="shared" si="73"/>
        <v>5</v>
      </c>
      <c r="C520" s="1008">
        <v>182</v>
      </c>
      <c r="D520" s="321" t="s">
        <v>1242</v>
      </c>
      <c r="F520" s="980">
        <f>'WP II-I-1.1'!F137</f>
        <v>0</v>
      </c>
      <c r="G520" s="802">
        <f>'WP II-I-1.1'!G137</f>
        <v>493721</v>
      </c>
      <c r="H520" s="802">
        <f>'WP II-I-1.1'!H137</f>
        <v>0</v>
      </c>
      <c r="I520" s="981">
        <f>'WP II-I-1.1'!I137</f>
        <v>0</v>
      </c>
      <c r="J520" s="229">
        <f t="shared" si="74"/>
        <v>493721</v>
      </c>
      <c r="K520" s="229"/>
      <c r="L520" s="17">
        <f t="shared" si="75"/>
        <v>493721</v>
      </c>
      <c r="M520" s="45"/>
      <c r="N520" s="751">
        <f t="shared" si="76"/>
        <v>0</v>
      </c>
    </row>
    <row r="521" spans="2:14" s="321" customFormat="1" x14ac:dyDescent="0.2">
      <c r="B521" s="16">
        <f t="shared" si="73"/>
        <v>6</v>
      </c>
      <c r="C521" s="1008">
        <v>182</v>
      </c>
      <c r="D521" s="321" t="s">
        <v>1243</v>
      </c>
      <c r="F521" s="980">
        <f>'WP II-I-1.1'!F138</f>
        <v>0</v>
      </c>
      <c r="G521" s="802">
        <f>'WP II-I-1.1'!G138</f>
        <v>727219.48</v>
      </c>
      <c r="H521" s="802">
        <f>'WP II-I-1.1'!H138</f>
        <v>0</v>
      </c>
      <c r="I521" s="981">
        <f>'WP II-I-1.1'!I138</f>
        <v>0</v>
      </c>
      <c r="J521" s="229">
        <f t="shared" si="74"/>
        <v>727219.48</v>
      </c>
      <c r="K521" s="229"/>
      <c r="L521" s="17">
        <f t="shared" si="75"/>
        <v>727219.48</v>
      </c>
      <c r="M521" s="45"/>
      <c r="N521" s="751">
        <f t="shared" si="76"/>
        <v>0</v>
      </c>
    </row>
    <row r="522" spans="2:14" s="321" customFormat="1" x14ac:dyDescent="0.2">
      <c r="B522" s="16">
        <f t="shared" si="73"/>
        <v>7</v>
      </c>
      <c r="C522" s="1008">
        <v>182</v>
      </c>
      <c r="D522" s="321" t="s">
        <v>1244</v>
      </c>
      <c r="F522" s="980">
        <f>'WP II-I-1.1'!F139</f>
        <v>1012598.52</v>
      </c>
      <c r="G522" s="802">
        <f>'WP II-I-1.1'!G139</f>
        <v>0</v>
      </c>
      <c r="H522" s="802">
        <f>'WP II-I-1.1'!H139</f>
        <v>0</v>
      </c>
      <c r="I522" s="981">
        <f>'WP II-I-1.1'!I139</f>
        <v>0</v>
      </c>
      <c r="J522" s="229">
        <f t="shared" si="74"/>
        <v>1012598.52</v>
      </c>
      <c r="K522" s="229"/>
      <c r="L522" s="17">
        <f t="shared" si="75"/>
        <v>0</v>
      </c>
      <c r="M522" s="45"/>
      <c r="N522" s="751">
        <f t="shared" si="76"/>
        <v>0</v>
      </c>
    </row>
    <row r="523" spans="2:14" s="321" customFormat="1" x14ac:dyDescent="0.2">
      <c r="B523" s="16">
        <f t="shared" si="73"/>
        <v>8</v>
      </c>
      <c r="C523" s="38">
        <v>182</v>
      </c>
      <c r="D523" s="41" t="s">
        <v>1245</v>
      </c>
      <c r="E523" s="41"/>
      <c r="F523" s="980">
        <f>'WP II-I-1.1'!F140</f>
        <v>0</v>
      </c>
      <c r="G523" s="802">
        <f>'WP II-I-1.1'!G140</f>
        <v>0</v>
      </c>
      <c r="H523" s="802">
        <f>'WP II-I-1.1'!H140</f>
        <v>0</v>
      </c>
      <c r="I523" s="981">
        <f>'WP II-I-1.1'!I140</f>
        <v>0</v>
      </c>
      <c r="J523" s="229">
        <f t="shared" si="74"/>
        <v>0</v>
      </c>
      <c r="K523" s="229"/>
      <c r="L523" s="17">
        <f t="shared" si="75"/>
        <v>0</v>
      </c>
      <c r="M523" s="45"/>
      <c r="N523" s="751">
        <f t="shared" si="76"/>
        <v>0</v>
      </c>
    </row>
    <row r="524" spans="2:14" s="321" customFormat="1" x14ac:dyDescent="0.2">
      <c r="B524" s="16">
        <f t="shared" si="73"/>
        <v>9</v>
      </c>
      <c r="C524" s="38">
        <v>182</v>
      </c>
      <c r="D524" s="41" t="s">
        <v>1246</v>
      </c>
      <c r="E524" s="41"/>
      <c r="F524" s="980">
        <f>'WP II-I-1.1'!F141</f>
        <v>484273.18</v>
      </c>
      <c r="G524" s="802">
        <f>'WP II-I-1.1'!G141</f>
        <v>213256.8</v>
      </c>
      <c r="H524" s="802">
        <f>'WP II-I-1.1'!H141</f>
        <v>0</v>
      </c>
      <c r="I524" s="981">
        <f>'WP II-I-1.1'!I141</f>
        <v>0</v>
      </c>
      <c r="J524" s="229">
        <f t="shared" si="74"/>
        <v>697529.98</v>
      </c>
      <c r="K524" s="229"/>
      <c r="L524" s="17">
        <f t="shared" si="75"/>
        <v>213256.8</v>
      </c>
      <c r="M524" s="45"/>
      <c r="N524" s="751">
        <f t="shared" si="76"/>
        <v>0</v>
      </c>
    </row>
    <row r="525" spans="2:14" s="321" customFormat="1" x14ac:dyDescent="0.2">
      <c r="B525" s="16">
        <f t="shared" si="73"/>
        <v>10</v>
      </c>
      <c r="C525" s="38">
        <v>182</v>
      </c>
      <c r="D525" s="41" t="s">
        <v>1247</v>
      </c>
      <c r="E525" s="41"/>
      <c r="F525" s="980">
        <f>'WP II-I-1.1'!F142</f>
        <v>0</v>
      </c>
      <c r="G525" s="802">
        <f>'WP II-I-1.1'!G142</f>
        <v>0</v>
      </c>
      <c r="H525" s="802">
        <f>'WP II-I-1.1'!H142</f>
        <v>0</v>
      </c>
      <c r="I525" s="981">
        <f>'WP II-I-1.1'!I142</f>
        <v>0</v>
      </c>
      <c r="J525" s="229">
        <f t="shared" si="74"/>
        <v>0</v>
      </c>
      <c r="K525" s="229"/>
      <c r="L525" s="17">
        <f t="shared" si="75"/>
        <v>0</v>
      </c>
      <c r="M525" s="45"/>
      <c r="N525" s="751">
        <f t="shared" si="76"/>
        <v>0</v>
      </c>
    </row>
    <row r="526" spans="2:14" s="321" customFormat="1" x14ac:dyDescent="0.2">
      <c r="B526" s="16">
        <f t="shared" si="73"/>
        <v>11</v>
      </c>
      <c r="C526" s="38">
        <v>182</v>
      </c>
      <c r="D526" s="41" t="s">
        <v>1248</v>
      </c>
      <c r="F526" s="980">
        <f>'WP II-I-1.1'!F143</f>
        <v>0</v>
      </c>
      <c r="G526" s="802">
        <f>'WP II-I-1.1'!G143</f>
        <v>0</v>
      </c>
      <c r="H526" s="802">
        <f>'WP II-I-1.1'!H143</f>
        <v>0</v>
      </c>
      <c r="I526" s="981">
        <f>'WP II-I-1.1'!I143</f>
        <v>5231900.28</v>
      </c>
      <c r="J526" s="229">
        <f t="shared" si="74"/>
        <v>5231900.28</v>
      </c>
      <c r="K526" s="229"/>
      <c r="L526" s="17">
        <f t="shared" si="75"/>
        <v>5231900.28</v>
      </c>
      <c r="M526" s="45"/>
      <c r="N526" s="751">
        <f t="shared" si="76"/>
        <v>0</v>
      </c>
    </row>
    <row r="527" spans="2:14" s="321" customFormat="1" x14ac:dyDescent="0.2">
      <c r="B527" s="16">
        <f t="shared" si="73"/>
        <v>12</v>
      </c>
      <c r="C527" s="38">
        <v>182</v>
      </c>
      <c r="D527" s="41" t="s">
        <v>1249</v>
      </c>
      <c r="F527" s="980">
        <f>'WP II-I-1.1'!F144</f>
        <v>0</v>
      </c>
      <c r="G527" s="802">
        <f>'WP II-I-1.1'!G144</f>
        <v>0</v>
      </c>
      <c r="H527" s="802">
        <f>'WP II-I-1.1'!H144</f>
        <v>0</v>
      </c>
      <c r="I527" s="981">
        <f>'WP II-I-1.1'!I144</f>
        <v>2661400.7999999998</v>
      </c>
      <c r="J527" s="229">
        <f t="shared" si="74"/>
        <v>2661400.7999999998</v>
      </c>
      <c r="K527" s="229"/>
      <c r="L527" s="17">
        <f t="shared" si="75"/>
        <v>2661400.7999999998</v>
      </c>
      <c r="M527" s="45"/>
      <c r="N527" s="751">
        <f t="shared" si="76"/>
        <v>0</v>
      </c>
    </row>
    <row r="528" spans="2:14" s="321" customFormat="1" x14ac:dyDescent="0.2">
      <c r="B528" s="16">
        <f t="shared" si="73"/>
        <v>13</v>
      </c>
      <c r="C528" s="1008">
        <v>182</v>
      </c>
      <c r="D528" s="321" t="s">
        <v>1250</v>
      </c>
      <c r="F528" s="980">
        <f>'WP II-I-1.1'!F145</f>
        <v>2004410</v>
      </c>
      <c r="G528" s="802">
        <f>'WP II-I-1.1'!G145</f>
        <v>19230434.850000001</v>
      </c>
      <c r="H528" s="802">
        <f>'WP II-I-1.1'!H145</f>
        <v>1056229.6200000001</v>
      </c>
      <c r="I528" s="981">
        <f>'WP II-I-1.1'!I145</f>
        <v>863133.80999999959</v>
      </c>
      <c r="J528" s="229">
        <f t="shared" si="74"/>
        <v>23154208.280000001</v>
      </c>
      <c r="K528" s="229"/>
      <c r="L528" s="17">
        <f t="shared" si="75"/>
        <v>21149798.280000001</v>
      </c>
      <c r="M528" s="45"/>
      <c r="N528" s="751">
        <f t="shared" si="76"/>
        <v>0</v>
      </c>
    </row>
    <row r="529" spans="2:14" s="321" customFormat="1" x14ac:dyDescent="0.2">
      <c r="B529" s="16">
        <f t="shared" si="73"/>
        <v>14</v>
      </c>
      <c r="C529" s="1008">
        <v>182</v>
      </c>
      <c r="D529" s="321" t="s">
        <v>1251</v>
      </c>
      <c r="F529" s="980">
        <f>'WP II-I-1.1'!F146</f>
        <v>176646.1</v>
      </c>
      <c r="G529" s="802">
        <f>'WP II-I-1.1'!G146</f>
        <v>2056413.07</v>
      </c>
      <c r="H529" s="802">
        <f>'WP II-I-1.1'!H146</f>
        <v>88897.44</v>
      </c>
      <c r="I529" s="981">
        <f>'WP II-I-1.1'!I146</f>
        <v>80472.110000000044</v>
      </c>
      <c r="J529" s="229">
        <f t="shared" si="74"/>
        <v>2402428.7199999997</v>
      </c>
      <c r="K529" s="229"/>
      <c r="L529" s="17">
        <f t="shared" si="75"/>
        <v>2225782.62</v>
      </c>
      <c r="M529" s="45"/>
      <c r="N529" s="751">
        <f t="shared" si="76"/>
        <v>-3.7834979593753815E-10</v>
      </c>
    </row>
    <row r="530" spans="2:14" s="321" customFormat="1" x14ac:dyDescent="0.2">
      <c r="B530" s="16">
        <f t="shared" si="73"/>
        <v>15</v>
      </c>
      <c r="C530" s="38">
        <v>182</v>
      </c>
      <c r="D530" s="41" t="s">
        <v>128</v>
      </c>
      <c r="F530" s="980">
        <f>'WP II-I-1.1'!F147</f>
        <v>13037180.210000001</v>
      </c>
      <c r="G530" s="802">
        <f>'WP II-I-1.1'!G147</f>
        <v>38234998.909999996</v>
      </c>
      <c r="H530" s="802">
        <f>'WP II-I-1.1'!H147</f>
        <v>9012931</v>
      </c>
      <c r="I530" s="981">
        <f>'WP II-I-1.1'!I147</f>
        <v>2538145.9800000042</v>
      </c>
      <c r="J530" s="229">
        <f t="shared" si="74"/>
        <v>62823256.100000001</v>
      </c>
      <c r="K530" s="229"/>
      <c r="L530" s="17">
        <f t="shared" si="75"/>
        <v>49786075.890000001</v>
      </c>
      <c r="M530" s="45"/>
      <c r="N530" s="751">
        <f t="shared" si="76"/>
        <v>0</v>
      </c>
    </row>
    <row r="531" spans="2:14" s="321" customFormat="1" x14ac:dyDescent="0.2">
      <c r="B531" s="16">
        <f t="shared" si="73"/>
        <v>16</v>
      </c>
      <c r="C531" s="990">
        <v>182</v>
      </c>
      <c r="D531" s="321" t="s">
        <v>129</v>
      </c>
      <c r="F531" s="980">
        <f>'WP II-I-1.1'!F148</f>
        <v>-10123221.470000001</v>
      </c>
      <c r="G531" s="802">
        <f>'WP II-I-1.1'!G148</f>
        <v>-27035354.199999999</v>
      </c>
      <c r="H531" s="802">
        <f>'WP II-I-1.1'!H148</f>
        <v>-7559811.7300000004</v>
      </c>
      <c r="I531" s="981">
        <f>'WP II-I-1.1'!I148</f>
        <v>-309878.14999999851</v>
      </c>
      <c r="J531" s="229">
        <f t="shared" si="74"/>
        <v>-45028265.550000004</v>
      </c>
      <c r="K531" s="229"/>
      <c r="L531" s="17">
        <f t="shared" si="75"/>
        <v>-34905044.079999998</v>
      </c>
      <c r="M531" s="45"/>
      <c r="N531" s="751">
        <f t="shared" si="76"/>
        <v>0</v>
      </c>
    </row>
    <row r="532" spans="2:14" s="321" customFormat="1" x14ac:dyDescent="0.2">
      <c r="B532" s="16">
        <f t="shared" si="73"/>
        <v>17</v>
      </c>
      <c r="C532" s="990">
        <v>182</v>
      </c>
      <c r="D532" s="321" t="s">
        <v>1171</v>
      </c>
      <c r="F532" s="980">
        <f>'WP II-I-1.1'!F149</f>
        <v>0</v>
      </c>
      <c r="G532" s="802">
        <f>'WP II-I-1.1'!G149</f>
        <v>0</v>
      </c>
      <c r="H532" s="802">
        <f>'WP II-I-1.1'!H149</f>
        <v>0</v>
      </c>
      <c r="I532" s="981">
        <f>'WP II-I-1.1'!I149</f>
        <v>0</v>
      </c>
      <c r="J532" s="229">
        <f t="shared" si="74"/>
        <v>0</v>
      </c>
      <c r="K532" s="229"/>
      <c r="L532" s="17">
        <f t="shared" si="75"/>
        <v>0</v>
      </c>
      <c r="M532" s="45"/>
      <c r="N532" s="751">
        <f t="shared" si="76"/>
        <v>0</v>
      </c>
    </row>
    <row r="533" spans="2:14" s="321" customFormat="1" x14ac:dyDescent="0.2">
      <c r="B533" s="16">
        <f t="shared" si="73"/>
        <v>18</v>
      </c>
      <c r="C533" s="990">
        <v>182</v>
      </c>
      <c r="D533" s="321" t="s">
        <v>1172</v>
      </c>
      <c r="F533" s="980">
        <f>'WP II-I-1.1'!F150</f>
        <v>0</v>
      </c>
      <c r="G533" s="802">
        <f>'WP II-I-1.1'!G150</f>
        <v>0</v>
      </c>
      <c r="H533" s="802">
        <f>'WP II-I-1.1'!H150</f>
        <v>0</v>
      </c>
      <c r="I533" s="981">
        <f>'WP II-I-1.1'!I150</f>
        <v>0</v>
      </c>
      <c r="J533" s="229">
        <f t="shared" si="74"/>
        <v>0</v>
      </c>
      <c r="K533" s="229"/>
      <c r="L533" s="17">
        <f t="shared" si="75"/>
        <v>0</v>
      </c>
      <c r="M533" s="45"/>
      <c r="N533" s="751">
        <f t="shared" si="76"/>
        <v>0</v>
      </c>
    </row>
    <row r="534" spans="2:14" s="321" customFormat="1" x14ac:dyDescent="0.2">
      <c r="B534" s="16">
        <f t="shared" si="73"/>
        <v>19</v>
      </c>
      <c r="C534" s="990">
        <v>182</v>
      </c>
      <c r="D534" s="321" t="s">
        <v>1252</v>
      </c>
      <c r="F534" s="980">
        <f>'WP II-I-1.1'!F151</f>
        <v>0</v>
      </c>
      <c r="G534" s="802">
        <f>'WP II-I-1.1'!G151</f>
        <v>0</v>
      </c>
      <c r="H534" s="802">
        <f>'WP II-I-1.1'!H151</f>
        <v>0</v>
      </c>
      <c r="I534" s="981">
        <f>'WP II-I-1.1'!I151</f>
        <v>0</v>
      </c>
      <c r="J534" s="229">
        <f t="shared" si="74"/>
        <v>0</v>
      </c>
      <c r="K534" s="229"/>
      <c r="L534" s="17">
        <f t="shared" si="75"/>
        <v>0</v>
      </c>
      <c r="M534" s="45"/>
      <c r="N534" s="751">
        <f t="shared" si="76"/>
        <v>0</v>
      </c>
    </row>
    <row r="535" spans="2:14" s="321" customFormat="1" x14ac:dyDescent="0.2">
      <c r="B535" s="16">
        <f t="shared" si="73"/>
        <v>20</v>
      </c>
      <c r="C535" s="990">
        <v>182</v>
      </c>
      <c r="D535" s="321" t="s">
        <v>1253</v>
      </c>
      <c r="F535" s="980">
        <f>'WP II-I-1.1'!F152</f>
        <v>0</v>
      </c>
      <c r="G535" s="802">
        <f>'WP II-I-1.1'!G152</f>
        <v>0</v>
      </c>
      <c r="H535" s="802">
        <f>'WP II-I-1.1'!H152</f>
        <v>57624800.789999999</v>
      </c>
      <c r="I535" s="981">
        <f>'WP II-I-1.1'!I152</f>
        <v>0</v>
      </c>
      <c r="J535" s="229">
        <f t="shared" si="74"/>
        <v>57624800.789999999</v>
      </c>
      <c r="K535" s="229"/>
      <c r="L535" s="17">
        <f t="shared" si="75"/>
        <v>57624800.789999999</v>
      </c>
      <c r="M535" s="45"/>
      <c r="N535" s="751">
        <f t="shared" si="76"/>
        <v>0</v>
      </c>
    </row>
    <row r="536" spans="2:14" s="321" customFormat="1" x14ac:dyDescent="0.2">
      <c r="B536" s="16">
        <f t="shared" si="73"/>
        <v>21</v>
      </c>
      <c r="C536" s="990">
        <v>182</v>
      </c>
      <c r="D536" s="321" t="s">
        <v>1254</v>
      </c>
      <c r="F536" s="980">
        <f>'WP II-I-1.1'!F153</f>
        <v>0</v>
      </c>
      <c r="G536" s="802">
        <f>'WP II-I-1.1'!G153</f>
        <v>50356914.099999994</v>
      </c>
      <c r="H536" s="802">
        <f>'WP II-I-1.1'!H153</f>
        <v>0</v>
      </c>
      <c r="I536" s="981">
        <f>'WP II-I-1.1'!I153</f>
        <v>0</v>
      </c>
      <c r="J536" s="229">
        <f t="shared" si="74"/>
        <v>50356914.099999994</v>
      </c>
      <c r="K536" s="229"/>
      <c r="L536" s="17">
        <f t="shared" si="75"/>
        <v>50356914.099999994</v>
      </c>
      <c r="M536" s="45"/>
      <c r="N536" s="751">
        <f t="shared" si="76"/>
        <v>0</v>
      </c>
    </row>
    <row r="537" spans="2:14" s="321" customFormat="1" x14ac:dyDescent="0.2">
      <c r="B537" s="16">
        <f t="shared" si="73"/>
        <v>22</v>
      </c>
      <c r="C537" s="990">
        <v>182</v>
      </c>
      <c r="D537" s="321" t="s">
        <v>1255</v>
      </c>
      <c r="F537" s="980">
        <f>'WP II-I-1.1'!F154</f>
        <v>0</v>
      </c>
      <c r="G537" s="802">
        <f>'WP II-I-1.1'!G154</f>
        <v>27940735.449999999</v>
      </c>
      <c r="H537" s="802">
        <f>'WP II-I-1.1'!H154</f>
        <v>0</v>
      </c>
      <c r="I537" s="981">
        <f>'WP II-I-1.1'!I154</f>
        <v>0</v>
      </c>
      <c r="J537" s="229">
        <f t="shared" si="74"/>
        <v>27940735.449999999</v>
      </c>
      <c r="K537" s="229"/>
      <c r="L537" s="17">
        <f t="shared" si="75"/>
        <v>27940735.449999999</v>
      </c>
      <c r="M537" s="45"/>
      <c r="N537" s="751">
        <f t="shared" si="76"/>
        <v>0</v>
      </c>
    </row>
    <row r="538" spans="2:14" s="321" customFormat="1" x14ac:dyDescent="0.2">
      <c r="B538" s="16">
        <f t="shared" si="73"/>
        <v>23</v>
      </c>
      <c r="C538" s="990">
        <v>182</v>
      </c>
      <c r="D538" s="321" t="s">
        <v>1256</v>
      </c>
      <c r="F538" s="980">
        <f>'WP II-I-1.1'!F155</f>
        <v>0</v>
      </c>
      <c r="G538" s="802">
        <f>'WP II-I-1.1'!G155</f>
        <v>419733.02</v>
      </c>
      <c r="H538" s="802">
        <f>'WP II-I-1.1'!H155</f>
        <v>0</v>
      </c>
      <c r="I538" s="981">
        <f>'WP II-I-1.1'!I155</f>
        <v>0</v>
      </c>
      <c r="J538" s="229">
        <f t="shared" ref="J538:J555" si="77">SUM(F538:I538)</f>
        <v>419733.02</v>
      </c>
      <c r="K538" s="229"/>
      <c r="L538" s="17">
        <f t="shared" si="75"/>
        <v>419733.02</v>
      </c>
      <c r="M538" s="45"/>
      <c r="N538" s="751">
        <f t="shared" ref="N538:N555" si="78">J538-L538-F538</f>
        <v>0</v>
      </c>
    </row>
    <row r="539" spans="2:14" s="321" customFormat="1" x14ac:dyDescent="0.2">
      <c r="B539" s="16">
        <f t="shared" si="73"/>
        <v>24</v>
      </c>
      <c r="C539" s="990">
        <v>182</v>
      </c>
      <c r="D539" s="321" t="s">
        <v>1257</v>
      </c>
      <c r="F539" s="980">
        <f>'WP II-I-1.1'!F156</f>
        <v>609847.32999999996</v>
      </c>
      <c r="G539" s="802">
        <f>'WP II-I-1.1'!G156</f>
        <v>0</v>
      </c>
      <c r="H539" s="802">
        <f>'WP II-I-1.1'!H156</f>
        <v>0</v>
      </c>
      <c r="I539" s="981">
        <f>'WP II-I-1.1'!I156</f>
        <v>0</v>
      </c>
      <c r="J539" s="229">
        <f t="shared" si="77"/>
        <v>609847.32999999996</v>
      </c>
      <c r="K539" s="229"/>
      <c r="L539" s="17">
        <f t="shared" si="75"/>
        <v>0</v>
      </c>
      <c r="M539" s="45"/>
      <c r="N539" s="751">
        <f t="shared" si="78"/>
        <v>0</v>
      </c>
    </row>
    <row r="540" spans="2:14" s="321" customFormat="1" x14ac:dyDescent="0.2">
      <c r="B540" s="16">
        <f t="shared" si="73"/>
        <v>25</v>
      </c>
      <c r="C540" s="990">
        <v>182</v>
      </c>
      <c r="D540" s="321" t="s">
        <v>1258</v>
      </c>
      <c r="F540" s="980">
        <f>'WP II-I-1.1'!F157</f>
        <v>4600129.0100000007</v>
      </c>
      <c r="G540" s="802">
        <f>'WP II-I-1.1'!G157</f>
        <v>410261.63999999966</v>
      </c>
      <c r="H540" s="802">
        <f>'WP II-I-1.1'!H157</f>
        <v>0</v>
      </c>
      <c r="I540" s="981">
        <f>'WP II-I-1.1'!I157</f>
        <v>0</v>
      </c>
      <c r="J540" s="229">
        <f t="shared" si="77"/>
        <v>5010390.6500000004</v>
      </c>
      <c r="K540" s="229"/>
      <c r="L540" s="17">
        <f t="shared" si="75"/>
        <v>410261.63999999966</v>
      </c>
      <c r="M540" s="45"/>
      <c r="N540" s="751">
        <f t="shared" si="78"/>
        <v>0</v>
      </c>
    </row>
    <row r="541" spans="2:14" s="321" customFormat="1" x14ac:dyDescent="0.2">
      <c r="B541" s="16">
        <f t="shared" si="73"/>
        <v>26</v>
      </c>
      <c r="C541" s="991">
        <v>182</v>
      </c>
      <c r="D541" s="41" t="s">
        <v>1259</v>
      </c>
      <c r="E541" s="41"/>
      <c r="F541" s="980">
        <f>'WP II-I-1.1'!F158</f>
        <v>3434788.3799999994</v>
      </c>
      <c r="G541" s="802">
        <f>'WP II-I-1.1'!G158</f>
        <v>32906.64000000013</v>
      </c>
      <c r="H541" s="802">
        <f>'WP II-I-1.1'!H158</f>
        <v>0</v>
      </c>
      <c r="I541" s="981">
        <f>'WP II-I-1.1'!I158</f>
        <v>0</v>
      </c>
      <c r="J541" s="229">
        <f t="shared" si="77"/>
        <v>3467695.0199999996</v>
      </c>
      <c r="K541" s="229"/>
      <c r="L541" s="17">
        <f t="shared" si="75"/>
        <v>32906.64000000013</v>
      </c>
      <c r="M541" s="45"/>
      <c r="N541" s="751">
        <f t="shared" si="78"/>
        <v>0</v>
      </c>
    </row>
    <row r="542" spans="2:14" s="321" customFormat="1" x14ac:dyDescent="0.2">
      <c r="B542" s="16">
        <f t="shared" si="73"/>
        <v>27</v>
      </c>
      <c r="C542" s="38">
        <v>186</v>
      </c>
      <c r="D542" s="41" t="s">
        <v>1260</v>
      </c>
      <c r="E542" s="41"/>
      <c r="F542" s="980">
        <f>'WP II-I-1.1'!F159</f>
        <v>17004701.379999999</v>
      </c>
      <c r="G542" s="802">
        <f>'WP II-I-1.1'!G159</f>
        <v>319335368.44999999</v>
      </c>
      <c r="H542" s="802">
        <f>'WP II-I-1.1'!H159</f>
        <v>0</v>
      </c>
      <c r="I542" s="981">
        <f>'WP II-I-1.1'!I159</f>
        <v>0</v>
      </c>
      <c r="J542" s="23">
        <f t="shared" si="77"/>
        <v>336340069.82999998</v>
      </c>
      <c r="K542" s="229"/>
      <c r="L542" s="17">
        <f t="shared" si="75"/>
        <v>319335368.44999999</v>
      </c>
      <c r="M542" s="45"/>
      <c r="N542" s="751">
        <f t="shared" si="78"/>
        <v>0</v>
      </c>
    </row>
    <row r="543" spans="2:14" s="321" customFormat="1" x14ac:dyDescent="0.2">
      <c r="B543" s="16">
        <f t="shared" si="73"/>
        <v>28</v>
      </c>
      <c r="C543" s="38">
        <v>186</v>
      </c>
      <c r="D543" s="41" t="s">
        <v>1261</v>
      </c>
      <c r="E543" s="41"/>
      <c r="F543" s="980">
        <f>'WP II-I-1.1'!F160</f>
        <v>31571798.559999999</v>
      </c>
      <c r="G543" s="802">
        <f>'WP II-I-1.1'!G160</f>
        <v>726291097.57999992</v>
      </c>
      <c r="H543" s="802">
        <f>'WP II-I-1.1'!H160</f>
        <v>0</v>
      </c>
      <c r="I543" s="981">
        <f>'WP II-I-1.1'!I160</f>
        <v>0</v>
      </c>
      <c r="J543" s="229">
        <f t="shared" si="77"/>
        <v>757862896.13999987</v>
      </c>
      <c r="K543" s="229"/>
      <c r="L543" s="17">
        <f t="shared" si="75"/>
        <v>726291097.57999992</v>
      </c>
      <c r="M543" s="45"/>
      <c r="N543" s="751">
        <f t="shared" si="78"/>
        <v>-5.5879354476928711E-8</v>
      </c>
    </row>
    <row r="544" spans="2:14" s="321" customFormat="1" x14ac:dyDescent="0.2">
      <c r="B544" s="16">
        <f t="shared" si="73"/>
        <v>29</v>
      </c>
      <c r="C544" s="38">
        <v>186</v>
      </c>
      <c r="D544" s="41" t="s">
        <v>1120</v>
      </c>
      <c r="E544" s="41"/>
      <c r="F544" s="980">
        <f>'WP II-I-1.1'!F161</f>
        <v>0</v>
      </c>
      <c r="G544" s="802">
        <f>'WP II-I-1.1'!G161</f>
        <v>0</v>
      </c>
      <c r="H544" s="802">
        <f>'WP II-I-1.1'!H161</f>
        <v>0</v>
      </c>
      <c r="I544" s="981">
        <f>'WP II-I-1.1'!I161</f>
        <v>0</v>
      </c>
      <c r="J544" s="229">
        <f t="shared" si="77"/>
        <v>0</v>
      </c>
      <c r="K544" s="229"/>
      <c r="L544" s="17">
        <f t="shared" si="75"/>
        <v>0</v>
      </c>
      <c r="M544" s="45"/>
      <c r="N544" s="751">
        <f t="shared" si="78"/>
        <v>0</v>
      </c>
    </row>
    <row r="545" spans="2:17" s="321" customFormat="1" x14ac:dyDescent="0.2">
      <c r="B545" s="16">
        <f t="shared" si="73"/>
        <v>30</v>
      </c>
      <c r="C545" s="38">
        <v>186</v>
      </c>
      <c r="D545" s="41" t="s">
        <v>1262</v>
      </c>
      <c r="E545" s="41"/>
      <c r="F545" s="980">
        <f>'WP II-I-1.1'!F162</f>
        <v>0</v>
      </c>
      <c r="G545" s="802">
        <f>'WP II-I-1.1'!G162</f>
        <v>0</v>
      </c>
      <c r="H545" s="802">
        <f>'WP II-I-1.1'!H162</f>
        <v>0</v>
      </c>
      <c r="I545" s="981">
        <f>'WP II-I-1.1'!I162</f>
        <v>0</v>
      </c>
      <c r="J545" s="229">
        <f t="shared" si="77"/>
        <v>0</v>
      </c>
      <c r="K545" s="229"/>
      <c r="L545" s="17">
        <f t="shared" si="75"/>
        <v>0</v>
      </c>
      <c r="M545" s="45"/>
      <c r="N545" s="751">
        <f t="shared" si="78"/>
        <v>0</v>
      </c>
    </row>
    <row r="546" spans="2:17" s="321" customFormat="1" x14ac:dyDescent="0.2">
      <c r="B546" s="16">
        <f t="shared" si="73"/>
        <v>31</v>
      </c>
      <c r="C546" s="38">
        <v>186</v>
      </c>
      <c r="D546" s="41" t="s">
        <v>1263</v>
      </c>
      <c r="E546" s="41"/>
      <c r="F546" s="980">
        <f>'WP II-I-1.1'!F163</f>
        <v>0</v>
      </c>
      <c r="G546" s="802">
        <f>'WP II-I-1.1'!G163</f>
        <v>0</v>
      </c>
      <c r="H546" s="802">
        <f>'WP II-I-1.1'!H163</f>
        <v>0</v>
      </c>
      <c r="I546" s="981">
        <f>'WP II-I-1.1'!I163</f>
        <v>0</v>
      </c>
      <c r="J546" s="229">
        <f t="shared" si="77"/>
        <v>0</v>
      </c>
      <c r="K546" s="229"/>
      <c r="L546" s="17">
        <f t="shared" si="75"/>
        <v>0</v>
      </c>
      <c r="M546" s="45"/>
      <c r="N546" s="751">
        <f t="shared" si="78"/>
        <v>0</v>
      </c>
      <c r="O546" s="751">
        <f>'WP II-I-1.1'!$J165-L546-F546</f>
        <v>0</v>
      </c>
      <c r="P546" s="998"/>
      <c r="Q546" s="998"/>
    </row>
    <row r="547" spans="2:17" s="321" customFormat="1" x14ac:dyDescent="0.2">
      <c r="B547" s="16">
        <f t="shared" si="73"/>
        <v>32</v>
      </c>
      <c r="C547" s="610">
        <v>186</v>
      </c>
      <c r="D547" s="611" t="s">
        <v>1264</v>
      </c>
      <c r="E547" s="611"/>
      <c r="F547" s="980">
        <f>'WP II-I-1.1'!F164</f>
        <v>0</v>
      </c>
      <c r="G547" s="802">
        <f>'WP II-I-1.1'!G164</f>
        <v>0</v>
      </c>
      <c r="H547" s="802">
        <f>'WP II-I-1.1'!H164</f>
        <v>0</v>
      </c>
      <c r="I547" s="981">
        <f>'WP II-I-1.1'!I164</f>
        <v>0</v>
      </c>
      <c r="J547" s="229">
        <f t="shared" si="77"/>
        <v>0</v>
      </c>
      <c r="K547" s="229"/>
      <c r="L547" s="17">
        <f t="shared" si="75"/>
        <v>0</v>
      </c>
      <c r="M547" s="45"/>
      <c r="N547" s="751">
        <f t="shared" si="78"/>
        <v>0</v>
      </c>
      <c r="O547" s="751">
        <f>'WP II-I-1.1'!$J166-L547-F547</f>
        <v>0</v>
      </c>
      <c r="P547" s="1003"/>
      <c r="Q547" s="1003"/>
    </row>
    <row r="548" spans="2:17" s="321" customFormat="1" x14ac:dyDescent="0.2">
      <c r="B548" s="16">
        <f t="shared" si="73"/>
        <v>33</v>
      </c>
      <c r="C548" s="610">
        <v>186</v>
      </c>
      <c r="D548" s="611" t="s">
        <v>1265</v>
      </c>
      <c r="E548" s="611"/>
      <c r="F548" s="980">
        <f>'WP II-I-1.1'!F165</f>
        <v>0</v>
      </c>
      <c r="G548" s="802">
        <f>'WP II-I-1.1'!G165</f>
        <v>0</v>
      </c>
      <c r="H548" s="802">
        <f>'WP II-I-1.1'!H165</f>
        <v>0</v>
      </c>
      <c r="I548" s="981">
        <f>'WP II-I-1.1'!I165</f>
        <v>0</v>
      </c>
      <c r="J548" s="229">
        <f t="shared" si="77"/>
        <v>0</v>
      </c>
      <c r="K548" s="229"/>
      <c r="L548" s="17">
        <f t="shared" si="75"/>
        <v>0</v>
      </c>
      <c r="M548" s="45"/>
      <c r="N548" s="751">
        <f t="shared" si="78"/>
        <v>0</v>
      </c>
      <c r="O548" s="751">
        <f>'WP II-I-1.1'!$J167-L548-F548</f>
        <v>0</v>
      </c>
      <c r="P548" s="1003"/>
      <c r="Q548" s="1003"/>
    </row>
    <row r="549" spans="2:17" s="321" customFormat="1" x14ac:dyDescent="0.2">
      <c r="B549" s="16">
        <f t="shared" si="73"/>
        <v>34</v>
      </c>
      <c r="C549" s="610">
        <v>186</v>
      </c>
      <c r="D549" s="611" t="s">
        <v>1266</v>
      </c>
      <c r="E549" s="611"/>
      <c r="F549" s="980">
        <f>'WP II-I-1.1'!F166</f>
        <v>0</v>
      </c>
      <c r="G549" s="802">
        <f>'WP II-I-1.1'!G166</f>
        <v>0</v>
      </c>
      <c r="H549" s="802">
        <f>'WP II-I-1.1'!H166</f>
        <v>0</v>
      </c>
      <c r="I549" s="981">
        <f>'WP II-I-1.1'!I166</f>
        <v>0</v>
      </c>
      <c r="J549" s="229">
        <f t="shared" si="77"/>
        <v>0</v>
      </c>
      <c r="K549" s="229"/>
      <c r="L549" s="17">
        <f t="shared" si="75"/>
        <v>0</v>
      </c>
      <c r="M549" s="45"/>
      <c r="N549" s="751"/>
      <c r="O549" s="751"/>
      <c r="P549" s="1003"/>
      <c r="Q549" s="1003"/>
    </row>
    <row r="550" spans="2:17" s="321" customFormat="1" x14ac:dyDescent="0.2">
      <c r="B550" s="16">
        <f t="shared" si="73"/>
        <v>35</v>
      </c>
      <c r="C550" s="610">
        <v>186</v>
      </c>
      <c r="D550" s="611" t="s">
        <v>1267</v>
      </c>
      <c r="E550" s="611"/>
      <c r="F550" s="980">
        <f>'WP II-I-1.1'!F167</f>
        <v>0</v>
      </c>
      <c r="G550" s="802">
        <f>'WP II-I-1.1'!G167</f>
        <v>0</v>
      </c>
      <c r="H550" s="802">
        <f>'WP II-I-1.1'!H167</f>
        <v>0</v>
      </c>
      <c r="I550" s="981">
        <f>'WP II-I-1.1'!I167</f>
        <v>0</v>
      </c>
      <c r="J550" s="229">
        <f t="shared" si="77"/>
        <v>0</v>
      </c>
      <c r="K550" s="229"/>
      <c r="L550" s="17">
        <f t="shared" si="75"/>
        <v>0</v>
      </c>
      <c r="M550" s="45"/>
      <c r="N550" s="751"/>
      <c r="O550" s="751"/>
      <c r="P550" s="1003"/>
      <c r="Q550" s="1003"/>
    </row>
    <row r="551" spans="2:17" s="321" customFormat="1" x14ac:dyDescent="0.2">
      <c r="B551" s="16">
        <f t="shared" si="73"/>
        <v>36</v>
      </c>
      <c r="C551" s="610">
        <v>186</v>
      </c>
      <c r="D551" s="611" t="s">
        <v>1326</v>
      </c>
      <c r="E551" s="611"/>
      <c r="F551" s="980">
        <f>'WP II-I-1.1'!F168</f>
        <v>0</v>
      </c>
      <c r="G551" s="802">
        <f>'WP II-I-1.1'!G168</f>
        <v>4823828.9400000004</v>
      </c>
      <c r="H551" s="802">
        <f>'WP II-I-1.1'!H168</f>
        <v>0</v>
      </c>
      <c r="I551" s="981">
        <f>'WP II-I-1.1'!I168</f>
        <v>0</v>
      </c>
      <c r="J551" s="229">
        <f t="shared" si="77"/>
        <v>4823828.9400000004</v>
      </c>
      <c r="K551" s="229"/>
      <c r="L551" s="17">
        <f t="shared" si="75"/>
        <v>4823828.9400000004</v>
      </c>
      <c r="M551" s="45"/>
      <c r="N551" s="751"/>
      <c r="O551" s="751"/>
      <c r="P551" s="1003"/>
      <c r="Q551" s="1003"/>
    </row>
    <row r="552" spans="2:17" s="321" customFormat="1" x14ac:dyDescent="0.2">
      <c r="B552" s="16">
        <f t="shared" si="73"/>
        <v>37</v>
      </c>
      <c r="C552" s="610">
        <v>187</v>
      </c>
      <c r="D552" s="611" t="s">
        <v>1268</v>
      </c>
      <c r="E552" s="611"/>
      <c r="F552" s="980">
        <f>'WP II-I-1.1'!F169</f>
        <v>0</v>
      </c>
      <c r="G552" s="802">
        <f>'WP II-I-1.1'!G169</f>
        <v>0</v>
      </c>
      <c r="H552" s="802">
        <f>'WP II-I-1.1'!H169</f>
        <v>0</v>
      </c>
      <c r="I552" s="981">
        <f>'WP II-I-1.1'!I169</f>
        <v>0</v>
      </c>
      <c r="J552" s="229">
        <f t="shared" si="77"/>
        <v>0</v>
      </c>
      <c r="K552" s="229"/>
      <c r="L552" s="17">
        <f t="shared" si="75"/>
        <v>0</v>
      </c>
      <c r="M552" s="45"/>
      <c r="N552" s="751"/>
      <c r="O552" s="751"/>
      <c r="P552" s="1003"/>
      <c r="Q552" s="1003"/>
    </row>
    <row r="553" spans="2:17" s="321" customFormat="1" ht="12.95" customHeight="1" x14ac:dyDescent="0.2">
      <c r="B553" s="16">
        <f t="shared" si="73"/>
        <v>38</v>
      </c>
      <c r="C553" s="610">
        <v>186</v>
      </c>
      <c r="D553" s="611" t="s">
        <v>1327</v>
      </c>
      <c r="E553" s="611"/>
      <c r="F553" s="980">
        <f>'WP II-I-1.1'!F170</f>
        <v>0</v>
      </c>
      <c r="G553" s="802">
        <f>'WP II-I-1.1'!G170</f>
        <v>146499.54999999999</v>
      </c>
      <c r="H553" s="802">
        <f>'WP II-I-1.1'!H170</f>
        <v>0</v>
      </c>
      <c r="I553" s="981">
        <f>'WP II-I-1.1'!I170</f>
        <v>0</v>
      </c>
      <c r="J553" s="229">
        <f t="shared" si="77"/>
        <v>146499.54999999999</v>
      </c>
      <c r="K553" s="229"/>
      <c r="L553" s="17">
        <f t="shared" si="75"/>
        <v>146499.54999999999</v>
      </c>
      <c r="M553" s="45"/>
      <c r="N553" s="751"/>
      <c r="O553" s="751"/>
      <c r="P553" s="1003"/>
      <c r="Q553" s="1003"/>
    </row>
    <row r="554" spans="2:17" s="321" customFormat="1" x14ac:dyDescent="0.2">
      <c r="B554" s="16">
        <f t="shared" si="73"/>
        <v>39</v>
      </c>
      <c r="C554" s="38">
        <v>186</v>
      </c>
      <c r="D554" s="41" t="s">
        <v>1269</v>
      </c>
      <c r="E554" s="41"/>
      <c r="F554" s="980">
        <f>'WP II-I-1.1'!F171</f>
        <v>0</v>
      </c>
      <c r="G554" s="802">
        <f>'WP II-I-1.1'!G171</f>
        <v>0</v>
      </c>
      <c r="H554" s="802">
        <f>'WP II-I-1.1'!H171</f>
        <v>0</v>
      </c>
      <c r="I554" s="981">
        <f>'WP II-I-1.1'!I171</f>
        <v>0</v>
      </c>
      <c r="J554" s="229">
        <f t="shared" si="77"/>
        <v>0</v>
      </c>
      <c r="K554" s="229"/>
      <c r="L554" s="17">
        <f t="shared" si="75"/>
        <v>0</v>
      </c>
      <c r="M554" s="45"/>
      <c r="N554" s="751">
        <f t="shared" si="78"/>
        <v>0</v>
      </c>
      <c r="O554" s="751">
        <f>'WP II-I-1.1'!$J168-L554-F554</f>
        <v>4823828.9400000004</v>
      </c>
      <c r="P554" s="998"/>
      <c r="Q554" s="998"/>
    </row>
    <row r="555" spans="2:17" s="321" customFormat="1" ht="16.5" x14ac:dyDescent="0.35">
      <c r="B555" s="16">
        <f t="shared" si="73"/>
        <v>40</v>
      </c>
      <c r="C555" s="38">
        <v>186</v>
      </c>
      <c r="D555" s="41" t="s">
        <v>1328</v>
      </c>
      <c r="E555" s="41"/>
      <c r="F555" s="982">
        <f>'WP II-I-1.1'!F172</f>
        <v>0</v>
      </c>
      <c r="G555" s="983">
        <f>'WP II-I-1.1'!G172</f>
        <v>0</v>
      </c>
      <c r="H555" s="983">
        <f>'WP II-I-1.1'!H172</f>
        <v>0</v>
      </c>
      <c r="I555" s="984">
        <f>'WP II-I-1.1'!I172</f>
        <v>0</v>
      </c>
      <c r="J555" s="229">
        <f t="shared" si="77"/>
        <v>0</v>
      </c>
      <c r="K555" s="238"/>
      <c r="L555" s="17">
        <f t="shared" si="75"/>
        <v>0</v>
      </c>
      <c r="M555" s="45"/>
      <c r="N555" s="751">
        <f t="shared" si="78"/>
        <v>0</v>
      </c>
      <c r="O555" s="751">
        <f>'WP II-I-1.1'!$J169-L555-F555</f>
        <v>0</v>
      </c>
      <c r="P555" s="998"/>
      <c r="Q555" s="998"/>
    </row>
    <row r="556" spans="2:17" ht="15" x14ac:dyDescent="0.25">
      <c r="B556" s="16">
        <f t="shared" si="73"/>
        <v>41</v>
      </c>
      <c r="C556" s="34"/>
      <c r="D556" s="42" t="s">
        <v>562</v>
      </c>
      <c r="E556" s="806"/>
      <c r="F556" s="807">
        <f>SUM(F519:F555)</f>
        <v>63813151.200000003</v>
      </c>
      <c r="G556" s="807">
        <f>SUM(G519:G555)</f>
        <v>1163678035.28</v>
      </c>
      <c r="H556" s="807">
        <f>SUM(H519:H555)</f>
        <v>60223047.119999997</v>
      </c>
      <c r="I556" s="807">
        <f>SUM(I519:I555)</f>
        <v>11065174.830000006</v>
      </c>
      <c r="J556" s="807">
        <f>SUM(F556:I556)</f>
        <v>1298779408.4299998</v>
      </c>
      <c r="K556" s="807"/>
      <c r="L556" s="807">
        <f t="shared" si="75"/>
        <v>1234966257.2299998</v>
      </c>
      <c r="M556" s="104"/>
      <c r="N556" s="280"/>
    </row>
    <row r="557" spans="2:17" ht="15" x14ac:dyDescent="0.25">
      <c r="B557" s="16">
        <f t="shared" si="73"/>
        <v>42</v>
      </c>
      <c r="C557" s="41"/>
      <c r="D557" s="42"/>
      <c r="E557" s="806"/>
      <c r="F557" s="202"/>
      <c r="G557" s="202"/>
      <c r="H557" s="202"/>
      <c r="I557" s="202"/>
      <c r="J557" s="229"/>
      <c r="K557" s="229"/>
      <c r="L557" s="202"/>
      <c r="M557" s="64"/>
    </row>
    <row r="558" spans="2:17" ht="15" x14ac:dyDescent="0.25">
      <c r="B558" s="16">
        <f t="shared" si="73"/>
        <v>43</v>
      </c>
      <c r="C558" s="34" t="s">
        <v>130</v>
      </c>
      <c r="D558" s="41"/>
      <c r="E558" s="806"/>
      <c r="F558" s="17"/>
      <c r="G558" s="17"/>
      <c r="H558" s="17"/>
      <c r="I558" s="17"/>
      <c r="J558" s="229"/>
      <c r="K558" s="229"/>
      <c r="L558" s="17"/>
      <c r="M558" s="64"/>
    </row>
    <row r="559" spans="2:17" x14ac:dyDescent="0.2">
      <c r="B559" s="16">
        <f t="shared" si="73"/>
        <v>44</v>
      </c>
      <c r="C559" s="1008">
        <v>254</v>
      </c>
      <c r="D559" s="1154" t="s">
        <v>1173</v>
      </c>
      <c r="F559" s="1352">
        <f>'WP II-I-1.1'!F174</f>
        <v>0</v>
      </c>
      <c r="G559" s="1353">
        <f>'WP II-I-1.1'!G174</f>
        <v>0</v>
      </c>
      <c r="H559" s="1353">
        <f>'WP II-I-1.1'!H174</f>
        <v>0</v>
      </c>
      <c r="I559" s="1354">
        <f>'WP II-I-1.1'!I174</f>
        <v>0</v>
      </c>
      <c r="J559" s="229">
        <f t="shared" ref="J559:J563" si="79">SUM(F559:I559)</f>
        <v>0</v>
      </c>
      <c r="K559" s="229"/>
      <c r="L559" s="17">
        <f t="shared" si="75"/>
        <v>0</v>
      </c>
      <c r="M559" s="64"/>
      <c r="N559" s="751">
        <f t="shared" ref="N559:N575" si="80">J559-L559-F559</f>
        <v>0</v>
      </c>
      <c r="O559" s="751">
        <f>'WP II-I-1.1'!$J174-L559-F559</f>
        <v>0</v>
      </c>
    </row>
    <row r="560" spans="2:17" s="321" customFormat="1" x14ac:dyDescent="0.2">
      <c r="B560" s="16">
        <f t="shared" si="73"/>
        <v>45</v>
      </c>
      <c r="C560" s="1008" t="s">
        <v>1121</v>
      </c>
      <c r="D560" s="1154" t="s">
        <v>926</v>
      </c>
      <c r="F560" s="1355">
        <f>'WP II-I-1.1'!F175</f>
        <v>0</v>
      </c>
      <c r="G560" s="17">
        <f>'WP II-I-1.1'!G175</f>
        <v>0</v>
      </c>
      <c r="H560" s="17">
        <f>'WP II-I-1.1'!H175</f>
        <v>0</v>
      </c>
      <c r="I560" s="1356">
        <f>'WP II-I-1.1'!I175</f>
        <v>0</v>
      </c>
      <c r="J560" s="229">
        <f t="shared" si="79"/>
        <v>0</v>
      </c>
      <c r="K560" s="229"/>
      <c r="L560" s="17">
        <f t="shared" si="75"/>
        <v>0</v>
      </c>
      <c r="M560" s="45"/>
      <c r="N560" s="751">
        <f t="shared" si="80"/>
        <v>0</v>
      </c>
      <c r="O560" s="751">
        <f>'WP II-I-1.1'!$J175-L560-F560</f>
        <v>0</v>
      </c>
    </row>
    <row r="561" spans="2:15" s="321" customFormat="1" x14ac:dyDescent="0.2">
      <c r="B561" s="16">
        <f t="shared" si="73"/>
        <v>46</v>
      </c>
      <c r="C561" s="1008">
        <v>254</v>
      </c>
      <c r="D561" s="1154" t="s">
        <v>1272</v>
      </c>
      <c r="F561" s="1355">
        <f>'WP II-I-1.1'!F176</f>
        <v>-108746.6</v>
      </c>
      <c r="G561" s="17">
        <f>'WP II-I-1.1'!G176</f>
        <v>-8947664.1099999994</v>
      </c>
      <c r="H561" s="17">
        <f>'WP II-I-1.1'!H176</f>
        <v>0</v>
      </c>
      <c r="I561" s="1356">
        <f>'WP II-I-1.1'!I176</f>
        <v>0</v>
      </c>
      <c r="J561" s="229">
        <f t="shared" ref="J561" si="81">SUM(F561:I561)</f>
        <v>-9056410.709999999</v>
      </c>
      <c r="K561" s="229"/>
      <c r="L561" s="17">
        <f t="shared" ref="L561" si="82">SUM(G561:I561)</f>
        <v>-8947664.1099999994</v>
      </c>
      <c r="M561" s="45"/>
      <c r="N561" s="751"/>
      <c r="O561" s="751"/>
    </row>
    <row r="562" spans="2:15" s="321" customFormat="1" x14ac:dyDescent="0.2">
      <c r="B562" s="16">
        <f t="shared" si="73"/>
        <v>47</v>
      </c>
      <c r="C562" s="1008">
        <v>254</v>
      </c>
      <c r="D562" s="1155" t="s">
        <v>1273</v>
      </c>
      <c r="E562" s="1007"/>
      <c r="F562" s="1355">
        <f>'WP II-I-1.1'!F177</f>
        <v>-52539.200000000004</v>
      </c>
      <c r="G562" s="17">
        <f>'WP II-I-1.1'!G177</f>
        <v>-4987970.08</v>
      </c>
      <c r="H562" s="17">
        <f>'WP II-I-1.1'!H177</f>
        <v>0</v>
      </c>
      <c r="I562" s="1356">
        <f>'WP II-I-1.1'!I177</f>
        <v>0</v>
      </c>
      <c r="J562" s="229">
        <f t="shared" si="79"/>
        <v>-5040509.28</v>
      </c>
      <c r="K562" s="229"/>
      <c r="L562" s="17">
        <f t="shared" si="75"/>
        <v>-4987970.08</v>
      </c>
      <c r="M562" s="45"/>
      <c r="N562" s="751">
        <f t="shared" si="80"/>
        <v>-1.8189894035458565E-10</v>
      </c>
      <c r="O562" s="751">
        <f>'WP II-I-1.1'!$J178-L562-F562</f>
        <v>5040509.28</v>
      </c>
    </row>
    <row r="563" spans="2:15" s="321" customFormat="1" x14ac:dyDescent="0.2">
      <c r="B563" s="16">
        <f t="shared" si="73"/>
        <v>48</v>
      </c>
      <c r="C563" s="991">
        <v>254</v>
      </c>
      <c r="D563" s="1153" t="s">
        <v>1274</v>
      </c>
      <c r="E563" s="1007"/>
      <c r="F563" s="1355">
        <f>'WP II-I-1.1'!F178</f>
        <v>0</v>
      </c>
      <c r="G563" s="17">
        <f>'WP II-I-1.1'!G178</f>
        <v>0</v>
      </c>
      <c r="H563" s="17">
        <f>'WP II-I-1.1'!H178</f>
        <v>0</v>
      </c>
      <c r="I563" s="1356">
        <f>'WP II-I-1.1'!I178</f>
        <v>0</v>
      </c>
      <c r="J563" s="229">
        <f t="shared" si="79"/>
        <v>0</v>
      </c>
      <c r="K563" s="229"/>
      <c r="L563" s="17">
        <f t="shared" si="75"/>
        <v>0</v>
      </c>
      <c r="M563" s="45"/>
      <c r="N563" s="751">
        <f t="shared" si="80"/>
        <v>0</v>
      </c>
      <c r="O563" s="751">
        <f>'WP II-I-1.1'!$J179-L563-F563</f>
        <v>0</v>
      </c>
    </row>
    <row r="564" spans="2:15" s="321" customFormat="1" x14ac:dyDescent="0.2">
      <c r="B564" s="16">
        <f t="shared" si="73"/>
        <v>49</v>
      </c>
      <c r="C564" s="991">
        <v>254</v>
      </c>
      <c r="D564" s="1153" t="s">
        <v>1174</v>
      </c>
      <c r="E564" s="813"/>
      <c r="F564" s="1320">
        <f>'WP II-I-1.1'!F179</f>
        <v>0</v>
      </c>
      <c r="G564" s="802">
        <f>'WP II-I-1.1'!G179</f>
        <v>0</v>
      </c>
      <c r="H564" s="230">
        <f>'WP II-I-1.1'!H179</f>
        <v>0</v>
      </c>
      <c r="I564" s="1321">
        <f>'WP II-I-1.1'!I179</f>
        <v>0</v>
      </c>
      <c r="J564" s="229">
        <f>SUM(F564:I564)</f>
        <v>0</v>
      </c>
      <c r="K564" s="229"/>
      <c r="L564" s="17">
        <f t="shared" si="75"/>
        <v>0</v>
      </c>
      <c r="M564" s="45"/>
      <c r="N564" s="751">
        <f t="shared" si="80"/>
        <v>0</v>
      </c>
      <c r="O564" s="751">
        <f>'WP II-I-1.1'!$J180-L564-F564</f>
        <v>0</v>
      </c>
    </row>
    <row r="565" spans="2:15" s="321" customFormat="1" x14ac:dyDescent="0.2">
      <c r="B565" s="16">
        <f t="shared" si="73"/>
        <v>50</v>
      </c>
      <c r="C565" s="991">
        <v>254</v>
      </c>
      <c r="D565" s="1153" t="s">
        <v>1175</v>
      </c>
      <c r="E565" s="1007"/>
      <c r="F565" s="1320">
        <f>'WP II-I-1.1'!F180</f>
        <v>0</v>
      </c>
      <c r="G565" s="802">
        <f>'WP II-I-1.1'!G180</f>
        <v>0</v>
      </c>
      <c r="H565" s="230">
        <f>'WP II-I-1.1'!H180</f>
        <v>0</v>
      </c>
      <c r="I565" s="1321">
        <f>'WP II-I-1.1'!I180</f>
        <v>0</v>
      </c>
      <c r="J565" s="229">
        <f t="shared" ref="J565:J573" si="83">SUM(F565:I565)</f>
        <v>0</v>
      </c>
      <c r="K565" s="229"/>
      <c r="L565" s="17">
        <f t="shared" si="75"/>
        <v>0</v>
      </c>
      <c r="M565" s="45"/>
      <c r="N565" s="751">
        <f t="shared" si="80"/>
        <v>0</v>
      </c>
      <c r="O565" s="751">
        <f>'WP II-I-1.1'!$J181-L565-F565</f>
        <v>0</v>
      </c>
    </row>
    <row r="566" spans="2:15" s="321" customFormat="1" x14ac:dyDescent="0.2">
      <c r="B566" s="16">
        <f t="shared" si="73"/>
        <v>51</v>
      </c>
      <c r="C566" s="991">
        <v>254</v>
      </c>
      <c r="D566" s="1153" t="s">
        <v>1275</v>
      </c>
      <c r="E566" s="1007"/>
      <c r="F566" s="1320">
        <f>'WP II-I-1.1'!F181</f>
        <v>0</v>
      </c>
      <c r="G566" s="230">
        <f>'WP II-I-1.1'!G181</f>
        <v>0</v>
      </c>
      <c r="H566" s="230">
        <f>'WP II-I-1.1'!H181</f>
        <v>0</v>
      </c>
      <c r="I566" s="1321">
        <f>'WP II-I-1.1'!I181</f>
        <v>0</v>
      </c>
      <c r="J566" s="229">
        <f t="shared" si="83"/>
        <v>0</v>
      </c>
      <c r="K566" s="229"/>
      <c r="L566" s="17">
        <f t="shared" si="75"/>
        <v>0</v>
      </c>
      <c r="M566" s="45"/>
      <c r="N566" s="751">
        <f t="shared" si="80"/>
        <v>0</v>
      </c>
      <c r="O566" s="751">
        <f>'WP II-I-1.1'!$J182-L566-F566</f>
        <v>54569.880000000114</v>
      </c>
    </row>
    <row r="567" spans="2:15" s="321" customFormat="1" ht="13.5" customHeight="1" x14ac:dyDescent="0.2">
      <c r="B567" s="16">
        <f t="shared" si="73"/>
        <v>52</v>
      </c>
      <c r="C567" s="990">
        <v>254</v>
      </c>
      <c r="D567" s="1155" t="s">
        <v>1276</v>
      </c>
      <c r="E567" s="1007"/>
      <c r="F567" s="1320">
        <f>'WP II-I-1.1'!F182</f>
        <v>0</v>
      </c>
      <c r="G567" s="802">
        <f>'WP II-I-1.1'!G182</f>
        <v>54569.880000000114</v>
      </c>
      <c r="H567" s="230">
        <f>'WP II-I-1.1'!H182</f>
        <v>0</v>
      </c>
      <c r="I567" s="1321">
        <f>'WP II-I-1.1'!I182</f>
        <v>0</v>
      </c>
      <c r="J567" s="229">
        <f t="shared" si="83"/>
        <v>54569.880000000114</v>
      </c>
      <c r="K567" s="229"/>
      <c r="L567" s="17">
        <f t="shared" si="75"/>
        <v>54569.880000000114</v>
      </c>
      <c r="M567" s="45"/>
      <c r="N567" s="751">
        <f t="shared" si="80"/>
        <v>0</v>
      </c>
      <c r="O567" s="751">
        <f>'WP II-I-1.1'!$J183-L567-F567</f>
        <v>1529185.0299999889</v>
      </c>
    </row>
    <row r="568" spans="2:15" s="321" customFormat="1" ht="12.6" customHeight="1" x14ac:dyDescent="0.2">
      <c r="B568" s="16">
        <f t="shared" si="73"/>
        <v>53</v>
      </c>
      <c r="C568" s="990">
        <v>254</v>
      </c>
      <c r="D568" s="1155" t="s">
        <v>1277</v>
      </c>
      <c r="E568" s="1007"/>
      <c r="F568" s="1320">
        <f>'WP II-I-1.1'!F183</f>
        <v>0</v>
      </c>
      <c r="G568" s="802">
        <f>'WP II-I-1.1'!G183</f>
        <v>1583754.909999989</v>
      </c>
      <c r="H568" s="230">
        <f>'WP II-I-1.1'!H183</f>
        <v>0</v>
      </c>
      <c r="I568" s="1321">
        <f>'WP II-I-1.1'!I183</f>
        <v>0</v>
      </c>
      <c r="J568" s="229">
        <f t="shared" ref="J568:J569" si="84">SUM(F568:I568)</f>
        <v>1583754.909999989</v>
      </c>
      <c r="K568" s="229"/>
      <c r="L568" s="17">
        <f t="shared" ref="L568:L569" si="85">SUM(G568:I568)</f>
        <v>1583754.909999989</v>
      </c>
      <c r="M568" s="45"/>
      <c r="N568" s="751"/>
      <c r="O568" s="751"/>
    </row>
    <row r="569" spans="2:15" s="321" customFormat="1" ht="13.5" customHeight="1" x14ac:dyDescent="0.2">
      <c r="B569" s="16">
        <f t="shared" si="73"/>
        <v>54</v>
      </c>
      <c r="C569" s="990">
        <v>254</v>
      </c>
      <c r="D569" s="1155" t="s">
        <v>1278</v>
      </c>
      <c r="E569" s="1007"/>
      <c r="F569" s="1320">
        <f>'WP II-I-1.1'!F184</f>
        <v>0</v>
      </c>
      <c r="G569" s="802">
        <f>'WP II-I-1.1'!G184</f>
        <v>-25859.240000000005</v>
      </c>
      <c r="H569" s="230">
        <f>'WP II-I-1.1'!H184</f>
        <v>0</v>
      </c>
      <c r="I569" s="1321">
        <f>'WP II-I-1.1'!I184</f>
        <v>0</v>
      </c>
      <c r="J569" s="229">
        <f t="shared" si="84"/>
        <v>-25859.240000000005</v>
      </c>
      <c r="K569" s="229"/>
      <c r="L569" s="17">
        <f t="shared" si="85"/>
        <v>-25859.240000000005</v>
      </c>
      <c r="M569" s="45"/>
      <c r="N569" s="751"/>
      <c r="O569" s="751"/>
    </row>
    <row r="570" spans="2:15" s="321" customFormat="1" x14ac:dyDescent="0.2">
      <c r="B570" s="16">
        <f t="shared" si="73"/>
        <v>55</v>
      </c>
      <c r="C570" s="1008">
        <v>254</v>
      </c>
      <c r="D570" s="1154" t="s">
        <v>1279</v>
      </c>
      <c r="E570" s="1007"/>
      <c r="F570" s="980">
        <f>'WP II-I-1.1'!F185</f>
        <v>-4469613.0999999996</v>
      </c>
      <c r="G570" s="802">
        <f>'WP II-I-1.1'!G185</f>
        <v>-11752973.43</v>
      </c>
      <c r="H570" s="802">
        <f>'WP II-I-1.1'!H185</f>
        <v>-3564248.35</v>
      </c>
      <c r="I570" s="981">
        <f>'WP II-I-1.1'!I185</f>
        <v>411033.34000000032</v>
      </c>
      <c r="J570" s="229">
        <f t="shared" ref="J570" si="86">SUM(F570:I570)</f>
        <v>-19375801.539999999</v>
      </c>
      <c r="K570" s="229"/>
      <c r="L570" s="17">
        <f t="shared" ref="L570" si="87">SUM(G570:I570)</f>
        <v>-14906188.439999999</v>
      </c>
      <c r="M570" s="45"/>
      <c r="N570" s="751"/>
      <c r="O570" s="751"/>
    </row>
    <row r="571" spans="2:15" s="321" customFormat="1" x14ac:dyDescent="0.2">
      <c r="B571" s="16">
        <f t="shared" si="73"/>
        <v>56</v>
      </c>
      <c r="C571" s="991">
        <v>254</v>
      </c>
      <c r="D571" s="1156" t="s">
        <v>1176</v>
      </c>
      <c r="E571" s="1007"/>
      <c r="F571" s="1320">
        <f>'WP II-I-1.1'!F186</f>
        <v>-8957564.5299999993</v>
      </c>
      <c r="G571" s="230">
        <f>'WP II-I-1.1'!G186</f>
        <v>-23922318.68</v>
      </c>
      <c r="H571" s="230">
        <f>'WP II-I-1.1'!H186</f>
        <v>-6689323.3200000003</v>
      </c>
      <c r="I571" s="1321">
        <f>'WP II-I-1.1'!I186</f>
        <v>-274196.65999999642</v>
      </c>
      <c r="J571" s="229">
        <f t="shared" si="83"/>
        <v>-39843403.189999998</v>
      </c>
      <c r="K571" s="229"/>
      <c r="L571" s="17">
        <f t="shared" si="75"/>
        <v>-30885838.659999996</v>
      </c>
      <c r="M571" s="45"/>
      <c r="N571" s="751">
        <f t="shared" si="80"/>
        <v>0</v>
      </c>
      <c r="O571" s="751">
        <f>'WP II-I-1.1'!$J185-L571-F571</f>
        <v>20467601.649999999</v>
      </c>
    </row>
    <row r="572" spans="2:15" s="321" customFormat="1" ht="16.5" x14ac:dyDescent="0.35">
      <c r="B572" s="16">
        <f t="shared" si="73"/>
        <v>57</v>
      </c>
      <c r="C572" s="38">
        <v>257</v>
      </c>
      <c r="D572" s="41" t="s">
        <v>1122</v>
      </c>
      <c r="F572" s="1325">
        <f>'WP II-I-1.1'!F187</f>
        <v>0</v>
      </c>
      <c r="G572" s="1325">
        <f>'WP II-I-1.1'!G187</f>
        <v>0</v>
      </c>
      <c r="H572" s="1325">
        <f>'WP II-I-1.1'!H187</f>
        <v>0</v>
      </c>
      <c r="I572" s="1325">
        <f>'WP II-I-1.1'!I187</f>
        <v>0</v>
      </c>
      <c r="J572" s="238">
        <f t="shared" si="83"/>
        <v>0</v>
      </c>
      <c r="K572" s="238"/>
      <c r="L572" s="232">
        <f t="shared" si="75"/>
        <v>0</v>
      </c>
      <c r="M572" s="45"/>
      <c r="N572" s="751">
        <f t="shared" si="80"/>
        <v>0</v>
      </c>
      <c r="O572" s="751">
        <f>'WP II-I-1.1'!$J186-L572-F572</f>
        <v>-39843403.189999998</v>
      </c>
    </row>
    <row r="573" spans="2:15" s="321" customFormat="1" ht="15.75" customHeight="1" x14ac:dyDescent="0.25">
      <c r="B573" s="16">
        <f t="shared" si="73"/>
        <v>58</v>
      </c>
      <c r="C573" s="34"/>
      <c r="D573" s="42" t="s">
        <v>563</v>
      </c>
      <c r="F573" s="37">
        <f>SUM(F559:F572)</f>
        <v>-13588463.43</v>
      </c>
      <c r="G573" s="807">
        <f>SUM(G559:G572)</f>
        <v>-47998460.750000007</v>
      </c>
      <c r="H573" s="807">
        <f>SUM(H559:H572)</f>
        <v>-10253571.67</v>
      </c>
      <c r="I573" s="807">
        <f>SUM(I559:I572)</f>
        <v>136836.68000000389</v>
      </c>
      <c r="J573" s="236">
        <f t="shared" si="83"/>
        <v>-71703659.170000002</v>
      </c>
      <c r="K573" s="236"/>
      <c r="L573" s="807">
        <f>SUM(G573:I573)</f>
        <v>-58115195.740000002</v>
      </c>
      <c r="M573" s="118"/>
      <c r="N573" s="751">
        <f t="shared" si="80"/>
        <v>0</v>
      </c>
    </row>
    <row r="574" spans="2:15" ht="15.75" thickBot="1" x14ac:dyDescent="0.3">
      <c r="B574" s="16">
        <f t="shared" si="73"/>
        <v>59</v>
      </c>
      <c r="C574" s="41"/>
      <c r="D574" s="42"/>
      <c r="E574" s="35"/>
      <c r="F574" s="202"/>
      <c r="G574" s="202"/>
      <c r="H574" s="202"/>
      <c r="I574" s="202"/>
      <c r="J574" s="97"/>
      <c r="K574" s="229"/>
      <c r="L574" s="202"/>
      <c r="M574" s="64"/>
    </row>
    <row r="575" spans="2:15" ht="15.75" thickBot="1" x14ac:dyDescent="0.3">
      <c r="B575" s="16">
        <f t="shared" si="73"/>
        <v>60</v>
      </c>
      <c r="C575" s="291" t="s">
        <v>564</v>
      </c>
      <c r="D575" s="217"/>
      <c r="E575" s="272" t="s">
        <v>127</v>
      </c>
      <c r="F575" s="217">
        <f>F556+F573</f>
        <v>50224687.770000003</v>
      </c>
      <c r="G575" s="217">
        <f>G556+G573</f>
        <v>1115679574.53</v>
      </c>
      <c r="H575" s="217">
        <f>H556+H573</f>
        <v>49969475.449999996</v>
      </c>
      <c r="I575" s="217">
        <f>I556+I573</f>
        <v>11202011.510000009</v>
      </c>
      <c r="J575" s="218">
        <f>SUM(F575:I575)</f>
        <v>1227075749.26</v>
      </c>
      <c r="K575" s="37"/>
      <c r="L575" s="219">
        <f t="shared" si="75"/>
        <v>1176851061.49</v>
      </c>
      <c r="M575" s="34"/>
      <c r="N575" s="751">
        <f t="shared" si="80"/>
        <v>0</v>
      </c>
    </row>
    <row r="576" spans="2:15" ht="15" x14ac:dyDescent="0.25">
      <c r="B576" s="16"/>
      <c r="C576" s="41"/>
      <c r="D576" s="42"/>
      <c r="E576" s="35"/>
      <c r="F576" s="202"/>
      <c r="G576" s="202"/>
      <c r="H576" s="202"/>
      <c r="I576" s="202"/>
      <c r="J576" s="97"/>
      <c r="K576" s="229"/>
      <c r="L576" s="202"/>
      <c r="M576" s="64"/>
    </row>
    <row r="577" spans="2:15" ht="15" x14ac:dyDescent="0.25">
      <c r="B577" s="783"/>
      <c r="C577" s="783"/>
      <c r="D577" s="783"/>
      <c r="E577" s="783"/>
      <c r="F577" s="783"/>
      <c r="G577" s="783"/>
      <c r="H577" s="783"/>
      <c r="I577" s="783"/>
      <c r="J577" s="783"/>
      <c r="K577" s="783"/>
      <c r="L577" s="783"/>
      <c r="M577" s="105" t="str">
        <f>$M$2</f>
        <v xml:space="preserve"> </v>
      </c>
    </row>
    <row r="578" spans="2:15" ht="15.75" thickBot="1" x14ac:dyDescent="0.3">
      <c r="B578" s="783"/>
      <c r="C578" s="783"/>
      <c r="D578" s="783"/>
      <c r="E578" s="783"/>
      <c r="F578" s="783"/>
      <c r="G578" s="783"/>
      <c r="H578" s="783"/>
      <c r="I578" s="783"/>
      <c r="J578" s="783"/>
      <c r="K578" s="783"/>
      <c r="L578" s="783"/>
      <c r="M578" s="64"/>
    </row>
    <row r="579" spans="2:15" ht="15" x14ac:dyDescent="0.25">
      <c r="B579" s="829" t="str">
        <f>$B$4</f>
        <v>2025 RATE CASE</v>
      </c>
      <c r="C579" s="835"/>
      <c r="D579" s="836"/>
      <c r="E579" s="783"/>
      <c r="F579" s="783"/>
      <c r="G579" s="783"/>
      <c r="H579" s="783"/>
      <c r="I579" s="783"/>
      <c r="J579" s="783"/>
      <c r="K579" s="783"/>
      <c r="L579" s="783"/>
    </row>
    <row r="580" spans="2:15" ht="15" x14ac:dyDescent="0.25">
      <c r="B580" s="826" t="str">
        <f>$B$5</f>
        <v>ONCOR ELECTRIC DELIVERY COMPANY LLC</v>
      </c>
      <c r="C580" s="304"/>
      <c r="D580" s="837"/>
      <c r="E580" s="783"/>
      <c r="F580" s="783"/>
      <c r="G580" s="783"/>
      <c r="H580" s="783"/>
      <c r="I580" s="783"/>
      <c r="J580" s="783"/>
      <c r="K580" s="783"/>
      <c r="L580" s="783"/>
      <c r="M580" s="64"/>
    </row>
    <row r="581" spans="2:15" ht="15" x14ac:dyDescent="0.25">
      <c r="B581" s="341" t="str">
        <f>$B$6</f>
        <v>CONSOLIDATED FUNCTIONALIZED COST OF SERVICE</v>
      </c>
      <c r="C581" s="304"/>
      <c r="D581" s="837"/>
      <c r="E581" s="783"/>
      <c r="F581" s="783"/>
      <c r="G581" s="783"/>
      <c r="H581" s="783"/>
      <c r="I581" s="783"/>
      <c r="J581" s="783"/>
      <c r="K581" s="783"/>
      <c r="L581" s="783"/>
      <c r="M581" s="64"/>
    </row>
    <row r="582" spans="2:15" ht="15" x14ac:dyDescent="0.25">
      <c r="B582" s="341" t="str">
        <f>$B$7</f>
        <v>TEST YEAR ENDING 12/31/2024</v>
      </c>
      <c r="C582" s="304"/>
      <c r="D582" s="837"/>
      <c r="E582" s="304"/>
      <c r="F582" s="304"/>
      <c r="G582" s="304"/>
      <c r="H582" s="304"/>
      <c r="I582" s="304"/>
      <c r="J582" s="304"/>
      <c r="K582" s="304"/>
      <c r="L582" s="304"/>
      <c r="M582" s="64"/>
    </row>
    <row r="583" spans="2:15" ht="15" x14ac:dyDescent="0.25">
      <c r="B583" s="341" t="str">
        <f>$B$8</f>
        <v>SPONSOR:  MATTHEW A. TROXLE</v>
      </c>
      <c r="C583" s="304"/>
      <c r="D583" s="837"/>
      <c r="E583" s="304"/>
      <c r="F583" s="304"/>
      <c r="G583" s="304"/>
      <c r="H583" s="304"/>
      <c r="I583" s="304"/>
      <c r="J583" s="304"/>
      <c r="K583" s="304"/>
      <c r="L583" s="304"/>
      <c r="M583" s="64"/>
    </row>
    <row r="584" spans="2:15" ht="15.75" thickBot="1" x14ac:dyDescent="0.3">
      <c r="B584" s="345"/>
      <c r="C584" s="840"/>
      <c r="D584" s="841"/>
      <c r="E584" s="304"/>
      <c r="F584" s="304"/>
      <c r="G584" s="304"/>
      <c r="H584" s="304"/>
      <c r="I584" s="304"/>
      <c r="J584" s="304"/>
      <c r="K584" s="304"/>
      <c r="L584" s="304"/>
      <c r="M584" s="64"/>
    </row>
    <row r="585" spans="2:15" x14ac:dyDescent="0.2">
      <c r="B585" s="12"/>
      <c r="C585" s="13"/>
      <c r="D585" s="177"/>
      <c r="E585" s="177"/>
      <c r="F585" s="176" t="s">
        <v>6</v>
      </c>
      <c r="G585" s="12" t="s">
        <v>7</v>
      </c>
      <c r="H585" s="12" t="s">
        <v>8</v>
      </c>
      <c r="I585" s="178" t="s">
        <v>9</v>
      </c>
      <c r="J585" s="12" t="s">
        <v>10</v>
      </c>
      <c r="K585" s="16"/>
      <c r="L585" s="110" t="s">
        <v>907</v>
      </c>
      <c r="M585" s="64"/>
    </row>
    <row r="586" spans="2:15" ht="15" x14ac:dyDescent="0.25">
      <c r="B586" s="14" t="s">
        <v>2</v>
      </c>
      <c r="C586" s="14" t="s">
        <v>349</v>
      </c>
      <c r="D586" s="180" t="s">
        <v>565</v>
      </c>
      <c r="E586" s="181" t="s">
        <v>350</v>
      </c>
      <c r="F586" s="181"/>
      <c r="G586" s="14"/>
      <c r="H586" s="14"/>
      <c r="I586" s="14"/>
      <c r="J586" s="14"/>
      <c r="K586" s="16"/>
      <c r="L586" s="93" t="s">
        <v>908</v>
      </c>
      <c r="M586" s="64"/>
    </row>
    <row r="587" spans="2:15" x14ac:dyDescent="0.2">
      <c r="B587" s="14"/>
      <c r="C587" s="14"/>
      <c r="D587" s="181"/>
      <c r="E587" s="181"/>
      <c r="F587" s="181"/>
      <c r="G587" s="14"/>
      <c r="H587" s="14"/>
      <c r="I587" s="14"/>
      <c r="J587" s="14"/>
      <c r="K587" s="16"/>
      <c r="L587" s="93"/>
      <c r="M587" s="64"/>
    </row>
    <row r="588" spans="2:15" ht="15" thickBot="1" x14ac:dyDescent="0.25">
      <c r="B588" s="15"/>
      <c r="C588" s="15" t="s">
        <v>13</v>
      </c>
      <c r="D588" s="184" t="s">
        <v>14</v>
      </c>
      <c r="E588" s="184" t="s">
        <v>15</v>
      </c>
      <c r="F588" s="15" t="s">
        <v>16</v>
      </c>
      <c r="G588" s="15" t="s">
        <v>17</v>
      </c>
      <c r="H588" s="15" t="s">
        <v>18</v>
      </c>
      <c r="I588" s="15" t="s">
        <v>21</v>
      </c>
      <c r="J588" s="15" t="s">
        <v>22</v>
      </c>
      <c r="K588" s="16"/>
      <c r="L588" s="997" t="s">
        <v>397</v>
      </c>
      <c r="M588" s="64"/>
    </row>
    <row r="589" spans="2:15" x14ac:dyDescent="0.2">
      <c r="B589" s="64"/>
      <c r="C589" s="41"/>
      <c r="D589" s="41"/>
      <c r="E589" s="268"/>
      <c r="F589" s="268"/>
      <c r="G589" s="268"/>
      <c r="H589" s="268"/>
      <c r="I589" s="41"/>
      <c r="J589" s="41"/>
      <c r="K589" s="41"/>
      <c r="L589" s="41"/>
      <c r="M589" s="64"/>
    </row>
    <row r="590" spans="2:15" ht="15" x14ac:dyDescent="0.25">
      <c r="B590" s="16">
        <f>B576+1</f>
        <v>1</v>
      </c>
      <c r="C590" s="34" t="s">
        <v>132</v>
      </c>
      <c r="D590" s="41"/>
      <c r="E590" s="806" t="s">
        <v>127</v>
      </c>
      <c r="F590" s="281"/>
      <c r="G590" s="281"/>
      <c r="H590" s="281"/>
      <c r="I590" s="281"/>
      <c r="J590" s="41"/>
      <c r="K590" s="41"/>
      <c r="L590" s="281"/>
      <c r="M590" s="41"/>
      <c r="N590" s="294"/>
    </row>
    <row r="591" spans="2:15" s="321" customFormat="1" x14ac:dyDescent="0.2">
      <c r="B591" s="16">
        <f t="shared" ref="B591:B600" si="88">B590+1</f>
        <v>2</v>
      </c>
      <c r="C591" s="41">
        <v>182</v>
      </c>
      <c r="D591" s="41" t="s">
        <v>133</v>
      </c>
      <c r="E591" s="293"/>
      <c r="F591" s="1317">
        <f>'WP II-I-1.1'!F193</f>
        <v>0</v>
      </c>
      <c r="G591" s="1318">
        <f>'WP II-I-1.1'!G193</f>
        <v>0</v>
      </c>
      <c r="H591" s="1318">
        <f>'WP II-I-1.1'!H193</f>
        <v>0</v>
      </c>
      <c r="I591" s="1319">
        <f>'WP II-I-1.1'!I193</f>
        <v>0</v>
      </c>
      <c r="J591" s="229">
        <f t="shared" ref="J591:J597" si="89">SUM(F591:I591)</f>
        <v>0</v>
      </c>
      <c r="K591" s="229"/>
      <c r="L591" s="17">
        <f t="shared" si="75"/>
        <v>0</v>
      </c>
      <c r="M591" s="41"/>
      <c r="N591" s="751">
        <f t="shared" ref="N591:N597" si="90">J591-L591-F591</f>
        <v>0</v>
      </c>
      <c r="O591" s="751">
        <f>'WP II-I-1.1'!$J191-L591-F591</f>
        <v>0</v>
      </c>
    </row>
    <row r="592" spans="2:15" s="321" customFormat="1" x14ac:dyDescent="0.2">
      <c r="B592" s="16">
        <f t="shared" si="88"/>
        <v>3</v>
      </c>
      <c r="C592" s="41">
        <v>182</v>
      </c>
      <c r="D592" s="41" t="s">
        <v>134</v>
      </c>
      <c r="E592" s="293"/>
      <c r="F592" s="1320">
        <f>'WP II-I-1.1'!F194</f>
        <v>0</v>
      </c>
      <c r="G592" s="230">
        <f>'WP II-I-1.1'!G194</f>
        <v>0</v>
      </c>
      <c r="H592" s="230">
        <f>'WP II-I-1.1'!H194</f>
        <v>0</v>
      </c>
      <c r="I592" s="1321">
        <f>'WP II-I-1.1'!I194</f>
        <v>0</v>
      </c>
      <c r="J592" s="229">
        <f t="shared" si="89"/>
        <v>0</v>
      </c>
      <c r="K592" s="229"/>
      <c r="L592" s="17">
        <f t="shared" si="75"/>
        <v>0</v>
      </c>
      <c r="M592" s="41"/>
      <c r="N592" s="751">
        <f t="shared" si="90"/>
        <v>0</v>
      </c>
      <c r="O592" s="751">
        <f>'WP II-I-1.1'!$J192-L592-F592</f>
        <v>0</v>
      </c>
    </row>
    <row r="593" spans="2:15" s="321" customFormat="1" x14ac:dyDescent="0.2">
      <c r="B593" s="16">
        <f t="shared" si="88"/>
        <v>4</v>
      </c>
      <c r="C593" s="41">
        <v>182</v>
      </c>
      <c r="D593" s="41" t="s">
        <v>135</v>
      </c>
      <c r="E593" s="293"/>
      <c r="F593" s="1320">
        <f>'WP II-I-1.1'!F191</f>
        <v>0</v>
      </c>
      <c r="G593" s="230">
        <f>'WP II-I-1.1'!G191</f>
        <v>0</v>
      </c>
      <c r="H593" s="230">
        <f>'WP II-I-1.1'!H191</f>
        <v>0</v>
      </c>
      <c r="I593" s="1321">
        <f>'WP II-I-1.1'!I191</f>
        <v>0</v>
      </c>
      <c r="J593" s="229">
        <f t="shared" si="89"/>
        <v>0</v>
      </c>
      <c r="K593" s="229"/>
      <c r="L593" s="17">
        <f t="shared" si="75"/>
        <v>0</v>
      </c>
      <c r="M593" s="41"/>
      <c r="N593" s="751">
        <f t="shared" si="90"/>
        <v>0</v>
      </c>
      <c r="O593" s="751">
        <f>'WP II-I-1.1'!$J193-L593-F593</f>
        <v>0</v>
      </c>
    </row>
    <row r="594" spans="2:15" s="321" customFormat="1" x14ac:dyDescent="0.2">
      <c r="B594" s="16">
        <f t="shared" si="88"/>
        <v>5</v>
      </c>
      <c r="C594" s="41">
        <v>182</v>
      </c>
      <c r="D594" s="41" t="s">
        <v>136</v>
      </c>
      <c r="E594" s="293"/>
      <c r="F594" s="980">
        <f>'WP II-I-1.1'!F192</f>
        <v>0</v>
      </c>
      <c r="G594" s="802">
        <f>'WP II-I-1.1'!G192</f>
        <v>0</v>
      </c>
      <c r="H594" s="802">
        <f>'WP II-I-1.1'!H192</f>
        <v>0</v>
      </c>
      <c r="I594" s="981">
        <f>'WP II-I-1.1'!I192</f>
        <v>0</v>
      </c>
      <c r="J594" s="229">
        <f t="shared" si="89"/>
        <v>0</v>
      </c>
      <c r="K594" s="229"/>
      <c r="L594" s="17">
        <f t="shared" si="75"/>
        <v>0</v>
      </c>
      <c r="M594" s="41"/>
      <c r="N594" s="751">
        <f t="shared" si="90"/>
        <v>0</v>
      </c>
      <c r="O594" s="751">
        <f>'WP II-I-1.1'!$J194-L594-F594</f>
        <v>0</v>
      </c>
    </row>
    <row r="595" spans="2:15" x14ac:dyDescent="0.2">
      <c r="B595" s="16">
        <f t="shared" si="88"/>
        <v>6</v>
      </c>
      <c r="C595" s="41">
        <v>182</v>
      </c>
      <c r="D595" s="620" t="s">
        <v>1209</v>
      </c>
      <c r="E595" s="293"/>
      <c r="F595" s="980">
        <f>'WP II-I-1.1'!F195</f>
        <v>14142284.48</v>
      </c>
      <c r="G595" s="802">
        <f>'WP II-I-1.1'!G195</f>
        <v>26451686</v>
      </c>
      <c r="H595" s="802">
        <f>'WP II-I-1.1'!H195</f>
        <v>7599446.8099999996</v>
      </c>
      <c r="I595" s="981">
        <f>'WP II-I-1.1'!I195</f>
        <v>2671995.9100000011</v>
      </c>
      <c r="J595" s="229">
        <f t="shared" si="89"/>
        <v>50865413.20000001</v>
      </c>
      <c r="K595" s="229"/>
      <c r="L595" s="17">
        <f t="shared" si="75"/>
        <v>36723128.720000006</v>
      </c>
      <c r="M595" s="41"/>
      <c r="N595" s="751">
        <f t="shared" si="90"/>
        <v>0</v>
      </c>
      <c r="O595" s="751">
        <f>'WP II-I-1.1'!$J195-L595-F595</f>
        <v>0</v>
      </c>
    </row>
    <row r="596" spans="2:15" ht="16.5" x14ac:dyDescent="0.35">
      <c r="B596" s="16">
        <f t="shared" si="88"/>
        <v>7</v>
      </c>
      <c r="C596" s="41">
        <v>182</v>
      </c>
      <c r="D596" s="620" t="s">
        <v>1355</v>
      </c>
      <c r="E596" s="293"/>
      <c r="F596" s="980">
        <f>'WP II-I-1.1'!F196</f>
        <v>0</v>
      </c>
      <c r="G596" s="802">
        <f>'WP II-I-1.1'!G196</f>
        <v>0</v>
      </c>
      <c r="H596" s="802">
        <f>'WP II-I-1.1'!H196</f>
        <v>0</v>
      </c>
      <c r="I596" s="984">
        <f>'WP II-I-1.1'!I196</f>
        <v>0</v>
      </c>
      <c r="J596" s="238">
        <f t="shared" si="89"/>
        <v>0</v>
      </c>
      <c r="K596" s="238"/>
      <c r="L596" s="232">
        <f t="shared" si="75"/>
        <v>0</v>
      </c>
      <c r="M596" s="41"/>
      <c r="N596" s="751">
        <f t="shared" si="90"/>
        <v>0</v>
      </c>
      <c r="O596" s="751">
        <f>'WP II-I-1.1'!$J196-L596-F596</f>
        <v>0</v>
      </c>
    </row>
    <row r="597" spans="2:15" ht="15" x14ac:dyDescent="0.25">
      <c r="B597" s="16">
        <f t="shared" si="88"/>
        <v>8</v>
      </c>
      <c r="C597" s="33"/>
      <c r="D597" s="42" t="s">
        <v>566</v>
      </c>
      <c r="E597" s="806"/>
      <c r="F597" s="1487">
        <f>SUM(F591:F596)</f>
        <v>14142284.48</v>
      </c>
      <c r="G597" s="1488">
        <f>SUM(G591:G596)</f>
        <v>26451686</v>
      </c>
      <c r="H597" s="1488">
        <f>SUM(H591:H596)</f>
        <v>7599446.8099999996</v>
      </c>
      <c r="I597" s="1489">
        <f>SUM(I591:I596)</f>
        <v>2671995.9100000011</v>
      </c>
      <c r="J597" s="229">
        <f t="shared" si="89"/>
        <v>50865413.20000001</v>
      </c>
      <c r="K597" s="229"/>
      <c r="L597" s="20">
        <f t="shared" si="75"/>
        <v>36723128.720000006</v>
      </c>
      <c r="M597" s="34"/>
      <c r="N597" s="751">
        <f t="shared" si="90"/>
        <v>0</v>
      </c>
    </row>
    <row r="598" spans="2:15" ht="15" x14ac:dyDescent="0.25">
      <c r="B598" s="16">
        <f t="shared" si="88"/>
        <v>9</v>
      </c>
      <c r="C598" s="33"/>
      <c r="D598" s="42"/>
      <c r="E598" s="806"/>
      <c r="F598" s="804"/>
      <c r="G598" s="804"/>
      <c r="H598" s="804"/>
      <c r="I598" s="804"/>
      <c r="J598" s="229"/>
      <c r="K598" s="229"/>
      <c r="L598" s="20"/>
      <c r="M598" s="34"/>
      <c r="N598" s="292"/>
    </row>
    <row r="599" spans="2:15" ht="15" x14ac:dyDescent="0.25">
      <c r="B599" s="16">
        <f t="shared" si="88"/>
        <v>10</v>
      </c>
      <c r="C599" s="34" t="s">
        <v>137</v>
      </c>
      <c r="D599" s="41"/>
      <c r="E599" s="806" t="s">
        <v>127</v>
      </c>
      <c r="F599" s="813"/>
      <c r="G599" s="813"/>
      <c r="H599" s="813"/>
      <c r="I599" s="813"/>
      <c r="J599" s="202"/>
      <c r="K599" s="202"/>
      <c r="L599" s="202"/>
      <c r="M599" s="41"/>
      <c r="N599" s="294"/>
    </row>
    <row r="600" spans="2:15" s="321" customFormat="1" x14ac:dyDescent="0.2">
      <c r="B600" s="16">
        <f t="shared" si="88"/>
        <v>11</v>
      </c>
      <c r="C600" s="41">
        <v>254</v>
      </c>
      <c r="D600" s="41" t="s">
        <v>138</v>
      </c>
      <c r="E600" s="293"/>
      <c r="F600" s="985">
        <f>'WP II-I-1.1'!F200</f>
        <v>0</v>
      </c>
      <c r="G600" s="986">
        <f>'WP II-I-1.1'!G200</f>
        <v>0</v>
      </c>
      <c r="H600" s="986">
        <f>'WP II-I-1.1'!H200</f>
        <v>0</v>
      </c>
      <c r="I600" s="987">
        <f>'WP II-I-1.1'!I200</f>
        <v>0</v>
      </c>
      <c r="J600" s="229">
        <f>SUM(F600:I600)</f>
        <v>0</v>
      </c>
      <c r="K600" s="229"/>
      <c r="L600" s="17">
        <f t="shared" ref="L600" si="91">SUM(G600:I600)</f>
        <v>0</v>
      </c>
      <c r="M600" s="41"/>
      <c r="N600" s="751">
        <f t="shared" ref="N600" si="92">J600-L600-F600</f>
        <v>0</v>
      </c>
      <c r="O600" s="751">
        <f>'WP II-I-1.1'!$J200-L600-F600</f>
        <v>0</v>
      </c>
    </row>
    <row r="601" spans="2:15" s="321" customFormat="1" x14ac:dyDescent="0.2">
      <c r="B601" s="16">
        <f>B600+1</f>
        <v>12</v>
      </c>
      <c r="C601" s="41">
        <v>254</v>
      </c>
      <c r="D601" s="41" t="s">
        <v>1211</v>
      </c>
      <c r="E601" s="293"/>
      <c r="F601" s="980">
        <f>'WP II-I-1.1'!F201</f>
        <v>-4956454.9700000007</v>
      </c>
      <c r="G601" s="802">
        <f>'WP II-I-1.1'!G201</f>
        <v>-31722510.170000002</v>
      </c>
      <c r="H601" s="802">
        <f>'WP II-I-1.1'!H201</f>
        <v>-12140445.57</v>
      </c>
      <c r="I601" s="981">
        <f>'WP II-I-1.1'!I201</f>
        <v>-911807.07</v>
      </c>
      <c r="J601" s="229">
        <f t="shared" ref="J601:J609" si="93">SUM(F601:I601)</f>
        <v>-49731217.780000001</v>
      </c>
      <c r="K601" s="229"/>
      <c r="L601" s="17">
        <f t="shared" ref="L601:L609" si="94">SUM(G601:I601)</f>
        <v>-44774762.810000002</v>
      </c>
      <c r="M601" s="41"/>
      <c r="N601" s="751">
        <f t="shared" ref="N601:N618" si="95">J601-L601-F601</f>
        <v>0</v>
      </c>
      <c r="O601" s="751">
        <f>'WP II-I-1.1'!$J201-L601-F601</f>
        <v>0</v>
      </c>
    </row>
    <row r="602" spans="2:15" s="321" customFormat="1" x14ac:dyDescent="0.2">
      <c r="B602" s="16">
        <f t="shared" ref="B602:B622" si="96">B601+1</f>
        <v>13</v>
      </c>
      <c r="C602" s="41">
        <v>254</v>
      </c>
      <c r="D602" s="611" t="s">
        <v>1356</v>
      </c>
      <c r="E602" s="293"/>
      <c r="F602" s="980">
        <f>'WP II-I-1.1'!F202</f>
        <v>0</v>
      </c>
      <c r="G602" s="802">
        <f>'WP II-I-1.1'!G202</f>
        <v>0</v>
      </c>
      <c r="H602" s="802">
        <f>'WP II-I-1.1'!H202</f>
        <v>0</v>
      </c>
      <c r="I602" s="981">
        <f>'WP II-I-1.1'!I202</f>
        <v>0</v>
      </c>
      <c r="J602" s="229">
        <f t="shared" si="93"/>
        <v>0</v>
      </c>
      <c r="K602" s="229"/>
      <c r="L602" s="17">
        <f t="shared" si="94"/>
        <v>0</v>
      </c>
      <c r="M602" s="41"/>
      <c r="N602" s="751">
        <f t="shared" si="95"/>
        <v>0</v>
      </c>
      <c r="O602" s="751">
        <f>'WP II-I-1.1'!$J202-L602-F602</f>
        <v>0</v>
      </c>
    </row>
    <row r="603" spans="2:15" s="321" customFormat="1" x14ac:dyDescent="0.2">
      <c r="B603" s="16">
        <f t="shared" si="96"/>
        <v>14</v>
      </c>
      <c r="C603" s="41">
        <v>254</v>
      </c>
      <c r="D603" s="41" t="s">
        <v>1123</v>
      </c>
      <c r="E603" s="293"/>
      <c r="F603" s="980">
        <f>'WP II-I-1.1'!F203</f>
        <v>-506640926.07000005</v>
      </c>
      <c r="G603" s="802">
        <f>'WP II-I-1.1'!G203</f>
        <v>-525569091.14000005</v>
      </c>
      <c r="H603" s="802">
        <f>'WP II-I-1.1'!H203</f>
        <v>-15752308.300000001</v>
      </c>
      <c r="I603" s="981">
        <f>'WP II-I-1.1'!I203</f>
        <v>-10413455.779999999</v>
      </c>
      <c r="J603" s="229">
        <f t="shared" si="93"/>
        <v>-1058375781.29</v>
      </c>
      <c r="K603" s="229"/>
      <c r="L603" s="17">
        <f t="shared" si="94"/>
        <v>-551734855.22000003</v>
      </c>
      <c r="M603" s="41"/>
      <c r="N603" s="751">
        <f t="shared" si="95"/>
        <v>0</v>
      </c>
      <c r="O603" s="751">
        <f>'WP II-I-1.1'!$J203-L603-F603</f>
        <v>0</v>
      </c>
    </row>
    <row r="604" spans="2:15" s="321" customFormat="1" x14ac:dyDescent="0.2">
      <c r="B604" s="16">
        <f t="shared" si="96"/>
        <v>15</v>
      </c>
      <c r="C604" s="41">
        <v>254</v>
      </c>
      <c r="D604" s="611" t="s">
        <v>1334</v>
      </c>
      <c r="E604" s="293"/>
      <c r="F604" s="980">
        <f>'WP II-I-1.1'!F204</f>
        <v>0</v>
      </c>
      <c r="G604" s="802">
        <f>'WP II-I-1.1'!G204</f>
        <v>0</v>
      </c>
      <c r="H604" s="802">
        <f>'WP II-I-1.1'!H204</f>
        <v>0</v>
      </c>
      <c r="I604" s="981">
        <f>'WP II-I-1.1'!I204</f>
        <v>0</v>
      </c>
      <c r="J604" s="229">
        <f t="shared" si="93"/>
        <v>0</v>
      </c>
      <c r="K604" s="229"/>
      <c r="L604" s="17">
        <f t="shared" si="94"/>
        <v>0</v>
      </c>
      <c r="M604" s="41"/>
      <c r="N604" s="751">
        <f t="shared" si="95"/>
        <v>0</v>
      </c>
      <c r="O604" s="751">
        <f>'WP II-I-1.1'!$J204-L604-F604</f>
        <v>0</v>
      </c>
    </row>
    <row r="605" spans="2:15" s="321" customFormat="1" x14ac:dyDescent="0.2">
      <c r="B605" s="16">
        <f t="shared" si="96"/>
        <v>16</v>
      </c>
      <c r="C605" s="41">
        <v>254</v>
      </c>
      <c r="D605" s="41" t="s">
        <v>1125</v>
      </c>
      <c r="E605" s="293"/>
      <c r="F605" s="980">
        <f>'WP II-I-1.1'!F205</f>
        <v>29623991.289999999</v>
      </c>
      <c r="G605" s="802">
        <f>'WP II-I-1.1'!G205</f>
        <v>28226615.820000011</v>
      </c>
      <c r="H605" s="802">
        <f>'WP II-I-1.1'!H205</f>
        <v>680974.82</v>
      </c>
      <c r="I605" s="981">
        <f>'WP II-I-1.1'!I205</f>
        <v>183687.79000000004</v>
      </c>
      <c r="J605" s="229">
        <f t="shared" si="93"/>
        <v>58715269.720000014</v>
      </c>
      <c r="K605" s="229"/>
      <c r="L605" s="17">
        <f t="shared" si="94"/>
        <v>29091278.430000011</v>
      </c>
      <c r="M605" s="41"/>
      <c r="N605" s="751">
        <f t="shared" si="95"/>
        <v>0</v>
      </c>
      <c r="O605" s="751">
        <f>'WP II-I-1.1'!$J205-L605-F605</f>
        <v>0</v>
      </c>
    </row>
    <row r="606" spans="2:15" s="321" customFormat="1" x14ac:dyDescent="0.2">
      <c r="B606" s="16">
        <f t="shared" si="96"/>
        <v>17</v>
      </c>
      <c r="C606" s="41">
        <v>254</v>
      </c>
      <c r="D606" s="41" t="s">
        <v>1126</v>
      </c>
      <c r="E606" s="293"/>
      <c r="F606" s="980">
        <f>'WP II-I-1.1'!F206</f>
        <v>4055575.7200000016</v>
      </c>
      <c r="G606" s="802">
        <f>'WP II-I-1.1'!G206</f>
        <v>12959024.599999996</v>
      </c>
      <c r="H606" s="802">
        <f>'WP II-I-1.1'!H206</f>
        <v>388406.78</v>
      </c>
      <c r="I606" s="981">
        <f>'WP II-I-1.1'!I206</f>
        <v>256765.98</v>
      </c>
      <c r="J606" s="229">
        <f t="shared" si="93"/>
        <v>17659773.079999998</v>
      </c>
      <c r="K606" s="229"/>
      <c r="L606" s="17">
        <f t="shared" si="94"/>
        <v>13604197.359999996</v>
      </c>
      <c r="M606" s="41"/>
      <c r="N606" s="751">
        <f t="shared" si="95"/>
        <v>0</v>
      </c>
      <c r="O606" s="751">
        <f>'WP II-I-1.1'!$J206-L606-F606</f>
        <v>0</v>
      </c>
    </row>
    <row r="607" spans="2:15" s="321" customFormat="1" x14ac:dyDescent="0.2">
      <c r="B607" s="16">
        <f t="shared" si="96"/>
        <v>18</v>
      </c>
      <c r="C607" s="41">
        <v>254</v>
      </c>
      <c r="D607" s="41" t="s">
        <v>1127</v>
      </c>
      <c r="E607" s="293"/>
      <c r="F607" s="980">
        <f>'WP II-I-1.1'!F207</f>
        <v>0</v>
      </c>
      <c r="G607" s="802">
        <f>'WP II-I-1.1'!G207</f>
        <v>0</v>
      </c>
      <c r="H607" s="802">
        <f>'WP II-I-1.1'!H207</f>
        <v>0</v>
      </c>
      <c r="I607" s="981">
        <f>'WP II-I-1.1'!I207</f>
        <v>0</v>
      </c>
      <c r="J607" s="229">
        <f t="shared" si="93"/>
        <v>0</v>
      </c>
      <c r="K607" s="229"/>
      <c r="L607" s="17">
        <f t="shared" si="94"/>
        <v>0</v>
      </c>
      <c r="M607" s="41"/>
      <c r="N607" s="751">
        <f t="shared" si="95"/>
        <v>0</v>
      </c>
      <c r="O607" s="751">
        <f>'WP II-I-1.1'!$J207-L607-F607</f>
        <v>0</v>
      </c>
    </row>
    <row r="608" spans="2:15" s="321" customFormat="1" x14ac:dyDescent="0.2">
      <c r="B608" s="16">
        <f t="shared" si="96"/>
        <v>19</v>
      </c>
      <c r="C608" s="41">
        <v>254</v>
      </c>
      <c r="D608" s="41" t="s">
        <v>1213</v>
      </c>
      <c r="E608" s="293"/>
      <c r="F608" s="980">
        <f>'WP II-I-1.1'!F208</f>
        <v>0</v>
      </c>
      <c r="G608" s="802">
        <f>'WP II-I-1.1'!G208</f>
        <v>0</v>
      </c>
      <c r="H608" s="802">
        <f>'WP II-I-1.1'!H208</f>
        <v>0</v>
      </c>
      <c r="I608" s="981">
        <f>'WP II-I-1.1'!I208</f>
        <v>0</v>
      </c>
      <c r="J608" s="229">
        <f t="shared" si="93"/>
        <v>0</v>
      </c>
      <c r="K608" s="229"/>
      <c r="L608" s="17">
        <f t="shared" si="94"/>
        <v>0</v>
      </c>
      <c r="M608" s="41"/>
      <c r="N608" s="751">
        <f t="shared" si="95"/>
        <v>0</v>
      </c>
      <c r="O608" s="751">
        <f>'WP II-I-1.1'!$J208-L608-F608</f>
        <v>0</v>
      </c>
    </row>
    <row r="609" spans="2:15" s="321" customFormat="1" x14ac:dyDescent="0.2">
      <c r="B609" s="16">
        <f t="shared" si="96"/>
        <v>20</v>
      </c>
      <c r="C609" s="41">
        <v>254</v>
      </c>
      <c r="D609" s="41" t="s">
        <v>139</v>
      </c>
      <c r="E609" s="293"/>
      <c r="F609" s="982">
        <f>'WP II-I-1.1'!F209</f>
        <v>0</v>
      </c>
      <c r="G609" s="983">
        <f>'WP II-I-1.1'!G209</f>
        <v>0</v>
      </c>
      <c r="H609" s="983">
        <f>'WP II-I-1.1'!H209</f>
        <v>0</v>
      </c>
      <c r="I609" s="984">
        <f>'WP II-I-1.1'!I209</f>
        <v>0</v>
      </c>
      <c r="J609" s="229">
        <f t="shared" si="93"/>
        <v>0</v>
      </c>
      <c r="K609" s="229"/>
      <c r="L609" s="17">
        <f t="shared" si="94"/>
        <v>0</v>
      </c>
      <c r="M609" s="41"/>
      <c r="N609" s="751">
        <f t="shared" si="95"/>
        <v>0</v>
      </c>
      <c r="O609" s="751">
        <f>'WP II-I-1.1'!$J209-L609-F609</f>
        <v>0</v>
      </c>
    </row>
    <row r="610" spans="2:15" ht="15" x14ac:dyDescent="0.25">
      <c r="B610" s="16">
        <f t="shared" si="96"/>
        <v>21</v>
      </c>
      <c r="C610" s="33"/>
      <c r="D610" s="42" t="s">
        <v>567</v>
      </c>
      <c r="E610" s="806"/>
      <c r="F610" s="804">
        <f>SUM(F600:F609)</f>
        <v>-477917814.03000003</v>
      </c>
      <c r="G610" s="804">
        <f>SUM(G600:G609)</f>
        <v>-516105960.89000005</v>
      </c>
      <c r="H610" s="804">
        <f>SUM(H600:H609)</f>
        <v>-26823372.27</v>
      </c>
      <c r="I610" s="804">
        <f>SUM(I600:I609)</f>
        <v>-10884809.079999998</v>
      </c>
      <c r="J610" s="804">
        <f>SUM(F610:I610)</f>
        <v>-1031731956.2700001</v>
      </c>
      <c r="K610" s="804"/>
      <c r="L610" s="804">
        <f t="shared" ref="L610:L663" si="97">SUM(G610:I610)</f>
        <v>-553814142.24000013</v>
      </c>
      <c r="M610" s="34"/>
      <c r="N610" s="751">
        <f t="shared" si="95"/>
        <v>0</v>
      </c>
    </row>
    <row r="611" spans="2:15" ht="15.75" thickBot="1" x14ac:dyDescent="0.3">
      <c r="B611" s="16">
        <f t="shared" si="96"/>
        <v>22</v>
      </c>
      <c r="C611" s="33"/>
      <c r="D611" s="41"/>
      <c r="E611" s="293"/>
      <c r="F611" s="281"/>
      <c r="G611" s="281"/>
      <c r="H611" s="281"/>
      <c r="I611" s="281"/>
      <c r="J611" s="41"/>
      <c r="K611" s="41"/>
      <c r="L611" s="281"/>
      <c r="M611" s="41"/>
      <c r="N611" s="294"/>
    </row>
    <row r="612" spans="2:15" ht="15.75" thickBot="1" x14ac:dyDescent="0.3">
      <c r="B612" s="16">
        <f t="shared" si="96"/>
        <v>23</v>
      </c>
      <c r="C612" s="291" t="s">
        <v>568</v>
      </c>
      <c r="D612" s="217"/>
      <c r="E612" s="272" t="s">
        <v>127</v>
      </c>
      <c r="F612" s="217">
        <f>F597+F610</f>
        <v>-463775529.55000001</v>
      </c>
      <c r="G612" s="217">
        <f>G597+G610</f>
        <v>-489654274.89000005</v>
      </c>
      <c r="H612" s="217">
        <f>H597+H610</f>
        <v>-19223925.460000001</v>
      </c>
      <c r="I612" s="217">
        <f>I597+I610</f>
        <v>-8212813.1699999971</v>
      </c>
      <c r="J612" s="218">
        <f>SUM(F612:I612)</f>
        <v>-980866543.07000005</v>
      </c>
      <c r="K612" s="37"/>
      <c r="L612" s="219">
        <f t="shared" si="97"/>
        <v>-517091013.52000004</v>
      </c>
      <c r="M612" s="34"/>
      <c r="N612" s="751">
        <f t="shared" si="95"/>
        <v>0</v>
      </c>
    </row>
    <row r="613" spans="2:15" ht="15.75" thickBot="1" x14ac:dyDescent="0.3">
      <c r="B613" s="16">
        <f t="shared" si="96"/>
        <v>24</v>
      </c>
      <c r="C613" s="44"/>
      <c r="D613" s="34"/>
      <c r="E613" s="35"/>
      <c r="F613" s="37"/>
      <c r="G613" s="37"/>
      <c r="H613" s="37"/>
      <c r="I613" s="37"/>
      <c r="J613" s="41"/>
      <c r="K613" s="41"/>
      <c r="L613" s="807"/>
      <c r="M613" s="34"/>
      <c r="N613" s="292"/>
    </row>
    <row r="614" spans="2:15" ht="15.75" thickBot="1" x14ac:dyDescent="0.3">
      <c r="B614" s="16">
        <f t="shared" si="96"/>
        <v>25</v>
      </c>
      <c r="C614" s="270" t="s">
        <v>569</v>
      </c>
      <c r="D614" s="271"/>
      <c r="E614" s="271"/>
      <c r="F614" s="295">
        <f>F575+F612</f>
        <v>-413550841.78000003</v>
      </c>
      <c r="G614" s="295">
        <f>G575+G612</f>
        <v>626025299.63999987</v>
      </c>
      <c r="H614" s="295">
        <f>H575+H612</f>
        <v>30745549.989999995</v>
      </c>
      <c r="I614" s="295">
        <f>I575+I612</f>
        <v>2989198.340000012</v>
      </c>
      <c r="J614" s="296">
        <f>SUM(F614:I614)</f>
        <v>246209206.18999985</v>
      </c>
      <c r="K614" s="20"/>
      <c r="L614" s="1303">
        <f t="shared" si="97"/>
        <v>659760047.96999991</v>
      </c>
      <c r="M614" s="34"/>
      <c r="N614" s="751">
        <f t="shared" si="95"/>
        <v>0</v>
      </c>
    </row>
    <row r="615" spans="2:15" ht="15.75" thickBot="1" x14ac:dyDescent="0.3">
      <c r="B615" s="16">
        <f t="shared" si="96"/>
        <v>26</v>
      </c>
      <c r="C615" s="297"/>
      <c r="D615" s="297"/>
      <c r="E615" s="297"/>
      <c r="F615" s="297"/>
      <c r="G615" s="297"/>
      <c r="H615" s="297"/>
      <c r="I615" s="297"/>
      <c r="J615" s="297"/>
      <c r="K615" s="34"/>
      <c r="L615" s="297"/>
      <c r="M615" s="34"/>
      <c r="N615" s="292"/>
    </row>
    <row r="616" spans="2:15" ht="15.75" thickBot="1" x14ac:dyDescent="0.3">
      <c r="B616" s="16">
        <f t="shared" si="96"/>
        <v>27</v>
      </c>
      <c r="C616" s="276" t="s">
        <v>570</v>
      </c>
      <c r="D616" s="271"/>
      <c r="E616" s="272" t="s">
        <v>571</v>
      </c>
      <c r="F616" s="217">
        <f>F614+F499+F476+F455+F435+F388</f>
        <v>-171160969.21532059</v>
      </c>
      <c r="G616" s="217">
        <f>G614+G499+G476+G455+G435+G388</f>
        <v>890840335.54948807</v>
      </c>
      <c r="H616" s="217">
        <f>H614+H499+H476+H455+H435+H388</f>
        <v>31970960.128978912</v>
      </c>
      <c r="I616" s="217">
        <f>I614+I499+I476+I455+I435+I388</f>
        <v>3694457.0953148776</v>
      </c>
      <c r="J616" s="218">
        <f>SUM(F616:I616)</f>
        <v>755344783.55846131</v>
      </c>
      <c r="K616" s="37"/>
      <c r="L616" s="219">
        <f t="shared" si="97"/>
        <v>926505752.7737819</v>
      </c>
      <c r="M616" s="104"/>
      <c r="N616" s="751">
        <f t="shared" si="95"/>
        <v>0</v>
      </c>
    </row>
    <row r="617" spans="2:15" ht="15.75" thickBot="1" x14ac:dyDescent="0.3">
      <c r="B617" s="16">
        <f t="shared" si="96"/>
        <v>28</v>
      </c>
      <c r="C617" s="34"/>
      <c r="D617" s="34"/>
      <c r="E617" s="298"/>
      <c r="F617" s="37"/>
      <c r="G617" s="37"/>
      <c r="H617" s="37"/>
      <c r="I617" s="37"/>
      <c r="J617" s="37"/>
      <c r="K617" s="37"/>
      <c r="L617" s="807"/>
      <c r="M617" s="64"/>
    </row>
    <row r="618" spans="2:15" ht="15.75" thickBot="1" x14ac:dyDescent="0.3">
      <c r="B618" s="16">
        <f t="shared" si="96"/>
        <v>29</v>
      </c>
      <c r="C618" s="276" t="s">
        <v>572</v>
      </c>
      <c r="D618" s="271"/>
      <c r="E618" s="272" t="s">
        <v>573</v>
      </c>
      <c r="F618" s="217">
        <f>F366+F616+F411</f>
        <v>12193889929.664677</v>
      </c>
      <c r="G618" s="217">
        <f>G366+G616+G411</f>
        <v>13507608593.429489</v>
      </c>
      <c r="H618" s="217">
        <f>H366+H616+H411</f>
        <v>441137289.90897888</v>
      </c>
      <c r="I618" s="217">
        <f>I366+I616+I411</f>
        <v>230067007.21531478</v>
      </c>
      <c r="J618" s="218">
        <f>SUM(F618:I618)</f>
        <v>26372702820.218456</v>
      </c>
      <c r="K618" s="37"/>
      <c r="L618" s="219">
        <f t="shared" si="97"/>
        <v>14178812890.553783</v>
      </c>
      <c r="M618" s="104"/>
      <c r="N618" s="751">
        <f t="shared" si="95"/>
        <v>0</v>
      </c>
    </row>
    <row r="619" spans="2:15" x14ac:dyDescent="0.2">
      <c r="B619" s="16">
        <f t="shared" si="96"/>
        <v>30</v>
      </c>
      <c r="C619" s="41"/>
      <c r="D619" s="41"/>
      <c r="E619" s="202"/>
      <c r="F619" s="202"/>
      <c r="G619" s="41"/>
      <c r="H619" s="41"/>
      <c r="I619" s="41"/>
      <c r="J619" s="41"/>
      <c r="K619" s="41"/>
      <c r="L619" s="41"/>
      <c r="M619" s="64"/>
    </row>
    <row r="620" spans="2:15" ht="15" x14ac:dyDescent="0.25">
      <c r="B620" s="16">
        <f t="shared" si="96"/>
        <v>31</v>
      </c>
      <c r="C620" s="299" t="s">
        <v>140</v>
      </c>
      <c r="D620" s="300"/>
      <c r="E620" s="34"/>
      <c r="F620" s="1357">
        <f>'WP II-I-1.1'!F211</f>
        <v>7.4700000000000003E-2</v>
      </c>
      <c r="G620" s="1358">
        <f>'WP II-I-1.1'!G211</f>
        <v>7.4700000000000003E-2</v>
      </c>
      <c r="H620" s="1358">
        <f>'WP II-I-1.1'!H211</f>
        <v>7.4700000000000003E-2</v>
      </c>
      <c r="I620" s="1359">
        <f>'WP II-I-1.1'!I211</f>
        <v>7.4700000000000003E-2</v>
      </c>
      <c r="J620" s="221">
        <f>J622/J618</f>
        <v>7.4700000000000003E-2</v>
      </c>
      <c r="K620" s="221"/>
      <c r="L620" s="221">
        <f>L622/L618</f>
        <v>7.4700000000000003E-2</v>
      </c>
      <c r="M620" s="64"/>
    </row>
    <row r="621" spans="2:15" ht="15" thickBot="1" x14ac:dyDescent="0.25">
      <c r="B621" s="16">
        <f t="shared" si="96"/>
        <v>32</v>
      </c>
      <c r="C621" s="1"/>
      <c r="D621" s="202"/>
      <c r="E621" s="202"/>
      <c r="F621" s="11"/>
      <c r="G621" s="11"/>
      <c r="H621" s="11"/>
      <c r="I621" s="11"/>
      <c r="J621" s="11"/>
      <c r="K621" s="1"/>
      <c r="L621" s="1"/>
      <c r="M621" s="64"/>
    </row>
    <row r="622" spans="2:15" ht="15.75" thickBot="1" x14ac:dyDescent="0.3">
      <c r="B622" s="16">
        <f t="shared" si="96"/>
        <v>33</v>
      </c>
      <c r="C622" s="276" t="s">
        <v>574</v>
      </c>
      <c r="D622" s="271"/>
      <c r="E622" s="272"/>
      <c r="F622" s="217">
        <f>+F618*F620</f>
        <v>910883577.74595141</v>
      </c>
      <c r="G622" s="217">
        <f>+G618*G620</f>
        <v>1009018361.9291829</v>
      </c>
      <c r="H622" s="217">
        <f>+H618*H620</f>
        <v>32952955.556200724</v>
      </c>
      <c r="I622" s="217">
        <f>+I618*I620</f>
        <v>17186005.438984014</v>
      </c>
      <c r="J622" s="195">
        <f>SUM(F622:I622)</f>
        <v>1970040900.6703188</v>
      </c>
      <c r="K622" s="191"/>
      <c r="L622" s="219">
        <f t="shared" si="97"/>
        <v>1059157322.9243677</v>
      </c>
      <c r="M622" s="64"/>
      <c r="N622" s="751">
        <f t="shared" ref="N622" si="98">J622-L622-F622</f>
        <v>0</v>
      </c>
    </row>
    <row r="623" spans="2:15" x14ac:dyDescent="0.2">
      <c r="B623" s="64"/>
      <c r="C623" s="64"/>
      <c r="D623" s="64"/>
      <c r="E623" s="64"/>
      <c r="F623" s="327"/>
      <c r="G623" s="327"/>
      <c r="H623" s="327"/>
      <c r="I623" s="327"/>
      <c r="J623" s="327"/>
      <c r="K623" s="45"/>
      <c r="L623" s="45"/>
      <c r="M623" s="64"/>
    </row>
    <row r="624" spans="2:15" ht="15" x14ac:dyDescent="0.25">
      <c r="B624" s="783"/>
      <c r="C624" s="783"/>
      <c r="D624" s="783"/>
      <c r="E624" s="783"/>
      <c r="F624" s="999"/>
      <c r="G624" s="999"/>
      <c r="H624" s="999"/>
      <c r="I624" s="999"/>
      <c r="J624" s="999"/>
      <c r="K624" s="783"/>
      <c r="L624" s="783"/>
      <c r="M624" s="105" t="str">
        <f>$M$2</f>
        <v xml:space="preserve"> </v>
      </c>
    </row>
    <row r="625" spans="2:14" ht="15.75" thickBot="1" x14ac:dyDescent="0.3">
      <c r="B625" s="783"/>
      <c r="C625" s="783"/>
      <c r="D625" s="783"/>
      <c r="E625" s="783"/>
      <c r="F625" s="999"/>
      <c r="G625" s="999"/>
      <c r="H625" s="999"/>
      <c r="I625" s="999"/>
      <c r="J625" s="999"/>
      <c r="K625" s="783"/>
      <c r="L625" s="783"/>
      <c r="M625" s="64"/>
    </row>
    <row r="626" spans="2:14" ht="15" x14ac:dyDescent="0.25">
      <c r="B626" s="829" t="str">
        <f>$B$4</f>
        <v>2025 RATE CASE</v>
      </c>
      <c r="C626" s="835"/>
      <c r="D626" s="836"/>
      <c r="E626" s="783"/>
      <c r="F626" s="783"/>
      <c r="G626" s="783"/>
      <c r="H626" s="783"/>
      <c r="I626" s="783"/>
      <c r="J626" s="783"/>
      <c r="K626" s="783"/>
      <c r="L626" s="783"/>
    </row>
    <row r="627" spans="2:14" ht="15" x14ac:dyDescent="0.25">
      <c r="B627" s="826" t="str">
        <f>$B$5</f>
        <v>ONCOR ELECTRIC DELIVERY COMPANY LLC</v>
      </c>
      <c r="C627" s="304"/>
      <c r="D627" s="837"/>
      <c r="E627" s="783"/>
      <c r="F627" s="783"/>
      <c r="G627" s="783"/>
      <c r="H627" s="783"/>
      <c r="I627" s="783"/>
      <c r="J627" s="783"/>
      <c r="K627" s="783"/>
      <c r="L627" s="783"/>
      <c r="M627" s="64"/>
    </row>
    <row r="628" spans="2:14" ht="15" x14ac:dyDescent="0.25">
      <c r="B628" s="341" t="str">
        <f>$B$6</f>
        <v>CONSOLIDATED FUNCTIONALIZED COST OF SERVICE</v>
      </c>
      <c r="C628" s="304"/>
      <c r="D628" s="837"/>
      <c r="E628" s="783"/>
      <c r="F628" s="783"/>
      <c r="G628" s="783"/>
      <c r="H628" s="783"/>
      <c r="I628" s="783"/>
      <c r="J628" s="783"/>
      <c r="K628" s="783"/>
      <c r="L628" s="783"/>
      <c r="M628" s="64"/>
    </row>
    <row r="629" spans="2:14" ht="15" x14ac:dyDescent="0.25">
      <c r="B629" s="341" t="str">
        <f>$B$7</f>
        <v>TEST YEAR ENDING 12/31/2024</v>
      </c>
      <c r="C629" s="304"/>
      <c r="D629" s="837"/>
      <c r="E629" s="304"/>
      <c r="F629" s="304"/>
      <c r="G629" s="304"/>
      <c r="H629" s="304"/>
      <c r="I629" s="304"/>
      <c r="J629" s="304"/>
      <c r="K629" s="304"/>
      <c r="L629" s="304"/>
      <c r="M629" s="64"/>
    </row>
    <row r="630" spans="2:14" ht="15" x14ac:dyDescent="0.25">
      <c r="B630" s="341" t="str">
        <f>$B$8</f>
        <v>SPONSOR:  MATTHEW A. TROXLE</v>
      </c>
      <c r="C630" s="304"/>
      <c r="D630" s="837"/>
      <c r="E630" s="304"/>
      <c r="F630" s="304"/>
      <c r="G630" s="304"/>
      <c r="H630" s="304"/>
      <c r="I630" s="304"/>
      <c r="J630" s="304"/>
      <c r="K630" s="304"/>
      <c r="L630" s="304"/>
      <c r="M630" s="64"/>
    </row>
    <row r="631" spans="2:14" ht="15.75" thickBot="1" x14ac:dyDescent="0.3">
      <c r="B631" s="345"/>
      <c r="C631" s="840"/>
      <c r="D631" s="841"/>
      <c r="E631" s="304"/>
      <c r="F631" s="304"/>
      <c r="G631" s="304"/>
      <c r="H631" s="304"/>
      <c r="I631" s="304"/>
      <c r="J631" s="304"/>
      <c r="K631" s="304"/>
      <c r="L631" s="304"/>
      <c r="M631" s="64"/>
    </row>
    <row r="632" spans="2:14" x14ac:dyDescent="0.2">
      <c r="B632" s="12"/>
      <c r="C632" s="13"/>
      <c r="D632" s="13"/>
      <c r="E632" s="13"/>
      <c r="F632" s="176" t="s">
        <v>6</v>
      </c>
      <c r="G632" s="12" t="s">
        <v>7</v>
      </c>
      <c r="H632" s="12" t="s">
        <v>8</v>
      </c>
      <c r="I632" s="178" t="s">
        <v>9</v>
      </c>
      <c r="J632" s="12" t="s">
        <v>10</v>
      </c>
      <c r="K632" s="16"/>
      <c r="L632" s="110" t="s">
        <v>907</v>
      </c>
      <c r="M632" s="64"/>
    </row>
    <row r="633" spans="2:14" ht="15" x14ac:dyDescent="0.25">
      <c r="B633" s="14" t="s">
        <v>2</v>
      </c>
      <c r="C633" s="14" t="s">
        <v>349</v>
      </c>
      <c r="D633" s="226" t="s">
        <v>575</v>
      </c>
      <c r="E633" s="14" t="s">
        <v>350</v>
      </c>
      <c r="F633" s="181"/>
      <c r="G633" s="14"/>
      <c r="H633" s="14"/>
      <c r="I633" s="14"/>
      <c r="J633" s="14"/>
      <c r="K633" s="16"/>
      <c r="L633" s="93" t="s">
        <v>908</v>
      </c>
      <c r="M633" s="64"/>
    </row>
    <row r="634" spans="2:14" x14ac:dyDescent="0.2">
      <c r="B634" s="14"/>
      <c r="C634" s="14"/>
      <c r="D634" s="14"/>
      <c r="E634" s="14"/>
      <c r="F634" s="181"/>
      <c r="G634" s="14"/>
      <c r="H634" s="14"/>
      <c r="I634" s="14"/>
      <c r="J634" s="14"/>
      <c r="K634" s="16"/>
      <c r="L634" s="93"/>
      <c r="M634" s="64"/>
    </row>
    <row r="635" spans="2:14" ht="15" thickBot="1" x14ac:dyDescent="0.25">
      <c r="B635" s="15"/>
      <c r="C635" s="15" t="s">
        <v>13</v>
      </c>
      <c r="D635" s="15" t="s">
        <v>14</v>
      </c>
      <c r="E635" s="15" t="s">
        <v>15</v>
      </c>
      <c r="F635" s="15" t="s">
        <v>16</v>
      </c>
      <c r="G635" s="15" t="s">
        <v>17</v>
      </c>
      <c r="H635" s="15" t="s">
        <v>18</v>
      </c>
      <c r="I635" s="15" t="s">
        <v>21</v>
      </c>
      <c r="J635" s="15" t="s">
        <v>22</v>
      </c>
      <c r="K635" s="16"/>
      <c r="L635" s="997" t="s">
        <v>397</v>
      </c>
      <c r="M635" s="64"/>
    </row>
    <row r="636" spans="2:14" x14ac:dyDescent="0.2">
      <c r="B636" s="45"/>
      <c r="C636" s="268"/>
      <c r="D636" s="268"/>
      <c r="E636" s="268"/>
      <c r="F636" s="268"/>
      <c r="G636" s="268"/>
      <c r="H636" s="268"/>
      <c r="I636" s="41"/>
      <c r="J636" s="41"/>
      <c r="K636" s="41"/>
      <c r="L636" s="41"/>
      <c r="M636" s="64"/>
    </row>
    <row r="637" spans="2:14" ht="15" x14ac:dyDescent="0.25">
      <c r="B637" s="16">
        <f t="shared" ref="B637:B663" si="99">B636+1</f>
        <v>1</v>
      </c>
      <c r="C637" s="8" t="s">
        <v>575</v>
      </c>
      <c r="D637" s="8"/>
      <c r="E637" s="19"/>
      <c r="F637" s="8"/>
      <c r="G637" s="8"/>
      <c r="H637" s="8"/>
      <c r="I637" s="8"/>
      <c r="J637" s="8"/>
      <c r="K637" s="8"/>
      <c r="L637" s="8"/>
      <c r="M637" s="64"/>
    </row>
    <row r="638" spans="2:14" ht="15" x14ac:dyDescent="0.25">
      <c r="B638" s="16">
        <f t="shared" si="99"/>
        <v>2</v>
      </c>
      <c r="C638" s="8"/>
      <c r="D638" s="8"/>
      <c r="E638" s="19"/>
      <c r="F638" s="8"/>
      <c r="G638" s="8"/>
      <c r="H638" s="8"/>
      <c r="I638" s="8"/>
      <c r="J638" s="8"/>
      <c r="K638" s="8"/>
      <c r="L638" s="8"/>
      <c r="M638" s="64"/>
    </row>
    <row r="639" spans="2:14" ht="15" x14ac:dyDescent="0.25">
      <c r="B639" s="16">
        <f t="shared" si="99"/>
        <v>3</v>
      </c>
      <c r="C639" s="8"/>
      <c r="D639" s="301" t="s">
        <v>576</v>
      </c>
      <c r="E639" s="19" t="s">
        <v>143</v>
      </c>
      <c r="F639" s="8"/>
      <c r="G639" s="8"/>
      <c r="H639" s="8"/>
      <c r="I639" s="8"/>
      <c r="J639" s="8"/>
      <c r="K639" s="8"/>
      <c r="L639" s="8"/>
      <c r="M639" s="64"/>
    </row>
    <row r="640" spans="2:14" s="321" customFormat="1" x14ac:dyDescent="0.2">
      <c r="B640" s="16">
        <f t="shared" si="99"/>
        <v>4</v>
      </c>
      <c r="C640" s="26" t="s">
        <v>144</v>
      </c>
      <c r="D640" s="1" t="s">
        <v>145</v>
      </c>
      <c r="E640" s="16"/>
      <c r="F640" s="985">
        <f>'WP II-I-1.1'!F215</f>
        <v>5714194.2999999998</v>
      </c>
      <c r="G640" s="986">
        <f>'WP II-I-1.1'!G215</f>
        <v>61587.37</v>
      </c>
      <c r="H640" s="986">
        <f>'WP II-I-1.1'!H215</f>
        <v>3703.71</v>
      </c>
      <c r="I640" s="987">
        <f>'WP II-I-1.1'!I215</f>
        <v>0</v>
      </c>
      <c r="J640" s="23">
        <f t="shared" ref="J640:J648" si="100">SUM(F640:I640)</f>
        <v>5779485.3799999999</v>
      </c>
      <c r="K640" s="23"/>
      <c r="L640" s="17">
        <f t="shared" si="97"/>
        <v>65291.08</v>
      </c>
      <c r="M640" s="45"/>
      <c r="N640" s="751">
        <f t="shared" ref="N640:N703" si="101">J640-L640-F640</f>
        <v>0</v>
      </c>
    </row>
    <row r="641" spans="2:14" s="321" customFormat="1" x14ac:dyDescent="0.2">
      <c r="B641" s="16">
        <f t="shared" si="99"/>
        <v>5</v>
      </c>
      <c r="C641" s="1" t="s">
        <v>146</v>
      </c>
      <c r="D641" s="1" t="s">
        <v>147</v>
      </c>
      <c r="E641" s="16"/>
      <c r="F641" s="980">
        <f>'WP II-I-1.1'!F216</f>
        <v>21966225.98</v>
      </c>
      <c r="G641" s="802">
        <f>'WP II-I-1.1'!G216</f>
        <v>0</v>
      </c>
      <c r="H641" s="802">
        <f>'WP II-I-1.1'!H216</f>
        <v>0</v>
      </c>
      <c r="I641" s="981">
        <f>'WP II-I-1.1'!I216</f>
        <v>0</v>
      </c>
      <c r="J641" s="23">
        <f t="shared" si="100"/>
        <v>21966225.98</v>
      </c>
      <c r="K641" s="23"/>
      <c r="L641" s="17">
        <f t="shared" si="97"/>
        <v>0</v>
      </c>
      <c r="M641" s="45"/>
      <c r="N641" s="751">
        <f t="shared" si="101"/>
        <v>0</v>
      </c>
    </row>
    <row r="642" spans="2:14" s="321" customFormat="1" x14ac:dyDescent="0.2">
      <c r="B642" s="16">
        <f t="shared" si="99"/>
        <v>6</v>
      </c>
      <c r="C642" s="1" t="s">
        <v>148</v>
      </c>
      <c r="D642" s="1" t="s">
        <v>149</v>
      </c>
      <c r="E642" s="16"/>
      <c r="F642" s="980">
        <f>'WP II-I-1.1'!F217</f>
        <v>5188090.93</v>
      </c>
      <c r="G642" s="802">
        <f>'WP II-I-1.1'!G217</f>
        <v>187768.98</v>
      </c>
      <c r="H642" s="802">
        <f>'WP II-I-1.1'!H217</f>
        <v>0</v>
      </c>
      <c r="I642" s="981">
        <f>'WP II-I-1.1'!I217</f>
        <v>0</v>
      </c>
      <c r="J642" s="23">
        <f t="shared" si="100"/>
        <v>5375859.9100000001</v>
      </c>
      <c r="K642" s="23"/>
      <c r="L642" s="17">
        <f t="shared" si="97"/>
        <v>187768.98</v>
      </c>
      <c r="M642" s="45"/>
      <c r="N642" s="751">
        <f t="shared" si="101"/>
        <v>0</v>
      </c>
    </row>
    <row r="643" spans="2:14" s="321" customFormat="1" x14ac:dyDescent="0.2">
      <c r="B643" s="16">
        <f t="shared" si="99"/>
        <v>7</v>
      </c>
      <c r="C643" s="1" t="s">
        <v>150</v>
      </c>
      <c r="D643" s="1" t="s">
        <v>151</v>
      </c>
      <c r="E643" s="16"/>
      <c r="F643" s="980">
        <f>'WP II-I-1.1'!F218</f>
        <v>7915318.0300000003</v>
      </c>
      <c r="G643" s="802">
        <f>'WP II-I-1.1'!G218</f>
        <v>-1237.3399999999999</v>
      </c>
      <c r="H643" s="802">
        <f>'WP II-I-1.1'!H218</f>
        <v>0</v>
      </c>
      <c r="I643" s="981">
        <f>'WP II-I-1.1'!I218</f>
        <v>0</v>
      </c>
      <c r="J643" s="23">
        <f t="shared" si="100"/>
        <v>7914080.6900000004</v>
      </c>
      <c r="K643" s="23"/>
      <c r="L643" s="17">
        <f t="shared" si="97"/>
        <v>-1237.3399999999999</v>
      </c>
      <c r="M643" s="45"/>
      <c r="N643" s="751">
        <f t="shared" si="101"/>
        <v>0</v>
      </c>
    </row>
    <row r="644" spans="2:14" s="321" customFormat="1" x14ac:dyDescent="0.2">
      <c r="B644" s="16">
        <f t="shared" si="99"/>
        <v>8</v>
      </c>
      <c r="C644" s="1" t="s">
        <v>152</v>
      </c>
      <c r="D644" s="1" t="s">
        <v>153</v>
      </c>
      <c r="E644" s="16"/>
      <c r="F644" s="980">
        <f>'WP II-I-1.1'!F219</f>
        <v>2124.5300000000002</v>
      </c>
      <c r="G644" s="802">
        <f>'WP II-I-1.1'!G219</f>
        <v>0</v>
      </c>
      <c r="H644" s="802">
        <f>'WP II-I-1.1'!H219</f>
        <v>0</v>
      </c>
      <c r="I644" s="981">
        <f>'WP II-I-1.1'!I219</f>
        <v>0</v>
      </c>
      <c r="J644" s="23">
        <f t="shared" si="100"/>
        <v>2124.5300000000002</v>
      </c>
      <c r="K644" s="23"/>
      <c r="L644" s="17">
        <f t="shared" si="97"/>
        <v>0</v>
      </c>
      <c r="M644" s="45"/>
      <c r="N644" s="751">
        <f t="shared" si="101"/>
        <v>0</v>
      </c>
    </row>
    <row r="645" spans="2:14" s="321" customFormat="1" ht="15" x14ac:dyDescent="0.25">
      <c r="B645" s="16">
        <f t="shared" si="99"/>
        <v>9</v>
      </c>
      <c r="C645" s="1" t="s">
        <v>154</v>
      </c>
      <c r="D645" s="1" t="s">
        <v>155</v>
      </c>
      <c r="E645" s="16"/>
      <c r="F645" s="980">
        <f>'WP II-I-1.1'!F220</f>
        <v>0</v>
      </c>
      <c r="G645" s="802">
        <f>'WP II-I-1.1'!G220</f>
        <v>2100841472.6600001</v>
      </c>
      <c r="H645" s="802">
        <f>'WP II-I-1.1'!H220</f>
        <v>0</v>
      </c>
      <c r="I645" s="981">
        <f>'WP II-I-1.1'!I220</f>
        <v>0</v>
      </c>
      <c r="J645" s="23">
        <f t="shared" si="100"/>
        <v>2100841472.6600001</v>
      </c>
      <c r="K645" s="23"/>
      <c r="L645" s="17">
        <f t="shared" si="97"/>
        <v>2100841472.6600001</v>
      </c>
      <c r="M645" s="539"/>
      <c r="N645" s="751">
        <f t="shared" si="101"/>
        <v>0</v>
      </c>
    </row>
    <row r="646" spans="2:14" s="321" customFormat="1" x14ac:dyDescent="0.2">
      <c r="B646" s="16">
        <f t="shared" si="99"/>
        <v>10</v>
      </c>
      <c r="C646" s="1" t="s">
        <v>156</v>
      </c>
      <c r="D646" s="29" t="s">
        <v>157</v>
      </c>
      <c r="E646" s="16"/>
      <c r="F646" s="980">
        <f>'WP II-I-1.1'!F221</f>
        <v>70892895.079999998</v>
      </c>
      <c r="G646" s="802">
        <f>'WP II-I-1.1'!G221</f>
        <v>595090.37</v>
      </c>
      <c r="H646" s="802">
        <f>'WP II-I-1.1'!H221</f>
        <v>5306.31</v>
      </c>
      <c r="I646" s="981">
        <f>'WP II-I-1.1'!I221</f>
        <v>0</v>
      </c>
      <c r="J646" s="23">
        <f t="shared" si="100"/>
        <v>71493291.760000005</v>
      </c>
      <c r="K646" s="23"/>
      <c r="L646" s="17">
        <f t="shared" si="97"/>
        <v>600396.68000000005</v>
      </c>
      <c r="M646" s="45"/>
      <c r="N646" s="751">
        <f t="shared" si="101"/>
        <v>0</v>
      </c>
    </row>
    <row r="647" spans="2:14" s="321" customFormat="1" ht="16.5" x14ac:dyDescent="0.35">
      <c r="B647" s="16">
        <f t="shared" si="99"/>
        <v>11</v>
      </c>
      <c r="C647" s="1" t="s">
        <v>158</v>
      </c>
      <c r="D647" s="1" t="s">
        <v>159</v>
      </c>
      <c r="E647" s="16"/>
      <c r="F647" s="982">
        <f>'WP II-I-1.1'!F222</f>
        <v>155822.19</v>
      </c>
      <c r="G647" s="983">
        <f>'WP II-I-1.1'!G222</f>
        <v>0</v>
      </c>
      <c r="H647" s="983">
        <f>'WP II-I-1.1'!H222</f>
        <v>0</v>
      </c>
      <c r="I647" s="984">
        <f>'WP II-I-1.1'!I222</f>
        <v>0</v>
      </c>
      <c r="J647" s="205">
        <f t="shared" si="100"/>
        <v>155822.19</v>
      </c>
      <c r="K647" s="205"/>
      <c r="L647" s="232">
        <f t="shared" si="97"/>
        <v>0</v>
      </c>
      <c r="M647" s="45"/>
      <c r="N647" s="751">
        <f t="shared" si="101"/>
        <v>0</v>
      </c>
    </row>
    <row r="648" spans="2:14" ht="15" x14ac:dyDescent="0.25">
      <c r="B648" s="16">
        <f t="shared" si="99"/>
        <v>12</v>
      </c>
      <c r="C648" s="8"/>
      <c r="D648" s="233" t="s">
        <v>444</v>
      </c>
      <c r="E648" s="19"/>
      <c r="F648" s="21">
        <f>SUM(F640:F647)</f>
        <v>111834671.03999999</v>
      </c>
      <c r="G648" s="21">
        <f>SUM(G640:G647)</f>
        <v>2101684682.04</v>
      </c>
      <c r="H648" s="21">
        <f>SUM(H640:H647)</f>
        <v>9010.02</v>
      </c>
      <c r="I648" s="21">
        <f>SUM(I640:I647)</f>
        <v>0</v>
      </c>
      <c r="J648" s="235">
        <f t="shared" si="100"/>
        <v>2213528363.0999999</v>
      </c>
      <c r="K648" s="236"/>
      <c r="L648" s="21">
        <f t="shared" si="97"/>
        <v>2101693692.0599999</v>
      </c>
      <c r="M648" s="64"/>
      <c r="N648" s="751">
        <f t="shared" si="101"/>
        <v>0</v>
      </c>
    </row>
    <row r="649" spans="2:14" ht="15" x14ac:dyDescent="0.25">
      <c r="B649" s="16">
        <f t="shared" si="99"/>
        <v>13</v>
      </c>
      <c r="C649" s="8"/>
      <c r="D649" s="19"/>
      <c r="E649" s="19"/>
      <c r="F649" s="21"/>
      <c r="G649" s="21"/>
      <c r="H649" s="21"/>
      <c r="I649" s="21"/>
      <c r="J649" s="8"/>
      <c r="K649" s="8"/>
      <c r="L649" s="21"/>
      <c r="M649" s="64"/>
      <c r="N649" s="751">
        <f t="shared" si="101"/>
        <v>0</v>
      </c>
    </row>
    <row r="650" spans="2:14" ht="15" x14ac:dyDescent="0.25">
      <c r="B650" s="16">
        <f t="shared" si="99"/>
        <v>14</v>
      </c>
      <c r="C650" s="8"/>
      <c r="D650" s="233" t="s">
        <v>577</v>
      </c>
      <c r="E650" s="19"/>
      <c r="F650" s="21">
        <f>F648-F645</f>
        <v>111834671.03999999</v>
      </c>
      <c r="G650" s="21">
        <f>G648-G645</f>
        <v>843209.37999987602</v>
      </c>
      <c r="H650" s="21">
        <f>H648-H645</f>
        <v>9010.02</v>
      </c>
      <c r="I650" s="21">
        <f>I648-I645</f>
        <v>0</v>
      </c>
      <c r="J650" s="235">
        <f>SUM(F650:I650)</f>
        <v>112686890.43999986</v>
      </c>
      <c r="K650" s="236"/>
      <c r="L650" s="21">
        <f t="shared" si="97"/>
        <v>852219.39999987604</v>
      </c>
      <c r="M650" s="64"/>
      <c r="N650" s="751">
        <f t="shared" si="101"/>
        <v>0</v>
      </c>
    </row>
    <row r="651" spans="2:14" ht="15" x14ac:dyDescent="0.25">
      <c r="B651" s="16">
        <f t="shared" si="99"/>
        <v>15</v>
      </c>
      <c r="C651" s="8"/>
      <c r="D651" s="19"/>
      <c r="E651" s="19"/>
      <c r="F651" s="21"/>
      <c r="G651" s="21"/>
      <c r="H651" s="21"/>
      <c r="I651" s="21"/>
      <c r="J651" s="8"/>
      <c r="K651" s="8"/>
      <c r="L651" s="21"/>
      <c r="M651" s="64"/>
      <c r="N651" s="751">
        <f t="shared" si="101"/>
        <v>0</v>
      </c>
    </row>
    <row r="652" spans="2:14" ht="15" x14ac:dyDescent="0.25">
      <c r="B652" s="16">
        <f t="shared" si="99"/>
        <v>16</v>
      </c>
      <c r="C652" s="8"/>
      <c r="D652" s="301" t="s">
        <v>578</v>
      </c>
      <c r="E652" s="19" t="s">
        <v>143</v>
      </c>
      <c r="F652" s="21"/>
      <c r="G652" s="21"/>
      <c r="H652" s="21"/>
      <c r="I652" s="21"/>
      <c r="J652" s="8"/>
      <c r="K652" s="8"/>
      <c r="L652" s="21"/>
      <c r="M652" s="64"/>
      <c r="N652" s="751">
        <f t="shared" si="101"/>
        <v>0</v>
      </c>
    </row>
    <row r="653" spans="2:14" s="321" customFormat="1" x14ac:dyDescent="0.2">
      <c r="B653" s="16">
        <f t="shared" si="99"/>
        <v>17</v>
      </c>
      <c r="C653" s="1" t="s">
        <v>161</v>
      </c>
      <c r="D653" s="1" t="s">
        <v>162</v>
      </c>
      <c r="E653" s="16"/>
      <c r="F653" s="985">
        <f>'WP II-I-1.1'!F224</f>
        <v>162619.94</v>
      </c>
      <c r="G653" s="986">
        <f>'WP II-I-1.1'!G224</f>
        <v>43504.86</v>
      </c>
      <c r="H653" s="986">
        <f>'WP II-I-1.1'!H224</f>
        <v>0</v>
      </c>
      <c r="I653" s="987">
        <f>'WP II-I-1.1'!I224</f>
        <v>0</v>
      </c>
      <c r="J653" s="229">
        <f t="shared" ref="J653:J659" si="102">SUM(F653:I653)</f>
        <v>206124.79999999999</v>
      </c>
      <c r="K653" s="229"/>
      <c r="L653" s="17">
        <f t="shared" si="97"/>
        <v>43504.86</v>
      </c>
      <c r="M653" s="45"/>
      <c r="N653" s="751">
        <f t="shared" si="101"/>
        <v>0</v>
      </c>
    </row>
    <row r="654" spans="2:14" s="321" customFormat="1" x14ac:dyDescent="0.2">
      <c r="B654" s="16">
        <f t="shared" si="99"/>
        <v>18</v>
      </c>
      <c r="C654" s="1" t="s">
        <v>163</v>
      </c>
      <c r="D654" s="29" t="s">
        <v>164</v>
      </c>
      <c r="E654" s="16"/>
      <c r="F654" s="980">
        <f>'WP II-I-1.1'!F225</f>
        <v>4324.53</v>
      </c>
      <c r="G654" s="802">
        <f>'WP II-I-1.1'!G225</f>
        <v>142.1</v>
      </c>
      <c r="H654" s="802">
        <f>'WP II-I-1.1'!H225</f>
        <v>0</v>
      </c>
      <c r="I654" s="981">
        <f>'WP II-I-1.1'!I225</f>
        <v>0</v>
      </c>
      <c r="J654" s="229">
        <f t="shared" si="102"/>
        <v>4466.63</v>
      </c>
      <c r="K654" s="229"/>
      <c r="L654" s="17">
        <f t="shared" si="97"/>
        <v>142.1</v>
      </c>
      <c r="M654" s="45"/>
      <c r="N654" s="751">
        <f t="shared" si="101"/>
        <v>0</v>
      </c>
    </row>
    <row r="655" spans="2:14" s="321" customFormat="1" x14ac:dyDescent="0.2">
      <c r="B655" s="16">
        <f t="shared" si="99"/>
        <v>19</v>
      </c>
      <c r="C655" s="1" t="s">
        <v>165</v>
      </c>
      <c r="D655" s="1" t="s">
        <v>166</v>
      </c>
      <c r="E655" s="16"/>
      <c r="F655" s="980">
        <f>'WP II-I-1.1'!F226</f>
        <v>7324330.5500000007</v>
      </c>
      <c r="G655" s="802">
        <f>'WP II-I-1.1'!G226</f>
        <v>150005.04999999999</v>
      </c>
      <c r="H655" s="802">
        <f>'WP II-I-1.1'!H226</f>
        <v>0</v>
      </c>
      <c r="I655" s="981">
        <f>'WP II-I-1.1'!I226</f>
        <v>0</v>
      </c>
      <c r="J655" s="229">
        <f t="shared" si="102"/>
        <v>7474335.6000000006</v>
      </c>
      <c r="K655" s="229"/>
      <c r="L655" s="17">
        <f t="shared" si="97"/>
        <v>150005.04999999999</v>
      </c>
      <c r="M655" s="45"/>
      <c r="N655" s="751">
        <f t="shared" si="101"/>
        <v>0</v>
      </c>
    </row>
    <row r="656" spans="2:14" s="321" customFormat="1" x14ac:dyDescent="0.2">
      <c r="B656" s="16">
        <f t="shared" si="99"/>
        <v>20</v>
      </c>
      <c r="C656" s="1" t="s">
        <v>167</v>
      </c>
      <c r="D656" s="1" t="s">
        <v>168</v>
      </c>
      <c r="E656" s="16"/>
      <c r="F656" s="980">
        <f>'WP II-I-1.1'!F227</f>
        <v>20078366.559999999</v>
      </c>
      <c r="G656" s="802">
        <f>'WP II-I-1.1'!G227</f>
        <v>12682.44</v>
      </c>
      <c r="H656" s="802">
        <f>'WP II-I-1.1'!H227</f>
        <v>0</v>
      </c>
      <c r="I656" s="981">
        <f>'WP II-I-1.1'!I227</f>
        <v>0</v>
      </c>
      <c r="J656" s="229">
        <f t="shared" si="102"/>
        <v>20091049</v>
      </c>
      <c r="K656" s="229"/>
      <c r="L656" s="17">
        <f t="shared" si="97"/>
        <v>12682.44</v>
      </c>
      <c r="M656" s="45"/>
      <c r="N656" s="751">
        <f t="shared" si="101"/>
        <v>0</v>
      </c>
    </row>
    <row r="657" spans="2:14" s="321" customFormat="1" x14ac:dyDescent="0.2">
      <c r="B657" s="16">
        <f t="shared" si="99"/>
        <v>21</v>
      </c>
      <c r="C657" s="1" t="s">
        <v>169</v>
      </c>
      <c r="D657" s="29" t="s">
        <v>170</v>
      </c>
      <c r="E657" s="16"/>
      <c r="F657" s="980">
        <f>'WP II-I-1.1'!F228</f>
        <v>-6779.07</v>
      </c>
      <c r="G657" s="802">
        <f>'WP II-I-1.1'!G228</f>
        <v>0</v>
      </c>
      <c r="H657" s="802">
        <f>'WP II-I-1.1'!H228</f>
        <v>0</v>
      </c>
      <c r="I657" s="981">
        <f>'WP II-I-1.1'!I228</f>
        <v>0</v>
      </c>
      <c r="J657" s="229">
        <f t="shared" si="102"/>
        <v>-6779.07</v>
      </c>
      <c r="K657" s="229"/>
      <c r="L657" s="17">
        <f t="shared" si="97"/>
        <v>0</v>
      </c>
      <c r="M657" s="45"/>
      <c r="N657" s="751">
        <f t="shared" si="101"/>
        <v>0</v>
      </c>
    </row>
    <row r="658" spans="2:14" s="321" customFormat="1" ht="16.5" x14ac:dyDescent="0.35">
      <c r="B658" s="16">
        <f t="shared" si="99"/>
        <v>22</v>
      </c>
      <c r="C658" s="1" t="s">
        <v>171</v>
      </c>
      <c r="D658" s="29" t="s">
        <v>172</v>
      </c>
      <c r="E658" s="16"/>
      <c r="F658" s="982">
        <f>'WP II-I-1.1'!F229</f>
        <v>919045.91999999993</v>
      </c>
      <c r="G658" s="983">
        <f>'WP II-I-1.1'!G229</f>
        <v>89251.47</v>
      </c>
      <c r="H658" s="983">
        <f>'WP II-I-1.1'!H229</f>
        <v>0</v>
      </c>
      <c r="I658" s="984">
        <f>'WP II-I-1.1'!I229</f>
        <v>0</v>
      </c>
      <c r="J658" s="238">
        <f t="shared" si="102"/>
        <v>1008297.3899999999</v>
      </c>
      <c r="K658" s="238"/>
      <c r="L658" s="232">
        <f t="shared" si="97"/>
        <v>89251.47</v>
      </c>
      <c r="M658" s="45"/>
      <c r="N658" s="751">
        <f t="shared" si="101"/>
        <v>0</v>
      </c>
    </row>
    <row r="659" spans="2:14" s="321" customFormat="1" ht="15" x14ac:dyDescent="0.25">
      <c r="B659" s="16">
        <f t="shared" si="99"/>
        <v>23</v>
      </c>
      <c r="C659" s="8"/>
      <c r="D659" s="233" t="s">
        <v>444</v>
      </c>
      <c r="E659" s="768"/>
      <c r="F659" s="21">
        <f>SUM(F653:F658)</f>
        <v>28481908.43</v>
      </c>
      <c r="G659" s="21">
        <f>SUM(G653:G658)</f>
        <v>295585.91999999998</v>
      </c>
      <c r="H659" s="21">
        <f>SUM(H653:H658)</f>
        <v>0</v>
      </c>
      <c r="I659" s="21">
        <f>SUM(I653:I658)</f>
        <v>0</v>
      </c>
      <c r="J659" s="236">
        <f t="shared" si="102"/>
        <v>28777494.350000001</v>
      </c>
      <c r="K659" s="236"/>
      <c r="L659" s="21">
        <f t="shared" si="97"/>
        <v>295585.91999999998</v>
      </c>
      <c r="M659" s="45"/>
      <c r="N659" s="751">
        <f t="shared" si="101"/>
        <v>0</v>
      </c>
    </row>
    <row r="660" spans="2:14" ht="15.75" thickBot="1" x14ac:dyDescent="0.3">
      <c r="B660" s="16">
        <f t="shared" si="99"/>
        <v>24</v>
      </c>
      <c r="C660" s="8"/>
      <c r="D660" s="233"/>
      <c r="E660" s="19"/>
      <c r="F660" s="21"/>
      <c r="G660" s="21"/>
      <c r="H660" s="21"/>
      <c r="I660" s="21"/>
      <c r="J660" s="8"/>
      <c r="K660" s="8"/>
      <c r="L660" s="21"/>
      <c r="M660" s="64"/>
      <c r="N660" s="751">
        <f t="shared" si="101"/>
        <v>0</v>
      </c>
    </row>
    <row r="661" spans="2:14" ht="15.75" thickBot="1" x14ac:dyDescent="0.3">
      <c r="B661" s="16">
        <f t="shared" si="99"/>
        <v>25</v>
      </c>
      <c r="C661" s="223" t="s">
        <v>579</v>
      </c>
      <c r="D661" s="224"/>
      <c r="E661" s="224"/>
      <c r="F661" s="812">
        <f>+F659+F648</f>
        <v>140316579.47</v>
      </c>
      <c r="G661" s="812">
        <f>+G659+G648</f>
        <v>2101980267.96</v>
      </c>
      <c r="H661" s="812">
        <f>+H659+H648</f>
        <v>9010.02</v>
      </c>
      <c r="I661" s="812">
        <f>+I659+I648</f>
        <v>0</v>
      </c>
      <c r="J661" s="315">
        <f>SUM(F661:I661)</f>
        <v>2242305857.4499998</v>
      </c>
      <c r="K661" s="191"/>
      <c r="L661" s="805">
        <f t="shared" si="97"/>
        <v>2101989277.98</v>
      </c>
      <c r="M661" s="64"/>
      <c r="N661" s="751">
        <f t="shared" si="101"/>
        <v>0</v>
      </c>
    </row>
    <row r="662" spans="2:14" ht="15.75" thickBot="1" x14ac:dyDescent="0.3">
      <c r="B662" s="16">
        <f t="shared" si="99"/>
        <v>26</v>
      </c>
      <c r="C662" s="8"/>
      <c r="D662" s="8"/>
      <c r="E662" s="19"/>
      <c r="F662" s="805"/>
      <c r="G662" s="805"/>
      <c r="H662" s="805"/>
      <c r="I662" s="805"/>
      <c r="J662" s="805"/>
      <c r="K662" s="8"/>
      <c r="L662" s="8"/>
      <c r="M662" s="64"/>
      <c r="N662" s="751">
        <f t="shared" si="101"/>
        <v>0</v>
      </c>
    </row>
    <row r="663" spans="2:14" ht="15.75" thickBot="1" x14ac:dyDescent="0.3">
      <c r="B663" s="16">
        <f t="shared" si="99"/>
        <v>27</v>
      </c>
      <c r="C663" s="223" t="s">
        <v>580</v>
      </c>
      <c r="D663" s="224"/>
      <c r="E663" s="224"/>
      <c r="F663" s="812">
        <f>F661-F645</f>
        <v>140316579.47</v>
      </c>
      <c r="G663" s="812">
        <f>G661-G645</f>
        <v>1138795.2999999523</v>
      </c>
      <c r="H663" s="812">
        <f>H661-H645</f>
        <v>9010.02</v>
      </c>
      <c r="I663" s="812">
        <f>I661-I645</f>
        <v>0</v>
      </c>
      <c r="J663" s="315">
        <f>SUM(F663:I663)</f>
        <v>141464384.78999996</v>
      </c>
      <c r="K663" s="191"/>
      <c r="L663" s="805">
        <f t="shared" si="97"/>
        <v>1147805.3199999523</v>
      </c>
      <c r="M663" s="64"/>
      <c r="N663" s="751">
        <f t="shared" si="101"/>
        <v>0</v>
      </c>
    </row>
    <row r="664" spans="2:14" ht="15" x14ac:dyDescent="0.25">
      <c r="B664" s="16"/>
      <c r="C664" s="8"/>
      <c r="D664" s="8"/>
      <c r="E664" s="19"/>
      <c r="F664" s="21"/>
      <c r="G664" s="21"/>
      <c r="H664" s="21"/>
      <c r="I664" s="8"/>
      <c r="J664" s="8"/>
      <c r="K664" s="8"/>
      <c r="L664" s="8"/>
      <c r="M664" s="64"/>
      <c r="N664" s="751">
        <f t="shared" si="101"/>
        <v>0</v>
      </c>
    </row>
    <row r="665" spans="2:14" ht="15" x14ac:dyDescent="0.25">
      <c r="B665" s="783"/>
      <c r="C665" s="783"/>
      <c r="D665" s="783"/>
      <c r="E665" s="783"/>
      <c r="F665" s="783"/>
      <c r="G665" s="783"/>
      <c r="H665" s="783"/>
      <c r="I665" s="783"/>
      <c r="J665" s="783"/>
      <c r="K665" s="783"/>
      <c r="L665" s="783"/>
      <c r="M665" s="105" t="str">
        <f>$M$2</f>
        <v xml:space="preserve"> </v>
      </c>
      <c r="N665" s="751">
        <f t="shared" si="101"/>
        <v>0</v>
      </c>
    </row>
    <row r="666" spans="2:14" ht="15.75" thickBot="1" x14ac:dyDescent="0.3">
      <c r="B666" s="783"/>
      <c r="C666" s="783"/>
      <c r="D666" s="783"/>
      <c r="E666" s="783"/>
      <c r="F666" s="783"/>
      <c r="G666" s="783"/>
      <c r="H666" s="783"/>
      <c r="I666" s="783"/>
      <c r="J666" s="783"/>
      <c r="K666" s="783"/>
      <c r="L666" s="783"/>
      <c r="M666" s="64"/>
      <c r="N666" s="751">
        <f t="shared" si="101"/>
        <v>0</v>
      </c>
    </row>
    <row r="667" spans="2:14" ht="15" x14ac:dyDescent="0.25">
      <c r="B667" s="829" t="str">
        <f>$B$4</f>
        <v>2025 RATE CASE</v>
      </c>
      <c r="C667" s="835"/>
      <c r="D667" s="836"/>
      <c r="E667" s="783"/>
      <c r="F667" s="783"/>
      <c r="G667" s="783"/>
      <c r="H667" s="783"/>
      <c r="I667" s="783"/>
      <c r="J667" s="783"/>
      <c r="K667" s="783"/>
      <c r="L667" s="783"/>
      <c r="N667" s="751">
        <f t="shared" si="101"/>
        <v>0</v>
      </c>
    </row>
    <row r="668" spans="2:14" ht="15" x14ac:dyDescent="0.25">
      <c r="B668" s="826" t="str">
        <f>$B$5</f>
        <v>ONCOR ELECTRIC DELIVERY COMPANY LLC</v>
      </c>
      <c r="C668" s="304"/>
      <c r="D668" s="837"/>
      <c r="E668" s="783"/>
      <c r="F668" s="783"/>
      <c r="G668" s="783"/>
      <c r="H668" s="783"/>
      <c r="I668" s="783"/>
      <c r="J668" s="783"/>
      <c r="K668" s="783"/>
      <c r="L668" s="783"/>
      <c r="M668" s="64"/>
      <c r="N668" s="751">
        <f t="shared" si="101"/>
        <v>0</v>
      </c>
    </row>
    <row r="669" spans="2:14" ht="15" x14ac:dyDescent="0.25">
      <c r="B669" s="341" t="str">
        <f>$B$6</f>
        <v>CONSOLIDATED FUNCTIONALIZED COST OF SERVICE</v>
      </c>
      <c r="C669" s="304"/>
      <c r="D669" s="837"/>
      <c r="E669" s="783"/>
      <c r="F669" s="783"/>
      <c r="G669" s="783"/>
      <c r="H669" s="783"/>
      <c r="I669" s="783"/>
      <c r="J669" s="783"/>
      <c r="K669" s="783"/>
      <c r="L669" s="783"/>
      <c r="M669" s="64"/>
      <c r="N669" s="751">
        <f t="shared" si="101"/>
        <v>0</v>
      </c>
    </row>
    <row r="670" spans="2:14" ht="15" x14ac:dyDescent="0.25">
      <c r="B670" s="341" t="str">
        <f>$B$7</f>
        <v>TEST YEAR ENDING 12/31/2024</v>
      </c>
      <c r="C670" s="304"/>
      <c r="D670" s="837"/>
      <c r="E670" s="304"/>
      <c r="F670" s="304"/>
      <c r="G670" s="304"/>
      <c r="H670" s="304"/>
      <c r="I670" s="304"/>
      <c r="J670" s="304"/>
      <c r="K670" s="304"/>
      <c r="L670" s="304"/>
      <c r="M670" s="64"/>
      <c r="N670" s="751">
        <f t="shared" si="101"/>
        <v>0</v>
      </c>
    </row>
    <row r="671" spans="2:14" ht="15" x14ac:dyDescent="0.25">
      <c r="B671" s="341" t="str">
        <f>$B$8</f>
        <v>SPONSOR:  MATTHEW A. TROXLE</v>
      </c>
      <c r="C671" s="304"/>
      <c r="D671" s="837"/>
      <c r="E671" s="304"/>
      <c r="F671" s="304"/>
      <c r="G671" s="304"/>
      <c r="H671" s="304"/>
      <c r="I671" s="304"/>
      <c r="J671" s="304"/>
      <c r="K671" s="304"/>
      <c r="L671" s="304"/>
      <c r="M671" s="64"/>
      <c r="N671" s="751">
        <f t="shared" si="101"/>
        <v>0</v>
      </c>
    </row>
    <row r="672" spans="2:14" ht="15.75" thickBot="1" x14ac:dyDescent="0.3">
      <c r="B672" s="345"/>
      <c r="C672" s="840"/>
      <c r="D672" s="841"/>
      <c r="E672" s="304"/>
      <c r="F672" s="304"/>
      <c r="G672" s="304"/>
      <c r="H672" s="304"/>
      <c r="I672" s="304"/>
      <c r="J672" s="304"/>
      <c r="K672" s="304"/>
      <c r="L672" s="304"/>
      <c r="M672" s="64"/>
      <c r="N672" s="751"/>
    </row>
    <row r="673" spans="2:14" x14ac:dyDescent="0.2">
      <c r="B673" s="12"/>
      <c r="C673" s="13"/>
      <c r="D673" s="13"/>
      <c r="E673" s="13"/>
      <c r="F673" s="176" t="s">
        <v>6</v>
      </c>
      <c r="G673" s="12" t="s">
        <v>7</v>
      </c>
      <c r="H673" s="12" t="s">
        <v>8</v>
      </c>
      <c r="I673" s="178" t="s">
        <v>9</v>
      </c>
      <c r="J673" s="12" t="s">
        <v>10</v>
      </c>
      <c r="K673" s="16"/>
      <c r="L673" s="110" t="s">
        <v>907</v>
      </c>
      <c r="M673" s="64"/>
      <c r="N673" s="751"/>
    </row>
    <row r="674" spans="2:14" ht="15" x14ac:dyDescent="0.25">
      <c r="B674" s="14" t="s">
        <v>2</v>
      </c>
      <c r="C674" s="14" t="s">
        <v>349</v>
      </c>
      <c r="D674" s="226" t="s">
        <v>581</v>
      </c>
      <c r="E674" s="14" t="s">
        <v>350</v>
      </c>
      <c r="F674" s="181"/>
      <c r="G674" s="14"/>
      <c r="H674" s="14"/>
      <c r="I674" s="14"/>
      <c r="J674" s="14"/>
      <c r="K674" s="16"/>
      <c r="L674" s="93" t="s">
        <v>908</v>
      </c>
      <c r="M674" s="64"/>
      <c r="N674" s="751"/>
    </row>
    <row r="675" spans="2:14" x14ac:dyDescent="0.2">
      <c r="B675" s="14"/>
      <c r="C675" s="14"/>
      <c r="D675" s="14"/>
      <c r="E675" s="14"/>
      <c r="F675" s="181"/>
      <c r="G675" s="14"/>
      <c r="H675" s="14"/>
      <c r="I675" s="14"/>
      <c r="J675" s="14"/>
      <c r="K675" s="16"/>
      <c r="L675" s="93"/>
      <c r="M675" s="64"/>
      <c r="N675" s="751"/>
    </row>
    <row r="676" spans="2:14" ht="15" thickBot="1" x14ac:dyDescent="0.25">
      <c r="B676" s="15"/>
      <c r="C676" s="15" t="s">
        <v>13</v>
      </c>
      <c r="D676" s="15" t="s">
        <v>14</v>
      </c>
      <c r="E676" s="15" t="s">
        <v>15</v>
      </c>
      <c r="F676" s="15" t="s">
        <v>16</v>
      </c>
      <c r="G676" s="15" t="s">
        <v>17</v>
      </c>
      <c r="H676" s="15" t="s">
        <v>18</v>
      </c>
      <c r="I676" s="15" t="s">
        <v>21</v>
      </c>
      <c r="J676" s="15" t="s">
        <v>22</v>
      </c>
      <c r="K676" s="16"/>
      <c r="L676" s="997" t="s">
        <v>397</v>
      </c>
      <c r="M676" s="64"/>
      <c r="N676" s="751"/>
    </row>
    <row r="677" spans="2:14" x14ac:dyDescent="0.2">
      <c r="B677" s="45"/>
      <c r="C677" s="268"/>
      <c r="D677" s="268"/>
      <c r="E677" s="268"/>
      <c r="F677" s="268"/>
      <c r="G677" s="268"/>
      <c r="H677" s="268"/>
      <c r="I677" s="41"/>
      <c r="J677" s="41"/>
      <c r="K677" s="41"/>
      <c r="L677" s="41"/>
      <c r="M677" s="64"/>
      <c r="N677" s="751"/>
    </row>
    <row r="678" spans="2:14" ht="15" x14ac:dyDescent="0.25">
      <c r="B678" s="16">
        <f t="shared" ref="B678:B709" si="103">B677+1</f>
        <v>1</v>
      </c>
      <c r="C678" s="8" t="s">
        <v>581</v>
      </c>
      <c r="D678" s="8"/>
      <c r="E678" s="19"/>
      <c r="F678" s="8"/>
      <c r="G678" s="8"/>
      <c r="H678" s="8"/>
      <c r="I678" s="8"/>
      <c r="J678" s="8"/>
      <c r="K678" s="8"/>
      <c r="L678" s="8"/>
      <c r="M678" s="64"/>
      <c r="N678" s="751">
        <f t="shared" si="101"/>
        <v>0</v>
      </c>
    </row>
    <row r="679" spans="2:14" ht="15" x14ac:dyDescent="0.25">
      <c r="B679" s="16">
        <f t="shared" si="103"/>
        <v>2</v>
      </c>
      <c r="C679" s="8"/>
      <c r="D679" s="301" t="s">
        <v>576</v>
      </c>
      <c r="E679" s="19" t="s">
        <v>143</v>
      </c>
      <c r="F679" s="8"/>
      <c r="G679" s="8"/>
      <c r="H679" s="8"/>
      <c r="I679" s="8"/>
      <c r="J679" s="8"/>
      <c r="K679" s="8"/>
      <c r="L679" s="8"/>
      <c r="M679" s="64"/>
      <c r="N679" s="751">
        <f t="shared" si="101"/>
        <v>0</v>
      </c>
    </row>
    <row r="680" spans="2:14" s="321" customFormat="1" x14ac:dyDescent="0.2">
      <c r="B680" s="16">
        <f t="shared" si="103"/>
        <v>3</v>
      </c>
      <c r="C680" s="1" t="s">
        <v>174</v>
      </c>
      <c r="D680" s="26" t="s">
        <v>145</v>
      </c>
      <c r="E680" s="45"/>
      <c r="F680" s="985">
        <f>'WP II-I-1.1'!F231</f>
        <v>46383.62</v>
      </c>
      <c r="G680" s="986">
        <f>'WP II-I-1.1'!G231</f>
        <v>11602331.33</v>
      </c>
      <c r="H680" s="986">
        <f>'WP II-I-1.1'!H231</f>
        <v>651135.68000000005</v>
      </c>
      <c r="I680" s="987">
        <f>'WP II-I-1.1'!I231</f>
        <v>64046.58</v>
      </c>
      <c r="J680" s="229">
        <f t="shared" ref="J680:J690" si="104">SUM(F680:I680)</f>
        <v>12363897.209999999</v>
      </c>
      <c r="K680" s="229"/>
      <c r="L680" s="17">
        <f t="shared" ref="L680:L736" si="105">SUM(G680:I680)</f>
        <v>12317513.59</v>
      </c>
      <c r="M680" s="45"/>
      <c r="N680" s="751">
        <f t="shared" si="101"/>
        <v>-8.2218321040272713E-10</v>
      </c>
    </row>
    <row r="681" spans="2:14" s="321" customFormat="1" x14ac:dyDescent="0.2">
      <c r="B681" s="16">
        <f t="shared" si="103"/>
        <v>4</v>
      </c>
      <c r="C681" s="1" t="s">
        <v>175</v>
      </c>
      <c r="D681" s="1" t="s">
        <v>176</v>
      </c>
      <c r="E681" s="18"/>
      <c r="F681" s="980">
        <f>'WP II-I-1.1'!F232</f>
        <v>0</v>
      </c>
      <c r="G681" s="802">
        <f>'WP II-I-1.1'!G232</f>
        <v>12959390.869999999</v>
      </c>
      <c r="H681" s="802">
        <f>'WP II-I-1.1'!H232</f>
        <v>0</v>
      </c>
      <c r="I681" s="981">
        <f>'WP II-I-1.1'!I232</f>
        <v>0</v>
      </c>
      <c r="J681" s="229">
        <f t="shared" si="104"/>
        <v>12959390.869999999</v>
      </c>
      <c r="K681" s="229"/>
      <c r="L681" s="17">
        <f t="shared" si="105"/>
        <v>12959390.869999999</v>
      </c>
      <c r="M681" s="45"/>
      <c r="N681" s="751">
        <f t="shared" si="101"/>
        <v>0</v>
      </c>
    </row>
    <row r="682" spans="2:14" s="321" customFormat="1" x14ac:dyDescent="0.2">
      <c r="B682" s="16">
        <f t="shared" si="103"/>
        <v>5</v>
      </c>
      <c r="C682" s="1" t="s">
        <v>177</v>
      </c>
      <c r="D682" s="1" t="s">
        <v>149</v>
      </c>
      <c r="E682" s="18"/>
      <c r="F682" s="980">
        <f>'WP II-I-1.1'!F233</f>
        <v>172975.41</v>
      </c>
      <c r="G682" s="802">
        <f>'WP II-I-1.1'!G233</f>
        <v>5100475.93</v>
      </c>
      <c r="H682" s="802">
        <f>'WP II-I-1.1'!H233</f>
        <v>0</v>
      </c>
      <c r="I682" s="981">
        <f>'WP II-I-1.1'!I233</f>
        <v>0</v>
      </c>
      <c r="J682" s="229">
        <f t="shared" si="104"/>
        <v>5273451.34</v>
      </c>
      <c r="K682" s="229"/>
      <c r="L682" s="17">
        <f t="shared" si="105"/>
        <v>5100475.93</v>
      </c>
      <c r="M682" s="45"/>
      <c r="N682" s="751">
        <f t="shared" si="101"/>
        <v>0</v>
      </c>
    </row>
    <row r="683" spans="2:14" s="321" customFormat="1" x14ac:dyDescent="0.2">
      <c r="B683" s="16">
        <f t="shared" si="103"/>
        <v>6</v>
      </c>
      <c r="C683" s="1" t="s">
        <v>178</v>
      </c>
      <c r="D683" s="1" t="s">
        <v>151</v>
      </c>
      <c r="E683" s="18"/>
      <c r="F683" s="980">
        <f>'WP II-I-1.1'!F234</f>
        <v>0</v>
      </c>
      <c r="G683" s="802">
        <f>'WP II-I-1.1'!G234</f>
        <v>22054638.640000001</v>
      </c>
      <c r="H683" s="802">
        <f>'WP II-I-1.1'!H234</f>
        <v>13591.19</v>
      </c>
      <c r="I683" s="981">
        <f>'WP II-I-1.1'!I234</f>
        <v>0</v>
      </c>
      <c r="J683" s="229">
        <f t="shared" si="104"/>
        <v>22068229.830000002</v>
      </c>
      <c r="K683" s="229"/>
      <c r="L683" s="17">
        <f t="shared" si="105"/>
        <v>22068229.830000002</v>
      </c>
      <c r="M683" s="45"/>
      <c r="N683" s="751">
        <f t="shared" si="101"/>
        <v>0</v>
      </c>
    </row>
    <row r="684" spans="2:14" s="321" customFormat="1" x14ac:dyDescent="0.2">
      <c r="B684" s="16">
        <f t="shared" si="103"/>
        <v>7</v>
      </c>
      <c r="C684" s="1" t="s">
        <v>179</v>
      </c>
      <c r="D684" s="1" t="s">
        <v>153</v>
      </c>
      <c r="E684" s="18"/>
      <c r="F684" s="980">
        <f>'WP II-I-1.1'!F235</f>
        <v>0</v>
      </c>
      <c r="G684" s="802">
        <f>'WP II-I-1.1'!G235</f>
        <v>9701086.9600000009</v>
      </c>
      <c r="H684" s="802">
        <f>'WP II-I-1.1'!H235</f>
        <v>18527.89</v>
      </c>
      <c r="I684" s="981">
        <f>'WP II-I-1.1'!I235</f>
        <v>0</v>
      </c>
      <c r="J684" s="229">
        <f t="shared" si="104"/>
        <v>9719614.8500000015</v>
      </c>
      <c r="K684" s="229"/>
      <c r="L684" s="17">
        <f t="shared" si="105"/>
        <v>9719614.8500000015</v>
      </c>
      <c r="M684" s="45"/>
      <c r="N684" s="751">
        <f t="shared" si="101"/>
        <v>0</v>
      </c>
    </row>
    <row r="685" spans="2:14" s="321" customFormat="1" x14ac:dyDescent="0.2">
      <c r="B685" s="16">
        <f t="shared" si="103"/>
        <v>8</v>
      </c>
      <c r="C685" s="1" t="s">
        <v>180</v>
      </c>
      <c r="D685" s="1" t="s">
        <v>181</v>
      </c>
      <c r="E685" s="18"/>
      <c r="F685" s="980">
        <f>'WP II-I-1.1'!F236</f>
        <v>0</v>
      </c>
      <c r="G685" s="802">
        <f>'WP II-I-1.1'!G236</f>
        <v>157.6</v>
      </c>
      <c r="H685" s="802">
        <f>'WP II-I-1.1'!H236</f>
        <v>0</v>
      </c>
      <c r="I685" s="981">
        <f>'WP II-I-1.1'!I236</f>
        <v>0</v>
      </c>
      <c r="J685" s="229">
        <f t="shared" si="104"/>
        <v>157.6</v>
      </c>
      <c r="K685" s="229"/>
      <c r="L685" s="17">
        <f t="shared" si="105"/>
        <v>157.6</v>
      </c>
      <c r="M685" s="45"/>
      <c r="N685" s="751">
        <f t="shared" si="101"/>
        <v>0</v>
      </c>
    </row>
    <row r="686" spans="2:14" s="321" customFormat="1" x14ac:dyDescent="0.2">
      <c r="B686" s="16">
        <f t="shared" si="103"/>
        <v>9</v>
      </c>
      <c r="C686" s="1" t="s">
        <v>182</v>
      </c>
      <c r="D686" s="1" t="s">
        <v>183</v>
      </c>
      <c r="E686" s="18"/>
      <c r="F686" s="980">
        <f>'WP II-I-1.1'!F237</f>
        <v>0</v>
      </c>
      <c r="G686" s="802">
        <f>'WP II-I-1.1'!G237</f>
        <v>0</v>
      </c>
      <c r="H686" s="802">
        <f>'WP II-I-1.1'!H237</f>
        <v>35005008.409999996</v>
      </c>
      <c r="I686" s="981">
        <f>'WP II-I-1.1'!I237</f>
        <v>0</v>
      </c>
      <c r="J686" s="229">
        <f t="shared" si="104"/>
        <v>35005008.409999996</v>
      </c>
      <c r="K686" s="229"/>
      <c r="L686" s="17">
        <f t="shared" si="105"/>
        <v>35005008.409999996</v>
      </c>
      <c r="M686" s="45"/>
      <c r="N686" s="751">
        <f t="shared" si="101"/>
        <v>0</v>
      </c>
    </row>
    <row r="687" spans="2:14" s="321" customFormat="1" x14ac:dyDescent="0.2">
      <c r="B687" s="16">
        <f t="shared" si="103"/>
        <v>10</v>
      </c>
      <c r="C687" s="1" t="s">
        <v>184</v>
      </c>
      <c r="D687" s="1" t="s">
        <v>185</v>
      </c>
      <c r="E687" s="18"/>
      <c r="F687" s="980">
        <f>'WP II-I-1.1'!F238</f>
        <v>0</v>
      </c>
      <c r="G687" s="802">
        <f>'WP II-I-1.1'!G238</f>
        <v>2655620.85</v>
      </c>
      <c r="H687" s="802">
        <f>'WP II-I-1.1'!H238</f>
        <v>0</v>
      </c>
      <c r="I687" s="981">
        <f>'WP II-I-1.1'!I238</f>
        <v>0</v>
      </c>
      <c r="J687" s="229">
        <f t="shared" si="104"/>
        <v>2655620.85</v>
      </c>
      <c r="K687" s="229"/>
      <c r="L687" s="17">
        <f t="shared" si="105"/>
        <v>2655620.85</v>
      </c>
      <c r="M687" s="45"/>
      <c r="N687" s="751">
        <f t="shared" si="101"/>
        <v>0</v>
      </c>
    </row>
    <row r="688" spans="2:14" s="321" customFormat="1" x14ac:dyDescent="0.2">
      <c r="B688" s="16">
        <f t="shared" si="103"/>
        <v>11</v>
      </c>
      <c r="C688" s="1" t="s">
        <v>186</v>
      </c>
      <c r="D688" s="1" t="s">
        <v>187</v>
      </c>
      <c r="E688" s="18"/>
      <c r="F688" s="980">
        <f>'WP II-I-1.1'!F239</f>
        <v>101538.42</v>
      </c>
      <c r="G688" s="802">
        <f>'WP II-I-1.1'!G239</f>
        <v>114338938.56</v>
      </c>
      <c r="H688" s="802">
        <f>'WP II-I-1.1'!H239</f>
        <v>2054606.74</v>
      </c>
      <c r="I688" s="981">
        <f>'WP II-I-1.1'!I239</f>
        <v>125580.7</v>
      </c>
      <c r="J688" s="229">
        <f t="shared" si="104"/>
        <v>116620664.42</v>
      </c>
      <c r="K688" s="229"/>
      <c r="L688" s="17">
        <f t="shared" si="105"/>
        <v>116519126</v>
      </c>
      <c r="M688" s="45"/>
      <c r="N688" s="751">
        <f t="shared" si="101"/>
        <v>1.7898855730891228E-9</v>
      </c>
    </row>
    <row r="689" spans="2:14" s="321" customFormat="1" ht="16.5" x14ac:dyDescent="0.35">
      <c r="B689" s="16">
        <f t="shared" si="103"/>
        <v>12</v>
      </c>
      <c r="C689" s="1" t="s">
        <v>188</v>
      </c>
      <c r="D689" s="1" t="s">
        <v>189</v>
      </c>
      <c r="E689" s="18"/>
      <c r="F689" s="982">
        <f>'WP II-I-1.1'!F240</f>
        <v>0</v>
      </c>
      <c r="G689" s="983">
        <f>'WP II-I-1.1'!G240</f>
        <v>201175.9</v>
      </c>
      <c r="H689" s="983">
        <f>'WP II-I-1.1'!H240</f>
        <v>0</v>
      </c>
      <c r="I689" s="984">
        <f>'WP II-I-1.1'!I240</f>
        <v>0</v>
      </c>
      <c r="J689" s="238">
        <f t="shared" si="104"/>
        <v>201175.9</v>
      </c>
      <c r="K689" s="238"/>
      <c r="L689" s="232">
        <f t="shared" si="105"/>
        <v>201175.9</v>
      </c>
      <c r="M689" s="45"/>
      <c r="N689" s="751">
        <f t="shared" si="101"/>
        <v>0</v>
      </c>
    </row>
    <row r="690" spans="2:14" ht="15" x14ac:dyDescent="0.25">
      <c r="B690" s="16">
        <f t="shared" si="103"/>
        <v>13</v>
      </c>
      <c r="C690" s="8"/>
      <c r="D690" s="233" t="s">
        <v>582</v>
      </c>
      <c r="E690" s="19"/>
      <c r="F690" s="21">
        <f>SUM(F680:F689)</f>
        <v>320897.45</v>
      </c>
      <c r="G690" s="21">
        <f>SUM(G680:G689)</f>
        <v>178613816.64000002</v>
      </c>
      <c r="H690" s="21">
        <f>SUM(H680:H689)</f>
        <v>37742869.909999996</v>
      </c>
      <c r="I690" s="21">
        <f>SUM(I680:I689)</f>
        <v>189627.28</v>
      </c>
      <c r="J690" s="235">
        <f t="shared" si="104"/>
        <v>216867211.28</v>
      </c>
      <c r="K690" s="236"/>
      <c r="L690" s="21">
        <f t="shared" si="105"/>
        <v>216546313.83000001</v>
      </c>
      <c r="M690" s="64"/>
      <c r="N690" s="751">
        <f t="shared" si="101"/>
        <v>-1.1932570487260818E-8</v>
      </c>
    </row>
    <row r="691" spans="2:14" ht="15" x14ac:dyDescent="0.25">
      <c r="B691" s="16">
        <f t="shared" si="103"/>
        <v>14</v>
      </c>
      <c r="C691" s="8"/>
      <c r="D691" s="233"/>
      <c r="E691" s="19"/>
      <c r="F691" s="21"/>
      <c r="G691" s="21"/>
      <c r="H691" s="21"/>
      <c r="I691" s="21"/>
      <c r="J691" s="235"/>
      <c r="K691" s="236"/>
      <c r="L691" s="21">
        <f t="shared" si="105"/>
        <v>0</v>
      </c>
      <c r="M691" s="64"/>
      <c r="N691" s="751">
        <f t="shared" si="101"/>
        <v>0</v>
      </c>
    </row>
    <row r="692" spans="2:14" ht="15" x14ac:dyDescent="0.25">
      <c r="B692" s="16">
        <f t="shared" si="103"/>
        <v>15</v>
      </c>
      <c r="C692" s="8"/>
      <c r="D692" s="233" t="s">
        <v>583</v>
      </c>
      <c r="E692" s="19"/>
      <c r="F692" s="21">
        <f>SUM(F681:F687)+F689</f>
        <v>172975.41</v>
      </c>
      <c r="G692" s="21">
        <f>SUM(G681:G687)+G689</f>
        <v>52672546.75</v>
      </c>
      <c r="H692" s="21">
        <f>SUM(H681:H687)+H689</f>
        <v>35037127.489999995</v>
      </c>
      <c r="I692" s="21">
        <f>SUM(I681:I687)+I689</f>
        <v>0</v>
      </c>
      <c r="J692" s="235">
        <f>SUM(F692:I692)</f>
        <v>87882649.649999991</v>
      </c>
      <c r="K692" s="236"/>
      <c r="L692" s="21">
        <f t="shared" si="105"/>
        <v>87709674.239999995</v>
      </c>
      <c r="M692" s="64"/>
      <c r="N692" s="751">
        <f t="shared" si="101"/>
        <v>-3.5797711461782455E-9</v>
      </c>
    </row>
    <row r="693" spans="2:14" x14ac:dyDescent="0.2">
      <c r="B693" s="16">
        <f t="shared" si="103"/>
        <v>16</v>
      </c>
      <c r="C693" s="1"/>
      <c r="D693" s="28"/>
      <c r="E693" s="16"/>
      <c r="F693" s="18"/>
      <c r="G693" s="18"/>
      <c r="H693" s="18"/>
      <c r="I693" s="18"/>
      <c r="J693" s="1"/>
      <c r="K693" s="1"/>
      <c r="L693" s="18">
        <f t="shared" si="105"/>
        <v>0</v>
      </c>
      <c r="M693" s="64"/>
      <c r="N693" s="751">
        <f t="shared" si="101"/>
        <v>0</v>
      </c>
    </row>
    <row r="694" spans="2:14" ht="15" x14ac:dyDescent="0.25">
      <c r="B694" s="16">
        <f t="shared" si="103"/>
        <v>17</v>
      </c>
      <c r="C694" s="301"/>
      <c r="D694" s="8"/>
      <c r="E694" s="19"/>
      <c r="F694" s="21"/>
      <c r="G694" s="21"/>
      <c r="H694" s="21"/>
      <c r="I694" s="21"/>
      <c r="J694" s="8"/>
      <c r="K694" s="8"/>
      <c r="L694" s="21">
        <f t="shared" si="105"/>
        <v>0</v>
      </c>
      <c r="M694" s="64"/>
      <c r="N694" s="751">
        <f t="shared" si="101"/>
        <v>0</v>
      </c>
    </row>
    <row r="695" spans="2:14" ht="15" x14ac:dyDescent="0.25">
      <c r="B695" s="16">
        <f t="shared" si="103"/>
        <v>18</v>
      </c>
      <c r="C695" s="8"/>
      <c r="D695" s="301" t="s">
        <v>578</v>
      </c>
      <c r="E695" s="19" t="s">
        <v>143</v>
      </c>
      <c r="F695" s="21"/>
      <c r="G695" s="21"/>
      <c r="H695" s="21"/>
      <c r="I695" s="21"/>
      <c r="J695" s="8"/>
      <c r="K695" s="8"/>
      <c r="L695" s="21">
        <f t="shared" si="105"/>
        <v>0</v>
      </c>
      <c r="M695" s="64"/>
      <c r="N695" s="751">
        <f t="shared" si="101"/>
        <v>0</v>
      </c>
    </row>
    <row r="696" spans="2:14" s="321" customFormat="1" x14ac:dyDescent="0.2">
      <c r="B696" s="16">
        <f t="shared" si="103"/>
        <v>19</v>
      </c>
      <c r="C696" s="1" t="s">
        <v>191</v>
      </c>
      <c r="D696" s="1" t="s">
        <v>162</v>
      </c>
      <c r="E696" s="16"/>
      <c r="F696" s="985">
        <f>'WP II-I-1.1'!F242</f>
        <v>34886.310000000005</v>
      </c>
      <c r="G696" s="986">
        <f>'WP II-I-1.1'!G242</f>
        <v>2657755.9500000011</v>
      </c>
      <c r="H696" s="986">
        <f>'WP II-I-1.1'!H242</f>
        <v>675219.36000000022</v>
      </c>
      <c r="I696" s="987">
        <f>'WP II-I-1.1'!I242</f>
        <v>53.75</v>
      </c>
      <c r="J696" s="229">
        <f t="shared" ref="J696:J705" si="106">SUM(F696:I696)</f>
        <v>3367915.3700000015</v>
      </c>
      <c r="K696" s="229"/>
      <c r="L696" s="17">
        <f t="shared" si="105"/>
        <v>3333029.0600000015</v>
      </c>
      <c r="M696" s="45"/>
      <c r="N696" s="751">
        <f t="shared" si="101"/>
        <v>0</v>
      </c>
    </row>
    <row r="697" spans="2:14" s="321" customFormat="1" x14ac:dyDescent="0.2">
      <c r="B697" s="16">
        <f t="shared" si="103"/>
        <v>20</v>
      </c>
      <c r="C697" s="1" t="s">
        <v>192</v>
      </c>
      <c r="D697" s="29" t="s">
        <v>164</v>
      </c>
      <c r="E697" s="16"/>
      <c r="F697" s="980">
        <f>'WP II-I-1.1'!F243</f>
        <v>331.24</v>
      </c>
      <c r="G697" s="802">
        <f>'WP II-I-1.1'!G243</f>
        <v>6007.63</v>
      </c>
      <c r="H697" s="802">
        <f>'WP II-I-1.1'!H243</f>
        <v>0</v>
      </c>
      <c r="I697" s="981">
        <f>'WP II-I-1.1'!I243</f>
        <v>0</v>
      </c>
      <c r="J697" s="229">
        <f t="shared" si="106"/>
        <v>6338.87</v>
      </c>
      <c r="K697" s="229"/>
      <c r="L697" s="17">
        <f t="shared" si="105"/>
        <v>6007.63</v>
      </c>
      <c r="M697" s="45"/>
      <c r="N697" s="751">
        <f t="shared" si="101"/>
        <v>0</v>
      </c>
    </row>
    <row r="698" spans="2:14" s="321" customFormat="1" x14ac:dyDescent="0.2">
      <c r="B698" s="16">
        <f t="shared" si="103"/>
        <v>21</v>
      </c>
      <c r="C698" s="1" t="s">
        <v>193</v>
      </c>
      <c r="D698" s="1" t="s">
        <v>166</v>
      </c>
      <c r="E698" s="16"/>
      <c r="F698" s="980">
        <f>'WP II-I-1.1'!F244</f>
        <v>361266.56999999977</v>
      </c>
      <c r="G698" s="802">
        <f>'WP II-I-1.1'!G244</f>
        <v>9523942.879999999</v>
      </c>
      <c r="H698" s="802">
        <f>'WP II-I-1.1'!H244</f>
        <v>0</v>
      </c>
      <c r="I698" s="981">
        <f>'WP II-I-1.1'!I244</f>
        <v>0</v>
      </c>
      <c r="J698" s="229">
        <f t="shared" si="106"/>
        <v>9885209.4499999993</v>
      </c>
      <c r="K698" s="229"/>
      <c r="L698" s="17">
        <f t="shared" si="105"/>
        <v>9523942.879999999</v>
      </c>
      <c r="M698" s="45"/>
      <c r="N698" s="751">
        <f t="shared" si="101"/>
        <v>5.2386894822120667E-10</v>
      </c>
    </row>
    <row r="699" spans="2:14" s="321" customFormat="1" x14ac:dyDescent="0.2">
      <c r="B699" s="16">
        <f t="shared" si="103"/>
        <v>22</v>
      </c>
      <c r="C699" s="1" t="s">
        <v>194</v>
      </c>
      <c r="D699" s="29" t="s">
        <v>168</v>
      </c>
      <c r="E699" s="16"/>
      <c r="F699" s="980">
        <f>'WP II-I-1.1'!F245</f>
        <v>4960.3900000000003</v>
      </c>
      <c r="G699" s="802">
        <f>'WP II-I-1.1'!G245</f>
        <v>124578101.33000012</v>
      </c>
      <c r="H699" s="802">
        <f>'WP II-I-1.1'!H245</f>
        <v>89014.65</v>
      </c>
      <c r="I699" s="981">
        <f>'WP II-I-1.1'!I245</f>
        <v>0</v>
      </c>
      <c r="J699" s="229">
        <f t="shared" si="106"/>
        <v>124672076.37000012</v>
      </c>
      <c r="K699" s="229"/>
      <c r="L699" s="17">
        <f t="shared" si="105"/>
        <v>124667115.98000012</v>
      </c>
      <c r="M699" s="45"/>
      <c r="N699" s="751">
        <f t="shared" si="101"/>
        <v>5.95719029661268E-10</v>
      </c>
    </row>
    <row r="700" spans="2:14" s="321" customFormat="1" x14ac:dyDescent="0.2">
      <c r="B700" s="16">
        <f t="shared" si="103"/>
        <v>23</v>
      </c>
      <c r="C700" s="1" t="s">
        <v>195</v>
      </c>
      <c r="D700" s="1" t="s">
        <v>170</v>
      </c>
      <c r="E700" s="16"/>
      <c r="F700" s="980">
        <f>'WP II-I-1.1'!F246</f>
        <v>6.81</v>
      </c>
      <c r="G700" s="802">
        <f>'WP II-I-1.1'!G246</f>
        <v>31871379.119999893</v>
      </c>
      <c r="H700" s="802">
        <f>'WP II-I-1.1'!H246</f>
        <v>56409.110000000008</v>
      </c>
      <c r="I700" s="981">
        <f>'WP II-I-1.1'!I246</f>
        <v>0</v>
      </c>
      <c r="J700" s="229">
        <f t="shared" si="106"/>
        <v>31927795.039999891</v>
      </c>
      <c r="K700" s="229"/>
      <c r="L700" s="17">
        <f t="shared" si="105"/>
        <v>31927788.229999892</v>
      </c>
      <c r="M700" s="45"/>
      <c r="N700" s="751">
        <f t="shared" si="101"/>
        <v>-1.3411041166477844E-9</v>
      </c>
    </row>
    <row r="701" spans="2:14" s="321" customFormat="1" x14ac:dyDescent="0.2">
      <c r="B701" s="16">
        <f t="shared" si="103"/>
        <v>24</v>
      </c>
      <c r="C701" s="1" t="s">
        <v>196</v>
      </c>
      <c r="D701" s="1" t="s">
        <v>197</v>
      </c>
      <c r="E701" s="16"/>
      <c r="F701" s="980">
        <f>'WP II-I-1.1'!F247</f>
        <v>0</v>
      </c>
      <c r="G701" s="802">
        <f>'WP II-I-1.1'!G247</f>
        <v>3832933.3499999968</v>
      </c>
      <c r="H701" s="802">
        <f>'WP II-I-1.1'!H247</f>
        <v>15.35</v>
      </c>
      <c r="I701" s="981">
        <f>'WP II-I-1.1'!I247</f>
        <v>0</v>
      </c>
      <c r="J701" s="229">
        <f t="shared" si="106"/>
        <v>3832948.6999999969</v>
      </c>
      <c r="K701" s="229"/>
      <c r="L701" s="17">
        <f t="shared" si="105"/>
        <v>3832948.6999999969</v>
      </c>
      <c r="M701" s="45"/>
      <c r="N701" s="751">
        <f t="shared" si="101"/>
        <v>0</v>
      </c>
    </row>
    <row r="702" spans="2:14" s="321" customFormat="1" x14ac:dyDescent="0.2">
      <c r="B702" s="16">
        <f t="shared" si="103"/>
        <v>25</v>
      </c>
      <c r="C702" s="1" t="s">
        <v>198</v>
      </c>
      <c r="D702" s="1" t="s">
        <v>199</v>
      </c>
      <c r="E702" s="16"/>
      <c r="F702" s="980">
        <f>'WP II-I-1.1'!F248</f>
        <v>0</v>
      </c>
      <c r="G702" s="802">
        <f>'WP II-I-1.1'!G248</f>
        <v>10452984.359999968</v>
      </c>
      <c r="H702" s="802">
        <f>'WP II-I-1.1'!H248</f>
        <v>21695.01</v>
      </c>
      <c r="I702" s="981">
        <f>'WP II-I-1.1'!I248</f>
        <v>0</v>
      </c>
      <c r="J702" s="229">
        <f t="shared" si="106"/>
        <v>10474679.369999968</v>
      </c>
      <c r="K702" s="229"/>
      <c r="L702" s="17">
        <f t="shared" si="105"/>
        <v>10474679.369999968</v>
      </c>
      <c r="M702" s="45"/>
      <c r="N702" s="751">
        <f t="shared" si="101"/>
        <v>0</v>
      </c>
    </row>
    <row r="703" spans="2:14" s="321" customFormat="1" x14ac:dyDescent="0.2">
      <c r="B703" s="16">
        <f t="shared" si="103"/>
        <v>26</v>
      </c>
      <c r="C703" s="1" t="s">
        <v>200</v>
      </c>
      <c r="D703" s="1" t="s">
        <v>201</v>
      </c>
      <c r="E703" s="16"/>
      <c r="F703" s="980">
        <f>'WP II-I-1.1'!F249</f>
        <v>0</v>
      </c>
      <c r="G703" s="802">
        <f>'WP II-I-1.1'!G249</f>
        <v>0</v>
      </c>
      <c r="H703" s="802">
        <f>'WP II-I-1.1'!H249</f>
        <v>22948047.090000018</v>
      </c>
      <c r="I703" s="981">
        <f>'WP II-I-1.1'!I249</f>
        <v>0</v>
      </c>
      <c r="J703" s="229">
        <f t="shared" si="106"/>
        <v>22948047.090000018</v>
      </c>
      <c r="K703" s="229"/>
      <c r="L703" s="17">
        <f t="shared" si="105"/>
        <v>22948047.090000018</v>
      </c>
      <c r="M703" s="45"/>
      <c r="N703" s="751">
        <f t="shared" si="101"/>
        <v>0</v>
      </c>
    </row>
    <row r="704" spans="2:14" s="321" customFormat="1" ht="16.5" x14ac:dyDescent="0.35">
      <c r="B704" s="16">
        <f t="shared" si="103"/>
        <v>27</v>
      </c>
      <c r="C704" s="1" t="s">
        <v>202</v>
      </c>
      <c r="D704" s="1" t="s">
        <v>203</v>
      </c>
      <c r="E704" s="16"/>
      <c r="F704" s="982">
        <f>'WP II-I-1.1'!F250</f>
        <v>0</v>
      </c>
      <c r="G704" s="983">
        <f>'WP II-I-1.1'!G250</f>
        <v>2328747.8200000017</v>
      </c>
      <c r="H704" s="983">
        <f>'WP II-I-1.1'!H250</f>
        <v>9612.5400000000009</v>
      </c>
      <c r="I704" s="984">
        <f>'WP II-I-1.1'!I250</f>
        <v>0</v>
      </c>
      <c r="J704" s="238">
        <f t="shared" si="106"/>
        <v>2338360.3600000017</v>
      </c>
      <c r="K704" s="238"/>
      <c r="L704" s="232">
        <f t="shared" si="105"/>
        <v>2338360.3600000017</v>
      </c>
      <c r="M704" s="45"/>
      <c r="N704" s="751">
        <f t="shared" ref="N704:N709" si="107">J704-L704-F704</f>
        <v>0</v>
      </c>
    </row>
    <row r="705" spans="2:14" ht="15" x14ac:dyDescent="0.25">
      <c r="B705" s="16">
        <f t="shared" si="103"/>
        <v>28</v>
      </c>
      <c r="C705" s="8"/>
      <c r="D705" s="233" t="s">
        <v>584</v>
      </c>
      <c r="E705" s="19"/>
      <c r="F705" s="21">
        <f>SUM(F696:F704)</f>
        <v>401451.31999999977</v>
      </c>
      <c r="G705" s="21">
        <f>SUM(G696:G704)</f>
        <v>185251852.43999994</v>
      </c>
      <c r="H705" s="21">
        <f>SUM(H696:H704)</f>
        <v>23800013.110000018</v>
      </c>
      <c r="I705" s="21">
        <f>SUM(I696:I704)</f>
        <v>53.75</v>
      </c>
      <c r="J705" s="235">
        <f t="shared" si="106"/>
        <v>209453370.61999995</v>
      </c>
      <c r="K705" s="236"/>
      <c r="L705" s="21">
        <f t="shared" si="105"/>
        <v>209051919.29999995</v>
      </c>
      <c r="M705" s="64"/>
      <c r="N705" s="751">
        <f t="shared" si="107"/>
        <v>-6.9267116487026215E-9</v>
      </c>
    </row>
    <row r="706" spans="2:14" x14ac:dyDescent="0.2">
      <c r="B706" s="16">
        <f t="shared" si="103"/>
        <v>29</v>
      </c>
      <c r="C706" s="1"/>
      <c r="D706" s="1"/>
      <c r="E706" s="16"/>
      <c r="F706" s="18"/>
      <c r="G706" s="18"/>
      <c r="H706" s="18"/>
      <c r="I706" s="18"/>
      <c r="J706" s="1"/>
      <c r="K706" s="1"/>
      <c r="L706" s="18">
        <f t="shared" si="105"/>
        <v>0</v>
      </c>
      <c r="M706" s="64"/>
      <c r="N706" s="751">
        <f t="shared" si="107"/>
        <v>0</v>
      </c>
    </row>
    <row r="707" spans="2:14" ht="15" x14ac:dyDescent="0.25">
      <c r="B707" s="16">
        <f t="shared" si="103"/>
        <v>30</v>
      </c>
      <c r="C707" s="8"/>
      <c r="D707" s="233" t="s">
        <v>585</v>
      </c>
      <c r="E707" s="19"/>
      <c r="F707" s="21">
        <f>SUM(F697:F703)</f>
        <v>366565.00999999978</v>
      </c>
      <c r="G707" s="21">
        <f>SUM(G697:G703)</f>
        <v>180265348.66999996</v>
      </c>
      <c r="H707" s="21">
        <f>SUM(H697:H703)</f>
        <v>23115181.21000002</v>
      </c>
      <c r="I707" s="21">
        <f>SUM(I697:I703)</f>
        <v>0</v>
      </c>
      <c r="J707" s="235">
        <f>SUM(F707:I707)</f>
        <v>203747094.88999996</v>
      </c>
      <c r="K707" s="236"/>
      <c r="L707" s="21">
        <f t="shared" si="105"/>
        <v>203380529.87999997</v>
      </c>
      <c r="M707" s="64"/>
      <c r="N707" s="751">
        <f t="shared" si="107"/>
        <v>-9.3132257461547852E-9</v>
      </c>
    </row>
    <row r="708" spans="2:14" ht="15" thickBot="1" x14ac:dyDescent="0.25">
      <c r="B708" s="16">
        <f t="shared" si="103"/>
        <v>31</v>
      </c>
      <c r="C708" s="1"/>
      <c r="D708" s="1"/>
      <c r="E708" s="16"/>
      <c r="F708" s="18"/>
      <c r="G708" s="18"/>
      <c r="H708" s="18"/>
      <c r="I708" s="18"/>
      <c r="J708" s="1"/>
      <c r="K708" s="1"/>
      <c r="L708" s="18">
        <f t="shared" si="105"/>
        <v>0</v>
      </c>
      <c r="M708" s="64"/>
      <c r="N708" s="751">
        <f t="shared" si="107"/>
        <v>0</v>
      </c>
    </row>
    <row r="709" spans="2:14" ht="15.75" thickBot="1" x14ac:dyDescent="0.3">
      <c r="B709" s="16">
        <f t="shared" si="103"/>
        <v>32</v>
      </c>
      <c r="C709" s="223" t="s">
        <v>586</v>
      </c>
      <c r="D709" s="224"/>
      <c r="E709" s="224" t="s">
        <v>143</v>
      </c>
      <c r="F709" s="812">
        <f>+F705+F690</f>
        <v>722348.76999999979</v>
      </c>
      <c r="G709" s="812">
        <f>+G705+G690</f>
        <v>363865669.07999992</v>
      </c>
      <c r="H709" s="812">
        <f>+H705+H690</f>
        <v>61542883.020000011</v>
      </c>
      <c r="I709" s="812">
        <f>+I705+I690</f>
        <v>189681.03</v>
      </c>
      <c r="J709" s="315">
        <f>SUM(F709:I709)</f>
        <v>426320581.89999986</v>
      </c>
      <c r="K709" s="191"/>
      <c r="L709" s="805">
        <f t="shared" si="105"/>
        <v>425598233.12999988</v>
      </c>
      <c r="M709" s="64"/>
      <c r="N709" s="751">
        <f t="shared" si="107"/>
        <v>-1.885928213596344E-8</v>
      </c>
    </row>
    <row r="710" spans="2:14" ht="15" x14ac:dyDescent="0.25">
      <c r="B710" s="16"/>
      <c r="C710" s="1"/>
      <c r="D710" s="8"/>
      <c r="E710" s="19"/>
      <c r="F710" s="21"/>
      <c r="G710" s="21"/>
      <c r="H710" s="21"/>
      <c r="I710" s="1"/>
      <c r="J710" s="1"/>
      <c r="K710" s="1"/>
      <c r="L710" s="1"/>
      <c r="M710" s="64"/>
    </row>
    <row r="711" spans="2:14" ht="15.75" thickBot="1" x14ac:dyDescent="0.3">
      <c r="B711" s="783"/>
      <c r="C711" s="783"/>
      <c r="D711" s="783"/>
      <c r="E711" s="783"/>
      <c r="F711" s="783"/>
      <c r="G711" s="783"/>
      <c r="H711" s="783"/>
      <c r="I711" s="783"/>
      <c r="J711" s="783"/>
      <c r="K711" s="783"/>
      <c r="L711" s="783"/>
      <c r="M711" s="105" t="str">
        <f>$M$2</f>
        <v xml:space="preserve"> </v>
      </c>
    </row>
    <row r="712" spans="2:14" ht="15" x14ac:dyDescent="0.25">
      <c r="B712" s="829" t="str">
        <f>$B$4</f>
        <v>2025 RATE CASE</v>
      </c>
      <c r="C712" s="835"/>
      <c r="D712" s="836"/>
      <c r="E712" s="783"/>
      <c r="F712" s="783"/>
      <c r="G712" s="783"/>
      <c r="H712" s="783"/>
      <c r="I712" s="783"/>
      <c r="J712" s="783"/>
      <c r="K712" s="783"/>
      <c r="L712" s="783"/>
    </row>
    <row r="713" spans="2:14" ht="15" x14ac:dyDescent="0.25">
      <c r="B713" s="826" t="str">
        <f>$B$5</f>
        <v>ONCOR ELECTRIC DELIVERY COMPANY LLC</v>
      </c>
      <c r="C713" s="304"/>
      <c r="D713" s="837"/>
      <c r="E713" s="783"/>
      <c r="F713" s="783"/>
      <c r="G713" s="783"/>
      <c r="H713" s="783"/>
      <c r="I713" s="783"/>
      <c r="J713" s="783"/>
      <c r="K713" s="783"/>
      <c r="L713" s="783"/>
      <c r="M713" s="64"/>
    </row>
    <row r="714" spans="2:14" ht="15" x14ac:dyDescent="0.25">
      <c r="B714" s="341" t="str">
        <f>$B$6</f>
        <v>CONSOLIDATED FUNCTIONALIZED COST OF SERVICE</v>
      </c>
      <c r="C714" s="304"/>
      <c r="D714" s="837"/>
      <c r="E714" s="783"/>
      <c r="F714" s="783"/>
      <c r="G714" s="783"/>
      <c r="H714" s="783"/>
      <c r="I714" s="783"/>
      <c r="J714" s="783"/>
      <c r="K714" s="783"/>
      <c r="L714" s="783"/>
      <c r="M714" s="64"/>
    </row>
    <row r="715" spans="2:14" ht="15" x14ac:dyDescent="0.25">
      <c r="B715" s="341" t="str">
        <f>$B$7</f>
        <v>TEST YEAR ENDING 12/31/2024</v>
      </c>
      <c r="C715" s="304"/>
      <c r="D715" s="837"/>
      <c r="E715" s="783"/>
      <c r="F715" s="783"/>
      <c r="G715" s="783"/>
      <c r="H715" s="783"/>
      <c r="I715" s="783"/>
      <c r="J715" s="783"/>
      <c r="K715" s="783"/>
      <c r="L715" s="783"/>
      <c r="M715" s="64"/>
    </row>
    <row r="716" spans="2:14" ht="15.75" x14ac:dyDescent="0.25">
      <c r="B716" s="341" t="str">
        <f>$B$8</f>
        <v>SPONSOR:  MATTHEW A. TROXLE</v>
      </c>
      <c r="C716" s="752"/>
      <c r="D716" s="830"/>
      <c r="E716" s="64"/>
      <c r="F716" s="64"/>
      <c r="G716" s="64"/>
      <c r="H716" s="64"/>
      <c r="I716" s="64"/>
      <c r="J716" s="64"/>
      <c r="K716" s="64"/>
      <c r="L716" s="64"/>
      <c r="M716" s="64"/>
    </row>
    <row r="717" spans="2:14" ht="15.75" thickBot="1" x14ac:dyDescent="0.3">
      <c r="B717" s="345"/>
      <c r="C717" s="840"/>
      <c r="D717" s="841"/>
      <c r="E717" s="304"/>
      <c r="F717" s="304"/>
      <c r="G717" s="304"/>
      <c r="H717" s="304"/>
      <c r="I717" s="304"/>
      <c r="J717" s="304"/>
      <c r="K717" s="304"/>
      <c r="L717" s="304"/>
      <c r="M717" s="64"/>
    </row>
    <row r="718" spans="2:14" x14ac:dyDescent="0.2">
      <c r="B718" s="12"/>
      <c r="C718" s="13"/>
      <c r="D718" s="13"/>
      <c r="E718" s="13"/>
      <c r="F718" s="176" t="s">
        <v>6</v>
      </c>
      <c r="G718" s="12" t="s">
        <v>7</v>
      </c>
      <c r="H718" s="12" t="s">
        <v>8</v>
      </c>
      <c r="I718" s="178" t="s">
        <v>9</v>
      </c>
      <c r="J718" s="12" t="s">
        <v>10</v>
      </c>
      <c r="K718" s="16"/>
      <c r="L718" s="110" t="s">
        <v>907</v>
      </c>
      <c r="M718" s="64"/>
    </row>
    <row r="719" spans="2:14" ht="15" x14ac:dyDescent="0.25">
      <c r="B719" s="14" t="s">
        <v>2</v>
      </c>
      <c r="C719" s="14" t="s">
        <v>349</v>
      </c>
      <c r="D719" s="226" t="s">
        <v>587</v>
      </c>
      <c r="E719" s="14" t="s">
        <v>350</v>
      </c>
      <c r="F719" s="181"/>
      <c r="G719" s="14"/>
      <c r="H719" s="14"/>
      <c r="I719" s="14"/>
      <c r="J719" s="14"/>
      <c r="K719" s="16"/>
      <c r="L719" s="93" t="s">
        <v>908</v>
      </c>
      <c r="M719" s="64"/>
    </row>
    <row r="720" spans="2:14" x14ac:dyDescent="0.2">
      <c r="B720" s="14"/>
      <c r="C720" s="14"/>
      <c r="D720" s="14"/>
      <c r="E720" s="14"/>
      <c r="F720" s="181"/>
      <c r="G720" s="14"/>
      <c r="H720" s="14"/>
      <c r="I720" s="14"/>
      <c r="J720" s="14"/>
      <c r="K720" s="16"/>
      <c r="L720" s="93"/>
      <c r="M720" s="64"/>
    </row>
    <row r="721" spans="2:14" ht="15" thickBot="1" x14ac:dyDescent="0.25">
      <c r="B721" s="15"/>
      <c r="C721" s="15" t="s">
        <v>13</v>
      </c>
      <c r="D721" s="15" t="s">
        <v>14</v>
      </c>
      <c r="E721" s="15" t="s">
        <v>15</v>
      </c>
      <c r="F721" s="15" t="s">
        <v>16</v>
      </c>
      <c r="G721" s="15" t="s">
        <v>17</v>
      </c>
      <c r="H721" s="15" t="s">
        <v>18</v>
      </c>
      <c r="I721" s="15" t="s">
        <v>21</v>
      </c>
      <c r="J721" s="15" t="s">
        <v>22</v>
      </c>
      <c r="K721" s="16"/>
      <c r="L721" s="997" t="s">
        <v>397</v>
      </c>
      <c r="M721" s="64"/>
    </row>
    <row r="722" spans="2:14" x14ac:dyDescent="0.2">
      <c r="B722" s="45"/>
      <c r="C722" s="268"/>
      <c r="D722" s="268"/>
      <c r="E722" s="268"/>
      <c r="F722" s="268"/>
      <c r="G722" s="268"/>
      <c r="H722" s="268"/>
      <c r="I722" s="41"/>
      <c r="J722" s="41"/>
      <c r="K722" s="41"/>
      <c r="L722" s="41"/>
      <c r="M722" s="64"/>
    </row>
    <row r="723" spans="2:14" ht="15" x14ac:dyDescent="0.25">
      <c r="B723" s="16">
        <f>B710+1</f>
        <v>1</v>
      </c>
      <c r="C723" s="8"/>
      <c r="D723" s="301" t="s">
        <v>588</v>
      </c>
      <c r="E723" s="19" t="s">
        <v>143</v>
      </c>
      <c r="F723" s="8"/>
      <c r="G723" s="8"/>
      <c r="H723" s="8"/>
      <c r="I723" s="8"/>
      <c r="J723" s="8"/>
      <c r="K723" s="8"/>
      <c r="L723" s="8"/>
      <c r="M723" s="64"/>
    </row>
    <row r="724" spans="2:14" s="321" customFormat="1" x14ac:dyDescent="0.2">
      <c r="B724" s="16">
        <f t="shared" ref="B724:B754" si="108">B723+1</f>
        <v>2</v>
      </c>
      <c r="C724" s="1" t="s">
        <v>205</v>
      </c>
      <c r="D724" s="1" t="s">
        <v>206</v>
      </c>
      <c r="E724" s="16"/>
      <c r="F724" s="985">
        <f>'WP II-I-1.1'!F254</f>
        <v>0</v>
      </c>
      <c r="G724" s="986">
        <f>'WP II-I-1.1'!G254</f>
        <v>107858</v>
      </c>
      <c r="H724" s="986">
        <f>'WP II-I-1.1'!H254</f>
        <v>0</v>
      </c>
      <c r="I724" s="987">
        <f>'WP II-I-1.1'!I254</f>
        <v>1800</v>
      </c>
      <c r="J724" s="229">
        <f t="shared" ref="J724:J729" si="109">SUM(F724:I724)</f>
        <v>109658</v>
      </c>
      <c r="K724" s="229"/>
      <c r="L724" s="17">
        <f t="shared" si="105"/>
        <v>109658</v>
      </c>
      <c r="M724" s="45"/>
      <c r="N724" s="751">
        <f t="shared" ref="N724:N787" si="110">J724-L724-F724</f>
        <v>0</v>
      </c>
    </row>
    <row r="725" spans="2:14" s="321" customFormat="1" x14ac:dyDescent="0.2">
      <c r="B725" s="16">
        <f t="shared" si="108"/>
        <v>3</v>
      </c>
      <c r="C725" s="1" t="s">
        <v>207</v>
      </c>
      <c r="D725" s="1" t="s">
        <v>208</v>
      </c>
      <c r="E725" s="16"/>
      <c r="F725" s="980">
        <f>'WP II-I-1.1'!F255</f>
        <v>0</v>
      </c>
      <c r="G725" s="802">
        <f>'WP II-I-1.1'!G255</f>
        <v>0</v>
      </c>
      <c r="H725" s="802">
        <f>'WP II-I-1.1'!H255</f>
        <v>62522.26</v>
      </c>
      <c r="I725" s="981">
        <f>'WP II-I-1.1'!I255</f>
        <v>0</v>
      </c>
      <c r="J725" s="229">
        <f t="shared" si="109"/>
        <v>62522.26</v>
      </c>
      <c r="K725" s="229"/>
      <c r="L725" s="17">
        <f t="shared" si="105"/>
        <v>62522.26</v>
      </c>
      <c r="M725" s="45"/>
      <c r="N725" s="751">
        <f t="shared" si="110"/>
        <v>0</v>
      </c>
    </row>
    <row r="726" spans="2:14" s="321" customFormat="1" x14ac:dyDescent="0.2">
      <c r="B726" s="16">
        <f t="shared" si="108"/>
        <v>4</v>
      </c>
      <c r="C726" s="1" t="s">
        <v>209</v>
      </c>
      <c r="D726" s="1" t="s">
        <v>210</v>
      </c>
      <c r="E726" s="16"/>
      <c r="F726" s="980">
        <f>'WP II-I-1.1'!F256</f>
        <v>0</v>
      </c>
      <c r="G726" s="802">
        <f>'WP II-I-1.1'!G256</f>
        <v>0</v>
      </c>
      <c r="H726" s="802">
        <f>'WP II-I-1.1'!H256</f>
        <v>9746905.9800000004</v>
      </c>
      <c r="I726" s="981">
        <f>'WP II-I-1.1'!I256</f>
        <v>14184772.5</v>
      </c>
      <c r="J726" s="229">
        <f t="shared" si="109"/>
        <v>23931678.48</v>
      </c>
      <c r="K726" s="229"/>
      <c r="L726" s="17">
        <f t="shared" si="105"/>
        <v>23931678.48</v>
      </c>
      <c r="M726" s="45"/>
      <c r="N726" s="751">
        <f t="shared" si="110"/>
        <v>0</v>
      </c>
    </row>
    <row r="727" spans="2:14" s="321" customFormat="1" x14ac:dyDescent="0.2">
      <c r="B727" s="16">
        <f t="shared" si="108"/>
        <v>5</v>
      </c>
      <c r="C727" s="1" t="s">
        <v>211</v>
      </c>
      <c r="D727" s="1" t="s">
        <v>212</v>
      </c>
      <c r="E727" s="16"/>
      <c r="F727" s="980">
        <f>'WP II-I-1.1'!F257</f>
        <v>-153231.79</v>
      </c>
      <c r="G727" s="802">
        <f>'WP II-I-1.1'!G257</f>
        <v>0</v>
      </c>
      <c r="H727" s="802">
        <f>'WP II-I-1.1'!H257</f>
        <v>0</v>
      </c>
      <c r="I727" s="981">
        <f>'WP II-I-1.1'!I257</f>
        <v>2747328</v>
      </c>
      <c r="J727" s="229">
        <f t="shared" si="109"/>
        <v>2594096.21</v>
      </c>
      <c r="K727" s="229"/>
      <c r="L727" s="17">
        <f t="shared" si="105"/>
        <v>2747328</v>
      </c>
      <c r="M727" s="45"/>
      <c r="N727" s="751">
        <f t="shared" si="110"/>
        <v>0</v>
      </c>
    </row>
    <row r="728" spans="2:14" s="321" customFormat="1" ht="16.5" x14ac:dyDescent="0.35">
      <c r="B728" s="16">
        <f t="shared" si="108"/>
        <v>6</v>
      </c>
      <c r="C728" s="1" t="s">
        <v>213</v>
      </c>
      <c r="D728" s="29" t="s">
        <v>214</v>
      </c>
      <c r="E728" s="16"/>
      <c r="F728" s="982">
        <f>'WP II-I-1.1'!F258</f>
        <v>0</v>
      </c>
      <c r="G728" s="983">
        <f>'WP II-I-1.1'!G258</f>
        <v>0</v>
      </c>
      <c r="H728" s="983">
        <f>'WP II-I-1.1'!H258</f>
        <v>0</v>
      </c>
      <c r="I728" s="984">
        <f>'WP II-I-1.1'!I258</f>
        <v>0</v>
      </c>
      <c r="J728" s="238">
        <f t="shared" si="109"/>
        <v>0</v>
      </c>
      <c r="K728" s="238"/>
      <c r="L728" s="232">
        <f t="shared" si="105"/>
        <v>0</v>
      </c>
      <c r="M728" s="45"/>
      <c r="N728" s="751">
        <f t="shared" si="110"/>
        <v>0</v>
      </c>
    </row>
    <row r="729" spans="2:14" ht="15" x14ac:dyDescent="0.25">
      <c r="B729" s="16">
        <f t="shared" si="108"/>
        <v>7</v>
      </c>
      <c r="C729" s="8"/>
      <c r="D729" s="233" t="s">
        <v>589</v>
      </c>
      <c r="E729" s="19"/>
      <c r="F729" s="805">
        <f>SUM(F724:F728)</f>
        <v>-153231.79</v>
      </c>
      <c r="G729" s="805">
        <f>SUM(G724:G728)</f>
        <v>107858</v>
      </c>
      <c r="H729" s="805">
        <f>SUM(H724:H728)</f>
        <v>9809428.2400000002</v>
      </c>
      <c r="I729" s="805">
        <f>SUM(I724:I728)</f>
        <v>16933900.5</v>
      </c>
      <c r="J729" s="235">
        <f t="shared" si="109"/>
        <v>26697954.950000003</v>
      </c>
      <c r="K729" s="236"/>
      <c r="L729" s="21">
        <f t="shared" si="105"/>
        <v>26851186.740000002</v>
      </c>
      <c r="M729" s="64"/>
      <c r="N729" s="751">
        <f t="shared" si="110"/>
        <v>9.0221874415874481E-10</v>
      </c>
    </row>
    <row r="730" spans="2:14" x14ac:dyDescent="0.2">
      <c r="B730" s="16">
        <f t="shared" si="108"/>
        <v>8</v>
      </c>
      <c r="C730" s="1"/>
      <c r="D730" s="1"/>
      <c r="E730" s="16"/>
      <c r="F730" s="803"/>
      <c r="G730" s="803"/>
      <c r="H730" s="803"/>
      <c r="I730" s="803"/>
      <c r="J730" s="1"/>
      <c r="K730" s="1"/>
      <c r="L730" s="18">
        <f t="shared" si="105"/>
        <v>0</v>
      </c>
      <c r="M730" s="64"/>
      <c r="N730" s="751">
        <f t="shared" si="110"/>
        <v>0</v>
      </c>
    </row>
    <row r="731" spans="2:14" ht="15" x14ac:dyDescent="0.25">
      <c r="B731" s="16">
        <f t="shared" si="108"/>
        <v>9</v>
      </c>
      <c r="C731" s="8"/>
      <c r="D731" s="233" t="s">
        <v>598</v>
      </c>
      <c r="E731" s="19"/>
      <c r="F731" s="805">
        <f>SUM(F725:F726)</f>
        <v>0</v>
      </c>
      <c r="G731" s="805">
        <f>SUM(G725:G726)</f>
        <v>0</v>
      </c>
      <c r="H731" s="805">
        <f>SUM(H725:H726)</f>
        <v>9809428.2400000002</v>
      </c>
      <c r="I731" s="805">
        <f>SUM(I725:I726)</f>
        <v>14184772.5</v>
      </c>
      <c r="J731" s="235">
        <f>SUM(F731:I731)</f>
        <v>23994200.740000002</v>
      </c>
      <c r="K731" s="236"/>
      <c r="L731" s="21">
        <f t="shared" si="105"/>
        <v>23994200.740000002</v>
      </c>
      <c r="M731" s="64"/>
      <c r="N731" s="751">
        <f t="shared" si="110"/>
        <v>0</v>
      </c>
    </row>
    <row r="732" spans="2:14" x14ac:dyDescent="0.2">
      <c r="B732" s="16">
        <f t="shared" si="108"/>
        <v>10</v>
      </c>
      <c r="C732" s="1"/>
      <c r="D732" s="1"/>
      <c r="E732" s="16"/>
      <c r="F732" s="803"/>
      <c r="G732" s="803"/>
      <c r="H732" s="803"/>
      <c r="I732" s="803"/>
      <c r="J732" s="1"/>
      <c r="K732" s="1"/>
      <c r="L732" s="18">
        <f t="shared" si="105"/>
        <v>0</v>
      </c>
      <c r="M732" s="64"/>
      <c r="N732" s="751">
        <f t="shared" si="110"/>
        <v>0</v>
      </c>
    </row>
    <row r="733" spans="2:14" ht="15" x14ac:dyDescent="0.25">
      <c r="B733" s="16">
        <f t="shared" si="108"/>
        <v>11</v>
      </c>
      <c r="C733" s="8"/>
      <c r="D733" s="301" t="s">
        <v>599</v>
      </c>
      <c r="E733" s="19" t="s">
        <v>143</v>
      </c>
      <c r="F733" s="805"/>
      <c r="G733" s="805"/>
      <c r="H733" s="805"/>
      <c r="I733" s="805"/>
      <c r="J733" s="8"/>
      <c r="K733" s="8"/>
      <c r="L733" s="21">
        <f t="shared" si="105"/>
        <v>0</v>
      </c>
      <c r="M733" s="64"/>
      <c r="N733" s="751">
        <f t="shared" si="110"/>
        <v>0</v>
      </c>
    </row>
    <row r="734" spans="2:14" s="321" customFormat="1" x14ac:dyDescent="0.2">
      <c r="B734" s="16">
        <f t="shared" si="108"/>
        <v>12</v>
      </c>
      <c r="C734" s="1" t="s">
        <v>216</v>
      </c>
      <c r="D734" s="1" t="s">
        <v>217</v>
      </c>
      <c r="E734" s="16"/>
      <c r="F734" s="985">
        <f>'WP II-I-1.1'!F260</f>
        <v>0</v>
      </c>
      <c r="G734" s="986">
        <f>'WP II-I-1.1'!G260</f>
        <v>0</v>
      </c>
      <c r="H734" s="986">
        <f>'WP II-I-1.1'!H260</f>
        <v>0</v>
      </c>
      <c r="I734" s="987">
        <f>'WP II-I-1.1'!I260</f>
        <v>0</v>
      </c>
      <c r="J734" s="229">
        <f t="shared" ref="J734:J739" si="111">SUM(F734:I734)</f>
        <v>0</v>
      </c>
      <c r="K734" s="229"/>
      <c r="L734" s="17">
        <f t="shared" si="105"/>
        <v>0</v>
      </c>
      <c r="M734" s="45"/>
      <c r="N734" s="751">
        <f t="shared" si="110"/>
        <v>0</v>
      </c>
    </row>
    <row r="735" spans="2:14" s="321" customFormat="1" x14ac:dyDescent="0.2">
      <c r="B735" s="16">
        <f t="shared" si="108"/>
        <v>13</v>
      </c>
      <c r="C735" s="1" t="s">
        <v>218</v>
      </c>
      <c r="D735" s="1" t="s">
        <v>206</v>
      </c>
      <c r="E735" s="16"/>
      <c r="F735" s="980">
        <f>'WP II-I-1.1'!F261</f>
        <v>0</v>
      </c>
      <c r="G735" s="802">
        <f>'WP II-I-1.1'!G261</f>
        <v>0</v>
      </c>
      <c r="H735" s="802">
        <f>'WP II-I-1.1'!H261</f>
        <v>0</v>
      </c>
      <c r="I735" s="981">
        <f>'WP II-I-1.1'!I261</f>
        <v>0</v>
      </c>
      <c r="J735" s="229">
        <f t="shared" si="111"/>
        <v>0</v>
      </c>
      <c r="K735" s="229"/>
      <c r="L735" s="17">
        <f t="shared" si="105"/>
        <v>0</v>
      </c>
      <c r="M735" s="45"/>
      <c r="N735" s="751">
        <f t="shared" si="110"/>
        <v>0</v>
      </c>
    </row>
    <row r="736" spans="2:14" s="321" customFormat="1" ht="15" x14ac:dyDescent="0.25">
      <c r="B736" s="16">
        <f t="shared" si="108"/>
        <v>14</v>
      </c>
      <c r="C736" s="1" t="s">
        <v>219</v>
      </c>
      <c r="D736" s="1" t="s">
        <v>220</v>
      </c>
      <c r="E736" s="768"/>
      <c r="F736" s="980">
        <f>'WP II-I-1.1'!F262</f>
        <v>0</v>
      </c>
      <c r="G736" s="802">
        <f>'WP II-I-1.1'!G262</f>
        <v>230789.12</v>
      </c>
      <c r="H736" s="802">
        <f>'WP II-I-1.1'!H262</f>
        <v>0</v>
      </c>
      <c r="I736" s="981">
        <f>'WP II-I-1.1'!I262</f>
        <v>162992.94</v>
      </c>
      <c r="J736" s="229">
        <f t="shared" si="111"/>
        <v>393782.06</v>
      </c>
      <c r="K736" s="229"/>
      <c r="L736" s="17">
        <f t="shared" si="105"/>
        <v>393782.06</v>
      </c>
      <c r="M736" s="45"/>
      <c r="N736" s="751">
        <f t="shared" si="110"/>
        <v>0</v>
      </c>
    </row>
    <row r="737" spans="2:14" s="321" customFormat="1" x14ac:dyDescent="0.2">
      <c r="B737" s="16">
        <f t="shared" si="108"/>
        <v>15</v>
      </c>
      <c r="C737" s="1" t="s">
        <v>221</v>
      </c>
      <c r="D737" s="1" t="s">
        <v>222</v>
      </c>
      <c r="E737" s="16"/>
      <c r="F737" s="980">
        <f>'WP II-I-1.1'!F263</f>
        <v>0</v>
      </c>
      <c r="G737" s="802">
        <f>'WP II-I-1.1'!G263</f>
        <v>0</v>
      </c>
      <c r="H737" s="802">
        <f>'WP II-I-1.1'!H263</f>
        <v>0</v>
      </c>
      <c r="I737" s="981">
        <f>'WP II-I-1.1'!I263</f>
        <v>0</v>
      </c>
      <c r="J737" s="229">
        <f t="shared" si="111"/>
        <v>0</v>
      </c>
      <c r="K737" s="229"/>
      <c r="L737" s="17">
        <f t="shared" ref="L737:L787" si="112">SUM(G737:I737)</f>
        <v>0</v>
      </c>
      <c r="M737" s="45"/>
      <c r="N737" s="751">
        <f t="shared" si="110"/>
        <v>0</v>
      </c>
    </row>
    <row r="738" spans="2:14" s="321" customFormat="1" ht="16.5" x14ac:dyDescent="0.35">
      <c r="B738" s="16">
        <f t="shared" si="108"/>
        <v>16</v>
      </c>
      <c r="C738" s="1" t="s">
        <v>223</v>
      </c>
      <c r="D738" s="1" t="s">
        <v>224</v>
      </c>
      <c r="E738" s="16"/>
      <c r="F738" s="982">
        <f>'WP II-I-1.1'!F264</f>
        <v>0</v>
      </c>
      <c r="G738" s="983">
        <f>'WP II-I-1.1'!G264</f>
        <v>1143</v>
      </c>
      <c r="H738" s="983">
        <f>'WP II-I-1.1'!H264</f>
        <v>268</v>
      </c>
      <c r="I738" s="984">
        <f>'WP II-I-1.1'!I264</f>
        <v>232.86</v>
      </c>
      <c r="J738" s="238">
        <f t="shared" si="111"/>
        <v>1643.8600000000001</v>
      </c>
      <c r="K738" s="238"/>
      <c r="L738" s="232">
        <f t="shared" si="112"/>
        <v>1643.8600000000001</v>
      </c>
      <c r="M738" s="45"/>
      <c r="N738" s="751">
        <f t="shared" si="110"/>
        <v>0</v>
      </c>
    </row>
    <row r="739" spans="2:14" ht="15" x14ac:dyDescent="0.25">
      <c r="B739" s="16">
        <f t="shared" si="108"/>
        <v>17</v>
      </c>
      <c r="C739" s="8"/>
      <c r="D739" s="233" t="s">
        <v>600</v>
      </c>
      <c r="E739" s="19"/>
      <c r="F739" s="21">
        <f>SUM(F734:F738)</f>
        <v>0</v>
      </c>
      <c r="G739" s="21">
        <f>SUM(G734:G738)</f>
        <v>231932.12</v>
      </c>
      <c r="H739" s="21">
        <f>SUM(H734:H738)</f>
        <v>268</v>
      </c>
      <c r="I739" s="21">
        <f>SUM(I734:I738)</f>
        <v>163225.79999999999</v>
      </c>
      <c r="J739" s="235">
        <f t="shared" si="111"/>
        <v>395425.92</v>
      </c>
      <c r="K739" s="236"/>
      <c r="L739" s="21">
        <f t="shared" si="112"/>
        <v>395425.92</v>
      </c>
      <c r="M739" s="64"/>
      <c r="N739" s="751">
        <f t="shared" si="110"/>
        <v>0</v>
      </c>
    </row>
    <row r="740" spans="2:14" ht="15" x14ac:dyDescent="0.25">
      <c r="B740" s="16">
        <f t="shared" si="108"/>
        <v>18</v>
      </c>
      <c r="C740" s="8"/>
      <c r="D740" s="233"/>
      <c r="E740" s="19"/>
      <c r="F740" s="21"/>
      <c r="G740" s="21"/>
      <c r="H740" s="21"/>
      <c r="I740" s="21"/>
      <c r="J740" s="235"/>
      <c r="K740" s="236"/>
      <c r="L740" s="21">
        <f t="shared" si="112"/>
        <v>0</v>
      </c>
      <c r="M740" s="64"/>
      <c r="N740" s="751">
        <f t="shared" si="110"/>
        <v>0</v>
      </c>
    </row>
    <row r="741" spans="2:14" ht="15" x14ac:dyDescent="0.25">
      <c r="B741" s="16">
        <f t="shared" si="108"/>
        <v>19</v>
      </c>
      <c r="C741" s="8"/>
      <c r="D741" s="233" t="s">
        <v>601</v>
      </c>
      <c r="E741" s="19"/>
      <c r="F741" s="21">
        <f>F734+F736+F737</f>
        <v>0</v>
      </c>
      <c r="G741" s="21">
        <f>G734+G736+G737</f>
        <v>230789.12</v>
      </c>
      <c r="H741" s="21">
        <f>H734+H736+H737</f>
        <v>0</v>
      </c>
      <c r="I741" s="21">
        <f>I734+I736+I737</f>
        <v>162992.94</v>
      </c>
      <c r="J741" s="235">
        <f>SUM(F741:I741)</f>
        <v>393782.06</v>
      </c>
      <c r="K741" s="236"/>
      <c r="L741" s="21">
        <f t="shared" si="112"/>
        <v>393782.06</v>
      </c>
      <c r="M741" s="64"/>
      <c r="N741" s="751">
        <f t="shared" si="110"/>
        <v>0</v>
      </c>
    </row>
    <row r="742" spans="2:14" x14ac:dyDescent="0.2">
      <c r="B742" s="16">
        <f t="shared" si="108"/>
        <v>20</v>
      </c>
      <c r="C742" s="1"/>
      <c r="D742" s="1"/>
      <c r="E742" s="16"/>
      <c r="F742" s="18"/>
      <c r="G742" s="18"/>
      <c r="H742" s="18"/>
      <c r="I742" s="18"/>
      <c r="J742" s="1"/>
      <c r="K742" s="1"/>
      <c r="L742" s="18">
        <f t="shared" si="112"/>
        <v>0</v>
      </c>
      <c r="M742" s="64"/>
      <c r="N742" s="751">
        <f t="shared" si="110"/>
        <v>0</v>
      </c>
    </row>
    <row r="743" spans="2:14" ht="15" x14ac:dyDescent="0.25">
      <c r="B743" s="16">
        <f t="shared" si="108"/>
        <v>21</v>
      </c>
      <c r="C743" s="8"/>
      <c r="D743" s="303" t="s">
        <v>225</v>
      </c>
      <c r="E743" s="19" t="s">
        <v>143</v>
      </c>
      <c r="F743" s="21"/>
      <c r="G743" s="21"/>
      <c r="H743" s="21"/>
      <c r="I743" s="21"/>
      <c r="J743" s="8"/>
      <c r="K743" s="8"/>
      <c r="L743" s="21">
        <f t="shared" si="112"/>
        <v>0</v>
      </c>
      <c r="M743" s="64"/>
      <c r="N743" s="751">
        <f t="shared" si="110"/>
        <v>0</v>
      </c>
    </row>
    <row r="744" spans="2:14" s="321" customFormat="1" x14ac:dyDescent="0.2">
      <c r="B744" s="16">
        <f t="shared" si="108"/>
        <v>22</v>
      </c>
      <c r="C744" s="1" t="s">
        <v>226</v>
      </c>
      <c r="D744" s="49" t="s">
        <v>206</v>
      </c>
      <c r="E744" s="16"/>
      <c r="F744" s="985">
        <f>'WP II-I-1.1'!F266</f>
        <v>0</v>
      </c>
      <c r="G744" s="986">
        <f>'WP II-I-1.1'!G266</f>
        <v>0</v>
      </c>
      <c r="H744" s="986">
        <f>'WP II-I-1.1'!H266</f>
        <v>0</v>
      </c>
      <c r="I744" s="987">
        <f>'WP II-I-1.1'!I266</f>
        <v>0</v>
      </c>
      <c r="J744" s="229">
        <f t="shared" ref="J744:J749" si="113">SUM(F744:I744)</f>
        <v>0</v>
      </c>
      <c r="K744" s="229"/>
      <c r="L744" s="17">
        <f t="shared" si="112"/>
        <v>0</v>
      </c>
      <c r="M744" s="45"/>
      <c r="N744" s="751">
        <f t="shared" si="110"/>
        <v>0</v>
      </c>
    </row>
    <row r="745" spans="2:14" s="321" customFormat="1" x14ac:dyDescent="0.2">
      <c r="B745" s="16">
        <f t="shared" si="108"/>
        <v>23</v>
      </c>
      <c r="C745" s="1" t="s">
        <v>227</v>
      </c>
      <c r="D745" s="49" t="s">
        <v>228</v>
      </c>
      <c r="E745" s="16"/>
      <c r="F745" s="980">
        <f>'WP II-I-1.1'!F267</f>
        <v>0</v>
      </c>
      <c r="G745" s="802">
        <f>'WP II-I-1.1'!G267</f>
        <v>0</v>
      </c>
      <c r="H745" s="802">
        <f>'WP II-I-1.1'!H267</f>
        <v>0</v>
      </c>
      <c r="I745" s="981">
        <f>'WP II-I-1.1'!I267</f>
        <v>0</v>
      </c>
      <c r="J745" s="229">
        <f t="shared" si="113"/>
        <v>0</v>
      </c>
      <c r="K745" s="229"/>
      <c r="L745" s="17">
        <f t="shared" si="112"/>
        <v>0</v>
      </c>
      <c r="M745" s="45"/>
      <c r="N745" s="751">
        <f t="shared" si="110"/>
        <v>0</v>
      </c>
    </row>
    <row r="746" spans="2:14" s="321" customFormat="1" x14ac:dyDescent="0.2">
      <c r="B746" s="16">
        <f t="shared" si="108"/>
        <v>24</v>
      </c>
      <c r="C746" s="1" t="s">
        <v>229</v>
      </c>
      <c r="D746" s="49" t="s">
        <v>230</v>
      </c>
      <c r="E746" s="16"/>
      <c r="F746" s="980">
        <f>'WP II-I-1.1'!F268</f>
        <v>0</v>
      </c>
      <c r="G746" s="802">
        <f>'WP II-I-1.1'!G268</f>
        <v>0</v>
      </c>
      <c r="H746" s="802">
        <f>'WP II-I-1.1'!H268</f>
        <v>0</v>
      </c>
      <c r="I746" s="981">
        <f>'WP II-I-1.1'!I268</f>
        <v>0</v>
      </c>
      <c r="J746" s="229">
        <f t="shared" si="113"/>
        <v>0</v>
      </c>
      <c r="K746" s="229"/>
      <c r="L746" s="17">
        <f t="shared" si="112"/>
        <v>0</v>
      </c>
      <c r="M746" s="45"/>
      <c r="N746" s="751">
        <f t="shared" si="110"/>
        <v>0</v>
      </c>
    </row>
    <row r="747" spans="2:14" s="321" customFormat="1" x14ac:dyDescent="0.2">
      <c r="B747" s="16">
        <f t="shared" si="108"/>
        <v>25</v>
      </c>
      <c r="C747" s="1" t="s">
        <v>231</v>
      </c>
      <c r="D747" s="49" t="s">
        <v>232</v>
      </c>
      <c r="E747" s="16"/>
      <c r="F747" s="980">
        <f>'WP II-I-1.1'!F269</f>
        <v>0</v>
      </c>
      <c r="G747" s="802">
        <f>'WP II-I-1.1'!G269</f>
        <v>0</v>
      </c>
      <c r="H747" s="802">
        <f>'WP II-I-1.1'!H269</f>
        <v>0</v>
      </c>
      <c r="I747" s="981">
        <f>'WP II-I-1.1'!I269</f>
        <v>0</v>
      </c>
      <c r="J747" s="229">
        <f t="shared" si="113"/>
        <v>0</v>
      </c>
      <c r="K747" s="229"/>
      <c r="L747" s="17">
        <f t="shared" si="112"/>
        <v>0</v>
      </c>
      <c r="M747" s="45"/>
      <c r="N747" s="751">
        <f t="shared" si="110"/>
        <v>0</v>
      </c>
    </row>
    <row r="748" spans="2:14" s="321" customFormat="1" ht="16.5" x14ac:dyDescent="0.35">
      <c r="B748" s="16">
        <f t="shared" si="108"/>
        <v>26</v>
      </c>
      <c r="C748" s="1" t="s">
        <v>233</v>
      </c>
      <c r="D748" s="49" t="s">
        <v>234</v>
      </c>
      <c r="E748" s="16"/>
      <c r="F748" s="982">
        <f>'WP II-I-1.1'!F270</f>
        <v>0</v>
      </c>
      <c r="G748" s="983">
        <f>'WP II-I-1.1'!G270</f>
        <v>0</v>
      </c>
      <c r="H748" s="983">
        <f>'WP II-I-1.1'!H270</f>
        <v>0</v>
      </c>
      <c r="I748" s="984">
        <f>'WP II-I-1.1'!I270</f>
        <v>0</v>
      </c>
      <c r="J748" s="238">
        <f t="shared" si="113"/>
        <v>0</v>
      </c>
      <c r="K748" s="238"/>
      <c r="L748" s="232">
        <f t="shared" si="112"/>
        <v>0</v>
      </c>
      <c r="M748" s="45"/>
      <c r="N748" s="751">
        <f t="shared" si="110"/>
        <v>0</v>
      </c>
    </row>
    <row r="749" spans="2:14" ht="15" x14ac:dyDescent="0.25">
      <c r="B749" s="16">
        <f t="shared" si="108"/>
        <v>27</v>
      </c>
      <c r="C749" s="8"/>
      <c r="D749" s="233" t="s">
        <v>602</v>
      </c>
      <c r="E749" s="19"/>
      <c r="F749" s="805">
        <f>SUM(F744:F748)</f>
        <v>0</v>
      </c>
      <c r="G749" s="805">
        <f>SUM(G744:G748)</f>
        <v>0</v>
      </c>
      <c r="H749" s="805">
        <f>SUM(H744:H748)</f>
        <v>0</v>
      </c>
      <c r="I749" s="805">
        <f>SUM(I744:I748)</f>
        <v>0</v>
      </c>
      <c r="J749" s="235">
        <f t="shared" si="113"/>
        <v>0</v>
      </c>
      <c r="K749" s="236"/>
      <c r="L749" s="21">
        <f t="shared" si="112"/>
        <v>0</v>
      </c>
      <c r="M749" s="64"/>
      <c r="N749" s="751">
        <f t="shared" si="110"/>
        <v>0</v>
      </c>
    </row>
    <row r="750" spans="2:14" ht="15" x14ac:dyDescent="0.25">
      <c r="B750" s="16">
        <f t="shared" si="108"/>
        <v>28</v>
      </c>
      <c r="C750" s="8"/>
      <c r="D750" s="304"/>
      <c r="E750" s="19"/>
      <c r="F750" s="805"/>
      <c r="G750" s="805"/>
      <c r="H750" s="805"/>
      <c r="I750" s="8"/>
      <c r="J750" s="8"/>
      <c r="K750" s="8"/>
      <c r="L750" s="8"/>
      <c r="M750" s="64"/>
      <c r="N750" s="751">
        <f t="shared" si="110"/>
        <v>0</v>
      </c>
    </row>
    <row r="751" spans="2:14" ht="15" x14ac:dyDescent="0.25">
      <c r="B751" s="16">
        <f t="shared" si="108"/>
        <v>29</v>
      </c>
      <c r="C751" s="8"/>
      <c r="D751" s="233" t="s">
        <v>603</v>
      </c>
      <c r="E751" s="19"/>
      <c r="F751" s="805">
        <f>SUM(F745:F748)</f>
        <v>0</v>
      </c>
      <c r="G751" s="805">
        <f>SUM(G745:G748)</f>
        <v>0</v>
      </c>
      <c r="H751" s="805">
        <f>SUM(H745:H748)</f>
        <v>0</v>
      </c>
      <c r="I751" s="805">
        <f>SUM(I745:I748)</f>
        <v>0</v>
      </c>
      <c r="J751" s="235">
        <f>SUM(F751:I751)</f>
        <v>0</v>
      </c>
      <c r="K751" s="236"/>
      <c r="L751" s="21">
        <f t="shared" si="112"/>
        <v>0</v>
      </c>
      <c r="M751" s="64"/>
      <c r="N751" s="751">
        <f t="shared" si="110"/>
        <v>0</v>
      </c>
    </row>
    <row r="752" spans="2:14" ht="15.75" thickBot="1" x14ac:dyDescent="0.3">
      <c r="B752" s="16">
        <f t="shared" si="108"/>
        <v>30</v>
      </c>
      <c r="C752" s="8"/>
      <c r="D752" s="304"/>
      <c r="E752" s="19"/>
      <c r="F752" s="805"/>
      <c r="G752" s="805"/>
      <c r="H752" s="805"/>
      <c r="I752" s="8"/>
      <c r="J752" s="8"/>
      <c r="K752" s="8"/>
      <c r="L752" s="8"/>
      <c r="M752" s="64"/>
      <c r="N752" s="751">
        <f t="shared" si="110"/>
        <v>0</v>
      </c>
    </row>
    <row r="753" spans="2:14" ht="15" x14ac:dyDescent="0.25">
      <c r="B753" s="16">
        <f t="shared" si="108"/>
        <v>31</v>
      </c>
      <c r="C753" s="255" t="s">
        <v>604</v>
      </c>
      <c r="D753" s="240"/>
      <c r="E753" s="241" t="s">
        <v>143</v>
      </c>
      <c r="F753" s="817">
        <f>+F749+F739+F729+F709+F661</f>
        <v>140885696.44999999</v>
      </c>
      <c r="G753" s="817">
        <f>+G749+G739+G729+G709+G661</f>
        <v>2466185727.1599998</v>
      </c>
      <c r="H753" s="817">
        <f>+H749+H739+H729+H709+H661</f>
        <v>71361589.280000001</v>
      </c>
      <c r="I753" s="817">
        <f>+I749+I739+I729+I709+I661</f>
        <v>17286807.330000002</v>
      </c>
      <c r="J753" s="243">
        <f>SUM(F753:I753)</f>
        <v>2695719820.2199998</v>
      </c>
      <c r="K753" s="191"/>
      <c r="L753" s="244">
        <f t="shared" si="112"/>
        <v>2554834123.77</v>
      </c>
      <c r="M753" s="64"/>
      <c r="N753" s="751">
        <f t="shared" si="110"/>
        <v>0</v>
      </c>
    </row>
    <row r="754" spans="2:14" ht="15.75" thickBot="1" x14ac:dyDescent="0.3">
      <c r="B754" s="16">
        <f t="shared" si="108"/>
        <v>32</v>
      </c>
      <c r="C754" s="262" t="s">
        <v>605</v>
      </c>
      <c r="D754" s="246"/>
      <c r="E754" s="247" t="s">
        <v>143</v>
      </c>
      <c r="F754" s="248">
        <f>F753-F645</f>
        <v>140885696.44999999</v>
      </c>
      <c r="G754" s="248">
        <f>G753-G645</f>
        <v>365344254.49999976</v>
      </c>
      <c r="H754" s="248">
        <f>H753-H645</f>
        <v>71361589.280000001</v>
      </c>
      <c r="I754" s="248">
        <f>I753-I645</f>
        <v>17286807.330000002</v>
      </c>
      <c r="J754" s="249">
        <f>SUM(F754:I754)</f>
        <v>594878347.55999982</v>
      </c>
      <c r="K754" s="191"/>
      <c r="L754" s="250">
        <f t="shared" si="112"/>
        <v>453992651.10999972</v>
      </c>
      <c r="M754" s="64"/>
      <c r="N754" s="751">
        <f t="shared" si="110"/>
        <v>0</v>
      </c>
    </row>
    <row r="755" spans="2:14" ht="15" x14ac:dyDescent="0.25">
      <c r="B755" s="783"/>
      <c r="C755" s="783"/>
      <c r="D755" s="783"/>
      <c r="E755" s="783"/>
      <c r="F755" s="783"/>
      <c r="G755" s="783"/>
      <c r="H755" s="783"/>
      <c r="I755" s="783"/>
      <c r="J755" s="783"/>
      <c r="K755" s="783"/>
      <c r="L755" s="783"/>
      <c r="M755" s="105" t="str">
        <f>$M$2</f>
        <v xml:space="preserve"> </v>
      </c>
      <c r="N755" s="751">
        <f t="shared" si="110"/>
        <v>0</v>
      </c>
    </row>
    <row r="756" spans="2:14" ht="15.75" thickBot="1" x14ac:dyDescent="0.3">
      <c r="B756" s="783"/>
      <c r="C756" s="783"/>
      <c r="D756" s="783"/>
      <c r="E756" s="783"/>
      <c r="F756" s="783"/>
      <c r="G756" s="783"/>
      <c r="H756" s="783"/>
      <c r="I756" s="783"/>
      <c r="J756" s="783"/>
      <c r="K756" s="783"/>
      <c r="L756" s="783"/>
      <c r="M756" s="64"/>
      <c r="N756" s="751">
        <f t="shared" si="110"/>
        <v>0</v>
      </c>
    </row>
    <row r="757" spans="2:14" ht="15" x14ac:dyDescent="0.25">
      <c r="B757" s="829" t="str">
        <f>$B$4</f>
        <v>2025 RATE CASE</v>
      </c>
      <c r="C757" s="835"/>
      <c r="D757" s="836"/>
      <c r="E757" s="783"/>
      <c r="F757" s="783"/>
      <c r="G757" s="783"/>
      <c r="H757" s="783"/>
      <c r="I757" s="783"/>
      <c r="J757" s="783"/>
      <c r="K757" s="783"/>
      <c r="L757" s="783"/>
      <c r="N757" s="751">
        <f t="shared" si="110"/>
        <v>0</v>
      </c>
    </row>
    <row r="758" spans="2:14" ht="15" x14ac:dyDescent="0.25">
      <c r="B758" s="826" t="str">
        <f>$B$5</f>
        <v>ONCOR ELECTRIC DELIVERY COMPANY LLC</v>
      </c>
      <c r="C758" s="304"/>
      <c r="D758" s="837"/>
      <c r="E758" s="783"/>
      <c r="F758" s="783"/>
      <c r="G758" s="783"/>
      <c r="H758" s="783"/>
      <c r="I758" s="783"/>
      <c r="J758" s="783"/>
      <c r="K758" s="783"/>
      <c r="L758" s="783"/>
      <c r="M758" s="64"/>
      <c r="N758" s="751">
        <f t="shared" si="110"/>
        <v>0</v>
      </c>
    </row>
    <row r="759" spans="2:14" ht="15" x14ac:dyDescent="0.25">
      <c r="B759" s="341" t="str">
        <f>$B$6</f>
        <v>CONSOLIDATED FUNCTIONALIZED COST OF SERVICE</v>
      </c>
      <c r="C759" s="304"/>
      <c r="D759" s="837"/>
      <c r="E759" s="783"/>
      <c r="F759" s="783"/>
      <c r="G759" s="783"/>
      <c r="H759" s="783"/>
      <c r="I759" s="783"/>
      <c r="J759" s="783"/>
      <c r="K759" s="783"/>
      <c r="L759" s="783"/>
      <c r="M759" s="64"/>
      <c r="N759" s="751">
        <f t="shared" si="110"/>
        <v>0</v>
      </c>
    </row>
    <row r="760" spans="2:14" ht="15" x14ac:dyDescent="0.25">
      <c r="B760" s="341" t="str">
        <f>$B$7</f>
        <v>TEST YEAR ENDING 12/31/2024</v>
      </c>
      <c r="C760" s="304"/>
      <c r="D760" s="837"/>
      <c r="E760" s="304"/>
      <c r="F760" s="304"/>
      <c r="G760" s="304"/>
      <c r="H760" s="304"/>
      <c r="I760" s="304"/>
      <c r="J760" s="304"/>
      <c r="K760" s="304"/>
      <c r="L760" s="304"/>
      <c r="M760" s="64"/>
      <c r="N760" s="751">
        <f t="shared" si="110"/>
        <v>0</v>
      </c>
    </row>
    <row r="761" spans="2:14" ht="15" x14ac:dyDescent="0.25">
      <c r="B761" s="341" t="str">
        <f>$B$8</f>
        <v>SPONSOR:  MATTHEW A. TROXLE</v>
      </c>
      <c r="C761" s="304"/>
      <c r="D761" s="837"/>
      <c r="E761" s="304"/>
      <c r="F761" s="304"/>
      <c r="G761" s="304"/>
      <c r="H761" s="304"/>
      <c r="I761" s="304"/>
      <c r="J761" s="304"/>
      <c r="K761" s="304"/>
      <c r="L761" s="304"/>
      <c r="M761" s="64"/>
      <c r="N761" s="751">
        <f t="shared" si="110"/>
        <v>0</v>
      </c>
    </row>
    <row r="762" spans="2:14" ht="15.75" thickBot="1" x14ac:dyDescent="0.3">
      <c r="B762" s="345"/>
      <c r="C762" s="840"/>
      <c r="D762" s="841"/>
      <c r="E762" s="304"/>
      <c r="F762" s="304"/>
      <c r="G762" s="304"/>
      <c r="H762" s="304"/>
      <c r="I762" s="304"/>
      <c r="J762" s="304"/>
      <c r="K762" s="304"/>
      <c r="L762" s="304"/>
      <c r="M762" s="64"/>
      <c r="N762" s="751">
        <f t="shared" si="110"/>
        <v>0</v>
      </c>
    </row>
    <row r="763" spans="2:14" x14ac:dyDescent="0.2">
      <c r="B763" s="12"/>
      <c r="C763" s="13"/>
      <c r="D763" s="177"/>
      <c r="E763" s="177"/>
      <c r="F763" s="988" t="s">
        <v>6</v>
      </c>
      <c r="G763" s="655" t="s">
        <v>7</v>
      </c>
      <c r="H763" s="655" t="s">
        <v>8</v>
      </c>
      <c r="I763" s="855" t="s">
        <v>9</v>
      </c>
      <c r="J763" s="12" t="s">
        <v>10</v>
      </c>
      <c r="K763" s="16"/>
      <c r="L763" s="110" t="s">
        <v>907</v>
      </c>
      <c r="M763" s="64"/>
      <c r="N763" s="751"/>
    </row>
    <row r="764" spans="2:14" ht="15" x14ac:dyDescent="0.25">
      <c r="B764" s="14" t="s">
        <v>2</v>
      </c>
      <c r="C764" s="14" t="s">
        <v>349</v>
      </c>
      <c r="D764" s="180" t="s">
        <v>1109</v>
      </c>
      <c r="E764" s="181" t="s">
        <v>350</v>
      </c>
      <c r="F764" s="661"/>
      <c r="G764" s="660"/>
      <c r="H764" s="660"/>
      <c r="I764" s="660"/>
      <c r="J764" s="14"/>
      <c r="K764" s="16"/>
      <c r="L764" s="93" t="s">
        <v>908</v>
      </c>
      <c r="M764" s="64"/>
      <c r="N764" s="751"/>
    </row>
    <row r="765" spans="2:14" x14ac:dyDescent="0.2">
      <c r="B765" s="14"/>
      <c r="C765" s="14"/>
      <c r="D765" s="181"/>
      <c r="E765" s="181"/>
      <c r="F765" s="661"/>
      <c r="G765" s="660"/>
      <c r="H765" s="660"/>
      <c r="I765" s="660"/>
      <c r="J765" s="14"/>
      <c r="K765" s="16"/>
      <c r="L765" s="93"/>
      <c r="M765" s="64"/>
      <c r="N765" s="751"/>
    </row>
    <row r="766" spans="2:14" ht="15" thickBot="1" x14ac:dyDescent="0.25">
      <c r="B766" s="15"/>
      <c r="C766" s="15" t="s">
        <v>13</v>
      </c>
      <c r="D766" s="184" t="s">
        <v>14</v>
      </c>
      <c r="E766" s="184" t="s">
        <v>15</v>
      </c>
      <c r="F766" s="664" t="s">
        <v>16</v>
      </c>
      <c r="G766" s="664" t="s">
        <v>17</v>
      </c>
      <c r="H766" s="664" t="s">
        <v>18</v>
      </c>
      <c r="I766" s="664" t="s">
        <v>21</v>
      </c>
      <c r="J766" s="15" t="s">
        <v>22</v>
      </c>
      <c r="K766" s="16"/>
      <c r="L766" s="997" t="s">
        <v>397</v>
      </c>
      <c r="M766" s="64"/>
      <c r="N766" s="751"/>
    </row>
    <row r="767" spans="2:14" x14ac:dyDescent="0.2">
      <c r="B767" s="64"/>
      <c r="C767" s="41"/>
      <c r="D767" s="41"/>
      <c r="E767" s="268"/>
      <c r="F767" s="666"/>
      <c r="G767" s="666"/>
      <c r="H767" s="666"/>
      <c r="I767" s="611"/>
      <c r="J767" s="41"/>
      <c r="K767" s="41"/>
      <c r="L767" s="41"/>
      <c r="M767" s="64"/>
      <c r="N767" s="751"/>
    </row>
    <row r="768" spans="2:14" ht="15" x14ac:dyDescent="0.25">
      <c r="B768" s="16">
        <f t="shared" ref="B768:B787" si="114">B767+1</f>
        <v>1</v>
      </c>
      <c r="C768" s="8" t="s">
        <v>1109</v>
      </c>
      <c r="D768" s="8"/>
      <c r="E768" s="19" t="s">
        <v>236</v>
      </c>
      <c r="F768" s="8"/>
      <c r="G768" s="8"/>
      <c r="H768" s="8"/>
      <c r="I768" s="8"/>
      <c r="J768" s="8"/>
      <c r="K768" s="8"/>
      <c r="L768" s="8"/>
      <c r="M768" s="64"/>
      <c r="N768" s="751"/>
    </row>
    <row r="769" spans="2:14" s="321" customFormat="1" x14ac:dyDescent="0.2">
      <c r="B769" s="16">
        <f t="shared" si="114"/>
        <v>2</v>
      </c>
      <c r="C769" s="1" t="s">
        <v>237</v>
      </c>
      <c r="D769" s="1" t="s">
        <v>238</v>
      </c>
      <c r="E769" s="16"/>
      <c r="F769" s="985">
        <f>'WP II-I-1.1'!F272</f>
        <v>28160828.239999998</v>
      </c>
      <c r="G769" s="986">
        <f>'WP II-I-1.1'!G272</f>
        <v>67366206.069999993</v>
      </c>
      <c r="H769" s="986">
        <f>'WP II-I-1.1'!H272</f>
        <v>18757103.199999999</v>
      </c>
      <c r="I769" s="987">
        <f>'WP II-I-1.1'!I272</f>
        <v>20906425.129999999</v>
      </c>
      <c r="J769" s="229">
        <f t="shared" ref="J769:J781" si="115">SUM(F769:I769)</f>
        <v>135190562.63999999</v>
      </c>
      <c r="K769" s="229"/>
      <c r="L769" s="17">
        <f t="shared" si="112"/>
        <v>107029734.39999999</v>
      </c>
      <c r="M769" s="45"/>
      <c r="N769" s="751">
        <f t="shared" si="110"/>
        <v>0</v>
      </c>
    </row>
    <row r="770" spans="2:14" s="321" customFormat="1" x14ac:dyDescent="0.2">
      <c r="B770" s="16">
        <f t="shared" si="114"/>
        <v>3</v>
      </c>
      <c r="C770" s="1" t="s">
        <v>239</v>
      </c>
      <c r="D770" s="1" t="s">
        <v>240</v>
      </c>
      <c r="E770" s="16"/>
      <c r="F770" s="980">
        <f>'WP II-I-1.1'!F273</f>
        <v>3715891.87</v>
      </c>
      <c r="G770" s="802">
        <f>'WP II-I-1.1'!G273</f>
        <v>7078296.0300000003</v>
      </c>
      <c r="H770" s="802">
        <f>'WP II-I-1.1'!H273</f>
        <v>1847804.75</v>
      </c>
      <c r="I770" s="981">
        <f>'WP II-I-1.1'!I273</f>
        <v>1590894.35</v>
      </c>
      <c r="J770" s="229">
        <f t="shared" si="115"/>
        <v>14232887</v>
      </c>
      <c r="K770" s="229"/>
      <c r="L770" s="17">
        <f t="shared" si="112"/>
        <v>10516995.130000001</v>
      </c>
      <c r="M770" s="45"/>
      <c r="N770" s="751">
        <f t="shared" si="110"/>
        <v>0</v>
      </c>
    </row>
    <row r="771" spans="2:14" s="321" customFormat="1" x14ac:dyDescent="0.2">
      <c r="B771" s="16">
        <f t="shared" si="114"/>
        <v>4</v>
      </c>
      <c r="C771" s="1" t="s">
        <v>241</v>
      </c>
      <c r="D771" s="1" t="s">
        <v>242</v>
      </c>
      <c r="E771" s="16"/>
      <c r="F771" s="980">
        <f>'WP II-I-1.1'!F274</f>
        <v>0</v>
      </c>
      <c r="G771" s="802">
        <f>'WP II-I-1.1'!G274</f>
        <v>0</v>
      </c>
      <c r="H771" s="802">
        <f>'WP II-I-1.1'!H274</f>
        <v>0</v>
      </c>
      <c r="I771" s="981">
        <f>'WP II-I-1.1'!I274</f>
        <v>0</v>
      </c>
      <c r="J771" s="229">
        <f t="shared" si="115"/>
        <v>0</v>
      </c>
      <c r="K771" s="229"/>
      <c r="L771" s="17">
        <f t="shared" si="112"/>
        <v>0</v>
      </c>
      <c r="M771" s="45"/>
      <c r="N771" s="751">
        <f t="shared" si="110"/>
        <v>0</v>
      </c>
    </row>
    <row r="772" spans="2:14" s="321" customFormat="1" x14ac:dyDescent="0.2">
      <c r="B772" s="16">
        <f t="shared" si="114"/>
        <v>5</v>
      </c>
      <c r="C772" s="1" t="s">
        <v>243</v>
      </c>
      <c r="D772" s="29" t="s">
        <v>244</v>
      </c>
      <c r="E772" s="16"/>
      <c r="F772" s="980">
        <f>'WP II-I-1.1'!F275</f>
        <v>33677366.380000003</v>
      </c>
      <c r="G772" s="802">
        <f>'WP II-I-1.1'!G275</f>
        <v>88216475.980000004</v>
      </c>
      <c r="H772" s="802">
        <f>'WP II-I-1.1'!H275</f>
        <v>9942399.8599999994</v>
      </c>
      <c r="I772" s="981">
        <f>'WP II-I-1.1'!I275</f>
        <v>5889851.7199999997</v>
      </c>
      <c r="J772" s="229">
        <f t="shared" si="115"/>
        <v>137726093.94000003</v>
      </c>
      <c r="K772" s="229"/>
      <c r="L772" s="17">
        <f t="shared" si="112"/>
        <v>104048727.56</v>
      </c>
      <c r="M772" s="45"/>
      <c r="N772" s="751">
        <f t="shared" si="110"/>
        <v>0</v>
      </c>
    </row>
    <row r="773" spans="2:14" s="321" customFormat="1" x14ac:dyDescent="0.2">
      <c r="B773" s="16">
        <f t="shared" si="114"/>
        <v>6</v>
      </c>
      <c r="C773" s="1" t="s">
        <v>245</v>
      </c>
      <c r="D773" s="1" t="s">
        <v>246</v>
      </c>
      <c r="E773" s="16"/>
      <c r="F773" s="980">
        <f>'WP II-I-1.1'!F276</f>
        <v>31394094.990000002</v>
      </c>
      <c r="G773" s="802">
        <f>'WP II-I-1.1'!G276</f>
        <v>581464952.13999999</v>
      </c>
      <c r="H773" s="802">
        <f>'WP II-I-1.1'!H276</f>
        <v>0</v>
      </c>
      <c r="I773" s="1360">
        <f>'WP II-I-1.1'!I276</f>
        <v>0</v>
      </c>
      <c r="J773" s="229">
        <f t="shared" si="115"/>
        <v>612859047.13</v>
      </c>
      <c r="K773" s="229"/>
      <c r="L773" s="52">
        <f t="shared" si="112"/>
        <v>581464952.13999999</v>
      </c>
      <c r="M773" s="45"/>
      <c r="N773" s="751">
        <f t="shared" si="110"/>
        <v>0</v>
      </c>
    </row>
    <row r="774" spans="2:14" s="321" customFormat="1" x14ac:dyDescent="0.2">
      <c r="B774" s="16">
        <f t="shared" si="114"/>
        <v>7</v>
      </c>
      <c r="C774" s="1" t="s">
        <v>247</v>
      </c>
      <c r="D774" s="1" t="s">
        <v>248</v>
      </c>
      <c r="E774" s="16"/>
      <c r="F774" s="980">
        <f>'WP II-I-1.1'!F277</f>
        <v>25394121.420000002</v>
      </c>
      <c r="G774" s="802">
        <f>'WP II-I-1.1'!G277</f>
        <v>59852107.579999998</v>
      </c>
      <c r="H774" s="802">
        <f>'WP II-I-1.1'!H277</f>
        <v>0</v>
      </c>
      <c r="I774" s="981">
        <f>'WP II-I-1.1'!I277</f>
        <v>0</v>
      </c>
      <c r="J774" s="229">
        <f t="shared" si="115"/>
        <v>85246229</v>
      </c>
      <c r="K774" s="229"/>
      <c r="L774" s="17">
        <f t="shared" si="112"/>
        <v>59852107.579999998</v>
      </c>
      <c r="M774" s="45"/>
      <c r="N774" s="751">
        <f t="shared" si="110"/>
        <v>0</v>
      </c>
    </row>
    <row r="775" spans="2:14" s="321" customFormat="1" x14ac:dyDescent="0.2">
      <c r="B775" s="16">
        <f t="shared" si="114"/>
        <v>8</v>
      </c>
      <c r="C775" s="1" t="s">
        <v>249</v>
      </c>
      <c r="D775" s="1" t="s">
        <v>250</v>
      </c>
      <c r="E775" s="16"/>
      <c r="F775" s="980">
        <f>'WP II-I-1.1'!F278</f>
        <v>17829400.59</v>
      </c>
      <c r="G775" s="802">
        <f>'WP II-I-1.1'!G278</f>
        <v>41617959.450000018</v>
      </c>
      <c r="H775" s="802">
        <f>'WP II-I-1.1'!H278</f>
        <v>15432223.109999999</v>
      </c>
      <c r="I775" s="981">
        <f>'WP II-I-1.1'!I278</f>
        <v>5996187.7300000004</v>
      </c>
      <c r="J775" s="229">
        <f t="shared" si="115"/>
        <v>80875770.880000025</v>
      </c>
      <c r="K775" s="229"/>
      <c r="L775" s="17">
        <f t="shared" si="112"/>
        <v>63046370.290000021</v>
      </c>
      <c r="M775" s="45"/>
      <c r="N775" s="751">
        <f t="shared" si="110"/>
        <v>0</v>
      </c>
    </row>
    <row r="776" spans="2:14" s="321" customFormat="1" x14ac:dyDescent="0.2">
      <c r="B776" s="16">
        <f t="shared" si="114"/>
        <v>9</v>
      </c>
      <c r="C776" s="1" t="s">
        <v>251</v>
      </c>
      <c r="D776" s="1" t="s">
        <v>252</v>
      </c>
      <c r="E776" s="16"/>
      <c r="F776" s="980">
        <f>'WP II-I-1.1'!F279</f>
        <v>209845.6</v>
      </c>
      <c r="G776" s="802">
        <f>'WP II-I-1.1'!$G$279</f>
        <v>1604197.31</v>
      </c>
      <c r="H776" s="802">
        <f>'WP II-I-1.1'!H279</f>
        <v>0</v>
      </c>
      <c r="I776" s="981">
        <f>'WP II-I-1.1'!I279</f>
        <v>0</v>
      </c>
      <c r="J776" s="229">
        <f t="shared" si="115"/>
        <v>1814042.9100000001</v>
      </c>
      <c r="K776" s="229"/>
      <c r="L776" s="17">
        <f t="shared" si="112"/>
        <v>1604197.31</v>
      </c>
      <c r="M776" s="45"/>
      <c r="N776" s="751">
        <f t="shared" si="110"/>
        <v>0</v>
      </c>
    </row>
    <row r="777" spans="2:14" s="321" customFormat="1" x14ac:dyDescent="0.2">
      <c r="B777" s="16">
        <f t="shared" si="114"/>
        <v>10</v>
      </c>
      <c r="C777" s="26" t="s">
        <v>253</v>
      </c>
      <c r="D777" s="1" t="s">
        <v>254</v>
      </c>
      <c r="E777" s="16"/>
      <c r="F777" s="980">
        <f>'WP II-I-1.1'!F280</f>
        <v>56149.42</v>
      </c>
      <c r="G777" s="802">
        <f>'WP II-I-1.1'!G280</f>
        <v>160617.35</v>
      </c>
      <c r="H777" s="802">
        <f>'WP II-I-1.1'!H280</f>
        <v>41937.22</v>
      </c>
      <c r="I777" s="981">
        <f>'WP II-I-1.1'!I280</f>
        <v>510958.3</v>
      </c>
      <c r="J777" s="229">
        <f t="shared" si="115"/>
        <v>769662.29</v>
      </c>
      <c r="K777" s="229"/>
      <c r="L777" s="17">
        <f t="shared" si="112"/>
        <v>713512.87</v>
      </c>
      <c r="M777" s="45"/>
      <c r="N777" s="751">
        <f t="shared" si="110"/>
        <v>0</v>
      </c>
    </row>
    <row r="778" spans="2:14" s="321" customFormat="1" x14ac:dyDescent="0.2">
      <c r="B778" s="16">
        <f t="shared" si="114"/>
        <v>11</v>
      </c>
      <c r="C778" s="1" t="s">
        <v>255</v>
      </c>
      <c r="D778" s="1" t="s">
        <v>256</v>
      </c>
      <c r="E778" s="16"/>
      <c r="F778" s="980">
        <f>'WP II-I-1.1'!F281</f>
        <v>3198824.69</v>
      </c>
      <c r="G778" s="802">
        <f>'WP II-I-1.1'!G281</f>
        <v>12042134.73</v>
      </c>
      <c r="H778" s="802">
        <f>'WP II-I-1.1'!H281</f>
        <v>2248815.19</v>
      </c>
      <c r="I778" s="981">
        <f>'WP II-I-1.1'!I281</f>
        <v>5812166.6600000001</v>
      </c>
      <c r="J778" s="229">
        <f t="shared" si="115"/>
        <v>23301941.27</v>
      </c>
      <c r="K778" s="229"/>
      <c r="L778" s="17">
        <f t="shared" si="112"/>
        <v>20103116.579999998</v>
      </c>
      <c r="M778" s="45"/>
      <c r="N778" s="751">
        <f t="shared" si="110"/>
        <v>0</v>
      </c>
    </row>
    <row r="779" spans="2:14" s="321" customFormat="1" x14ac:dyDescent="0.2">
      <c r="B779" s="16">
        <f t="shared" si="114"/>
        <v>12</v>
      </c>
      <c r="C779" s="1" t="s">
        <v>257</v>
      </c>
      <c r="D779" s="1" t="s">
        <v>189</v>
      </c>
      <c r="E779" s="16"/>
      <c r="F779" s="980">
        <f>'WP II-I-1.1'!F282</f>
        <v>509393.42</v>
      </c>
      <c r="G779" s="802">
        <f>'WP II-I-1.1'!G282</f>
        <v>1126885.27</v>
      </c>
      <c r="H779" s="802">
        <f>'WP II-I-1.1'!H282</f>
        <v>305921.09000000003</v>
      </c>
      <c r="I779" s="981">
        <f>'WP II-I-1.1'!I282</f>
        <v>122662.77</v>
      </c>
      <c r="J779" s="229">
        <f t="shared" si="115"/>
        <v>2064862.55</v>
      </c>
      <c r="K779" s="229"/>
      <c r="L779" s="17">
        <f t="shared" si="112"/>
        <v>1555469.1300000001</v>
      </c>
      <c r="M779" s="45"/>
      <c r="N779" s="751">
        <f t="shared" si="110"/>
        <v>0</v>
      </c>
    </row>
    <row r="780" spans="2:14" s="321" customFormat="1" x14ac:dyDescent="0.2">
      <c r="B780" s="16">
        <f t="shared" si="114"/>
        <v>13</v>
      </c>
      <c r="C780" s="1" t="s">
        <v>258</v>
      </c>
      <c r="D780" s="1" t="s">
        <v>259</v>
      </c>
      <c r="E780" s="16"/>
      <c r="F780" s="980">
        <f>'WP II-I-1.1'!F283</f>
        <v>21214.02</v>
      </c>
      <c r="G780" s="802">
        <f>'WP II-I-1.1'!G283</f>
        <v>78960.899999999994</v>
      </c>
      <c r="H780" s="802">
        <f>'WP II-I-1.1'!H283</f>
        <v>15820.32</v>
      </c>
      <c r="I780" s="981">
        <f>'WP II-I-1.1'!I283</f>
        <v>1650.16</v>
      </c>
      <c r="J780" s="229">
        <f t="shared" si="115"/>
        <v>117645.4</v>
      </c>
      <c r="K780" s="229"/>
      <c r="L780" s="17">
        <f t="shared" si="112"/>
        <v>96431.38</v>
      </c>
      <c r="M780" s="45"/>
      <c r="N780" s="751">
        <f t="shared" si="110"/>
        <v>0</v>
      </c>
    </row>
    <row r="781" spans="2:14" s="321" customFormat="1" x14ac:dyDescent="0.2">
      <c r="B781" s="16">
        <f t="shared" si="114"/>
        <v>14</v>
      </c>
      <c r="C781" s="1" t="s">
        <v>260</v>
      </c>
      <c r="D781" s="1" t="s">
        <v>259</v>
      </c>
      <c r="E781" s="16"/>
      <c r="F781" s="982">
        <f>'WP II-I-1.1'!F284</f>
        <v>5547802.1499999994</v>
      </c>
      <c r="G781" s="983">
        <f>'WP II-I-1.1'!G284</f>
        <v>1645283.27</v>
      </c>
      <c r="H781" s="983">
        <f>'WP II-I-1.1'!H284</f>
        <v>464165.05</v>
      </c>
      <c r="I781" s="984">
        <f>'WP II-I-1.1'!I284</f>
        <v>18734.88</v>
      </c>
      <c r="J781" s="229">
        <f t="shared" si="115"/>
        <v>7675985.3499999996</v>
      </c>
      <c r="K781" s="229"/>
      <c r="L781" s="17">
        <f t="shared" si="112"/>
        <v>2128183.1999999997</v>
      </c>
      <c r="M781" s="45"/>
      <c r="N781" s="751">
        <f t="shared" si="110"/>
        <v>0</v>
      </c>
    </row>
    <row r="782" spans="2:14" s="321" customFormat="1" ht="15" thickBot="1" x14ac:dyDescent="0.25">
      <c r="B782" s="16">
        <f t="shared" si="114"/>
        <v>15</v>
      </c>
      <c r="C782" s="1"/>
      <c r="D782" s="1"/>
      <c r="E782" s="16"/>
      <c r="F782" s="802"/>
      <c r="G782" s="802"/>
      <c r="H782" s="802"/>
      <c r="I782" s="647"/>
      <c r="J782" s="23"/>
      <c r="K782" s="23"/>
      <c r="L782" s="1"/>
      <c r="M782" s="45"/>
      <c r="N782" s="751">
        <f t="shared" si="110"/>
        <v>0</v>
      </c>
    </row>
    <row r="783" spans="2:14" ht="15.75" thickBot="1" x14ac:dyDescent="0.3">
      <c r="B783" s="16">
        <f t="shared" si="114"/>
        <v>16</v>
      </c>
      <c r="C783" s="223" t="s">
        <v>606</v>
      </c>
      <c r="D783" s="307"/>
      <c r="E783" s="252"/>
      <c r="F783" s="812">
        <f>SUM(F769:F781)</f>
        <v>149714932.78999999</v>
      </c>
      <c r="G783" s="812">
        <f>SUM(G769:G781)</f>
        <v>862254076.08000004</v>
      </c>
      <c r="H783" s="812">
        <f>SUM(H769:H781)</f>
        <v>49056189.789999999</v>
      </c>
      <c r="I783" s="812">
        <f>SUM(I769:I781)</f>
        <v>40849531.700000003</v>
      </c>
      <c r="J783" s="195">
        <f>SUM(F783:I783)</f>
        <v>1101874730.3599999</v>
      </c>
      <c r="K783" s="191"/>
      <c r="L783" s="196">
        <f t="shared" si="112"/>
        <v>952159797.57000005</v>
      </c>
      <c r="M783" s="64"/>
      <c r="N783" s="751">
        <f t="shared" si="110"/>
        <v>0</v>
      </c>
    </row>
    <row r="784" spans="2:14" ht="15.75" thickBot="1" x14ac:dyDescent="0.3">
      <c r="B784" s="16">
        <f t="shared" si="114"/>
        <v>17</v>
      </c>
      <c r="C784" s="779" t="s">
        <v>1223</v>
      </c>
      <c r="D784" s="776"/>
      <c r="E784" s="777"/>
      <c r="F784" s="864">
        <f>SUM(F769:F781)</f>
        <v>149714932.78999999</v>
      </c>
      <c r="G784" s="864">
        <f>SUM(G769:G781)-('WP II-I-2.2'!$P$45*G776)</f>
        <v>862254076.08000004</v>
      </c>
      <c r="H784" s="864">
        <f>SUM(H769:H781)</f>
        <v>49056189.789999999</v>
      </c>
      <c r="I784" s="864">
        <f>SUM(I769:I781)</f>
        <v>40849531.700000003</v>
      </c>
      <c r="J784" s="918">
        <f>SUM(F784:I784)</f>
        <v>1101874730.3599999</v>
      </c>
      <c r="K784" s="21"/>
      <c r="L784" s="196">
        <f t="shared" si="112"/>
        <v>952159797.57000005</v>
      </c>
      <c r="M784" s="64"/>
      <c r="N784" s="751">
        <f t="shared" si="110"/>
        <v>0</v>
      </c>
    </row>
    <row r="785" spans="2:14" ht="15.75" thickBot="1" x14ac:dyDescent="0.3">
      <c r="B785" s="16">
        <f t="shared" si="114"/>
        <v>18</v>
      </c>
      <c r="C785" s="223" t="s">
        <v>607</v>
      </c>
      <c r="D785" s="307"/>
      <c r="E785" s="252"/>
      <c r="F785" s="812">
        <f>+F783+F753</f>
        <v>290600629.24000001</v>
      </c>
      <c r="G785" s="812">
        <f>+G783+G753</f>
        <v>3328439803.2399998</v>
      </c>
      <c r="H785" s="812">
        <f>+H783+H753</f>
        <v>120417779.06999999</v>
      </c>
      <c r="I785" s="812">
        <f>+I783+I753</f>
        <v>58136339.030000001</v>
      </c>
      <c r="J785" s="195">
        <f>SUM(F785:I785)</f>
        <v>3797594550.5799999</v>
      </c>
      <c r="K785" s="191"/>
      <c r="L785" s="196">
        <f t="shared" si="112"/>
        <v>3506993921.3400002</v>
      </c>
      <c r="M785" s="64"/>
      <c r="N785" s="751">
        <f t="shared" si="110"/>
        <v>0</v>
      </c>
    </row>
    <row r="786" spans="2:14" ht="15.75" thickBot="1" x14ac:dyDescent="0.3">
      <c r="B786" s="16">
        <f t="shared" si="114"/>
        <v>19</v>
      </c>
      <c r="C786" s="8"/>
      <c r="D786" s="8"/>
      <c r="E786" s="768"/>
      <c r="F786" s="805"/>
      <c r="G786" s="805"/>
      <c r="H786" s="805"/>
      <c r="I786" s="805"/>
      <c r="J786" s="8"/>
      <c r="K786" s="8"/>
      <c r="L786" s="21"/>
      <c r="M786" s="64"/>
      <c r="N786" s="751">
        <f t="shared" si="110"/>
        <v>0</v>
      </c>
    </row>
    <row r="787" spans="2:14" ht="15.75" thickBot="1" x14ac:dyDescent="0.3">
      <c r="B787" s="16">
        <f t="shared" si="114"/>
        <v>20</v>
      </c>
      <c r="C787" s="223" t="s">
        <v>1196</v>
      </c>
      <c r="D787" s="307"/>
      <c r="E787" s="252"/>
      <c r="F787" s="812">
        <f>F785-F645</f>
        <v>290600629.24000001</v>
      </c>
      <c r="G787" s="1194">
        <f>G785-G645-'WP II-I-2.2'!$P$45*G776</f>
        <v>1227598330.5799997</v>
      </c>
      <c r="H787" s="812">
        <f>H785-H645</f>
        <v>120417779.06999999</v>
      </c>
      <c r="I787" s="812">
        <f>I785-I645</f>
        <v>58136339.030000001</v>
      </c>
      <c r="J787" s="195">
        <f>SUM(F787:I787)</f>
        <v>1696753077.9199996</v>
      </c>
      <c r="K787" s="191"/>
      <c r="L787" s="196">
        <f t="shared" si="112"/>
        <v>1406152448.6799996</v>
      </c>
      <c r="M787" s="64"/>
      <c r="N787" s="751">
        <f t="shared" si="110"/>
        <v>0</v>
      </c>
    </row>
    <row r="788" spans="2:14" x14ac:dyDescent="0.2">
      <c r="B788" s="64"/>
      <c r="C788" s="64"/>
      <c r="D788" s="64"/>
      <c r="E788" s="64"/>
      <c r="F788" s="589"/>
      <c r="G788" s="589"/>
      <c r="H788" s="589"/>
      <c r="I788" s="589"/>
      <c r="J788" s="64"/>
      <c r="K788" s="45"/>
      <c r="L788" s="45"/>
      <c r="M788" s="64"/>
      <c r="N788" s="751">
        <f t="shared" ref="N788:N851" si="116">J788-L788-F788</f>
        <v>0</v>
      </c>
    </row>
    <row r="789" spans="2:14" ht="15" x14ac:dyDescent="0.25">
      <c r="B789" s="783"/>
      <c r="C789" s="783"/>
      <c r="D789" s="783"/>
      <c r="E789" s="783"/>
      <c r="F789" s="783"/>
      <c r="G789" s="783"/>
      <c r="H789" s="783"/>
      <c r="I789" s="783"/>
      <c r="J789" s="783"/>
      <c r="K789" s="783"/>
      <c r="L789" s="783"/>
      <c r="M789" s="105" t="str">
        <f>$M$2</f>
        <v xml:space="preserve"> </v>
      </c>
      <c r="N789" s="751">
        <f t="shared" si="116"/>
        <v>0</v>
      </c>
    </row>
    <row r="790" spans="2:14" ht="15.75" thickBot="1" x14ac:dyDescent="0.3">
      <c r="B790" s="783"/>
      <c r="C790" s="783"/>
      <c r="D790" s="783"/>
      <c r="E790" s="783"/>
      <c r="F790" s="783"/>
      <c r="G790" s="783"/>
      <c r="H790" s="783"/>
      <c r="I790" s="783"/>
      <c r="J790" s="783"/>
      <c r="K790" s="783"/>
      <c r="L790" s="783"/>
      <c r="M790" s="64"/>
      <c r="N790" s="751">
        <f t="shared" si="116"/>
        <v>0</v>
      </c>
    </row>
    <row r="791" spans="2:14" ht="15" x14ac:dyDescent="0.25">
      <c r="B791" s="829" t="str">
        <f>$B$4</f>
        <v>2025 RATE CASE</v>
      </c>
      <c r="C791" s="835"/>
      <c r="D791" s="836"/>
      <c r="E791" s="783"/>
      <c r="F791" s="783"/>
      <c r="G791" s="783"/>
      <c r="H791" s="783"/>
      <c r="I791" s="783"/>
      <c r="J791" s="783"/>
      <c r="K791" s="783"/>
      <c r="L791" s="783"/>
      <c r="N791" s="751">
        <f t="shared" si="116"/>
        <v>0</v>
      </c>
    </row>
    <row r="792" spans="2:14" ht="15" x14ac:dyDescent="0.25">
      <c r="B792" s="826" t="str">
        <f>$B$5</f>
        <v>ONCOR ELECTRIC DELIVERY COMPANY LLC</v>
      </c>
      <c r="C792" s="304"/>
      <c r="D792" s="837"/>
      <c r="E792" s="783"/>
      <c r="F792" s="783"/>
      <c r="G792" s="783"/>
      <c r="H792" s="783"/>
      <c r="I792" s="783"/>
      <c r="J792" s="783"/>
      <c r="K792" s="783"/>
      <c r="L792" s="783"/>
      <c r="M792" s="64"/>
      <c r="N792" s="751">
        <f t="shared" si="116"/>
        <v>0</v>
      </c>
    </row>
    <row r="793" spans="2:14" ht="15" x14ac:dyDescent="0.25">
      <c r="B793" s="341" t="str">
        <f>$B$6</f>
        <v>CONSOLIDATED FUNCTIONALIZED COST OF SERVICE</v>
      </c>
      <c r="C793" s="304"/>
      <c r="D793" s="837"/>
      <c r="E793" s="783"/>
      <c r="F793" s="783"/>
      <c r="G793" s="783"/>
      <c r="H793" s="783"/>
      <c r="I793" s="783"/>
      <c r="J793" s="783"/>
      <c r="K793" s="783"/>
      <c r="L793" s="783"/>
      <c r="M793" s="64"/>
      <c r="N793" s="751">
        <f t="shared" si="116"/>
        <v>0</v>
      </c>
    </row>
    <row r="794" spans="2:14" ht="15" x14ac:dyDescent="0.25">
      <c r="B794" s="341" t="str">
        <f>$B$7</f>
        <v>TEST YEAR ENDING 12/31/2024</v>
      </c>
      <c r="C794" s="304"/>
      <c r="D794" s="837"/>
      <c r="E794" s="304"/>
      <c r="F794" s="304"/>
      <c r="G794" s="304"/>
      <c r="H794" s="304"/>
      <c r="I794" s="304"/>
      <c r="J794" s="304"/>
      <c r="K794" s="304"/>
      <c r="L794" s="304"/>
      <c r="M794" s="64"/>
      <c r="N794" s="751">
        <f t="shared" si="116"/>
        <v>0</v>
      </c>
    </row>
    <row r="795" spans="2:14" ht="15" x14ac:dyDescent="0.25">
      <c r="B795" s="341" t="str">
        <f>$B$8</f>
        <v>SPONSOR:  MATTHEW A. TROXLE</v>
      </c>
      <c r="C795" s="304"/>
      <c r="D795" s="837"/>
      <c r="E795" s="304"/>
      <c r="F795" s="304"/>
      <c r="G795" s="304"/>
      <c r="H795" s="304"/>
      <c r="I795" s="304"/>
      <c r="J795" s="304"/>
      <c r="K795" s="304"/>
      <c r="L795" s="304"/>
      <c r="M795" s="64"/>
      <c r="N795" s="751">
        <f t="shared" si="116"/>
        <v>0</v>
      </c>
    </row>
    <row r="796" spans="2:14" ht="15.75" thickBot="1" x14ac:dyDescent="0.3">
      <c r="B796" s="345"/>
      <c r="C796" s="840"/>
      <c r="D796" s="841"/>
      <c r="E796" s="304"/>
      <c r="F796" s="304"/>
      <c r="G796" s="304"/>
      <c r="H796" s="304"/>
      <c r="I796" s="304"/>
      <c r="J796" s="304"/>
      <c r="K796" s="304"/>
      <c r="L796" s="304"/>
      <c r="M796" s="64"/>
      <c r="N796" s="751">
        <f t="shared" si="116"/>
        <v>0</v>
      </c>
    </row>
    <row r="797" spans="2:14" x14ac:dyDescent="0.2">
      <c r="B797" s="12"/>
      <c r="C797" s="13"/>
      <c r="D797" s="13"/>
      <c r="E797" s="13"/>
      <c r="F797" s="988" t="s">
        <v>6</v>
      </c>
      <c r="G797" s="655" t="s">
        <v>7</v>
      </c>
      <c r="H797" s="655" t="s">
        <v>8</v>
      </c>
      <c r="I797" s="855" t="s">
        <v>9</v>
      </c>
      <c r="J797" s="12" t="s">
        <v>10</v>
      </c>
      <c r="K797" s="16"/>
      <c r="L797" s="110" t="s">
        <v>907</v>
      </c>
      <c r="M797" s="64"/>
      <c r="N797" s="751"/>
    </row>
    <row r="798" spans="2:14" ht="15" x14ac:dyDescent="0.25">
      <c r="B798" s="14" t="s">
        <v>2</v>
      </c>
      <c r="C798" s="14" t="s">
        <v>349</v>
      </c>
      <c r="D798" s="226" t="s">
        <v>608</v>
      </c>
      <c r="E798" s="14" t="s">
        <v>350</v>
      </c>
      <c r="F798" s="661"/>
      <c r="G798" s="660"/>
      <c r="H798" s="660"/>
      <c r="I798" s="660"/>
      <c r="J798" s="14"/>
      <c r="K798" s="16"/>
      <c r="L798" s="93" t="s">
        <v>908</v>
      </c>
      <c r="M798" s="64"/>
      <c r="N798" s="751"/>
    </row>
    <row r="799" spans="2:14" x14ac:dyDescent="0.2">
      <c r="B799" s="14"/>
      <c r="C799" s="14"/>
      <c r="D799" s="14"/>
      <c r="E799" s="14"/>
      <c r="F799" s="661"/>
      <c r="G799" s="660"/>
      <c r="H799" s="660"/>
      <c r="I799" s="660"/>
      <c r="J799" s="14"/>
      <c r="K799" s="16"/>
      <c r="L799" s="93"/>
      <c r="M799" s="64"/>
      <c r="N799" s="751"/>
    </row>
    <row r="800" spans="2:14" ht="15" thickBot="1" x14ac:dyDescent="0.25">
      <c r="B800" s="15"/>
      <c r="C800" s="15" t="s">
        <v>13</v>
      </c>
      <c r="D800" s="15" t="s">
        <v>14</v>
      </c>
      <c r="E800" s="15" t="s">
        <v>15</v>
      </c>
      <c r="F800" s="664" t="s">
        <v>16</v>
      </c>
      <c r="G800" s="664" t="s">
        <v>17</v>
      </c>
      <c r="H800" s="664" t="s">
        <v>18</v>
      </c>
      <c r="I800" s="664" t="s">
        <v>21</v>
      </c>
      <c r="J800" s="15" t="s">
        <v>22</v>
      </c>
      <c r="K800" s="16"/>
      <c r="L800" s="997" t="s">
        <v>397</v>
      </c>
      <c r="M800" s="64"/>
      <c r="N800" s="751"/>
    </row>
    <row r="801" spans="2:14" x14ac:dyDescent="0.2">
      <c r="B801" s="64"/>
      <c r="C801" s="96"/>
      <c r="D801" s="96"/>
      <c r="E801" s="251"/>
      <c r="F801" s="674"/>
      <c r="G801" s="674"/>
      <c r="H801" s="647"/>
      <c r="I801" s="647"/>
      <c r="J801" s="1"/>
      <c r="K801" s="1"/>
      <c r="L801" s="1"/>
      <c r="M801" s="64"/>
      <c r="N801" s="751">
        <f t="shared" si="116"/>
        <v>0</v>
      </c>
    </row>
    <row r="802" spans="2:14" ht="15" x14ac:dyDescent="0.25">
      <c r="B802" s="16">
        <f t="shared" ref="B802:B826" si="117">B801+1</f>
        <v>1</v>
      </c>
      <c r="C802" s="8" t="s">
        <v>608</v>
      </c>
      <c r="D802" s="1"/>
      <c r="E802" s="19"/>
      <c r="F802" s="803"/>
      <c r="G802" s="647"/>
      <c r="H802" s="647"/>
      <c r="I802" s="647"/>
      <c r="J802" s="1"/>
      <c r="K802" s="1"/>
      <c r="L802" s="1"/>
      <c r="M802" s="64"/>
      <c r="N802" s="751">
        <f t="shared" si="116"/>
        <v>0</v>
      </c>
    </row>
    <row r="803" spans="2:14" ht="15" x14ac:dyDescent="0.25">
      <c r="B803" s="16">
        <f t="shared" si="117"/>
        <v>2</v>
      </c>
      <c r="C803" s="8"/>
      <c r="D803" s="301" t="s">
        <v>609</v>
      </c>
      <c r="E803" s="19" t="s">
        <v>262</v>
      </c>
      <c r="F803" s="805"/>
      <c r="G803" s="8"/>
      <c r="H803" s="8"/>
      <c r="I803" s="8"/>
      <c r="J803" s="8"/>
      <c r="K803" s="8"/>
      <c r="L803" s="8"/>
      <c r="M803" s="64"/>
      <c r="N803" s="751">
        <f t="shared" si="116"/>
        <v>0</v>
      </c>
    </row>
    <row r="804" spans="2:14" s="321" customFormat="1" x14ac:dyDescent="0.2">
      <c r="B804" s="16">
        <f t="shared" si="117"/>
        <v>3</v>
      </c>
      <c r="C804" s="1" t="s">
        <v>144</v>
      </c>
      <c r="D804" s="1" t="s">
        <v>145</v>
      </c>
      <c r="E804" s="16"/>
      <c r="F804" s="985">
        <f>'WP II-I-1.1'!F288</f>
        <v>5121359.07</v>
      </c>
      <c r="G804" s="986">
        <f>'WP II-I-1.1'!G288</f>
        <v>17081.400000000001</v>
      </c>
      <c r="H804" s="986">
        <f>'WP II-I-1.1'!H288</f>
        <v>0</v>
      </c>
      <c r="I804" s="987">
        <f>'WP II-I-1.1'!I288</f>
        <v>0</v>
      </c>
      <c r="J804" s="229">
        <f t="shared" ref="J804:J812" si="118">SUM(F804:I804)</f>
        <v>5138440.4700000007</v>
      </c>
      <c r="K804" s="229"/>
      <c r="L804" s="17">
        <f t="shared" ref="L804:L864" si="119">SUM(G804:I804)</f>
        <v>17081.400000000001</v>
      </c>
      <c r="M804" s="45"/>
      <c r="N804" s="751">
        <f t="shared" si="116"/>
        <v>0</v>
      </c>
    </row>
    <row r="805" spans="2:14" s="321" customFormat="1" x14ac:dyDescent="0.2">
      <c r="B805" s="16">
        <f t="shared" si="117"/>
        <v>4</v>
      </c>
      <c r="C805" s="1" t="s">
        <v>146</v>
      </c>
      <c r="D805" s="1" t="s">
        <v>147</v>
      </c>
      <c r="E805" s="16"/>
      <c r="F805" s="980">
        <f>'WP II-I-1.1'!F289</f>
        <v>15965253.789999999</v>
      </c>
      <c r="G805" s="802">
        <f>'WP II-I-1.1'!G289</f>
        <v>0</v>
      </c>
      <c r="H805" s="802">
        <f>'WP II-I-1.1'!H289</f>
        <v>0</v>
      </c>
      <c r="I805" s="981">
        <f>'WP II-I-1.1'!I289</f>
        <v>0</v>
      </c>
      <c r="J805" s="229">
        <f t="shared" si="118"/>
        <v>15965253.789999999</v>
      </c>
      <c r="K805" s="229"/>
      <c r="L805" s="17">
        <f t="shared" si="119"/>
        <v>0</v>
      </c>
      <c r="M805" s="45"/>
      <c r="N805" s="751">
        <f t="shared" si="116"/>
        <v>0</v>
      </c>
    </row>
    <row r="806" spans="2:14" s="321" customFormat="1" x14ac:dyDescent="0.2">
      <c r="B806" s="16">
        <f t="shared" si="117"/>
        <v>5</v>
      </c>
      <c r="C806" s="1" t="s">
        <v>148</v>
      </c>
      <c r="D806" s="1" t="s">
        <v>149</v>
      </c>
      <c r="E806" s="16"/>
      <c r="F806" s="980">
        <f>'WP II-I-1.1'!F290</f>
        <v>2150826.56</v>
      </c>
      <c r="G806" s="802">
        <f>'WP II-I-1.1'!G290</f>
        <v>142759.42000000001</v>
      </c>
      <c r="H806" s="802">
        <f>'WP II-I-1.1'!H290</f>
        <v>0</v>
      </c>
      <c r="I806" s="981">
        <f>'WP II-I-1.1'!I290</f>
        <v>0</v>
      </c>
      <c r="J806" s="229">
        <f t="shared" si="118"/>
        <v>2293585.98</v>
      </c>
      <c r="K806" s="229"/>
      <c r="L806" s="17">
        <f t="shared" si="119"/>
        <v>142759.42000000001</v>
      </c>
      <c r="M806" s="45"/>
      <c r="N806" s="751">
        <f t="shared" si="116"/>
        <v>0</v>
      </c>
    </row>
    <row r="807" spans="2:14" s="321" customFormat="1" x14ac:dyDescent="0.2">
      <c r="B807" s="16">
        <f t="shared" si="117"/>
        <v>6</v>
      </c>
      <c r="C807" s="1" t="s">
        <v>150</v>
      </c>
      <c r="D807" s="1" t="s">
        <v>151</v>
      </c>
      <c r="E807" s="16"/>
      <c r="F807" s="980">
        <f>'WP II-I-1.1'!F291</f>
        <v>630353.69999999995</v>
      </c>
      <c r="G807" s="802">
        <f>'WP II-I-1.1'!G291</f>
        <v>0</v>
      </c>
      <c r="H807" s="802">
        <f>'WP II-I-1.1'!H291</f>
        <v>0</v>
      </c>
      <c r="I807" s="981">
        <f>'WP II-I-1.1'!I291</f>
        <v>0</v>
      </c>
      <c r="J807" s="229">
        <f t="shared" si="118"/>
        <v>630353.69999999995</v>
      </c>
      <c r="K807" s="229"/>
      <c r="L807" s="17">
        <f t="shared" si="119"/>
        <v>0</v>
      </c>
      <c r="M807" s="45"/>
      <c r="N807" s="751">
        <f t="shared" si="116"/>
        <v>0</v>
      </c>
    </row>
    <row r="808" spans="2:14" s="321" customFormat="1" x14ac:dyDescent="0.2">
      <c r="B808" s="16">
        <f t="shared" si="117"/>
        <v>7</v>
      </c>
      <c r="C808" s="1" t="s">
        <v>152</v>
      </c>
      <c r="D808" s="1" t="s">
        <v>153</v>
      </c>
      <c r="E808" s="16"/>
      <c r="F808" s="980">
        <f>'WP II-I-1.1'!F292</f>
        <v>0</v>
      </c>
      <c r="G808" s="802">
        <f>'WP II-I-1.1'!G292</f>
        <v>0</v>
      </c>
      <c r="H808" s="802">
        <f>'WP II-I-1.1'!H292</f>
        <v>0</v>
      </c>
      <c r="I808" s="981">
        <f>'WP II-I-1.1'!I292</f>
        <v>0</v>
      </c>
      <c r="J808" s="229">
        <f t="shared" si="118"/>
        <v>0</v>
      </c>
      <c r="K808" s="229"/>
      <c r="L808" s="17">
        <f t="shared" si="119"/>
        <v>0</v>
      </c>
      <c r="M808" s="45"/>
      <c r="N808" s="751">
        <f t="shared" si="116"/>
        <v>0</v>
      </c>
    </row>
    <row r="809" spans="2:14" s="321" customFormat="1" ht="15" x14ac:dyDescent="0.25">
      <c r="B809" s="16">
        <f t="shared" si="117"/>
        <v>8</v>
      </c>
      <c r="C809" s="1" t="s">
        <v>154</v>
      </c>
      <c r="D809" s="29" t="s">
        <v>155</v>
      </c>
      <c r="E809" s="768"/>
      <c r="F809" s="1361">
        <f>'WP II-I-1.1'!F293</f>
        <v>0</v>
      </c>
      <c r="G809" s="804">
        <f>'WP II-I-1.1'!G293</f>
        <v>0</v>
      </c>
      <c r="H809" s="804">
        <f>'WP II-I-1.1'!H293</f>
        <v>0</v>
      </c>
      <c r="I809" s="1362">
        <f>'WP II-I-1.1'!I293</f>
        <v>0</v>
      </c>
      <c r="J809" s="236">
        <f t="shared" si="118"/>
        <v>0</v>
      </c>
      <c r="K809" s="236"/>
      <c r="L809" s="20">
        <f t="shared" si="119"/>
        <v>0</v>
      </c>
      <c r="M809" s="118"/>
      <c r="N809" s="751">
        <f t="shared" si="116"/>
        <v>0</v>
      </c>
    </row>
    <row r="810" spans="2:14" s="321" customFormat="1" x14ac:dyDescent="0.2">
      <c r="B810" s="16">
        <f t="shared" si="117"/>
        <v>9</v>
      </c>
      <c r="C810" s="1" t="s">
        <v>156</v>
      </c>
      <c r="D810" s="29" t="s">
        <v>157</v>
      </c>
      <c r="E810" s="16"/>
      <c r="F810" s="980">
        <f>'WP II-I-1.1'!F294</f>
        <v>28317939</v>
      </c>
      <c r="G810" s="802">
        <f>'WP II-I-1.1'!G294</f>
        <v>328543.03000000003</v>
      </c>
      <c r="H810" s="802">
        <f>'WP II-I-1.1'!H294</f>
        <v>0</v>
      </c>
      <c r="I810" s="981">
        <f>'WP II-I-1.1'!I294</f>
        <v>0</v>
      </c>
      <c r="J810" s="229">
        <f t="shared" si="118"/>
        <v>28646482.030000001</v>
      </c>
      <c r="K810" s="229"/>
      <c r="L810" s="17">
        <f t="shared" si="119"/>
        <v>328543.03000000003</v>
      </c>
      <c r="M810" s="45"/>
      <c r="N810" s="751">
        <f t="shared" si="116"/>
        <v>0</v>
      </c>
    </row>
    <row r="811" spans="2:14" s="321" customFormat="1" ht="16.5" x14ac:dyDescent="0.35">
      <c r="B811" s="16">
        <f t="shared" si="117"/>
        <v>10</v>
      </c>
      <c r="C811" s="1" t="s">
        <v>158</v>
      </c>
      <c r="D811" s="1" t="s">
        <v>159</v>
      </c>
      <c r="E811" s="16"/>
      <c r="F811" s="982">
        <f>'WP II-I-1.1'!F295</f>
        <v>0</v>
      </c>
      <c r="G811" s="983">
        <f>'WP II-I-1.1'!G295</f>
        <v>0</v>
      </c>
      <c r="H811" s="983">
        <f>'WP II-I-1.1'!H295</f>
        <v>0</v>
      </c>
      <c r="I811" s="984">
        <f>'WP II-I-1.1'!I295</f>
        <v>0</v>
      </c>
      <c r="J811" s="238">
        <f t="shared" si="118"/>
        <v>0</v>
      </c>
      <c r="K811" s="238"/>
      <c r="L811" s="232">
        <f t="shared" si="119"/>
        <v>0</v>
      </c>
      <c r="M811" s="45"/>
      <c r="N811" s="751">
        <f t="shared" si="116"/>
        <v>0</v>
      </c>
    </row>
    <row r="812" spans="2:14" ht="15" x14ac:dyDescent="0.25">
      <c r="B812" s="16">
        <f t="shared" si="117"/>
        <v>11</v>
      </c>
      <c r="C812" s="8"/>
      <c r="D812" s="24" t="s">
        <v>444</v>
      </c>
      <c r="E812" s="19"/>
      <c r="F812" s="805">
        <f>SUM(F804:F811)</f>
        <v>52185732.119999997</v>
      </c>
      <c r="G812" s="805">
        <f>SUM(G804:G811)</f>
        <v>488383.85000000003</v>
      </c>
      <c r="H812" s="805">
        <f>SUM(H804:H811)</f>
        <v>0</v>
      </c>
      <c r="I812" s="805">
        <f>SUM(I804:I811)</f>
        <v>0</v>
      </c>
      <c r="J812" s="236">
        <f t="shared" si="118"/>
        <v>52674115.969999999</v>
      </c>
      <c r="K812" s="236"/>
      <c r="L812" s="805">
        <f t="shared" si="119"/>
        <v>488383.85000000003</v>
      </c>
      <c r="M812" s="64"/>
      <c r="N812" s="751">
        <f t="shared" si="116"/>
        <v>0</v>
      </c>
    </row>
    <row r="813" spans="2:14" x14ac:dyDescent="0.2">
      <c r="B813" s="16">
        <f t="shared" si="117"/>
        <v>12</v>
      </c>
      <c r="C813" s="1"/>
      <c r="D813" s="1"/>
      <c r="E813" s="16"/>
      <c r="F813" s="803"/>
      <c r="G813" s="803"/>
      <c r="H813" s="803"/>
      <c r="I813" s="803"/>
      <c r="J813" s="1"/>
      <c r="K813" s="1"/>
      <c r="L813" s="18"/>
      <c r="M813" s="64"/>
      <c r="N813" s="751">
        <f t="shared" si="116"/>
        <v>0</v>
      </c>
    </row>
    <row r="814" spans="2:14" ht="15" x14ac:dyDescent="0.25">
      <c r="B814" s="16">
        <f t="shared" si="117"/>
        <v>13</v>
      </c>
      <c r="C814" s="8"/>
      <c r="D814" s="24" t="s">
        <v>610</v>
      </c>
      <c r="E814" s="19"/>
      <c r="F814" s="805">
        <f>SUM(F805:F811)</f>
        <v>47064373.049999997</v>
      </c>
      <c r="G814" s="805">
        <f>SUM(G805:G811)</f>
        <v>471302.45000000007</v>
      </c>
      <c r="H814" s="805">
        <f>SUM(H805:H811)</f>
        <v>0</v>
      </c>
      <c r="I814" s="805">
        <f>SUM(I805:I811)</f>
        <v>0</v>
      </c>
      <c r="J814" s="236">
        <f>SUM(F814:I814)</f>
        <v>47535675.5</v>
      </c>
      <c r="K814" s="236"/>
      <c r="L814" s="21">
        <f t="shared" si="119"/>
        <v>471302.45000000007</v>
      </c>
      <c r="M814" s="64"/>
      <c r="N814" s="751">
        <f t="shared" si="116"/>
        <v>0</v>
      </c>
    </row>
    <row r="815" spans="2:14" x14ac:dyDescent="0.2">
      <c r="B815" s="16">
        <f t="shared" si="117"/>
        <v>14</v>
      </c>
      <c r="C815" s="1"/>
      <c r="D815" s="1"/>
      <c r="E815" s="16"/>
      <c r="F815" s="803"/>
      <c r="G815" s="803"/>
      <c r="H815" s="803"/>
      <c r="I815" s="803"/>
      <c r="J815" s="1"/>
      <c r="K815" s="1"/>
      <c r="L815" s="18"/>
      <c r="M815" s="64"/>
      <c r="N815" s="751">
        <f t="shared" si="116"/>
        <v>0</v>
      </c>
    </row>
    <row r="816" spans="2:14" ht="15" x14ac:dyDescent="0.25">
      <c r="B816" s="16">
        <f t="shared" si="117"/>
        <v>15</v>
      </c>
      <c r="C816" s="8"/>
      <c r="D816" s="301" t="s">
        <v>611</v>
      </c>
      <c r="E816" s="19" t="s">
        <v>262</v>
      </c>
      <c r="F816" s="805"/>
      <c r="G816" s="805"/>
      <c r="H816" s="805"/>
      <c r="I816" s="805"/>
      <c r="J816" s="8"/>
      <c r="K816" s="8"/>
      <c r="L816" s="21"/>
      <c r="M816" s="64"/>
      <c r="N816" s="751">
        <f t="shared" si="116"/>
        <v>0</v>
      </c>
    </row>
    <row r="817" spans="2:14" s="321" customFormat="1" x14ac:dyDescent="0.2">
      <c r="B817" s="16">
        <f t="shared" si="117"/>
        <v>16</v>
      </c>
      <c r="C817" s="1" t="s">
        <v>161</v>
      </c>
      <c r="D817" s="1" t="s">
        <v>162</v>
      </c>
      <c r="E817" s="16"/>
      <c r="F817" s="985">
        <f>'WP II-I-1.1'!F297</f>
        <v>157666.67000000001</v>
      </c>
      <c r="G817" s="986">
        <f>'WP II-I-1.1'!G297</f>
        <v>43419.67</v>
      </c>
      <c r="H817" s="986">
        <f>'WP II-I-1.1'!H297</f>
        <v>0</v>
      </c>
      <c r="I817" s="987">
        <f>'WP II-I-1.1'!I297</f>
        <v>0</v>
      </c>
      <c r="J817" s="229">
        <f t="shared" ref="J817:J823" si="120">SUM(F817:I817)</f>
        <v>201086.34000000003</v>
      </c>
      <c r="K817" s="229"/>
      <c r="L817" s="17">
        <f t="shared" si="119"/>
        <v>43419.67</v>
      </c>
      <c r="M817" s="45"/>
      <c r="N817" s="751">
        <f t="shared" si="116"/>
        <v>0</v>
      </c>
    </row>
    <row r="818" spans="2:14" s="321" customFormat="1" x14ac:dyDescent="0.2">
      <c r="B818" s="16">
        <f t="shared" si="117"/>
        <v>17</v>
      </c>
      <c r="C818" s="1" t="s">
        <v>163</v>
      </c>
      <c r="D818" s="29" t="s">
        <v>164</v>
      </c>
      <c r="E818" s="16"/>
      <c r="F818" s="980">
        <f>'WP II-I-1.1'!F298</f>
        <v>0</v>
      </c>
      <c r="G818" s="802">
        <f>'WP II-I-1.1'!G298</f>
        <v>0</v>
      </c>
      <c r="H818" s="802">
        <f>'WP II-I-1.1'!H298</f>
        <v>0</v>
      </c>
      <c r="I818" s="981">
        <f>'WP II-I-1.1'!I298</f>
        <v>0</v>
      </c>
      <c r="J818" s="229">
        <f t="shared" si="120"/>
        <v>0</v>
      </c>
      <c r="K818" s="229"/>
      <c r="L818" s="17">
        <f t="shared" si="119"/>
        <v>0</v>
      </c>
      <c r="M818" s="45"/>
      <c r="N818" s="751">
        <f t="shared" si="116"/>
        <v>0</v>
      </c>
    </row>
    <row r="819" spans="2:14" s="321" customFormat="1" x14ac:dyDescent="0.2">
      <c r="B819" s="16">
        <f t="shared" si="117"/>
        <v>18</v>
      </c>
      <c r="C819" s="1" t="s">
        <v>165</v>
      </c>
      <c r="D819" s="1" t="s">
        <v>166</v>
      </c>
      <c r="E819" s="16"/>
      <c r="F819" s="980">
        <f>'WP II-I-1.1'!F299</f>
        <v>3336258.79</v>
      </c>
      <c r="G819" s="802">
        <f>'WP II-I-1.1'!G299</f>
        <v>51182.04</v>
      </c>
      <c r="H819" s="802">
        <f>'WP II-I-1.1'!H299</f>
        <v>0</v>
      </c>
      <c r="I819" s="981">
        <f>'WP II-I-1.1'!I299</f>
        <v>0</v>
      </c>
      <c r="J819" s="229">
        <f t="shared" si="120"/>
        <v>3387440.83</v>
      </c>
      <c r="K819" s="229"/>
      <c r="L819" s="17">
        <f t="shared" si="119"/>
        <v>51182.04</v>
      </c>
      <c r="M819" s="45"/>
      <c r="N819" s="751">
        <f t="shared" si="116"/>
        <v>0</v>
      </c>
    </row>
    <row r="820" spans="2:14" s="321" customFormat="1" x14ac:dyDescent="0.2">
      <c r="B820" s="16">
        <f t="shared" si="117"/>
        <v>19</v>
      </c>
      <c r="C820" s="1" t="s">
        <v>167</v>
      </c>
      <c r="D820" s="1" t="s">
        <v>168</v>
      </c>
      <c r="E820" s="16"/>
      <c r="F820" s="980">
        <f>'WP II-I-1.1'!F300</f>
        <v>1595458.63</v>
      </c>
      <c r="G820" s="802">
        <f>'WP II-I-1.1'!G300</f>
        <v>11104.72</v>
      </c>
      <c r="H820" s="802">
        <f>'WP II-I-1.1'!H300</f>
        <v>0</v>
      </c>
      <c r="I820" s="981">
        <f>'WP II-I-1.1'!I300</f>
        <v>0</v>
      </c>
      <c r="J820" s="229">
        <f t="shared" si="120"/>
        <v>1606563.3499999999</v>
      </c>
      <c r="K820" s="229"/>
      <c r="L820" s="17">
        <f t="shared" si="119"/>
        <v>11104.72</v>
      </c>
      <c r="M820" s="45"/>
      <c r="N820" s="751">
        <f t="shared" si="116"/>
        <v>0</v>
      </c>
    </row>
    <row r="821" spans="2:14" s="321" customFormat="1" x14ac:dyDescent="0.2">
      <c r="B821" s="16">
        <f t="shared" si="117"/>
        <v>20</v>
      </c>
      <c r="C821" s="1" t="s">
        <v>169</v>
      </c>
      <c r="D821" s="29" t="s">
        <v>170</v>
      </c>
      <c r="E821" s="16"/>
      <c r="F821" s="980">
        <f>'WP II-I-1.1'!F301</f>
        <v>0</v>
      </c>
      <c r="G821" s="802">
        <f>'WP II-I-1.1'!G301</f>
        <v>0</v>
      </c>
      <c r="H821" s="802">
        <f>'WP II-I-1.1'!H301</f>
        <v>0</v>
      </c>
      <c r="I821" s="981">
        <f>'WP II-I-1.1'!I301</f>
        <v>0</v>
      </c>
      <c r="J821" s="229">
        <f t="shared" si="120"/>
        <v>0</v>
      </c>
      <c r="K821" s="229"/>
      <c r="L821" s="17">
        <f t="shared" si="119"/>
        <v>0</v>
      </c>
      <c r="M821" s="45"/>
      <c r="N821" s="751">
        <f t="shared" si="116"/>
        <v>0</v>
      </c>
    </row>
    <row r="822" spans="2:14" s="321" customFormat="1" ht="16.5" x14ac:dyDescent="0.35">
      <c r="B822" s="16">
        <f t="shared" si="117"/>
        <v>21</v>
      </c>
      <c r="C822" s="1" t="s">
        <v>171</v>
      </c>
      <c r="D822" s="29" t="s">
        <v>172</v>
      </c>
      <c r="E822" s="16"/>
      <c r="F822" s="982">
        <f>'WP II-I-1.1'!F302</f>
        <v>145872.82</v>
      </c>
      <c r="G822" s="983">
        <f>'WP II-I-1.1'!G302</f>
        <v>0</v>
      </c>
      <c r="H822" s="983">
        <f>'WP II-I-1.1'!H302</f>
        <v>0</v>
      </c>
      <c r="I822" s="984">
        <f>'WP II-I-1.1'!I302</f>
        <v>0</v>
      </c>
      <c r="J822" s="238">
        <f t="shared" si="120"/>
        <v>145872.82</v>
      </c>
      <c r="K822" s="238"/>
      <c r="L822" s="232">
        <f t="shared" si="119"/>
        <v>0</v>
      </c>
      <c r="M822" s="45"/>
      <c r="N822" s="751">
        <f t="shared" si="116"/>
        <v>0</v>
      </c>
    </row>
    <row r="823" spans="2:14" ht="15" x14ac:dyDescent="0.25">
      <c r="B823" s="16">
        <f t="shared" si="117"/>
        <v>22</v>
      </c>
      <c r="C823" s="8"/>
      <c r="D823" s="24" t="s">
        <v>444</v>
      </c>
      <c r="E823" s="19"/>
      <c r="F823" s="805">
        <f>SUM(F817:F822)</f>
        <v>5235256.91</v>
      </c>
      <c r="G823" s="805">
        <f>SUM(G817:G822)</f>
        <v>105706.43</v>
      </c>
      <c r="H823" s="805">
        <f>SUM(H817:H822)</f>
        <v>0</v>
      </c>
      <c r="I823" s="805">
        <f>SUM(I817:I822)</f>
        <v>0</v>
      </c>
      <c r="J823" s="236">
        <f t="shared" si="120"/>
        <v>5340963.34</v>
      </c>
      <c r="K823" s="236"/>
      <c r="L823" s="21">
        <f t="shared" si="119"/>
        <v>105706.43</v>
      </c>
      <c r="M823" s="64"/>
      <c r="N823" s="751">
        <f t="shared" si="116"/>
        <v>0</v>
      </c>
    </row>
    <row r="824" spans="2:14" x14ac:dyDescent="0.2">
      <c r="B824" s="16">
        <f t="shared" si="117"/>
        <v>23</v>
      </c>
      <c r="C824" s="1"/>
      <c r="D824" s="1"/>
      <c r="E824" s="16"/>
      <c r="F824" s="803"/>
      <c r="G824" s="803"/>
      <c r="H824" s="803"/>
      <c r="I824" s="803"/>
      <c r="J824" s="1"/>
      <c r="K824" s="1"/>
      <c r="L824" s="18"/>
      <c r="M824" s="64"/>
      <c r="N824" s="751">
        <f t="shared" si="116"/>
        <v>0</v>
      </c>
    </row>
    <row r="825" spans="2:14" ht="15" x14ac:dyDescent="0.25">
      <c r="B825" s="16">
        <f t="shared" si="117"/>
        <v>24</v>
      </c>
      <c r="C825" s="8"/>
      <c r="D825" s="24" t="s">
        <v>612</v>
      </c>
      <c r="E825" s="19"/>
      <c r="F825" s="805">
        <f>SUM(F818:F822)</f>
        <v>5077590.24</v>
      </c>
      <c r="G825" s="805">
        <f>SUM(G818:G822)</f>
        <v>62286.76</v>
      </c>
      <c r="H825" s="805">
        <f>SUM(H818:H822)</f>
        <v>0</v>
      </c>
      <c r="I825" s="805">
        <f>SUM(I818:I822)</f>
        <v>0</v>
      </c>
      <c r="J825" s="236">
        <f>SUM(F825:I825)</f>
        <v>5139877</v>
      </c>
      <c r="K825" s="236"/>
      <c r="L825" s="21">
        <f t="shared" si="119"/>
        <v>62286.76</v>
      </c>
      <c r="M825" s="64"/>
      <c r="N825" s="751">
        <f t="shared" si="116"/>
        <v>0</v>
      </c>
    </row>
    <row r="826" spans="2:14" ht="15" thickBot="1" x14ac:dyDescent="0.25">
      <c r="B826" s="16">
        <f t="shared" si="117"/>
        <v>25</v>
      </c>
      <c r="C826" s="1"/>
      <c r="D826" s="1"/>
      <c r="E826" s="16"/>
      <c r="F826" s="803"/>
      <c r="G826" s="803"/>
      <c r="H826" s="803"/>
      <c r="I826" s="803"/>
      <c r="J826" s="1"/>
      <c r="K826" s="1"/>
      <c r="L826" s="18"/>
      <c r="M826" s="64"/>
      <c r="N826" s="751">
        <f t="shared" si="116"/>
        <v>0</v>
      </c>
    </row>
    <row r="827" spans="2:14" ht="15.75" thickBot="1" x14ac:dyDescent="0.3">
      <c r="B827" s="16">
        <f>B824+1</f>
        <v>24</v>
      </c>
      <c r="C827" s="779" t="s">
        <v>613</v>
      </c>
      <c r="D827" s="920"/>
      <c r="E827" s="916"/>
      <c r="F827" s="917">
        <f>+F823+F812</f>
        <v>57420989.030000001</v>
      </c>
      <c r="G827" s="917">
        <f>+G823+G812</f>
        <v>594090.28</v>
      </c>
      <c r="H827" s="917">
        <f>+H823+H812</f>
        <v>0</v>
      </c>
      <c r="I827" s="917">
        <f>+I823+I812</f>
        <v>0</v>
      </c>
      <c r="J827" s="918">
        <f>SUM(F827:I827)</f>
        <v>58015079.310000002</v>
      </c>
      <c r="K827" s="236"/>
      <c r="L827" s="805">
        <f t="shared" si="119"/>
        <v>594090.28</v>
      </c>
      <c r="M827" s="64"/>
      <c r="N827" s="751">
        <f t="shared" si="116"/>
        <v>0</v>
      </c>
    </row>
    <row r="828" spans="2:14" x14ac:dyDescent="0.2">
      <c r="B828" s="16"/>
      <c r="C828" s="1"/>
      <c r="D828" s="1"/>
      <c r="E828" s="16"/>
      <c r="F828" s="803"/>
      <c r="G828" s="647"/>
      <c r="H828" s="647"/>
      <c r="I828" s="647"/>
      <c r="J828" s="1"/>
      <c r="K828" s="1"/>
      <c r="L828" s="1"/>
      <c r="M828" s="64"/>
      <c r="N828" s="751">
        <f t="shared" si="116"/>
        <v>0</v>
      </c>
    </row>
    <row r="829" spans="2:14" ht="15" x14ac:dyDescent="0.25">
      <c r="B829" s="783"/>
      <c r="C829" s="783"/>
      <c r="D829" s="783"/>
      <c r="E829" s="783"/>
      <c r="F829" s="783"/>
      <c r="G829" s="783"/>
      <c r="H829" s="783"/>
      <c r="I829" s="783"/>
      <c r="J829" s="783"/>
      <c r="K829" s="783"/>
      <c r="L829" s="783"/>
      <c r="M829" s="105" t="str">
        <f>$M$2</f>
        <v xml:space="preserve"> </v>
      </c>
      <c r="N829" s="751"/>
    </row>
    <row r="830" spans="2:14" ht="15.75" thickBot="1" x14ac:dyDescent="0.3">
      <c r="B830" s="783"/>
      <c r="C830" s="783"/>
      <c r="D830" s="783"/>
      <c r="E830" s="783"/>
      <c r="F830" s="783"/>
      <c r="G830" s="783"/>
      <c r="H830" s="783"/>
      <c r="I830" s="783"/>
      <c r="J830" s="783"/>
      <c r="K830" s="783"/>
      <c r="L830" s="783"/>
      <c r="M830" s="64"/>
      <c r="N830" s="751"/>
    </row>
    <row r="831" spans="2:14" ht="15" x14ac:dyDescent="0.25">
      <c r="B831" s="829" t="str">
        <f>$B$4</f>
        <v>2025 RATE CASE</v>
      </c>
      <c r="C831" s="835"/>
      <c r="D831" s="836"/>
      <c r="E831" s="783"/>
      <c r="F831" s="783"/>
      <c r="G831" s="783"/>
      <c r="H831" s="783"/>
      <c r="I831" s="783"/>
      <c r="J831" s="783"/>
      <c r="K831" s="783"/>
      <c r="L831" s="783"/>
      <c r="N831" s="751"/>
    </row>
    <row r="832" spans="2:14" ht="15" x14ac:dyDescent="0.25">
      <c r="B832" s="826" t="str">
        <f>$B$5</f>
        <v>ONCOR ELECTRIC DELIVERY COMPANY LLC</v>
      </c>
      <c r="C832" s="304"/>
      <c r="D832" s="837"/>
      <c r="E832" s="783"/>
      <c r="F832" s="783"/>
      <c r="G832" s="783"/>
      <c r="H832" s="783"/>
      <c r="I832" s="783"/>
      <c r="J832" s="783"/>
      <c r="K832" s="783"/>
      <c r="L832" s="783"/>
      <c r="M832" s="64"/>
      <c r="N832" s="751"/>
    </row>
    <row r="833" spans="2:14" ht="15" x14ac:dyDescent="0.25">
      <c r="B833" s="341" t="str">
        <f>$B$6</f>
        <v>CONSOLIDATED FUNCTIONALIZED COST OF SERVICE</v>
      </c>
      <c r="C833" s="304"/>
      <c r="D833" s="837"/>
      <c r="E833" s="783"/>
      <c r="F833" s="783"/>
      <c r="G833" s="783"/>
      <c r="H833" s="783"/>
      <c r="I833" s="783"/>
      <c r="J833" s="783"/>
      <c r="K833" s="783"/>
      <c r="L833" s="783"/>
      <c r="M833" s="64"/>
      <c r="N833" s="751"/>
    </row>
    <row r="834" spans="2:14" ht="15" x14ac:dyDescent="0.25">
      <c r="B834" s="341" t="str">
        <f>$B$7</f>
        <v>TEST YEAR ENDING 12/31/2024</v>
      </c>
      <c r="C834" s="304"/>
      <c r="D834" s="837"/>
      <c r="E834" s="304"/>
      <c r="F834" s="304"/>
      <c r="G834" s="304"/>
      <c r="H834" s="304"/>
      <c r="I834" s="304"/>
      <c r="J834" s="304"/>
      <c r="K834" s="304"/>
      <c r="L834" s="304"/>
      <c r="M834" s="64"/>
      <c r="N834" s="751"/>
    </row>
    <row r="835" spans="2:14" ht="15" x14ac:dyDescent="0.25">
      <c r="B835" s="341" t="str">
        <f>$B$8</f>
        <v>SPONSOR:  MATTHEW A. TROXLE</v>
      </c>
      <c r="C835" s="304"/>
      <c r="D835" s="837"/>
      <c r="E835" s="304"/>
      <c r="F835" s="304"/>
      <c r="G835" s="304"/>
      <c r="H835" s="304"/>
      <c r="I835" s="304"/>
      <c r="J835" s="304"/>
      <c r="K835" s="304"/>
      <c r="L835" s="304"/>
      <c r="M835" s="64"/>
      <c r="N835" s="751"/>
    </row>
    <row r="836" spans="2:14" ht="15.75" thickBot="1" x14ac:dyDescent="0.3">
      <c r="B836" s="345"/>
      <c r="C836" s="840"/>
      <c r="D836" s="841"/>
      <c r="E836" s="304"/>
      <c r="F836" s="304"/>
      <c r="G836" s="304"/>
      <c r="H836" s="304"/>
      <c r="I836" s="304"/>
      <c r="J836" s="304"/>
      <c r="K836" s="304"/>
      <c r="L836" s="304"/>
      <c r="M836" s="64"/>
      <c r="N836" s="751"/>
    </row>
    <row r="837" spans="2:14" x14ac:dyDescent="0.2">
      <c r="B837" s="12"/>
      <c r="C837" s="13"/>
      <c r="D837" s="13"/>
      <c r="E837" s="13"/>
      <c r="F837" s="988" t="s">
        <v>6</v>
      </c>
      <c r="G837" s="655" t="s">
        <v>7</v>
      </c>
      <c r="H837" s="655" t="s">
        <v>8</v>
      </c>
      <c r="I837" s="855" t="s">
        <v>9</v>
      </c>
      <c r="J837" s="12" t="s">
        <v>10</v>
      </c>
      <c r="K837" s="16"/>
      <c r="L837" s="110" t="s">
        <v>907</v>
      </c>
      <c r="M837" s="64"/>
      <c r="N837" s="751"/>
    </row>
    <row r="838" spans="2:14" ht="15" x14ac:dyDescent="0.25">
      <c r="B838" s="14" t="s">
        <v>2</v>
      </c>
      <c r="C838" s="14" t="s">
        <v>349</v>
      </c>
      <c r="D838" s="226" t="s">
        <v>614</v>
      </c>
      <c r="E838" s="14" t="s">
        <v>350</v>
      </c>
      <c r="F838" s="661"/>
      <c r="G838" s="660"/>
      <c r="H838" s="660"/>
      <c r="I838" s="660"/>
      <c r="J838" s="14"/>
      <c r="K838" s="16"/>
      <c r="L838" s="93" t="s">
        <v>908</v>
      </c>
      <c r="M838" s="64"/>
      <c r="N838" s="751"/>
    </row>
    <row r="839" spans="2:14" x14ac:dyDescent="0.2">
      <c r="B839" s="14"/>
      <c r="C839" s="14"/>
      <c r="D839" s="14"/>
      <c r="E839" s="14"/>
      <c r="F839" s="661"/>
      <c r="G839" s="660"/>
      <c r="H839" s="660"/>
      <c r="I839" s="660"/>
      <c r="J839" s="14"/>
      <c r="K839" s="16"/>
      <c r="L839" s="93"/>
      <c r="M839" s="64"/>
      <c r="N839" s="751"/>
    </row>
    <row r="840" spans="2:14" ht="15" thickBot="1" x14ac:dyDescent="0.25">
      <c r="B840" s="15"/>
      <c r="C840" s="15" t="s">
        <v>13</v>
      </c>
      <c r="D840" s="15" t="s">
        <v>14</v>
      </c>
      <c r="E840" s="15" t="s">
        <v>15</v>
      </c>
      <c r="F840" s="664" t="s">
        <v>16</v>
      </c>
      <c r="G840" s="664" t="s">
        <v>17</v>
      </c>
      <c r="H840" s="664" t="s">
        <v>18</v>
      </c>
      <c r="I840" s="664" t="s">
        <v>21</v>
      </c>
      <c r="J840" s="15" t="s">
        <v>22</v>
      </c>
      <c r="K840" s="16"/>
      <c r="L840" s="997" t="s">
        <v>397</v>
      </c>
      <c r="M840" s="64"/>
      <c r="N840" s="751"/>
    </row>
    <row r="841" spans="2:14" x14ac:dyDescent="0.2">
      <c r="B841" s="64"/>
      <c r="C841" s="96"/>
      <c r="D841" s="96"/>
      <c r="E841" s="251"/>
      <c r="F841" s="674"/>
      <c r="G841" s="674"/>
      <c r="H841" s="647"/>
      <c r="I841" s="647"/>
      <c r="J841" s="1"/>
      <c r="K841" s="1"/>
      <c r="L841" s="1"/>
      <c r="M841" s="64"/>
      <c r="N841" s="751"/>
    </row>
    <row r="842" spans="2:14" ht="15" x14ac:dyDescent="0.25">
      <c r="B842" s="16">
        <f>B828+1</f>
        <v>1</v>
      </c>
      <c r="C842" s="8" t="s">
        <v>614</v>
      </c>
      <c r="D842" s="8"/>
      <c r="E842" s="19"/>
      <c r="F842" s="805"/>
      <c r="G842" s="8"/>
      <c r="H842" s="8"/>
      <c r="I842" s="8"/>
      <c r="J842" s="8"/>
      <c r="K842" s="8"/>
      <c r="L842" s="8"/>
      <c r="M842" s="64"/>
      <c r="N842" s="751"/>
    </row>
    <row r="843" spans="2:14" ht="15" x14ac:dyDescent="0.25">
      <c r="B843" s="16">
        <f t="shared" ref="B843:B874" si="121">B842+1</f>
        <v>2</v>
      </c>
      <c r="C843" s="8"/>
      <c r="D843" s="301" t="s">
        <v>609</v>
      </c>
      <c r="E843" s="19" t="s">
        <v>262</v>
      </c>
      <c r="F843" s="805"/>
      <c r="G843" s="8"/>
      <c r="H843" s="8"/>
      <c r="I843" s="8"/>
      <c r="J843" s="8"/>
      <c r="K843" s="8"/>
      <c r="L843" s="8"/>
      <c r="M843" s="64"/>
      <c r="N843" s="751"/>
    </row>
    <row r="844" spans="2:14" s="321" customFormat="1" ht="15" x14ac:dyDescent="0.25">
      <c r="B844" s="16">
        <f t="shared" si="121"/>
        <v>3</v>
      </c>
      <c r="C844" s="1" t="s">
        <v>175</v>
      </c>
      <c r="D844" s="1" t="s">
        <v>176</v>
      </c>
      <c r="E844" s="1075"/>
      <c r="F844" s="985">
        <f>'WP II-I-1.1'!F305</f>
        <v>0</v>
      </c>
      <c r="G844" s="986">
        <f>'WP II-I-1.1'!G305</f>
        <v>12872276.280000001</v>
      </c>
      <c r="H844" s="986">
        <f>'WP II-I-1.1'!H305</f>
        <v>0</v>
      </c>
      <c r="I844" s="987">
        <f>'WP II-I-1.1'!I305</f>
        <v>0</v>
      </c>
      <c r="J844" s="229">
        <f t="shared" ref="J844:J853" si="122">SUM(F844:I844)</f>
        <v>12872276.280000001</v>
      </c>
      <c r="K844" s="229"/>
      <c r="L844" s="17">
        <f t="shared" si="119"/>
        <v>12872276.280000001</v>
      </c>
      <c r="M844" s="45"/>
      <c r="N844" s="751">
        <f t="shared" si="116"/>
        <v>0</v>
      </c>
    </row>
    <row r="845" spans="2:14" s="321" customFormat="1" x14ac:dyDescent="0.2">
      <c r="B845" s="16">
        <f t="shared" si="121"/>
        <v>4</v>
      </c>
      <c r="C845" s="1" t="s">
        <v>177</v>
      </c>
      <c r="D845" s="1" t="s">
        <v>149</v>
      </c>
      <c r="E845" s="16"/>
      <c r="F845" s="980">
        <f>'WP II-I-1.1'!F306</f>
        <v>33258.869999999988</v>
      </c>
      <c r="G845" s="802">
        <f>'WP II-I-1.1'!G306</f>
        <v>3113325.23</v>
      </c>
      <c r="H845" s="802">
        <f>'WP II-I-1.1'!H306</f>
        <v>0</v>
      </c>
      <c r="I845" s="981">
        <f>'WP II-I-1.1'!I306</f>
        <v>0</v>
      </c>
      <c r="J845" s="229">
        <f t="shared" si="122"/>
        <v>3146584.1</v>
      </c>
      <c r="K845" s="229"/>
      <c r="L845" s="17">
        <f t="shared" si="119"/>
        <v>3113325.23</v>
      </c>
      <c r="M845" s="45"/>
      <c r="N845" s="751">
        <f t="shared" si="116"/>
        <v>1.2369127944111824E-10</v>
      </c>
    </row>
    <row r="846" spans="2:14" s="321" customFormat="1" x14ac:dyDescent="0.2">
      <c r="B846" s="16">
        <f t="shared" si="121"/>
        <v>5</v>
      </c>
      <c r="C846" s="1" t="s">
        <v>178</v>
      </c>
      <c r="D846" s="1" t="s">
        <v>151</v>
      </c>
      <c r="E846" s="16"/>
      <c r="F846" s="980">
        <f>'WP II-I-1.1'!F307</f>
        <v>0</v>
      </c>
      <c r="G846" s="802">
        <f>'WP II-I-1.1'!G307</f>
        <v>4010911.3399999519</v>
      </c>
      <c r="H846" s="802">
        <f>'WP II-I-1.1'!H307</f>
        <v>12180.209999999995</v>
      </c>
      <c r="I846" s="981">
        <f>'WP II-I-1.1'!I307</f>
        <v>0</v>
      </c>
      <c r="J846" s="229">
        <f t="shared" si="122"/>
        <v>4023091.5499999519</v>
      </c>
      <c r="K846" s="229"/>
      <c r="L846" s="17">
        <f t="shared" si="119"/>
        <v>4023091.5499999519</v>
      </c>
      <c r="M846" s="45"/>
      <c r="N846" s="751">
        <f t="shared" si="116"/>
        <v>0</v>
      </c>
    </row>
    <row r="847" spans="2:14" s="321" customFormat="1" x14ac:dyDescent="0.2">
      <c r="B847" s="16">
        <f t="shared" si="121"/>
        <v>6</v>
      </c>
      <c r="C847" s="1" t="s">
        <v>179</v>
      </c>
      <c r="D847" s="1" t="s">
        <v>153</v>
      </c>
      <c r="E847" s="16"/>
      <c r="F847" s="980">
        <f>'WP II-I-1.1'!F308</f>
        <v>0</v>
      </c>
      <c r="G847" s="802">
        <f>'WP II-I-1.1'!G308</f>
        <v>4506617.859999991</v>
      </c>
      <c r="H847" s="802">
        <f>'WP II-I-1.1'!H308</f>
        <v>16966.920000000002</v>
      </c>
      <c r="I847" s="981">
        <f>'WP II-I-1.1'!I308</f>
        <v>0</v>
      </c>
      <c r="J847" s="229">
        <f t="shared" si="122"/>
        <v>4523584.7799999909</v>
      </c>
      <c r="K847" s="229"/>
      <c r="L847" s="17">
        <f t="shared" si="119"/>
        <v>4523584.7799999909</v>
      </c>
      <c r="M847" s="45"/>
      <c r="N847" s="751">
        <f t="shared" si="116"/>
        <v>0</v>
      </c>
    </row>
    <row r="848" spans="2:14" s="321" customFormat="1" x14ac:dyDescent="0.2">
      <c r="B848" s="16">
        <f t="shared" si="121"/>
        <v>7</v>
      </c>
      <c r="C848" s="1" t="s">
        <v>180</v>
      </c>
      <c r="D848" s="1" t="s">
        <v>181</v>
      </c>
      <c r="E848" s="16"/>
      <c r="F848" s="980">
        <f>'WP II-I-1.1'!F309</f>
        <v>0</v>
      </c>
      <c r="G848" s="802">
        <f>'WP II-I-1.1'!G309</f>
        <v>0</v>
      </c>
      <c r="H848" s="802">
        <f>'WP II-I-1.1'!H309</f>
        <v>0</v>
      </c>
      <c r="I848" s="981">
        <f>'WP II-I-1.1'!I309</f>
        <v>0</v>
      </c>
      <c r="J848" s="229">
        <f t="shared" si="122"/>
        <v>0</v>
      </c>
      <c r="K848" s="229"/>
      <c r="L848" s="17">
        <f t="shared" si="119"/>
        <v>0</v>
      </c>
      <c r="M848" s="45"/>
      <c r="N848" s="751">
        <f t="shared" si="116"/>
        <v>0</v>
      </c>
    </row>
    <row r="849" spans="2:14" s="321" customFormat="1" x14ac:dyDescent="0.2">
      <c r="B849" s="16">
        <f t="shared" si="121"/>
        <v>8</v>
      </c>
      <c r="C849" s="1" t="s">
        <v>182</v>
      </c>
      <c r="D849" s="1" t="s">
        <v>183</v>
      </c>
      <c r="E849" s="16"/>
      <c r="F849" s="980">
        <f>'WP II-I-1.1'!F310</f>
        <v>0</v>
      </c>
      <c r="G849" s="802">
        <f>'WP II-I-1.1'!G310</f>
        <v>0</v>
      </c>
      <c r="H849" s="802">
        <f>'WP II-I-1.1'!H310</f>
        <v>12456801.770000009</v>
      </c>
      <c r="I849" s="981">
        <f>'WP II-I-1.1'!I310</f>
        <v>0</v>
      </c>
      <c r="J849" s="229">
        <f t="shared" si="122"/>
        <v>12456801.770000009</v>
      </c>
      <c r="K849" s="229"/>
      <c r="L849" s="17">
        <f t="shared" si="119"/>
        <v>12456801.770000009</v>
      </c>
      <c r="M849" s="45"/>
      <c r="N849" s="751">
        <f t="shared" si="116"/>
        <v>0</v>
      </c>
    </row>
    <row r="850" spans="2:14" s="321" customFormat="1" x14ac:dyDescent="0.2">
      <c r="B850" s="16">
        <f t="shared" si="121"/>
        <v>9</v>
      </c>
      <c r="C850" s="1" t="s">
        <v>184</v>
      </c>
      <c r="D850" s="1" t="s">
        <v>185</v>
      </c>
      <c r="E850" s="16"/>
      <c r="F850" s="980">
        <f>'WP II-I-1.1'!F311</f>
        <v>0</v>
      </c>
      <c r="G850" s="802">
        <f>'WP II-I-1.1'!G311</f>
        <v>2034184.280000001</v>
      </c>
      <c r="H850" s="802">
        <f>'WP II-I-1.1'!H311</f>
        <v>0</v>
      </c>
      <c r="I850" s="981">
        <f>'WP II-I-1.1'!I311</f>
        <v>0</v>
      </c>
      <c r="J850" s="229">
        <f t="shared" si="122"/>
        <v>2034184.280000001</v>
      </c>
      <c r="K850" s="229"/>
      <c r="L850" s="17">
        <f t="shared" si="119"/>
        <v>2034184.280000001</v>
      </c>
      <c r="M850" s="45"/>
      <c r="N850" s="751">
        <f t="shared" si="116"/>
        <v>0</v>
      </c>
    </row>
    <row r="851" spans="2:14" s="321" customFormat="1" x14ac:dyDescent="0.2">
      <c r="B851" s="16">
        <f t="shared" si="121"/>
        <v>10</v>
      </c>
      <c r="C851" s="1" t="s">
        <v>186</v>
      </c>
      <c r="D851" s="1" t="s">
        <v>187</v>
      </c>
      <c r="E851" s="16"/>
      <c r="F851" s="980">
        <f>'WP II-I-1.1'!F312</f>
        <v>12557.48</v>
      </c>
      <c r="G851" s="802">
        <f>'WP II-I-1.1'!G312</f>
        <v>59212445.600000031</v>
      </c>
      <c r="H851" s="802">
        <f>'WP II-I-1.1'!H312</f>
        <v>85300.749999999985</v>
      </c>
      <c r="I851" s="981">
        <f>'WP II-I-1.1'!I312</f>
        <v>56400.22</v>
      </c>
      <c r="J851" s="229">
        <f t="shared" si="122"/>
        <v>59366704.050000027</v>
      </c>
      <c r="K851" s="229"/>
      <c r="L851" s="17">
        <f t="shared" si="119"/>
        <v>59354146.57000003</v>
      </c>
      <c r="M851" s="45"/>
      <c r="N851" s="751">
        <f t="shared" si="116"/>
        <v>-3.2778189051896334E-9</v>
      </c>
    </row>
    <row r="852" spans="2:14" s="321" customFormat="1" ht="16.5" x14ac:dyDescent="0.35">
      <c r="B852" s="16">
        <f t="shared" si="121"/>
        <v>11</v>
      </c>
      <c r="C852" s="1" t="s">
        <v>188</v>
      </c>
      <c r="D852" s="1" t="s">
        <v>189</v>
      </c>
      <c r="E852" s="16"/>
      <c r="F852" s="982">
        <f>'WP II-I-1.1'!F313</f>
        <v>0</v>
      </c>
      <c r="G852" s="983">
        <f>'WP II-I-1.1'!G313</f>
        <v>0</v>
      </c>
      <c r="H852" s="983">
        <f>'WP II-I-1.1'!H313</f>
        <v>0</v>
      </c>
      <c r="I852" s="984">
        <f>'WP II-I-1.1'!I313</f>
        <v>0</v>
      </c>
      <c r="J852" s="238">
        <f t="shared" si="122"/>
        <v>0</v>
      </c>
      <c r="K852" s="238"/>
      <c r="L852" s="232">
        <f t="shared" si="119"/>
        <v>0</v>
      </c>
      <c r="M852" s="45"/>
      <c r="N852" s="751">
        <f t="shared" ref="N852:N915" si="123">J852-L852-F852</f>
        <v>0</v>
      </c>
    </row>
    <row r="853" spans="2:14" ht="15" x14ac:dyDescent="0.25">
      <c r="B853" s="16">
        <f t="shared" si="121"/>
        <v>12</v>
      </c>
      <c r="C853" s="8"/>
      <c r="D853" s="24" t="s">
        <v>615</v>
      </c>
      <c r="E853" s="19"/>
      <c r="F853" s="805">
        <f>SUM(F844:F852)</f>
        <v>45816.349999999991</v>
      </c>
      <c r="G853" s="805">
        <f>SUM(G844:G852)</f>
        <v>85749760.589999974</v>
      </c>
      <c r="H853" s="805">
        <f>SUM(H844:H852)</f>
        <v>12571249.65000001</v>
      </c>
      <c r="I853" s="805">
        <f>SUM(I844:I852)</f>
        <v>56400.22</v>
      </c>
      <c r="J853" s="236">
        <f t="shared" si="122"/>
        <v>98423226.809999973</v>
      </c>
      <c r="K853" s="236"/>
      <c r="L853" s="805">
        <f t="shared" si="119"/>
        <v>98377410.459999979</v>
      </c>
      <c r="M853" s="64"/>
      <c r="N853" s="751">
        <f t="shared" si="123"/>
        <v>-5.9517333284020424E-9</v>
      </c>
    </row>
    <row r="854" spans="2:14" ht="15" x14ac:dyDescent="0.25">
      <c r="B854" s="16">
        <f t="shared" si="121"/>
        <v>13</v>
      </c>
      <c r="C854" s="1"/>
      <c r="D854" s="301"/>
      <c r="E854" s="16"/>
      <c r="F854" s="803"/>
      <c r="G854" s="803"/>
      <c r="H854" s="803"/>
      <c r="I854" s="803"/>
      <c r="J854" s="1"/>
      <c r="K854" s="1"/>
      <c r="L854" s="18"/>
      <c r="M854" s="64"/>
      <c r="N854" s="751">
        <f t="shared" si="123"/>
        <v>0</v>
      </c>
    </row>
    <row r="855" spans="2:14" s="321" customFormat="1" ht="16.5" x14ac:dyDescent="0.35">
      <c r="B855" s="16">
        <f t="shared" si="121"/>
        <v>14</v>
      </c>
      <c r="C855" s="1" t="s">
        <v>174</v>
      </c>
      <c r="D855" s="29" t="s">
        <v>145</v>
      </c>
      <c r="E855" s="16"/>
      <c r="F855" s="1334">
        <f>'WP II-I-1.1'!F304</f>
        <v>46359.29</v>
      </c>
      <c r="G855" s="1335">
        <f>'WP II-I-1.1'!G304</f>
        <v>8430729.4500000011</v>
      </c>
      <c r="H855" s="1335">
        <f>'WP II-I-1.1'!H304</f>
        <v>550312.69999999995</v>
      </c>
      <c r="I855" s="1336">
        <f>'WP II-I-1.1'!I304</f>
        <v>39833.15</v>
      </c>
      <c r="J855" s="238">
        <f>SUM(F855:I855)</f>
        <v>9067234.5899999999</v>
      </c>
      <c r="K855" s="238"/>
      <c r="L855" s="232">
        <f t="shared" si="119"/>
        <v>9020875.3000000007</v>
      </c>
      <c r="M855" s="45"/>
      <c r="N855" s="751">
        <f t="shared" si="123"/>
        <v>-8.9494278654456139E-10</v>
      </c>
    </row>
    <row r="856" spans="2:14" ht="15" x14ac:dyDescent="0.25">
      <c r="B856" s="16">
        <f t="shared" si="121"/>
        <v>15</v>
      </c>
      <c r="C856" s="1"/>
      <c r="D856" s="301"/>
      <c r="E856" s="16"/>
      <c r="F856" s="803"/>
      <c r="G856" s="803"/>
      <c r="H856" s="803"/>
      <c r="I856" s="803"/>
      <c r="J856" s="1"/>
      <c r="K856" s="1"/>
      <c r="L856" s="18"/>
      <c r="M856" s="64"/>
      <c r="N856" s="751">
        <f t="shared" si="123"/>
        <v>0</v>
      </c>
    </row>
    <row r="857" spans="2:14" ht="15" x14ac:dyDescent="0.25">
      <c r="B857" s="16">
        <f t="shared" si="121"/>
        <v>16</v>
      </c>
      <c r="C857" s="1"/>
      <c r="D857" s="301" t="s">
        <v>616</v>
      </c>
      <c r="E857" s="19" t="s">
        <v>262</v>
      </c>
      <c r="F857" s="805">
        <f>F853+F855</f>
        <v>92175.639999999985</v>
      </c>
      <c r="G857" s="805">
        <f>G853+G855</f>
        <v>94180490.039999977</v>
      </c>
      <c r="H857" s="805">
        <f>H853+H855</f>
        <v>13121562.350000009</v>
      </c>
      <c r="I857" s="805">
        <f>I853+I855</f>
        <v>96233.37</v>
      </c>
      <c r="J857" s="236">
        <f>SUM(F857:I857)</f>
        <v>107490461.39999999</v>
      </c>
      <c r="K857" s="236"/>
      <c r="L857" s="21">
        <f t="shared" si="119"/>
        <v>107398285.75999999</v>
      </c>
      <c r="M857" s="64"/>
      <c r="N857" s="751">
        <f t="shared" si="123"/>
        <v>6.1118043959140778E-10</v>
      </c>
    </row>
    <row r="858" spans="2:14" ht="15" x14ac:dyDescent="0.25">
      <c r="B858" s="16">
        <f t="shared" si="121"/>
        <v>17</v>
      </c>
      <c r="C858" s="1"/>
      <c r="D858" s="301"/>
      <c r="E858" s="16"/>
      <c r="F858" s="803"/>
      <c r="G858" s="803"/>
      <c r="H858" s="803"/>
      <c r="I858" s="803"/>
      <c r="J858" s="1"/>
      <c r="K858" s="1"/>
      <c r="L858" s="18"/>
      <c r="M858" s="64"/>
      <c r="N858" s="751">
        <f t="shared" si="123"/>
        <v>0</v>
      </c>
    </row>
    <row r="859" spans="2:14" ht="15" x14ac:dyDescent="0.25">
      <c r="B859" s="16">
        <f t="shared" si="121"/>
        <v>18</v>
      </c>
      <c r="C859" s="8"/>
      <c r="D859" s="301" t="s">
        <v>611</v>
      </c>
      <c r="E859" s="19" t="s">
        <v>262</v>
      </c>
      <c r="F859" s="805"/>
      <c r="G859" s="805"/>
      <c r="H859" s="805"/>
      <c r="I859" s="805"/>
      <c r="J859" s="8"/>
      <c r="K859" s="8"/>
      <c r="L859" s="21"/>
      <c r="M859" s="64"/>
      <c r="N859" s="751">
        <f t="shared" si="123"/>
        <v>0</v>
      </c>
    </row>
    <row r="860" spans="2:14" s="321" customFormat="1" x14ac:dyDescent="0.2">
      <c r="B860" s="16">
        <f t="shared" si="121"/>
        <v>19</v>
      </c>
      <c r="C860" s="1" t="s">
        <v>192</v>
      </c>
      <c r="D860" s="1" t="s">
        <v>164</v>
      </c>
      <c r="E860" s="16"/>
      <c r="F860" s="985">
        <f>'WP II-I-1.1'!F316</f>
        <v>0</v>
      </c>
      <c r="G860" s="986">
        <f>'WP II-I-1.1'!G316</f>
        <v>0</v>
      </c>
      <c r="H860" s="986">
        <f>'WP II-I-1.1'!H316</f>
        <v>0</v>
      </c>
      <c r="I860" s="987">
        <f>'WP II-I-1.1'!I316</f>
        <v>0</v>
      </c>
      <c r="J860" s="229">
        <f t="shared" ref="J860:J868" si="124">SUM(F860:I860)</f>
        <v>0</v>
      </c>
      <c r="K860" s="229"/>
      <c r="L860" s="17">
        <f t="shared" si="119"/>
        <v>0</v>
      </c>
      <c r="M860" s="45"/>
      <c r="N860" s="751">
        <f t="shared" si="123"/>
        <v>0</v>
      </c>
    </row>
    <row r="861" spans="2:14" s="321" customFormat="1" x14ac:dyDescent="0.2">
      <c r="B861" s="16">
        <f t="shared" si="121"/>
        <v>20</v>
      </c>
      <c r="C861" s="1" t="s">
        <v>193</v>
      </c>
      <c r="D861" s="29" t="s">
        <v>166</v>
      </c>
      <c r="E861" s="16"/>
      <c r="F861" s="980">
        <f>'WP II-I-1.1'!F317</f>
        <v>78613.179999999993</v>
      </c>
      <c r="G861" s="802">
        <f>'WP II-I-1.1'!G317</f>
        <v>6188260.0800000001</v>
      </c>
      <c r="H861" s="802">
        <f>'WP II-I-1.1'!H317</f>
        <v>0</v>
      </c>
      <c r="I861" s="981">
        <f>'WP II-I-1.1'!I317</f>
        <v>0</v>
      </c>
      <c r="J861" s="229">
        <f t="shared" si="124"/>
        <v>6266873.2599999998</v>
      </c>
      <c r="K861" s="229"/>
      <c r="L861" s="17">
        <f t="shared" si="119"/>
        <v>6188260.0800000001</v>
      </c>
      <c r="M861" s="45"/>
      <c r="N861" s="751">
        <f t="shared" si="123"/>
        <v>-2.9103830456733704E-10</v>
      </c>
    </row>
    <row r="862" spans="2:14" s="321" customFormat="1" x14ac:dyDescent="0.2">
      <c r="B862" s="16">
        <f t="shared" si="121"/>
        <v>21</v>
      </c>
      <c r="C862" s="1" t="s">
        <v>194</v>
      </c>
      <c r="D862" s="1" t="s">
        <v>168</v>
      </c>
      <c r="E862" s="16"/>
      <c r="F862" s="980">
        <f>'WP II-I-1.1'!F318</f>
        <v>3994.38</v>
      </c>
      <c r="G862" s="802">
        <f>'WP II-I-1.1'!G318</f>
        <v>38786429.539999999</v>
      </c>
      <c r="H862" s="802">
        <f>'WP II-I-1.1'!H318</f>
        <v>20671.66</v>
      </c>
      <c r="I862" s="981">
        <f>'WP II-I-1.1'!I318</f>
        <v>0</v>
      </c>
      <c r="J862" s="229">
        <f t="shared" si="124"/>
        <v>38811095.579999998</v>
      </c>
      <c r="K862" s="229"/>
      <c r="L862" s="17">
        <f t="shared" si="119"/>
        <v>38807101.199999996</v>
      </c>
      <c r="M862" s="45"/>
      <c r="N862" s="751">
        <f t="shared" si="123"/>
        <v>2.6820998755283654E-9</v>
      </c>
    </row>
    <row r="863" spans="2:14" s="321" customFormat="1" x14ac:dyDescent="0.2">
      <c r="B863" s="16">
        <f t="shared" si="121"/>
        <v>22</v>
      </c>
      <c r="C863" s="1" t="s">
        <v>195</v>
      </c>
      <c r="D863" s="1" t="s">
        <v>170</v>
      </c>
      <c r="E863" s="16"/>
      <c r="F863" s="980">
        <f>'WP II-I-1.1'!F319</f>
        <v>0</v>
      </c>
      <c r="G863" s="802">
        <f>'WP II-I-1.1'!G319</f>
        <v>9743951.3100000005</v>
      </c>
      <c r="H863" s="802">
        <f>'WP II-I-1.1'!H319</f>
        <v>16828.61</v>
      </c>
      <c r="I863" s="981">
        <f>'WP II-I-1.1'!I319</f>
        <v>0</v>
      </c>
      <c r="J863" s="229">
        <f t="shared" si="124"/>
        <v>9760779.9199999999</v>
      </c>
      <c r="K863" s="229"/>
      <c r="L863" s="17">
        <f t="shared" si="119"/>
        <v>9760779.9199999999</v>
      </c>
      <c r="M863" s="45"/>
      <c r="N863" s="751">
        <f t="shared" si="123"/>
        <v>0</v>
      </c>
    </row>
    <row r="864" spans="2:14" s="321" customFormat="1" x14ac:dyDescent="0.2">
      <c r="B864" s="16">
        <f t="shared" si="121"/>
        <v>23</v>
      </c>
      <c r="C864" s="1" t="s">
        <v>196</v>
      </c>
      <c r="D864" s="1" t="s">
        <v>197</v>
      </c>
      <c r="E864" s="16"/>
      <c r="F864" s="980">
        <f>'WP II-I-1.1'!F320</f>
        <v>0</v>
      </c>
      <c r="G864" s="802">
        <f>'WP II-I-1.1'!G320</f>
        <v>1406918.11</v>
      </c>
      <c r="H864" s="802">
        <f>'WP II-I-1.1'!H320</f>
        <v>13.87</v>
      </c>
      <c r="I864" s="981">
        <f>'WP II-I-1.1'!I320</f>
        <v>0</v>
      </c>
      <c r="J864" s="229">
        <f t="shared" si="124"/>
        <v>1406931.9800000002</v>
      </c>
      <c r="K864" s="229"/>
      <c r="L864" s="17">
        <f t="shared" si="119"/>
        <v>1406931.9800000002</v>
      </c>
      <c r="M864" s="45"/>
      <c r="N864" s="751">
        <f t="shared" si="123"/>
        <v>0</v>
      </c>
    </row>
    <row r="865" spans="2:15" s="321" customFormat="1" x14ac:dyDescent="0.2">
      <c r="B865" s="16">
        <f t="shared" si="121"/>
        <v>24</v>
      </c>
      <c r="C865" s="1" t="s">
        <v>198</v>
      </c>
      <c r="D865" s="1" t="s">
        <v>199</v>
      </c>
      <c r="E865" s="16"/>
      <c r="F865" s="980">
        <f>'WP II-I-1.1'!F321</f>
        <v>0</v>
      </c>
      <c r="G865" s="802">
        <f>'WP II-I-1.1'!G321</f>
        <v>335973.77</v>
      </c>
      <c r="H865" s="802">
        <f>'WP II-I-1.1'!H321</f>
        <v>4.1399999999999997</v>
      </c>
      <c r="I865" s="981">
        <f>'WP II-I-1.1'!I321</f>
        <v>0</v>
      </c>
      <c r="J865" s="229">
        <f t="shared" si="124"/>
        <v>335977.91000000003</v>
      </c>
      <c r="K865" s="229"/>
      <c r="L865" s="17">
        <f t="shared" ref="L865:L925" si="125">SUM(G865:I865)</f>
        <v>335977.91000000003</v>
      </c>
      <c r="M865" s="45"/>
      <c r="N865" s="751">
        <f t="shared" si="123"/>
        <v>0</v>
      </c>
    </row>
    <row r="866" spans="2:15" s="321" customFormat="1" x14ac:dyDescent="0.2">
      <c r="B866" s="16">
        <f t="shared" si="121"/>
        <v>25</v>
      </c>
      <c r="C866" s="1" t="s">
        <v>200</v>
      </c>
      <c r="D866" s="1" t="s">
        <v>201</v>
      </c>
      <c r="E866" s="16"/>
      <c r="F866" s="980">
        <f>'WP II-I-1.1'!F322</f>
        <v>0</v>
      </c>
      <c r="G866" s="802">
        <f>'WP II-I-1.1'!G322</f>
        <v>0</v>
      </c>
      <c r="H866" s="802">
        <f>'WP II-I-1.1'!H322</f>
        <v>15622947.98</v>
      </c>
      <c r="I866" s="981">
        <f>'WP II-I-1.1'!I322</f>
        <v>0</v>
      </c>
      <c r="J866" s="229">
        <f t="shared" si="124"/>
        <v>15622947.98</v>
      </c>
      <c r="K866" s="229"/>
      <c r="L866" s="17">
        <f t="shared" si="125"/>
        <v>15622947.98</v>
      </c>
      <c r="M866" s="45"/>
      <c r="N866" s="751">
        <f t="shared" si="123"/>
        <v>0</v>
      </c>
    </row>
    <row r="867" spans="2:15" s="321" customFormat="1" ht="16.5" x14ac:dyDescent="0.35">
      <c r="B867" s="16">
        <f t="shared" si="121"/>
        <v>26</v>
      </c>
      <c r="C867" s="1" t="s">
        <v>202</v>
      </c>
      <c r="D867" s="1" t="s">
        <v>203</v>
      </c>
      <c r="E867" s="16"/>
      <c r="F867" s="982">
        <f>'WP II-I-1.1'!F323</f>
        <v>0</v>
      </c>
      <c r="G867" s="983">
        <f>'WP II-I-1.1'!G323</f>
        <v>290636.13</v>
      </c>
      <c r="H867" s="983">
        <f>'WP II-I-1.1'!H323</f>
        <v>0</v>
      </c>
      <c r="I867" s="984">
        <f>'WP II-I-1.1'!I323</f>
        <v>0</v>
      </c>
      <c r="J867" s="238">
        <f t="shared" si="124"/>
        <v>290636.13</v>
      </c>
      <c r="K867" s="238"/>
      <c r="L867" s="232">
        <f t="shared" si="125"/>
        <v>290636.13</v>
      </c>
      <c r="M867" s="45"/>
      <c r="N867" s="751">
        <f t="shared" si="123"/>
        <v>0</v>
      </c>
    </row>
    <row r="868" spans="2:15" ht="15" x14ac:dyDescent="0.25">
      <c r="B868" s="16">
        <f t="shared" si="121"/>
        <v>27</v>
      </c>
      <c r="C868" s="8"/>
      <c r="D868" s="24" t="s">
        <v>617</v>
      </c>
      <c r="E868" s="19"/>
      <c r="F868" s="805">
        <f>SUM(F860:F867)</f>
        <v>82607.56</v>
      </c>
      <c r="G868" s="805">
        <f>SUM(G860:G867)</f>
        <v>56752168.940000005</v>
      </c>
      <c r="H868" s="805">
        <f>SUM(H860:H867)</f>
        <v>15660466.26</v>
      </c>
      <c r="I868" s="805">
        <f>SUM(I860:I867)</f>
        <v>0</v>
      </c>
      <c r="J868" s="236">
        <f t="shared" si="124"/>
        <v>72495242.760000005</v>
      </c>
      <c r="K868" s="236"/>
      <c r="L868" s="21">
        <f t="shared" si="125"/>
        <v>72412635.200000003</v>
      </c>
      <c r="M868" s="64"/>
      <c r="N868" s="751">
        <f t="shared" si="123"/>
        <v>2.3865140974521637E-9</v>
      </c>
    </row>
    <row r="869" spans="2:15" ht="15" x14ac:dyDescent="0.25">
      <c r="B869" s="16">
        <f t="shared" si="121"/>
        <v>28</v>
      </c>
      <c r="C869" s="1"/>
      <c r="D869" s="301"/>
      <c r="E869" s="16"/>
      <c r="F869" s="803"/>
      <c r="G869" s="803"/>
      <c r="H869" s="803"/>
      <c r="I869" s="803"/>
      <c r="J869" s="1"/>
      <c r="K869" s="1"/>
      <c r="L869" s="18"/>
      <c r="M869" s="64"/>
      <c r="N869" s="751">
        <f t="shared" si="123"/>
        <v>0</v>
      </c>
    </row>
    <row r="870" spans="2:15" s="321" customFormat="1" ht="16.5" x14ac:dyDescent="0.35">
      <c r="B870" s="16">
        <f t="shared" si="121"/>
        <v>29</v>
      </c>
      <c r="C870" s="1" t="s">
        <v>191</v>
      </c>
      <c r="D870" s="29" t="s">
        <v>162</v>
      </c>
      <c r="E870" s="16"/>
      <c r="F870" s="1334">
        <f>'WP II-I-1.1'!F315</f>
        <v>27874.75</v>
      </c>
      <c r="G870" s="1335">
        <f>'WP II-I-1.1'!G315</f>
        <v>2417660.5</v>
      </c>
      <c r="H870" s="1335">
        <f>'WP II-I-1.1'!H315</f>
        <v>641659.92000000004</v>
      </c>
      <c r="I870" s="1336">
        <f>'WP II-I-1.1'!I315</f>
        <v>0</v>
      </c>
      <c r="J870" s="238">
        <f>SUM(F870:I870)</f>
        <v>3087195.17</v>
      </c>
      <c r="K870" s="238"/>
      <c r="L870" s="232">
        <f t="shared" si="125"/>
        <v>3059320.42</v>
      </c>
      <c r="M870" s="45"/>
      <c r="N870" s="751">
        <f t="shared" si="123"/>
        <v>0</v>
      </c>
    </row>
    <row r="871" spans="2:15" ht="15" x14ac:dyDescent="0.25">
      <c r="B871" s="16">
        <f t="shared" si="121"/>
        <v>30</v>
      </c>
      <c r="C871" s="1"/>
      <c r="D871" s="301"/>
      <c r="E871" s="16"/>
      <c r="F871" s="803"/>
      <c r="G871" s="803"/>
      <c r="H871" s="803"/>
      <c r="I871" s="803"/>
      <c r="J871" s="1"/>
      <c r="K871" s="1"/>
      <c r="L871" s="18">
        <f t="shared" si="125"/>
        <v>0</v>
      </c>
      <c r="M871" s="64"/>
      <c r="N871" s="751">
        <f t="shared" si="123"/>
        <v>0</v>
      </c>
    </row>
    <row r="872" spans="2:15" ht="15" x14ac:dyDescent="0.25">
      <c r="B872" s="16">
        <f t="shared" si="121"/>
        <v>31</v>
      </c>
      <c r="C872" s="1"/>
      <c r="D872" s="301" t="s">
        <v>618</v>
      </c>
      <c r="E872" s="19" t="s">
        <v>262</v>
      </c>
      <c r="F872" s="805">
        <f>F868+F870</f>
        <v>110482.31</v>
      </c>
      <c r="G872" s="805">
        <f>G868+G870</f>
        <v>59169829.440000005</v>
      </c>
      <c r="H872" s="805">
        <f>H868+H870</f>
        <v>16302126.18</v>
      </c>
      <c r="I872" s="805">
        <f>I868+I870</f>
        <v>0</v>
      </c>
      <c r="J872" s="236">
        <f>SUM(F872:I872)</f>
        <v>75582437.930000007</v>
      </c>
      <c r="K872" s="236"/>
      <c r="L872" s="21">
        <f t="shared" si="125"/>
        <v>75471955.620000005</v>
      </c>
      <c r="M872" s="64"/>
      <c r="N872" s="751">
        <f t="shared" si="123"/>
        <v>2.3865140974521637E-9</v>
      </c>
    </row>
    <row r="873" spans="2:15" ht="15.75" thickBot="1" x14ac:dyDescent="0.3">
      <c r="B873" s="16">
        <f t="shared" si="121"/>
        <v>32</v>
      </c>
      <c r="C873" s="1"/>
      <c r="D873" s="301"/>
      <c r="E873" s="16"/>
      <c r="F873" s="803"/>
      <c r="G873" s="803"/>
      <c r="H873" s="803"/>
      <c r="I873" s="803"/>
      <c r="J873" s="1"/>
      <c r="K873" s="1"/>
      <c r="L873" s="18"/>
      <c r="M873" s="64"/>
      <c r="N873" s="751">
        <f t="shared" si="123"/>
        <v>0</v>
      </c>
    </row>
    <row r="874" spans="2:15" ht="15.75" thickBot="1" x14ac:dyDescent="0.3">
      <c r="B874" s="16">
        <f t="shared" si="121"/>
        <v>33</v>
      </c>
      <c r="C874" s="779" t="s">
        <v>619</v>
      </c>
      <c r="D874" s="920"/>
      <c r="E874" s="916" t="s">
        <v>262</v>
      </c>
      <c r="F874" s="917">
        <f>F857+F872</f>
        <v>202657.94999999998</v>
      </c>
      <c r="G874" s="917">
        <f>G857+G872</f>
        <v>153350319.47999999</v>
      </c>
      <c r="H874" s="917">
        <f>H857+H872</f>
        <v>29423688.530000009</v>
      </c>
      <c r="I874" s="917">
        <f>I857+I872</f>
        <v>96233.37</v>
      </c>
      <c r="J874" s="918">
        <f>SUM(F874:I874)</f>
        <v>183072899.32999998</v>
      </c>
      <c r="K874" s="236"/>
      <c r="L874" s="805">
        <f t="shared" si="125"/>
        <v>182870241.38</v>
      </c>
      <c r="M874" s="64"/>
      <c r="N874" s="751">
        <f t="shared" si="123"/>
        <v>-1.1903466656804085E-8</v>
      </c>
      <c r="O874" s="305"/>
    </row>
    <row r="875" spans="2:15" ht="15.75" thickBot="1" x14ac:dyDescent="0.3">
      <c r="B875" s="783"/>
      <c r="C875" s="783"/>
      <c r="D875" s="783"/>
      <c r="E875" s="783"/>
      <c r="F875" s="783"/>
      <c r="G875" s="783"/>
      <c r="H875" s="783"/>
      <c r="I875" s="783"/>
      <c r="J875" s="783"/>
      <c r="K875" s="783"/>
      <c r="L875" s="783"/>
      <c r="M875" s="64"/>
      <c r="N875" s="751">
        <f t="shared" si="123"/>
        <v>0</v>
      </c>
    </row>
    <row r="876" spans="2:15" ht="15" x14ac:dyDescent="0.25">
      <c r="B876" s="829" t="str">
        <f>$B$4</f>
        <v>2025 RATE CASE</v>
      </c>
      <c r="C876" s="835"/>
      <c r="D876" s="836"/>
      <c r="E876" s="783"/>
      <c r="F876" s="783"/>
      <c r="G876" s="783"/>
      <c r="H876" s="783"/>
      <c r="I876" s="783"/>
      <c r="J876" s="783"/>
      <c r="K876" s="783"/>
      <c r="L876" s="783"/>
      <c r="M876" s="105" t="str">
        <f>$M$2</f>
        <v xml:space="preserve"> </v>
      </c>
      <c r="N876" s="751">
        <f t="shared" si="123"/>
        <v>0</v>
      </c>
    </row>
    <row r="877" spans="2:15" ht="15" x14ac:dyDescent="0.25">
      <c r="B877" s="826" t="str">
        <f>$B$5</f>
        <v>ONCOR ELECTRIC DELIVERY COMPANY LLC</v>
      </c>
      <c r="C877" s="304"/>
      <c r="D877" s="837"/>
      <c r="E877" s="783"/>
      <c r="F877" s="783"/>
      <c r="G877" s="783"/>
      <c r="H877" s="783"/>
      <c r="I877" s="783"/>
      <c r="J877" s="783"/>
      <c r="K877" s="783"/>
      <c r="L877" s="783"/>
      <c r="M877" s="64"/>
      <c r="N877" s="751">
        <f t="shared" si="123"/>
        <v>0</v>
      </c>
    </row>
    <row r="878" spans="2:15" ht="15" x14ac:dyDescent="0.25">
      <c r="B878" s="341" t="str">
        <f>$B$6</f>
        <v>CONSOLIDATED FUNCTIONALIZED COST OF SERVICE</v>
      </c>
      <c r="C878" s="304"/>
      <c r="D878" s="837"/>
      <c r="E878" s="783"/>
      <c r="F878" s="783"/>
      <c r="G878" s="783"/>
      <c r="H878" s="783"/>
      <c r="I878" s="783"/>
      <c r="J878" s="783"/>
      <c r="K878" s="783"/>
      <c r="L878" s="783"/>
      <c r="M878" s="64"/>
      <c r="N878" s="751">
        <f t="shared" si="123"/>
        <v>0</v>
      </c>
    </row>
    <row r="879" spans="2:15" ht="15" x14ac:dyDescent="0.25">
      <c r="B879" s="341" t="str">
        <f>$B$7</f>
        <v>TEST YEAR ENDING 12/31/2024</v>
      </c>
      <c r="C879" s="304"/>
      <c r="D879" s="837"/>
      <c r="E879" s="783"/>
      <c r="F879" s="783"/>
      <c r="G879" s="783"/>
      <c r="H879" s="783"/>
      <c r="I879" s="783"/>
      <c r="J879" s="783"/>
      <c r="K879" s="783"/>
      <c r="L879" s="783"/>
      <c r="M879" s="64"/>
      <c r="N879" s="751">
        <f t="shared" si="123"/>
        <v>0</v>
      </c>
    </row>
    <row r="880" spans="2:15" ht="15.75" x14ac:dyDescent="0.25">
      <c r="B880" s="341" t="str">
        <f>$B$8</f>
        <v>SPONSOR:  MATTHEW A. TROXLE</v>
      </c>
      <c r="C880" s="752"/>
      <c r="D880" s="830"/>
      <c r="E880" s="64"/>
      <c r="F880" s="589"/>
      <c r="G880" s="589"/>
      <c r="H880" s="589"/>
      <c r="I880" s="589"/>
      <c r="J880" s="64"/>
      <c r="K880" s="64"/>
      <c r="L880" s="64"/>
      <c r="M880" s="64"/>
      <c r="N880" s="751">
        <f t="shared" si="123"/>
        <v>0</v>
      </c>
    </row>
    <row r="881" spans="2:14" ht="15.75" thickBot="1" x14ac:dyDescent="0.3">
      <c r="B881" s="345"/>
      <c r="C881" s="840"/>
      <c r="D881" s="841"/>
      <c r="E881" s="304"/>
      <c r="F881" s="304"/>
      <c r="G881" s="304"/>
      <c r="H881" s="304"/>
      <c r="I881" s="304"/>
      <c r="J881" s="304"/>
      <c r="K881" s="304"/>
      <c r="L881" s="304"/>
      <c r="M881" s="64"/>
      <c r="N881" s="751">
        <f t="shared" si="123"/>
        <v>0</v>
      </c>
    </row>
    <row r="882" spans="2:14" x14ac:dyDescent="0.2">
      <c r="B882" s="12"/>
      <c r="C882" s="13"/>
      <c r="D882" s="13"/>
      <c r="E882" s="13"/>
      <c r="F882" s="988" t="s">
        <v>6</v>
      </c>
      <c r="G882" s="655" t="s">
        <v>7</v>
      </c>
      <c r="H882" s="655" t="s">
        <v>8</v>
      </c>
      <c r="I882" s="855" t="s">
        <v>9</v>
      </c>
      <c r="J882" s="12" t="s">
        <v>10</v>
      </c>
      <c r="K882" s="16"/>
      <c r="L882" s="110" t="s">
        <v>907</v>
      </c>
      <c r="M882" s="64"/>
      <c r="N882" s="751"/>
    </row>
    <row r="883" spans="2:14" ht="15" x14ac:dyDescent="0.25">
      <c r="B883" s="14" t="s">
        <v>2</v>
      </c>
      <c r="C883" s="14" t="s">
        <v>349</v>
      </c>
      <c r="D883" s="226" t="s">
        <v>620</v>
      </c>
      <c r="E883" s="14" t="s">
        <v>350</v>
      </c>
      <c r="F883" s="661"/>
      <c r="G883" s="660"/>
      <c r="H883" s="660"/>
      <c r="I883" s="660"/>
      <c r="J883" s="14"/>
      <c r="K883" s="16"/>
      <c r="L883" s="93" t="s">
        <v>908</v>
      </c>
      <c r="M883" s="64"/>
      <c r="N883" s="751"/>
    </row>
    <row r="884" spans="2:14" x14ac:dyDescent="0.2">
      <c r="B884" s="14"/>
      <c r="C884" s="14"/>
      <c r="D884" s="14"/>
      <c r="E884" s="14"/>
      <c r="F884" s="661"/>
      <c r="G884" s="660"/>
      <c r="H884" s="660"/>
      <c r="I884" s="660"/>
      <c r="J884" s="14"/>
      <c r="K884" s="16"/>
      <c r="L884" s="93"/>
      <c r="M884" s="64"/>
      <c r="N884" s="751"/>
    </row>
    <row r="885" spans="2:14" ht="15" thickBot="1" x14ac:dyDescent="0.25">
      <c r="B885" s="15"/>
      <c r="C885" s="15" t="s">
        <v>13</v>
      </c>
      <c r="D885" s="15" t="s">
        <v>14</v>
      </c>
      <c r="E885" s="15" t="s">
        <v>15</v>
      </c>
      <c r="F885" s="664" t="s">
        <v>16</v>
      </c>
      <c r="G885" s="664" t="s">
        <v>17</v>
      </c>
      <c r="H885" s="664" t="s">
        <v>18</v>
      </c>
      <c r="I885" s="664" t="s">
        <v>21</v>
      </c>
      <c r="J885" s="15" t="s">
        <v>22</v>
      </c>
      <c r="K885" s="16"/>
      <c r="L885" s="997" t="s">
        <v>397</v>
      </c>
      <c r="M885" s="64"/>
      <c r="N885" s="751"/>
    </row>
    <row r="886" spans="2:14" x14ac:dyDescent="0.2">
      <c r="B886" s="64"/>
      <c r="C886" s="96"/>
      <c r="D886" s="96"/>
      <c r="E886" s="251"/>
      <c r="F886" s="674"/>
      <c r="G886" s="674"/>
      <c r="H886" s="647"/>
      <c r="I886" s="647"/>
      <c r="J886" s="1"/>
      <c r="K886" s="1"/>
      <c r="L886" s="1"/>
      <c r="M886" s="64"/>
      <c r="N886" s="751"/>
    </row>
    <row r="887" spans="2:14" ht="15" x14ac:dyDescent="0.25">
      <c r="B887" s="16">
        <f t="shared" ref="B887:B925" si="126">B886+1</f>
        <v>1</v>
      </c>
      <c r="C887" s="8"/>
      <c r="D887" s="301" t="s">
        <v>266</v>
      </c>
      <c r="E887" s="19" t="s">
        <v>262</v>
      </c>
      <c r="F887" s="805"/>
      <c r="G887" s="8"/>
      <c r="H887" s="8"/>
      <c r="I887" s="8"/>
      <c r="J887" s="8"/>
      <c r="K887" s="8"/>
      <c r="L887" s="8"/>
      <c r="M887" s="64"/>
      <c r="N887" s="751"/>
    </row>
    <row r="888" spans="2:14" s="321" customFormat="1" x14ac:dyDescent="0.2">
      <c r="B888" s="16">
        <f t="shared" si="126"/>
        <v>2</v>
      </c>
      <c r="C888" s="1" t="s">
        <v>207</v>
      </c>
      <c r="D888" s="1" t="s">
        <v>208</v>
      </c>
      <c r="E888" s="16"/>
      <c r="F888" s="985">
        <f>'WP II-I-1.1'!F328</f>
        <v>0</v>
      </c>
      <c r="G888" s="986">
        <f>'WP II-I-1.1'!G328</f>
        <v>0</v>
      </c>
      <c r="H888" s="986">
        <f>'WP II-I-1.1'!H328</f>
        <v>0</v>
      </c>
      <c r="I888" s="987">
        <f>'WP II-I-1.1'!I328</f>
        <v>0</v>
      </c>
      <c r="J888" s="229">
        <f>SUM(F888:I888)</f>
        <v>0</v>
      </c>
      <c r="K888" s="229"/>
      <c r="L888" s="17">
        <f t="shared" si="125"/>
        <v>0</v>
      </c>
      <c r="M888" s="45"/>
      <c r="N888" s="751">
        <f t="shared" si="123"/>
        <v>0</v>
      </c>
    </row>
    <row r="889" spans="2:14" s="321" customFormat="1" ht="16.5" x14ac:dyDescent="0.35">
      <c r="B889" s="16">
        <f t="shared" si="126"/>
        <v>3</v>
      </c>
      <c r="C889" s="1" t="s">
        <v>209</v>
      </c>
      <c r="D889" s="1" t="s">
        <v>210</v>
      </c>
      <c r="E889" s="16"/>
      <c r="F889" s="982">
        <f>'WP II-I-1.1'!F329</f>
        <v>0</v>
      </c>
      <c r="G889" s="983">
        <f>'WP II-I-1.1'!G329</f>
        <v>0</v>
      </c>
      <c r="H889" s="983">
        <f>'WP II-I-1.1'!H329</f>
        <v>9310677.7999999989</v>
      </c>
      <c r="I889" s="984">
        <f>'WP II-I-1.1'!I329</f>
        <v>1479495.79</v>
      </c>
      <c r="J889" s="238">
        <f>SUM(F889:I889)</f>
        <v>10790173.59</v>
      </c>
      <c r="K889" s="238"/>
      <c r="L889" s="232">
        <f t="shared" si="125"/>
        <v>10790173.59</v>
      </c>
      <c r="M889" s="45"/>
      <c r="N889" s="751">
        <f t="shared" si="123"/>
        <v>0</v>
      </c>
    </row>
    <row r="890" spans="2:14" ht="15" x14ac:dyDescent="0.25">
      <c r="B890" s="16">
        <f t="shared" si="126"/>
        <v>4</v>
      </c>
      <c r="C890" s="8"/>
      <c r="D890" s="24" t="s">
        <v>598</v>
      </c>
      <c r="E890" s="19"/>
      <c r="F890" s="805">
        <f>+F888+F889</f>
        <v>0</v>
      </c>
      <c r="G890" s="805">
        <f>+G888+G889</f>
        <v>0</v>
      </c>
      <c r="H890" s="805">
        <f>+H888+H889</f>
        <v>9310677.7999999989</v>
      </c>
      <c r="I890" s="805">
        <f>+I888+I889</f>
        <v>1479495.79</v>
      </c>
      <c r="J890" s="235">
        <f>SUM(F890:I890)</f>
        <v>10790173.59</v>
      </c>
      <c r="K890" s="236"/>
      <c r="L890" s="21">
        <f t="shared" si="125"/>
        <v>10790173.59</v>
      </c>
      <c r="M890" s="64"/>
      <c r="N890" s="751">
        <f t="shared" si="123"/>
        <v>0</v>
      </c>
    </row>
    <row r="891" spans="2:14" ht="15" x14ac:dyDescent="0.25">
      <c r="B891" s="16">
        <f t="shared" si="126"/>
        <v>5</v>
      </c>
      <c r="C891" s="1"/>
      <c r="D891" s="24"/>
      <c r="E891" s="16"/>
      <c r="F891" s="803"/>
      <c r="G891" s="803"/>
      <c r="H891" s="803"/>
      <c r="I891" s="803"/>
      <c r="J891" s="1"/>
      <c r="K891" s="1"/>
      <c r="L891" s="18">
        <f t="shared" si="125"/>
        <v>0</v>
      </c>
      <c r="M891" s="64"/>
      <c r="N891" s="751">
        <f t="shared" si="123"/>
        <v>0</v>
      </c>
    </row>
    <row r="892" spans="2:14" s="321" customFormat="1" x14ac:dyDescent="0.2">
      <c r="B892" s="16">
        <f t="shared" si="126"/>
        <v>6</v>
      </c>
      <c r="C892" s="1" t="s">
        <v>205</v>
      </c>
      <c r="D892" s="1" t="s">
        <v>206</v>
      </c>
      <c r="E892" s="16"/>
      <c r="F892" s="985">
        <f>'WP II-I-1.1'!F327</f>
        <v>0</v>
      </c>
      <c r="G892" s="986">
        <f>'WP II-I-1.1'!G327</f>
        <v>107858</v>
      </c>
      <c r="H892" s="986">
        <f>'WP II-I-1.1'!H327</f>
        <v>0</v>
      </c>
      <c r="I892" s="987">
        <f>'WP II-I-1.1'!I327</f>
        <v>0</v>
      </c>
      <c r="J892" s="229">
        <f>SUM(F892:I892)</f>
        <v>107858</v>
      </c>
      <c r="K892" s="229"/>
      <c r="L892" s="17">
        <f t="shared" si="125"/>
        <v>107858</v>
      </c>
      <c r="M892" s="45"/>
      <c r="N892" s="751">
        <f t="shared" si="123"/>
        <v>0</v>
      </c>
    </row>
    <row r="893" spans="2:14" s="321" customFormat="1" x14ac:dyDescent="0.2">
      <c r="B893" s="16">
        <f t="shared" si="126"/>
        <v>7</v>
      </c>
      <c r="C893" s="1" t="s">
        <v>211</v>
      </c>
      <c r="D893" s="1" t="s">
        <v>212</v>
      </c>
      <c r="E893" s="16"/>
      <c r="F893" s="980">
        <f>'WP II-I-1.1'!F330</f>
        <v>0</v>
      </c>
      <c r="G893" s="802">
        <f>'WP II-I-1.1'!G330</f>
        <v>0</v>
      </c>
      <c r="H893" s="802">
        <f>'WP II-I-1.1'!H330</f>
        <v>0</v>
      </c>
      <c r="I893" s="981">
        <f>'WP II-I-1.1'!I330</f>
        <v>0</v>
      </c>
      <c r="J893" s="229">
        <f>SUM(F893:I893)</f>
        <v>0</v>
      </c>
      <c r="K893" s="229"/>
      <c r="L893" s="17">
        <f t="shared" si="125"/>
        <v>0</v>
      </c>
      <c r="M893" s="45"/>
      <c r="N893" s="751">
        <f t="shared" si="123"/>
        <v>0</v>
      </c>
    </row>
    <row r="894" spans="2:14" s="321" customFormat="1" ht="16.5" x14ac:dyDescent="0.35">
      <c r="B894" s="16">
        <f t="shared" si="126"/>
        <v>8</v>
      </c>
      <c r="C894" s="1" t="s">
        <v>213</v>
      </c>
      <c r="D894" s="29" t="s">
        <v>214</v>
      </c>
      <c r="E894" s="16"/>
      <c r="F894" s="982">
        <f>'WP II-I-1.1'!F331</f>
        <v>0</v>
      </c>
      <c r="G894" s="983">
        <f>'WP II-I-1.1'!G331</f>
        <v>0</v>
      </c>
      <c r="H894" s="983">
        <f>'WP II-I-1.1'!H331</f>
        <v>0</v>
      </c>
      <c r="I894" s="984">
        <f>'WP II-I-1.1'!I331</f>
        <v>0</v>
      </c>
      <c r="J894" s="238">
        <f>SUM(F894:I894)</f>
        <v>0</v>
      </c>
      <c r="K894" s="238"/>
      <c r="L894" s="232">
        <f t="shared" si="125"/>
        <v>0</v>
      </c>
      <c r="M894" s="45"/>
      <c r="N894" s="751">
        <f t="shared" si="123"/>
        <v>0</v>
      </c>
    </row>
    <row r="895" spans="2:14" ht="15" x14ac:dyDescent="0.25">
      <c r="B895" s="16">
        <f t="shared" si="126"/>
        <v>9</v>
      </c>
      <c r="C895" s="8"/>
      <c r="D895" s="24" t="s">
        <v>621</v>
      </c>
      <c r="E895" s="19"/>
      <c r="F895" s="805">
        <f>SUM(F892:F894)</f>
        <v>0</v>
      </c>
      <c r="G895" s="805">
        <f>SUM(G892:G894)</f>
        <v>107858</v>
      </c>
      <c r="H895" s="805">
        <f>SUM(H892:H894)</f>
        <v>0</v>
      </c>
      <c r="I895" s="805">
        <f>SUM(I892:I894)</f>
        <v>0</v>
      </c>
      <c r="J895" s="235">
        <f>SUM(F895:I895)</f>
        <v>107858</v>
      </c>
      <c r="K895" s="236"/>
      <c r="L895" s="21">
        <f t="shared" si="125"/>
        <v>107858</v>
      </c>
      <c r="M895" s="64"/>
      <c r="N895" s="751">
        <f t="shared" si="123"/>
        <v>0</v>
      </c>
    </row>
    <row r="896" spans="2:14" ht="15" x14ac:dyDescent="0.25">
      <c r="B896" s="16">
        <f t="shared" si="126"/>
        <v>10</v>
      </c>
      <c r="C896" s="1"/>
      <c r="D896" s="24"/>
      <c r="E896" s="16"/>
      <c r="F896" s="803"/>
      <c r="G896" s="803"/>
      <c r="H896" s="803"/>
      <c r="I896" s="803"/>
      <c r="J896" s="1"/>
      <c r="K896" s="1"/>
      <c r="L896" s="18">
        <f t="shared" si="125"/>
        <v>0</v>
      </c>
      <c r="M896" s="64"/>
      <c r="N896" s="751">
        <f t="shared" si="123"/>
        <v>0</v>
      </c>
    </row>
    <row r="897" spans="2:14" ht="15" x14ac:dyDescent="0.25">
      <c r="B897" s="16">
        <f t="shared" si="126"/>
        <v>11</v>
      </c>
      <c r="C897" s="8"/>
      <c r="D897" s="233" t="s">
        <v>622</v>
      </c>
      <c r="E897" s="19"/>
      <c r="F897" s="805">
        <f>+F890+F895</f>
        <v>0</v>
      </c>
      <c r="G897" s="805">
        <f>+G890+G895</f>
        <v>107858</v>
      </c>
      <c r="H897" s="805">
        <f>+H890+H895</f>
        <v>9310677.7999999989</v>
      </c>
      <c r="I897" s="805">
        <f>+I890+I895</f>
        <v>1479495.79</v>
      </c>
      <c r="J897" s="235">
        <f>SUM(F897:I897)</f>
        <v>10898031.59</v>
      </c>
      <c r="K897" s="236"/>
      <c r="L897" s="21">
        <f t="shared" si="125"/>
        <v>10898031.59</v>
      </c>
      <c r="M897" s="64"/>
      <c r="N897" s="751">
        <f t="shared" si="123"/>
        <v>0</v>
      </c>
    </row>
    <row r="898" spans="2:14" x14ac:dyDescent="0.2">
      <c r="B898" s="16">
        <f t="shared" si="126"/>
        <v>12</v>
      </c>
      <c r="C898" s="1"/>
      <c r="D898" s="1"/>
      <c r="E898" s="16"/>
      <c r="F898" s="803"/>
      <c r="G898" s="803"/>
      <c r="H898" s="803"/>
      <c r="I898" s="803"/>
      <c r="J898" s="1"/>
      <c r="K898" s="1"/>
      <c r="L898" s="18">
        <f t="shared" si="125"/>
        <v>0</v>
      </c>
      <c r="M898" s="64"/>
      <c r="N898" s="751">
        <f t="shared" si="123"/>
        <v>0</v>
      </c>
    </row>
    <row r="899" spans="2:14" ht="15" x14ac:dyDescent="0.25">
      <c r="B899" s="16">
        <f t="shared" si="126"/>
        <v>13</v>
      </c>
      <c r="C899" s="8"/>
      <c r="D899" s="301" t="s">
        <v>623</v>
      </c>
      <c r="E899" s="19" t="s">
        <v>262</v>
      </c>
      <c r="F899" s="805"/>
      <c r="G899" s="805"/>
      <c r="H899" s="805"/>
      <c r="I899" s="805"/>
      <c r="J899" s="8"/>
      <c r="K899" s="8"/>
      <c r="L899" s="21">
        <f t="shared" si="125"/>
        <v>0</v>
      </c>
      <c r="M899" s="64"/>
      <c r="N899" s="751">
        <f t="shared" si="123"/>
        <v>0</v>
      </c>
    </row>
    <row r="900" spans="2:14" s="321" customFormat="1" x14ac:dyDescent="0.2">
      <c r="B900" s="16">
        <f t="shared" si="126"/>
        <v>14</v>
      </c>
      <c r="C900" s="1" t="s">
        <v>216</v>
      </c>
      <c r="D900" s="1" t="s">
        <v>217</v>
      </c>
      <c r="E900" s="16"/>
      <c r="F900" s="985">
        <f>'WP II-I-1.1'!F333</f>
        <v>0</v>
      </c>
      <c r="G900" s="986">
        <f>'WP II-I-1.1'!G333</f>
        <v>0</v>
      </c>
      <c r="H900" s="986">
        <f>'WP II-I-1.1'!H333</f>
        <v>0</v>
      </c>
      <c r="I900" s="987">
        <f>'WP II-I-1.1'!I333</f>
        <v>0</v>
      </c>
      <c r="J900" s="229">
        <f>SUM(F900:I900)</f>
        <v>0</v>
      </c>
      <c r="K900" s="229"/>
      <c r="L900" s="17">
        <f t="shared" si="125"/>
        <v>0</v>
      </c>
      <c r="M900" s="45"/>
      <c r="N900" s="751">
        <f t="shared" si="123"/>
        <v>0</v>
      </c>
    </row>
    <row r="901" spans="2:14" s="321" customFormat="1" x14ac:dyDescent="0.2">
      <c r="B901" s="16">
        <f t="shared" si="126"/>
        <v>15</v>
      </c>
      <c r="C901" s="1" t="s">
        <v>219</v>
      </c>
      <c r="D901" s="29" t="s">
        <v>220</v>
      </c>
      <c r="E901" s="16"/>
      <c r="F901" s="980">
        <f>'WP II-I-1.1'!F335</f>
        <v>0</v>
      </c>
      <c r="G901" s="802">
        <f>'WP II-I-1.1'!G335</f>
        <v>0</v>
      </c>
      <c r="H901" s="802">
        <f>'WP II-I-1.1'!H335</f>
        <v>0</v>
      </c>
      <c r="I901" s="981">
        <f>'WP II-I-1.1'!I335</f>
        <v>12000</v>
      </c>
      <c r="J901" s="229">
        <f>SUM(F901:I901)</f>
        <v>12000</v>
      </c>
      <c r="K901" s="229"/>
      <c r="L901" s="17">
        <f t="shared" si="125"/>
        <v>12000</v>
      </c>
      <c r="M901" s="45"/>
      <c r="N901" s="751">
        <f t="shared" si="123"/>
        <v>0</v>
      </c>
    </row>
    <row r="902" spans="2:14" s="321" customFormat="1" ht="16.5" x14ac:dyDescent="0.35">
      <c r="B902" s="16">
        <f t="shared" si="126"/>
        <v>16</v>
      </c>
      <c r="C902" s="1" t="s">
        <v>221</v>
      </c>
      <c r="D902" s="1" t="s">
        <v>222</v>
      </c>
      <c r="E902" s="16"/>
      <c r="F902" s="982">
        <f>'WP II-I-1.1'!F336</f>
        <v>0</v>
      </c>
      <c r="G902" s="983">
        <f>'WP II-I-1.1'!G336</f>
        <v>0</v>
      </c>
      <c r="H902" s="983">
        <f>'WP II-I-1.1'!H336</f>
        <v>0</v>
      </c>
      <c r="I902" s="984">
        <f>'WP II-I-1.1'!I336</f>
        <v>0</v>
      </c>
      <c r="J902" s="238">
        <f>SUM(F902:I902)</f>
        <v>0</v>
      </c>
      <c r="K902" s="238"/>
      <c r="L902" s="232">
        <f t="shared" si="125"/>
        <v>0</v>
      </c>
      <c r="M902" s="45"/>
      <c r="N902" s="751">
        <f t="shared" si="123"/>
        <v>0</v>
      </c>
    </row>
    <row r="903" spans="2:14" ht="15" x14ac:dyDescent="0.25">
      <c r="B903" s="16">
        <f t="shared" si="126"/>
        <v>17</v>
      </c>
      <c r="C903" s="8"/>
      <c r="D903" s="24" t="s">
        <v>624</v>
      </c>
      <c r="E903" s="19"/>
      <c r="F903" s="805">
        <f>SUM(F900:F902)</f>
        <v>0</v>
      </c>
      <c r="G903" s="805">
        <f>SUM(G900:G902)</f>
        <v>0</v>
      </c>
      <c r="H903" s="805">
        <f>SUM(H900:H902)</f>
        <v>0</v>
      </c>
      <c r="I903" s="805">
        <f>SUM(I900:I902)</f>
        <v>12000</v>
      </c>
      <c r="J903" s="235">
        <f>SUM(F903:I903)</f>
        <v>12000</v>
      </c>
      <c r="K903" s="236"/>
      <c r="L903" s="21">
        <f t="shared" si="125"/>
        <v>12000</v>
      </c>
      <c r="M903" s="64"/>
      <c r="N903" s="751">
        <f t="shared" si="123"/>
        <v>0</v>
      </c>
    </row>
    <row r="904" spans="2:14" x14ac:dyDescent="0.2">
      <c r="B904" s="16">
        <f t="shared" si="126"/>
        <v>18</v>
      </c>
      <c r="C904" s="1"/>
      <c r="D904" s="1"/>
      <c r="E904" s="16"/>
      <c r="F904" s="803"/>
      <c r="G904" s="803"/>
      <c r="H904" s="803"/>
      <c r="I904" s="803"/>
      <c r="J904" s="1"/>
      <c r="K904" s="1"/>
      <c r="L904" s="18">
        <f t="shared" si="125"/>
        <v>0</v>
      </c>
      <c r="M904" s="64"/>
      <c r="N904" s="751">
        <f t="shared" si="123"/>
        <v>0</v>
      </c>
    </row>
    <row r="905" spans="2:14" s="321" customFormat="1" x14ac:dyDescent="0.2">
      <c r="B905" s="16">
        <f t="shared" si="126"/>
        <v>19</v>
      </c>
      <c r="C905" s="1" t="s">
        <v>218</v>
      </c>
      <c r="D905" s="1" t="s">
        <v>206</v>
      </c>
      <c r="E905" s="16"/>
      <c r="F905" s="985">
        <f>'WP II-I-1.1'!F334</f>
        <v>0</v>
      </c>
      <c r="G905" s="986">
        <f>'WP II-I-1.1'!G334</f>
        <v>0</v>
      </c>
      <c r="H905" s="986">
        <f>'WP II-I-1.1'!H334</f>
        <v>0</v>
      </c>
      <c r="I905" s="987">
        <f>'WP II-I-1.1'!I334</f>
        <v>0</v>
      </c>
      <c r="J905" s="229">
        <f>SUM(F905:I905)</f>
        <v>0</v>
      </c>
      <c r="K905" s="229"/>
      <c r="L905" s="17">
        <f t="shared" si="125"/>
        <v>0</v>
      </c>
      <c r="M905" s="45"/>
      <c r="N905" s="751">
        <f t="shared" si="123"/>
        <v>0</v>
      </c>
    </row>
    <row r="906" spans="2:14" s="321" customFormat="1" ht="16.5" x14ac:dyDescent="0.35">
      <c r="B906" s="16">
        <f t="shared" si="126"/>
        <v>20</v>
      </c>
      <c r="C906" s="1" t="s">
        <v>223</v>
      </c>
      <c r="D906" s="1" t="s">
        <v>625</v>
      </c>
      <c r="E906" s="16"/>
      <c r="F906" s="982">
        <f>'WP II-I-1.1'!F337</f>
        <v>0</v>
      </c>
      <c r="G906" s="983">
        <f>'WP II-I-1.1'!G337</f>
        <v>0</v>
      </c>
      <c r="H906" s="983">
        <f>'WP II-I-1.1'!H337</f>
        <v>0</v>
      </c>
      <c r="I906" s="984">
        <f>'WP II-I-1.1'!I337</f>
        <v>0</v>
      </c>
      <c r="J906" s="238">
        <f>SUM(F906:I906)</f>
        <v>0</v>
      </c>
      <c r="K906" s="238"/>
      <c r="L906" s="232">
        <f t="shared" si="125"/>
        <v>0</v>
      </c>
      <c r="M906" s="45"/>
      <c r="N906" s="751">
        <f t="shared" si="123"/>
        <v>0</v>
      </c>
    </row>
    <row r="907" spans="2:14" ht="15" x14ac:dyDescent="0.25">
      <c r="B907" s="16">
        <f t="shared" si="126"/>
        <v>21</v>
      </c>
      <c r="C907" s="8"/>
      <c r="D907" s="24" t="s">
        <v>626</v>
      </c>
      <c r="E907" s="19"/>
      <c r="F907" s="805">
        <f>SUM(F905:F906)</f>
        <v>0</v>
      </c>
      <c r="G907" s="805">
        <f>SUM(G905:G906)</f>
        <v>0</v>
      </c>
      <c r="H907" s="805">
        <f>SUM(H905:H906)</f>
        <v>0</v>
      </c>
      <c r="I907" s="805">
        <f>SUM(I905:I906)</f>
        <v>0</v>
      </c>
      <c r="J907" s="235">
        <f>SUM(F907:I907)</f>
        <v>0</v>
      </c>
      <c r="K907" s="236"/>
      <c r="L907" s="21">
        <f t="shared" si="125"/>
        <v>0</v>
      </c>
      <c r="M907" s="64"/>
      <c r="N907" s="751">
        <f t="shared" si="123"/>
        <v>0</v>
      </c>
    </row>
    <row r="908" spans="2:14" x14ac:dyDescent="0.2">
      <c r="B908" s="16">
        <f t="shared" si="126"/>
        <v>22</v>
      </c>
      <c r="C908" s="1"/>
      <c r="D908" s="1"/>
      <c r="E908" s="16"/>
      <c r="F908" s="803"/>
      <c r="G908" s="803"/>
      <c r="H908" s="803"/>
      <c r="I908" s="803"/>
      <c r="J908" s="1"/>
      <c r="K908" s="1"/>
      <c r="L908" s="18"/>
      <c r="M908" s="64"/>
      <c r="N908" s="751">
        <f t="shared" si="123"/>
        <v>0</v>
      </c>
    </row>
    <row r="909" spans="2:14" ht="15" x14ac:dyDescent="0.25">
      <c r="B909" s="16">
        <f t="shared" si="126"/>
        <v>23</v>
      </c>
      <c r="C909" s="8"/>
      <c r="D909" s="233" t="s">
        <v>627</v>
      </c>
      <c r="E909" s="19"/>
      <c r="F909" s="805">
        <f>+F907+F903</f>
        <v>0</v>
      </c>
      <c r="G909" s="805">
        <f>+G907+G903</f>
        <v>0</v>
      </c>
      <c r="H909" s="805">
        <f>+H907+H903</f>
        <v>0</v>
      </c>
      <c r="I909" s="805">
        <f>+I907+I903</f>
        <v>12000</v>
      </c>
      <c r="J909" s="235">
        <f>SUM(F909:I909)</f>
        <v>12000</v>
      </c>
      <c r="K909" s="236"/>
      <c r="L909" s="21">
        <f t="shared" si="125"/>
        <v>12000</v>
      </c>
      <c r="M909" s="64"/>
      <c r="N909" s="751">
        <f t="shared" si="123"/>
        <v>0</v>
      </c>
    </row>
    <row r="910" spans="2:14" x14ac:dyDescent="0.2">
      <c r="B910" s="16">
        <f t="shared" si="126"/>
        <v>24</v>
      </c>
      <c r="C910" s="1"/>
      <c r="D910" s="1"/>
      <c r="E910" s="16"/>
      <c r="F910" s="803"/>
      <c r="G910" s="803"/>
      <c r="H910" s="803"/>
      <c r="I910" s="803"/>
      <c r="J910" s="1"/>
      <c r="K910" s="1"/>
      <c r="L910" s="18"/>
      <c r="M910" s="64"/>
      <c r="N910" s="751">
        <f t="shared" si="123"/>
        <v>0</v>
      </c>
    </row>
    <row r="911" spans="2:14" ht="15" x14ac:dyDescent="0.25">
      <c r="B911" s="16">
        <f t="shared" si="126"/>
        <v>25</v>
      </c>
      <c r="C911" s="8"/>
      <c r="D911" s="303" t="s">
        <v>268</v>
      </c>
      <c r="E911" s="19" t="s">
        <v>262</v>
      </c>
      <c r="F911" s="805"/>
      <c r="G911" s="805"/>
      <c r="H911" s="805"/>
      <c r="I911" s="805"/>
      <c r="J911" s="8"/>
      <c r="K911" s="8"/>
      <c r="L911" s="21">
        <f t="shared" si="125"/>
        <v>0</v>
      </c>
      <c r="M911" s="64"/>
      <c r="N911" s="751">
        <f t="shared" si="123"/>
        <v>0</v>
      </c>
    </row>
    <row r="912" spans="2:14" s="321" customFormat="1" x14ac:dyDescent="0.2">
      <c r="B912" s="16">
        <f t="shared" si="126"/>
        <v>26</v>
      </c>
      <c r="C912" s="1" t="s">
        <v>227</v>
      </c>
      <c r="D912" s="49" t="s">
        <v>628</v>
      </c>
      <c r="E912" s="16"/>
      <c r="F912" s="985">
        <f>'WP II-I-1.1'!F340</f>
        <v>0</v>
      </c>
      <c r="G912" s="986">
        <f>'WP II-I-1.1'!G340</f>
        <v>0</v>
      </c>
      <c r="H912" s="986">
        <f>'WP II-I-1.1'!H340</f>
        <v>0</v>
      </c>
      <c r="I912" s="987">
        <f>'WP II-I-1.1'!I340</f>
        <v>0</v>
      </c>
      <c r="J912" s="229">
        <f>SUM(F912:I912)</f>
        <v>0</v>
      </c>
      <c r="K912" s="229"/>
      <c r="L912" s="17">
        <f t="shared" si="125"/>
        <v>0</v>
      </c>
      <c r="M912" s="45"/>
      <c r="N912" s="751">
        <f t="shared" si="123"/>
        <v>0</v>
      </c>
    </row>
    <row r="913" spans="2:14" s="321" customFormat="1" x14ac:dyDescent="0.2">
      <c r="B913" s="16">
        <f t="shared" si="126"/>
        <v>27</v>
      </c>
      <c r="C913" s="1" t="s">
        <v>229</v>
      </c>
      <c r="D913" s="49" t="s">
        <v>629</v>
      </c>
      <c r="E913" s="16"/>
      <c r="F913" s="980">
        <f>'WP II-I-1.1'!F341</f>
        <v>0</v>
      </c>
      <c r="G913" s="802">
        <f>'WP II-I-1.1'!G341</f>
        <v>0</v>
      </c>
      <c r="H913" s="802">
        <f>'WP II-I-1.1'!H341</f>
        <v>0</v>
      </c>
      <c r="I913" s="981">
        <f>'WP II-I-1.1'!I341</f>
        <v>0</v>
      </c>
      <c r="J913" s="229">
        <f>SUM(F913:I913)</f>
        <v>0</v>
      </c>
      <c r="K913" s="229"/>
      <c r="L913" s="17">
        <f t="shared" si="125"/>
        <v>0</v>
      </c>
      <c r="M913" s="45"/>
      <c r="N913" s="751">
        <f t="shared" si="123"/>
        <v>0</v>
      </c>
    </row>
    <row r="914" spans="2:14" s="321" customFormat="1" ht="16.5" x14ac:dyDescent="0.35">
      <c r="B914" s="16">
        <f t="shared" si="126"/>
        <v>28</v>
      </c>
      <c r="C914" s="1" t="s">
        <v>233</v>
      </c>
      <c r="D914" s="49" t="s">
        <v>225</v>
      </c>
      <c r="E914" s="16"/>
      <c r="F914" s="982">
        <f>'WP II-I-1.1'!F343</f>
        <v>0</v>
      </c>
      <c r="G914" s="983">
        <f>'WP II-I-1.1'!G343</f>
        <v>0</v>
      </c>
      <c r="H914" s="983">
        <f>'WP II-I-1.1'!H343</f>
        <v>0</v>
      </c>
      <c r="I914" s="984">
        <f>'WP II-I-1.1'!I343</f>
        <v>0</v>
      </c>
      <c r="J914" s="238">
        <f>SUM(F914:I914)</f>
        <v>0</v>
      </c>
      <c r="K914" s="238"/>
      <c r="L914" s="232">
        <f t="shared" si="125"/>
        <v>0</v>
      </c>
      <c r="M914" s="45"/>
      <c r="N914" s="751">
        <f t="shared" si="123"/>
        <v>0</v>
      </c>
    </row>
    <row r="915" spans="2:14" s="321" customFormat="1" ht="15" x14ac:dyDescent="0.25">
      <c r="B915" s="16">
        <f t="shared" si="126"/>
        <v>29</v>
      </c>
      <c r="C915" s="8"/>
      <c r="D915" s="233" t="s">
        <v>630</v>
      </c>
      <c r="E915" s="768"/>
      <c r="F915" s="805">
        <f>+F912+F913+F914</f>
        <v>0</v>
      </c>
      <c r="G915" s="805">
        <f>+G912+G913+G914</f>
        <v>0</v>
      </c>
      <c r="H915" s="805">
        <f>+H912+H913+H914</f>
        <v>0</v>
      </c>
      <c r="I915" s="805">
        <f>+I912+I913+I914</f>
        <v>0</v>
      </c>
      <c r="J915" s="236">
        <f>SUM(F915:I915)</f>
        <v>0</v>
      </c>
      <c r="K915" s="236"/>
      <c r="L915" s="21">
        <f t="shared" si="125"/>
        <v>0</v>
      </c>
      <c r="M915" s="45"/>
      <c r="N915" s="751">
        <f t="shared" si="123"/>
        <v>0</v>
      </c>
    </row>
    <row r="916" spans="2:14" ht="15" x14ac:dyDescent="0.25">
      <c r="B916" s="16">
        <f t="shared" si="126"/>
        <v>30</v>
      </c>
      <c r="C916" s="1"/>
      <c r="D916" s="233"/>
      <c r="E916" s="16"/>
      <c r="F916" s="803"/>
      <c r="G916" s="803"/>
      <c r="H916" s="803"/>
      <c r="I916" s="803"/>
      <c r="J916" s="1"/>
      <c r="K916" s="1"/>
      <c r="L916" s="18"/>
      <c r="M916" s="64"/>
      <c r="N916" s="751">
        <f t="shared" ref="N916:N955" si="127">J916-L916-F916</f>
        <v>0</v>
      </c>
    </row>
    <row r="917" spans="2:14" s="321" customFormat="1" x14ac:dyDescent="0.2">
      <c r="B917" s="16">
        <f t="shared" si="126"/>
        <v>31</v>
      </c>
      <c r="C917" s="1" t="s">
        <v>226</v>
      </c>
      <c r="D917" s="49" t="s">
        <v>206</v>
      </c>
      <c r="E917" s="16"/>
      <c r="F917" s="985">
        <f>'WP II-I-1.1'!F339</f>
        <v>0</v>
      </c>
      <c r="G917" s="986">
        <f>'WP II-I-1.1'!G339</f>
        <v>0</v>
      </c>
      <c r="H917" s="986">
        <f>'WP II-I-1.1'!H339</f>
        <v>0</v>
      </c>
      <c r="I917" s="987">
        <f>'WP II-I-1.1'!I339</f>
        <v>0</v>
      </c>
      <c r="J917" s="229">
        <f>SUM(F917:I917)</f>
        <v>0</v>
      </c>
      <c r="K917" s="229"/>
      <c r="L917" s="17">
        <f t="shared" si="125"/>
        <v>0</v>
      </c>
      <c r="M917" s="45"/>
      <c r="N917" s="751">
        <f t="shared" si="127"/>
        <v>0</v>
      </c>
    </row>
    <row r="918" spans="2:14" s="321" customFormat="1" ht="16.5" x14ac:dyDescent="0.35">
      <c r="B918" s="16">
        <f t="shared" si="126"/>
        <v>32</v>
      </c>
      <c r="C918" s="1" t="s">
        <v>231</v>
      </c>
      <c r="D918" s="49" t="s">
        <v>631</v>
      </c>
      <c r="E918" s="16"/>
      <c r="F918" s="982">
        <f>'WP II-I-1.1'!F342</f>
        <v>0</v>
      </c>
      <c r="G918" s="983">
        <f>'WP II-I-1.1'!G342</f>
        <v>0</v>
      </c>
      <c r="H918" s="983">
        <f>'WP II-I-1.1'!H342</f>
        <v>0</v>
      </c>
      <c r="I918" s="984">
        <f>'WP II-I-1.1'!I342</f>
        <v>0</v>
      </c>
      <c r="J918" s="238">
        <f>SUM(F918:I918)</f>
        <v>0</v>
      </c>
      <c r="K918" s="238"/>
      <c r="L918" s="232">
        <f t="shared" si="125"/>
        <v>0</v>
      </c>
      <c r="M918" s="45"/>
      <c r="N918" s="751">
        <f t="shared" si="127"/>
        <v>0</v>
      </c>
    </row>
    <row r="919" spans="2:14" ht="15" x14ac:dyDescent="0.25">
      <c r="B919" s="16">
        <f t="shared" si="126"/>
        <v>33</v>
      </c>
      <c r="C919" s="8"/>
      <c r="D919" s="24" t="s">
        <v>632</v>
      </c>
      <c r="E919" s="19"/>
      <c r="F919" s="805">
        <f>SUM(F917:F918)</f>
        <v>0</v>
      </c>
      <c r="G919" s="805">
        <f>SUM(G917:G918)</f>
        <v>0</v>
      </c>
      <c r="H919" s="805">
        <f>SUM(H917:H918)</f>
        <v>0</v>
      </c>
      <c r="I919" s="805">
        <f>SUM(I917:I918)</f>
        <v>0</v>
      </c>
      <c r="J919" s="235">
        <f>SUM(F919:I919)</f>
        <v>0</v>
      </c>
      <c r="K919" s="236"/>
      <c r="L919" s="21">
        <f t="shared" si="125"/>
        <v>0</v>
      </c>
      <c r="M919" s="64"/>
      <c r="N919" s="751">
        <f t="shared" si="127"/>
        <v>0</v>
      </c>
    </row>
    <row r="920" spans="2:14" x14ac:dyDescent="0.2">
      <c r="B920" s="16">
        <f t="shared" si="126"/>
        <v>34</v>
      </c>
      <c r="C920" s="1"/>
      <c r="D920" s="1"/>
      <c r="E920" s="16"/>
      <c r="F920" s="803"/>
      <c r="G920" s="803"/>
      <c r="H920" s="803"/>
      <c r="I920" s="803"/>
      <c r="J920" s="1"/>
      <c r="K920" s="1"/>
      <c r="L920" s="18">
        <f t="shared" si="125"/>
        <v>0</v>
      </c>
      <c r="M920" s="64"/>
      <c r="N920" s="751">
        <f t="shared" si="127"/>
        <v>0</v>
      </c>
    </row>
    <row r="921" spans="2:14" ht="15" x14ac:dyDescent="0.25">
      <c r="B921" s="16">
        <f t="shared" si="126"/>
        <v>35</v>
      </c>
      <c r="C921" s="8"/>
      <c r="D921" s="233" t="s">
        <v>633</v>
      </c>
      <c r="E921" s="19"/>
      <c r="F921" s="805">
        <f>+F915+F919</f>
        <v>0</v>
      </c>
      <c r="G921" s="805">
        <f>+G915+G919</f>
        <v>0</v>
      </c>
      <c r="H921" s="805">
        <f>+H915+H919</f>
        <v>0</v>
      </c>
      <c r="I921" s="805">
        <f>+I915+I919</f>
        <v>0</v>
      </c>
      <c r="J921" s="97">
        <f>SUM(F921:I921)</f>
        <v>0</v>
      </c>
      <c r="K921" s="229"/>
      <c r="L921" s="21">
        <f t="shared" si="125"/>
        <v>0</v>
      </c>
      <c r="M921" s="64"/>
      <c r="N921" s="751">
        <f t="shared" si="127"/>
        <v>0</v>
      </c>
    </row>
    <row r="922" spans="2:14" ht="15" thickBot="1" x14ac:dyDescent="0.25">
      <c r="B922" s="16">
        <f t="shared" si="126"/>
        <v>36</v>
      </c>
      <c r="C922" s="1"/>
      <c r="D922" s="49"/>
      <c r="E922" s="16"/>
      <c r="F922" s="803"/>
      <c r="G922" s="803"/>
      <c r="H922" s="803"/>
      <c r="I922" s="803"/>
      <c r="J922" s="1"/>
      <c r="K922" s="1"/>
      <c r="L922" s="18"/>
      <c r="M922" s="64"/>
      <c r="N922" s="751">
        <f t="shared" si="127"/>
        <v>0</v>
      </c>
    </row>
    <row r="923" spans="2:14" ht="15.75" thickBot="1" x14ac:dyDescent="0.3">
      <c r="B923" s="16">
        <f t="shared" si="126"/>
        <v>37</v>
      </c>
      <c r="C923" s="779" t="s">
        <v>634</v>
      </c>
      <c r="D923" s="920"/>
      <c r="E923" s="916"/>
      <c r="F923" s="917">
        <f>+F921+F909+F897</f>
        <v>0</v>
      </c>
      <c r="G923" s="917">
        <f>+G921+G909+G897</f>
        <v>107858</v>
      </c>
      <c r="H923" s="917">
        <f>+H921+H909+H897</f>
        <v>9310677.7999999989</v>
      </c>
      <c r="I923" s="917">
        <f>+I921+I909+I897</f>
        <v>1491495.79</v>
      </c>
      <c r="J923" s="918">
        <f>SUM(F923:I923)</f>
        <v>10910031.59</v>
      </c>
      <c r="K923" s="236"/>
      <c r="L923" s="21">
        <f t="shared" si="125"/>
        <v>10910031.59</v>
      </c>
      <c r="M923" s="64"/>
      <c r="N923" s="751">
        <f t="shared" si="127"/>
        <v>0</v>
      </c>
    </row>
    <row r="924" spans="2:14" ht="15.75" thickBot="1" x14ac:dyDescent="0.3">
      <c r="B924" s="16">
        <f t="shared" si="126"/>
        <v>38</v>
      </c>
      <c r="C924" s="1"/>
      <c r="D924" s="8"/>
      <c r="E924" s="16"/>
      <c r="F924" s="803"/>
      <c r="G924" s="803"/>
      <c r="H924" s="803"/>
      <c r="I924" s="803"/>
      <c r="J924" s="1"/>
      <c r="K924" s="1"/>
      <c r="L924" s="18"/>
      <c r="M924" s="64"/>
      <c r="N924" s="751">
        <f t="shared" si="127"/>
        <v>0</v>
      </c>
    </row>
    <row r="925" spans="2:14" ht="15.75" thickBot="1" x14ac:dyDescent="0.3">
      <c r="B925" s="16">
        <f t="shared" si="126"/>
        <v>39</v>
      </c>
      <c r="C925" s="223" t="s">
        <v>1115</v>
      </c>
      <c r="D925" s="224"/>
      <c r="E925" s="309" t="s">
        <v>262</v>
      </c>
      <c r="F925" s="812">
        <f>+F923+F874+F827</f>
        <v>57623646.980000004</v>
      </c>
      <c r="G925" s="812">
        <f>+G923+G874+G827</f>
        <v>154052267.75999999</v>
      </c>
      <c r="H925" s="812">
        <f>+H923+H874+H827</f>
        <v>38734366.330000006</v>
      </c>
      <c r="I925" s="812">
        <f>+I923+I874+I827</f>
        <v>1587729.1600000001</v>
      </c>
      <c r="J925" s="195">
        <f>SUM(F925:I925)</f>
        <v>251998010.23000002</v>
      </c>
      <c r="K925" s="191"/>
      <c r="L925" s="196">
        <f t="shared" si="125"/>
        <v>194374363.25</v>
      </c>
      <c r="M925" s="64"/>
      <c r="N925" s="751">
        <f t="shared" si="127"/>
        <v>0</v>
      </c>
    </row>
    <row r="926" spans="2:14" ht="15" x14ac:dyDescent="0.25">
      <c r="B926" s="783"/>
      <c r="C926" s="783"/>
      <c r="D926" s="783"/>
      <c r="E926" s="783"/>
      <c r="F926" s="783"/>
      <c r="G926" s="783"/>
      <c r="H926" s="783"/>
      <c r="I926" s="783"/>
      <c r="J926" s="783"/>
      <c r="K926" s="783"/>
      <c r="L926" s="783"/>
      <c r="M926" s="105" t="str">
        <f>$M$2</f>
        <v xml:space="preserve"> </v>
      </c>
      <c r="N926" s="751"/>
    </row>
    <row r="927" spans="2:14" ht="15.75" thickBot="1" x14ac:dyDescent="0.3">
      <c r="B927" s="783"/>
      <c r="C927" s="783"/>
      <c r="D927" s="783"/>
      <c r="E927" s="783"/>
      <c r="F927" s="783"/>
      <c r="G927" s="783"/>
      <c r="H927" s="783"/>
      <c r="I927" s="783"/>
      <c r="J927" s="783"/>
      <c r="K927" s="783"/>
      <c r="L927" s="783"/>
      <c r="M927" s="64"/>
      <c r="N927" s="751"/>
    </row>
    <row r="928" spans="2:14" ht="15" x14ac:dyDescent="0.25">
      <c r="B928" s="829" t="str">
        <f>$B$4</f>
        <v>2025 RATE CASE</v>
      </c>
      <c r="C928" s="835"/>
      <c r="D928" s="836"/>
      <c r="E928" s="783"/>
      <c r="F928" s="783"/>
      <c r="G928" s="783"/>
      <c r="H928" s="783"/>
      <c r="I928" s="783"/>
      <c r="J928" s="783"/>
      <c r="K928" s="783"/>
      <c r="L928" s="783"/>
      <c r="N928" s="751"/>
    </row>
    <row r="929" spans="2:14" ht="15" x14ac:dyDescent="0.25">
      <c r="B929" s="826" t="str">
        <f>$B$5</f>
        <v>ONCOR ELECTRIC DELIVERY COMPANY LLC</v>
      </c>
      <c r="C929" s="304"/>
      <c r="D929" s="837"/>
      <c r="E929" s="783"/>
      <c r="F929" s="783"/>
      <c r="G929" s="783"/>
      <c r="H929" s="783"/>
      <c r="I929" s="783"/>
      <c r="J929" s="783"/>
      <c r="K929" s="783"/>
      <c r="L929" s="783"/>
      <c r="M929" s="64"/>
      <c r="N929" s="751"/>
    </row>
    <row r="930" spans="2:14" ht="15" x14ac:dyDescent="0.25">
      <c r="B930" s="341" t="str">
        <f>$B$6</f>
        <v>CONSOLIDATED FUNCTIONALIZED COST OF SERVICE</v>
      </c>
      <c r="C930" s="304"/>
      <c r="D930" s="837"/>
      <c r="E930" s="783"/>
      <c r="F930" s="783"/>
      <c r="G930" s="783"/>
      <c r="H930" s="783"/>
      <c r="I930" s="783"/>
      <c r="J930" s="783"/>
      <c r="K930" s="783"/>
      <c r="L930" s="783"/>
      <c r="M930" s="64"/>
      <c r="N930" s="751"/>
    </row>
    <row r="931" spans="2:14" ht="15" x14ac:dyDescent="0.25">
      <c r="B931" s="341" t="str">
        <f>$B$7</f>
        <v>TEST YEAR ENDING 12/31/2024</v>
      </c>
      <c r="C931" s="304"/>
      <c r="D931" s="837"/>
      <c r="E931" s="304"/>
      <c r="F931" s="304"/>
      <c r="G931" s="304"/>
      <c r="H931" s="304"/>
      <c r="I931" s="304"/>
      <c r="J931" s="304"/>
      <c r="K931" s="304"/>
      <c r="L931" s="304"/>
      <c r="M931" s="64"/>
      <c r="N931" s="751"/>
    </row>
    <row r="932" spans="2:14" ht="15" x14ac:dyDescent="0.25">
      <c r="B932" s="341" t="str">
        <f>$B$8</f>
        <v>SPONSOR:  MATTHEW A. TROXLE</v>
      </c>
      <c r="C932" s="304"/>
      <c r="D932" s="837"/>
      <c r="E932" s="304"/>
      <c r="F932" s="304"/>
      <c r="G932" s="304"/>
      <c r="H932" s="304"/>
      <c r="I932" s="304"/>
      <c r="J932" s="304"/>
      <c r="K932" s="304"/>
      <c r="L932" s="304"/>
      <c r="M932" s="64"/>
      <c r="N932" s="751"/>
    </row>
    <row r="933" spans="2:14" ht="15.75" thickBot="1" x14ac:dyDescent="0.3">
      <c r="B933" s="345"/>
      <c r="C933" s="840"/>
      <c r="D933" s="841"/>
      <c r="E933" s="304"/>
      <c r="F933" s="304"/>
      <c r="G933" s="304"/>
      <c r="H933" s="304"/>
      <c r="I933" s="304"/>
      <c r="J933" s="304"/>
      <c r="K933" s="304"/>
      <c r="L933" s="304"/>
      <c r="M933" s="64"/>
      <c r="N933" s="751"/>
    </row>
    <row r="934" spans="2:14" x14ac:dyDescent="0.2">
      <c r="B934" s="12"/>
      <c r="C934" s="13"/>
      <c r="D934" s="13"/>
      <c r="E934" s="13"/>
      <c r="F934" s="988" t="s">
        <v>6</v>
      </c>
      <c r="G934" s="655" t="s">
        <v>7</v>
      </c>
      <c r="H934" s="655" t="s">
        <v>8</v>
      </c>
      <c r="I934" s="855" t="s">
        <v>9</v>
      </c>
      <c r="J934" s="12" t="s">
        <v>10</v>
      </c>
      <c r="K934" s="16"/>
      <c r="L934" s="110" t="s">
        <v>907</v>
      </c>
      <c r="M934" s="64"/>
      <c r="N934" s="751"/>
    </row>
    <row r="935" spans="2:14" ht="15" x14ac:dyDescent="0.25">
      <c r="B935" s="14" t="s">
        <v>2</v>
      </c>
      <c r="C935" s="14" t="s">
        <v>349</v>
      </c>
      <c r="D935" s="226" t="s">
        <v>1110</v>
      </c>
      <c r="E935" s="14" t="s">
        <v>350</v>
      </c>
      <c r="F935" s="661"/>
      <c r="G935" s="660"/>
      <c r="H935" s="660"/>
      <c r="I935" s="660"/>
      <c r="J935" s="14"/>
      <c r="K935" s="16"/>
      <c r="L935" s="93" t="s">
        <v>908</v>
      </c>
      <c r="M935" s="64"/>
      <c r="N935" s="751"/>
    </row>
    <row r="936" spans="2:14" x14ac:dyDescent="0.2">
      <c r="B936" s="14"/>
      <c r="C936" s="14"/>
      <c r="D936" s="14"/>
      <c r="E936" s="14"/>
      <c r="F936" s="661"/>
      <c r="G936" s="660"/>
      <c r="H936" s="660"/>
      <c r="I936" s="660"/>
      <c r="J936" s="14"/>
      <c r="K936" s="16"/>
      <c r="L936" s="93"/>
      <c r="M936" s="64"/>
      <c r="N936" s="751"/>
    </row>
    <row r="937" spans="2:14" ht="15" thickBot="1" x14ac:dyDescent="0.25">
      <c r="B937" s="15"/>
      <c r="C937" s="15" t="s">
        <v>13</v>
      </c>
      <c r="D937" s="15" t="s">
        <v>14</v>
      </c>
      <c r="E937" s="15" t="s">
        <v>15</v>
      </c>
      <c r="F937" s="664" t="s">
        <v>16</v>
      </c>
      <c r="G937" s="664" t="s">
        <v>17</v>
      </c>
      <c r="H937" s="664" t="s">
        <v>18</v>
      </c>
      <c r="I937" s="664" t="s">
        <v>21</v>
      </c>
      <c r="J937" s="15" t="s">
        <v>22</v>
      </c>
      <c r="K937" s="16"/>
      <c r="L937" s="997" t="s">
        <v>397</v>
      </c>
      <c r="M937" s="64"/>
      <c r="N937" s="751"/>
    </row>
    <row r="938" spans="2:14" ht="15" x14ac:dyDescent="0.25">
      <c r="B938" s="16"/>
      <c r="C938" s="1"/>
      <c r="D938" s="8"/>
      <c r="E938" s="18"/>
      <c r="F938" s="803"/>
      <c r="G938" s="647"/>
      <c r="H938" s="647"/>
      <c r="I938" s="647"/>
      <c r="J938" s="1"/>
      <c r="K938" s="1"/>
      <c r="L938" s="1"/>
      <c r="M938" s="64"/>
      <c r="N938" s="751"/>
    </row>
    <row r="939" spans="2:14" ht="15" x14ac:dyDescent="0.25">
      <c r="B939" s="16">
        <f t="shared" ref="B939:B957" si="128">B938+1</f>
        <v>1</v>
      </c>
      <c r="C939" s="8" t="s">
        <v>1110</v>
      </c>
      <c r="D939" s="8"/>
      <c r="E939" s="19" t="s">
        <v>262</v>
      </c>
      <c r="F939" s="805"/>
      <c r="G939" s="8"/>
      <c r="H939" s="8"/>
      <c r="I939" s="8"/>
      <c r="J939" s="8"/>
      <c r="K939" s="8"/>
      <c r="L939" s="8"/>
      <c r="M939" s="64"/>
      <c r="N939" s="751">
        <f t="shared" si="127"/>
        <v>0</v>
      </c>
    </row>
    <row r="940" spans="2:14" s="321" customFormat="1" x14ac:dyDescent="0.2">
      <c r="B940" s="16">
        <f t="shared" si="128"/>
        <v>2</v>
      </c>
      <c r="C940" s="1" t="s">
        <v>237</v>
      </c>
      <c r="D940" s="1" t="s">
        <v>238</v>
      </c>
      <c r="E940" s="18"/>
      <c r="F940" s="985">
        <f>'WP II-I-1.1'!F346</f>
        <v>28160796.329999994</v>
      </c>
      <c r="G940" s="986">
        <f>'WP II-I-1.1'!G346</f>
        <v>67365447.639999986</v>
      </c>
      <c r="H940" s="986">
        <f>'WP II-I-1.1'!H346</f>
        <v>18757079.369999997</v>
      </c>
      <c r="I940" s="987">
        <f>'WP II-I-1.1'!I346</f>
        <v>20904714.86999999</v>
      </c>
      <c r="J940" s="229">
        <f t="shared" ref="J940:J953" si="129">SUM(F940:I940)</f>
        <v>135188038.20999998</v>
      </c>
      <c r="K940" s="229"/>
      <c r="L940" s="17">
        <f t="shared" ref="L940:L978" si="130">SUM(G940:I940)</f>
        <v>107027241.87999998</v>
      </c>
      <c r="M940" s="45"/>
      <c r="N940" s="751">
        <f t="shared" si="127"/>
        <v>0</v>
      </c>
    </row>
    <row r="941" spans="2:14" s="321" customFormat="1" x14ac:dyDescent="0.2">
      <c r="B941" s="16">
        <f t="shared" si="128"/>
        <v>3</v>
      </c>
      <c r="C941" s="1" t="s">
        <v>239</v>
      </c>
      <c r="D941" s="1" t="s">
        <v>240</v>
      </c>
      <c r="E941" s="18"/>
      <c r="F941" s="980">
        <f>'WP II-I-1.1'!F347</f>
        <v>0</v>
      </c>
      <c r="G941" s="802">
        <f>'WP II-I-1.1'!G347</f>
        <v>0</v>
      </c>
      <c r="H941" s="802">
        <f>'WP II-I-1.1'!H347</f>
        <v>0</v>
      </c>
      <c r="I941" s="981">
        <f>'WP II-I-1.1'!I347</f>
        <v>0</v>
      </c>
      <c r="J941" s="229">
        <f t="shared" si="129"/>
        <v>0</v>
      </c>
      <c r="K941" s="229"/>
      <c r="L941" s="17">
        <f t="shared" si="130"/>
        <v>0</v>
      </c>
      <c r="M941" s="45"/>
      <c r="N941" s="751">
        <f t="shared" si="127"/>
        <v>0</v>
      </c>
    </row>
    <row r="942" spans="2:14" s="321" customFormat="1" x14ac:dyDescent="0.2">
      <c r="B942" s="16">
        <f t="shared" si="128"/>
        <v>4</v>
      </c>
      <c r="C942" s="1" t="s">
        <v>241</v>
      </c>
      <c r="D942" s="1" t="s">
        <v>242</v>
      </c>
      <c r="E942" s="18"/>
      <c r="F942" s="980">
        <f>'WP II-I-1.1'!F348</f>
        <v>0</v>
      </c>
      <c r="G942" s="802">
        <f>'WP II-I-1.1'!G348</f>
        <v>0</v>
      </c>
      <c r="H942" s="802">
        <f>'WP II-I-1.1'!H348</f>
        <v>0</v>
      </c>
      <c r="I942" s="981">
        <f>'WP II-I-1.1'!I348</f>
        <v>0</v>
      </c>
      <c r="J942" s="229">
        <f t="shared" si="129"/>
        <v>0</v>
      </c>
      <c r="K942" s="229"/>
      <c r="L942" s="17">
        <f t="shared" si="130"/>
        <v>0</v>
      </c>
      <c r="M942" s="45"/>
      <c r="N942" s="751">
        <f t="shared" si="127"/>
        <v>0</v>
      </c>
    </row>
    <row r="943" spans="2:14" s="321" customFormat="1" x14ac:dyDescent="0.2">
      <c r="B943" s="16">
        <f t="shared" si="128"/>
        <v>5</v>
      </c>
      <c r="C943" s="1" t="s">
        <v>243</v>
      </c>
      <c r="D943" s="1" t="s">
        <v>244</v>
      </c>
      <c r="E943" s="18"/>
      <c r="F943" s="980">
        <f>'WP II-I-1.1'!F349</f>
        <v>0</v>
      </c>
      <c r="G943" s="802">
        <f>'WP II-I-1.1'!G349</f>
        <v>0</v>
      </c>
      <c r="H943" s="802">
        <f>'WP II-I-1.1'!H349</f>
        <v>0</v>
      </c>
      <c r="I943" s="981">
        <f>'WP II-I-1.1'!I349</f>
        <v>0</v>
      </c>
      <c r="J943" s="229">
        <f t="shared" si="129"/>
        <v>0</v>
      </c>
      <c r="K943" s="229"/>
      <c r="L943" s="17">
        <f t="shared" si="130"/>
        <v>0</v>
      </c>
      <c r="M943" s="45"/>
      <c r="N943" s="751">
        <f t="shared" si="127"/>
        <v>0</v>
      </c>
    </row>
    <row r="944" spans="2:14" s="321" customFormat="1" x14ac:dyDescent="0.2">
      <c r="B944" s="16">
        <f t="shared" si="128"/>
        <v>6</v>
      </c>
      <c r="C944" s="29" t="s">
        <v>245</v>
      </c>
      <c r="D944" s="1" t="s">
        <v>246</v>
      </c>
      <c r="E944" s="18"/>
      <c r="F944" s="980">
        <f>'WP II-I-1.1'!F350</f>
        <v>0</v>
      </c>
      <c r="G944" s="802">
        <f>'WP II-I-1.1'!G350</f>
        <v>0</v>
      </c>
      <c r="H944" s="802">
        <f>'WP II-I-1.1'!H350</f>
        <v>0</v>
      </c>
      <c r="I944" s="981">
        <f>'WP II-I-1.1'!I350</f>
        <v>0</v>
      </c>
      <c r="J944" s="229">
        <f t="shared" si="129"/>
        <v>0</v>
      </c>
      <c r="K944" s="229"/>
      <c r="L944" s="17">
        <f t="shared" si="130"/>
        <v>0</v>
      </c>
      <c r="M944" s="45"/>
      <c r="N944" s="751">
        <f t="shared" si="127"/>
        <v>0</v>
      </c>
    </row>
    <row r="945" spans="2:14" s="321" customFormat="1" x14ac:dyDescent="0.2">
      <c r="B945" s="16">
        <f t="shared" si="128"/>
        <v>7</v>
      </c>
      <c r="C945" s="29" t="s">
        <v>247</v>
      </c>
      <c r="D945" s="1" t="s">
        <v>248</v>
      </c>
      <c r="E945" s="18"/>
      <c r="F945" s="980">
        <f>'WP II-I-1.1'!F351</f>
        <v>0</v>
      </c>
      <c r="G945" s="802">
        <f>'WP II-I-1.1'!G351</f>
        <v>0</v>
      </c>
      <c r="H945" s="802">
        <f>'WP II-I-1.1'!H351</f>
        <v>0</v>
      </c>
      <c r="I945" s="981">
        <f>'WP II-I-1.1'!I351</f>
        <v>0</v>
      </c>
      <c r="J945" s="229">
        <f t="shared" si="129"/>
        <v>0</v>
      </c>
      <c r="K945" s="229"/>
      <c r="L945" s="17">
        <f t="shared" si="130"/>
        <v>0</v>
      </c>
      <c r="M945" s="45"/>
      <c r="N945" s="751">
        <f t="shared" si="127"/>
        <v>0</v>
      </c>
    </row>
    <row r="946" spans="2:14" s="321" customFormat="1" x14ac:dyDescent="0.2">
      <c r="B946" s="16">
        <f t="shared" si="128"/>
        <v>8</v>
      </c>
      <c r="C946" s="1" t="s">
        <v>249</v>
      </c>
      <c r="D946" s="1" t="s">
        <v>250</v>
      </c>
      <c r="E946" s="18"/>
      <c r="F946" s="980">
        <f>'WP II-I-1.1'!F352</f>
        <v>0</v>
      </c>
      <c r="G946" s="802">
        <f>'WP II-I-1.1'!G352</f>
        <v>0</v>
      </c>
      <c r="H946" s="802">
        <f>'WP II-I-1.1'!H352</f>
        <v>0</v>
      </c>
      <c r="I946" s="981">
        <f>'WP II-I-1.1'!I352</f>
        <v>0</v>
      </c>
      <c r="J946" s="229">
        <f t="shared" si="129"/>
        <v>0</v>
      </c>
      <c r="K946" s="229"/>
      <c r="L946" s="17">
        <f t="shared" si="130"/>
        <v>0</v>
      </c>
      <c r="M946" s="45"/>
      <c r="N946" s="751">
        <f t="shared" si="127"/>
        <v>0</v>
      </c>
    </row>
    <row r="947" spans="2:14" s="321" customFormat="1" x14ac:dyDescent="0.2">
      <c r="B947" s="16">
        <f t="shared" si="128"/>
        <v>9</v>
      </c>
      <c r="C947" s="1" t="s">
        <v>251</v>
      </c>
      <c r="D947" s="1" t="s">
        <v>252</v>
      </c>
      <c r="E947" s="18"/>
      <c r="F947" s="980">
        <f>'WP II-I-1.1'!F353</f>
        <v>0</v>
      </c>
      <c r="G947" s="802">
        <f>'WP II-I-1.1'!G353</f>
        <v>0</v>
      </c>
      <c r="H947" s="802">
        <f>'WP II-I-1.1'!H353</f>
        <v>0</v>
      </c>
      <c r="I947" s="981">
        <f>'WP II-I-1.1'!I353</f>
        <v>0</v>
      </c>
      <c r="J947" s="229">
        <f t="shared" si="129"/>
        <v>0</v>
      </c>
      <c r="K947" s="229"/>
      <c r="L947" s="17">
        <f t="shared" si="130"/>
        <v>0</v>
      </c>
      <c r="M947" s="45"/>
      <c r="N947" s="751">
        <f t="shared" si="127"/>
        <v>0</v>
      </c>
    </row>
    <row r="948" spans="2:14" s="321" customFormat="1" x14ac:dyDescent="0.2">
      <c r="B948" s="16">
        <f t="shared" si="128"/>
        <v>10</v>
      </c>
      <c r="C948" s="1" t="s">
        <v>253</v>
      </c>
      <c r="D948" s="1" t="s">
        <v>254</v>
      </c>
      <c r="E948" s="18"/>
      <c r="F948" s="980">
        <f>'WP II-I-1.1'!F354</f>
        <v>0</v>
      </c>
      <c r="G948" s="802">
        <f>'WP II-I-1.1'!G354</f>
        <v>0</v>
      </c>
      <c r="H948" s="802">
        <f>'WP II-I-1.1'!H354</f>
        <v>0</v>
      </c>
      <c r="I948" s="981">
        <f>'WP II-I-1.1'!I354</f>
        <v>0</v>
      </c>
      <c r="J948" s="229">
        <f t="shared" si="129"/>
        <v>0</v>
      </c>
      <c r="K948" s="229"/>
      <c r="L948" s="17">
        <f t="shared" si="130"/>
        <v>0</v>
      </c>
      <c r="M948" s="45"/>
      <c r="N948" s="751">
        <f t="shared" si="127"/>
        <v>0</v>
      </c>
    </row>
    <row r="949" spans="2:14" s="321" customFormat="1" x14ac:dyDescent="0.2">
      <c r="B949" s="16">
        <f t="shared" si="128"/>
        <v>11</v>
      </c>
      <c r="C949" s="1" t="s">
        <v>255</v>
      </c>
      <c r="D949" s="1" t="s">
        <v>256</v>
      </c>
      <c r="E949" s="18"/>
      <c r="F949" s="980">
        <f>'WP II-I-1.1'!F355</f>
        <v>882.38</v>
      </c>
      <c r="G949" s="802">
        <f>'WP II-I-1.1'!G355</f>
        <v>2356.6799999999998</v>
      </c>
      <c r="H949" s="802">
        <f>'WP II-I-1.1'!H355</f>
        <v>659.04</v>
      </c>
      <c r="I949" s="981">
        <f>'WP II-I-1.1'!I355</f>
        <v>27.090000000000146</v>
      </c>
      <c r="J949" s="229">
        <f t="shared" si="129"/>
        <v>3925.19</v>
      </c>
      <c r="K949" s="229"/>
      <c r="L949" s="17">
        <f t="shared" si="130"/>
        <v>3042.81</v>
      </c>
      <c r="M949" s="45"/>
      <c r="N949" s="751">
        <f t="shared" si="127"/>
        <v>0</v>
      </c>
    </row>
    <row r="950" spans="2:14" s="321" customFormat="1" x14ac:dyDescent="0.2">
      <c r="B950" s="16">
        <f t="shared" si="128"/>
        <v>12</v>
      </c>
      <c r="C950" s="29" t="s">
        <v>257</v>
      </c>
      <c r="D950" s="1" t="s">
        <v>189</v>
      </c>
      <c r="E950" s="18"/>
      <c r="F950" s="980">
        <f>'WP II-I-1.1'!F356</f>
        <v>0</v>
      </c>
      <c r="G950" s="802">
        <f>'WP II-I-1.1'!G356</f>
        <v>0</v>
      </c>
      <c r="H950" s="802">
        <f>'WP II-I-1.1'!H356</f>
        <v>0</v>
      </c>
      <c r="I950" s="981">
        <f>'WP II-I-1.1'!I356</f>
        <v>0</v>
      </c>
      <c r="J950" s="229">
        <f t="shared" si="129"/>
        <v>0</v>
      </c>
      <c r="K950" s="229"/>
      <c r="L950" s="17">
        <f t="shared" si="130"/>
        <v>0</v>
      </c>
      <c r="M950" s="45"/>
      <c r="N950" s="751">
        <f t="shared" si="127"/>
        <v>0</v>
      </c>
    </row>
    <row r="951" spans="2:14" s="321" customFormat="1" x14ac:dyDescent="0.2">
      <c r="B951" s="16">
        <f t="shared" si="128"/>
        <v>13</v>
      </c>
      <c r="C951" s="29" t="s">
        <v>258</v>
      </c>
      <c r="D951" s="1" t="s">
        <v>259</v>
      </c>
      <c r="E951" s="18"/>
      <c r="F951" s="980">
        <f>'WP II-I-1.1'!F357</f>
        <v>0</v>
      </c>
      <c r="G951" s="802">
        <f>'WP II-I-1.1'!G357</f>
        <v>4100.4599999999991</v>
      </c>
      <c r="H951" s="802">
        <f>'WP II-I-1.1'!H357</f>
        <v>0</v>
      </c>
      <c r="I951" s="981">
        <f>'WP II-I-1.1'!I357</f>
        <v>0</v>
      </c>
      <c r="J951" s="229">
        <f t="shared" si="129"/>
        <v>4100.4599999999991</v>
      </c>
      <c r="K951" s="229"/>
      <c r="L951" s="17">
        <f t="shared" si="130"/>
        <v>4100.4599999999991</v>
      </c>
      <c r="M951" s="45"/>
      <c r="N951" s="751">
        <f t="shared" si="127"/>
        <v>0</v>
      </c>
    </row>
    <row r="952" spans="2:14" s="321" customFormat="1" ht="16.5" x14ac:dyDescent="0.35">
      <c r="B952" s="16">
        <f t="shared" si="128"/>
        <v>14</v>
      </c>
      <c r="C952" s="26" t="s">
        <v>260</v>
      </c>
      <c r="D952" s="1" t="s">
        <v>259</v>
      </c>
      <c r="E952" s="18"/>
      <c r="F952" s="982">
        <f>'WP II-I-1.1'!F358</f>
        <v>1400532.33</v>
      </c>
      <c r="G952" s="983">
        <f>'WP II-I-1.1'!G358</f>
        <v>1044798.28</v>
      </c>
      <c r="H952" s="983">
        <f>'WP II-I-1.1'!H358</f>
        <v>291823.53000000003</v>
      </c>
      <c r="I952" s="984">
        <f>'WP II-I-1.1'!I358</f>
        <v>11992.730000000074</v>
      </c>
      <c r="J952" s="238">
        <f t="shared" si="129"/>
        <v>2749146.8700000006</v>
      </c>
      <c r="K952" s="238"/>
      <c r="L952" s="232">
        <f t="shared" si="130"/>
        <v>1348614.54</v>
      </c>
      <c r="M952" s="45"/>
      <c r="N952" s="751">
        <f t="shared" si="127"/>
        <v>0</v>
      </c>
    </row>
    <row r="953" spans="2:14" ht="15" x14ac:dyDescent="0.25">
      <c r="B953" s="16">
        <f t="shared" si="128"/>
        <v>15</v>
      </c>
      <c r="C953" s="8" t="s">
        <v>636</v>
      </c>
      <c r="D953" s="32"/>
      <c r="E953" s="21"/>
      <c r="F953" s="805">
        <f>SUM(F940:F952)</f>
        <v>29562211.039999992</v>
      </c>
      <c r="G953" s="805">
        <f>SUM(G940:G952)</f>
        <v>68416703.059999987</v>
      </c>
      <c r="H953" s="805">
        <f>SUM(H940:H952)</f>
        <v>19049561.939999998</v>
      </c>
      <c r="I953" s="805">
        <f>SUM(I940:I952)</f>
        <v>20916734.68999999</v>
      </c>
      <c r="J953" s="235">
        <f t="shared" si="129"/>
        <v>137945210.72999996</v>
      </c>
      <c r="K953" s="236"/>
      <c r="L953" s="805">
        <f t="shared" si="130"/>
        <v>108382999.68999997</v>
      </c>
      <c r="M953" s="64"/>
      <c r="N953" s="751">
        <f t="shared" si="127"/>
        <v>0</v>
      </c>
    </row>
    <row r="954" spans="2:14" x14ac:dyDescent="0.2">
      <c r="B954" s="16">
        <f t="shared" si="128"/>
        <v>16</v>
      </c>
      <c r="C954" s="1"/>
      <c r="D954" s="1"/>
      <c r="E954" s="18"/>
      <c r="F954" s="803"/>
      <c r="G954" s="647"/>
      <c r="H954" s="647"/>
      <c r="I954" s="647"/>
      <c r="J954" s="1"/>
      <c r="K954" s="1"/>
      <c r="L954" s="1"/>
      <c r="M954" s="64"/>
      <c r="N954" s="751">
        <f t="shared" si="127"/>
        <v>0</v>
      </c>
    </row>
    <row r="955" spans="2:14" ht="15" x14ac:dyDescent="0.25">
      <c r="B955" s="16">
        <f t="shared" si="128"/>
        <v>17</v>
      </c>
      <c r="C955" s="8"/>
      <c r="D955" s="233" t="s">
        <v>637</v>
      </c>
      <c r="E955" s="19"/>
      <c r="F955" s="805">
        <f>SUM(F941:F952)</f>
        <v>1401414.71</v>
      </c>
      <c r="G955" s="805">
        <f>SUM(G941:G952)</f>
        <v>1051255.42</v>
      </c>
      <c r="H955" s="805">
        <f>SUM(H941:H952)</f>
        <v>292482.57</v>
      </c>
      <c r="I955" s="805">
        <f>SUM(I941:I952)</f>
        <v>12019.820000000074</v>
      </c>
      <c r="J955" s="235">
        <f>SUM(F955:I955)</f>
        <v>2757172.52</v>
      </c>
      <c r="K955" s="236"/>
      <c r="L955" s="21">
        <f t="shared" si="130"/>
        <v>1355757.81</v>
      </c>
      <c r="M955" s="64"/>
      <c r="N955" s="751">
        <f t="shared" si="127"/>
        <v>0</v>
      </c>
    </row>
    <row r="956" spans="2:14" ht="15" thickBot="1" x14ac:dyDescent="0.25">
      <c r="B956" s="16">
        <f t="shared" si="128"/>
        <v>18</v>
      </c>
      <c r="C956" s="1"/>
      <c r="D956" s="49"/>
      <c r="E956" s="16"/>
      <c r="F956" s="803"/>
      <c r="G956" s="803"/>
      <c r="H956" s="803"/>
      <c r="I956" s="803"/>
      <c r="J956" s="1"/>
      <c r="K956" s="1"/>
      <c r="L956" s="18"/>
      <c r="M956" s="64"/>
    </row>
    <row r="957" spans="2:14" ht="15.75" thickBot="1" x14ac:dyDescent="0.3">
      <c r="B957" s="16">
        <f t="shared" si="128"/>
        <v>19</v>
      </c>
      <c r="C957" s="223" t="s">
        <v>638</v>
      </c>
      <c r="D957" s="224"/>
      <c r="E957" s="309" t="s">
        <v>262</v>
      </c>
      <c r="F957" s="812">
        <f>+F925+F953</f>
        <v>87185858.019999996</v>
      </c>
      <c r="G957" s="812">
        <f>+G925+G953</f>
        <v>222468970.81999999</v>
      </c>
      <c r="H957" s="812">
        <f>+H925+H953</f>
        <v>57783928.270000003</v>
      </c>
      <c r="I957" s="812">
        <f>+I925+I953</f>
        <v>22504463.84999999</v>
      </c>
      <c r="J957" s="195">
        <f>SUM(F957:I957)</f>
        <v>389943220.95999992</v>
      </c>
      <c r="K957" s="191"/>
      <c r="L957" s="196">
        <f t="shared" si="130"/>
        <v>302757362.93999994</v>
      </c>
      <c r="M957" s="64"/>
      <c r="N957" s="310" t="b">
        <f>IF(ROUND(J957-'WP II-I-1.1'!J487,0)=0,TRUE,J957-'WP II-I-1.1'!J487)</f>
        <v>1</v>
      </c>
    </row>
    <row r="958" spans="2:14" x14ac:dyDescent="0.2">
      <c r="B958" s="64"/>
      <c r="C958" s="64"/>
      <c r="D958" s="64"/>
      <c r="E958" s="64"/>
      <c r="F958" s="589"/>
      <c r="G958" s="589"/>
      <c r="H958" s="589"/>
      <c r="I958" s="589"/>
      <c r="J958" s="64"/>
      <c r="K958" s="45"/>
      <c r="L958" s="45"/>
      <c r="M958" s="64"/>
    </row>
    <row r="959" spans="2:14" ht="15" x14ac:dyDescent="0.25">
      <c r="B959" s="783"/>
      <c r="C959" s="783"/>
      <c r="D959" s="783"/>
      <c r="E959" s="783"/>
      <c r="F959" s="783"/>
      <c r="G959" s="783"/>
      <c r="H959" s="783"/>
      <c r="I959" s="783"/>
      <c r="J959" s="783"/>
      <c r="K959" s="783"/>
      <c r="L959" s="783"/>
      <c r="M959" s="105" t="str">
        <f>$M$2</f>
        <v xml:space="preserve"> </v>
      </c>
    </row>
    <row r="960" spans="2:14" ht="15.75" thickBot="1" x14ac:dyDescent="0.3">
      <c r="B960" s="783"/>
      <c r="C960" s="783"/>
      <c r="D960" s="783"/>
      <c r="E960" s="783"/>
      <c r="F960" s="783"/>
      <c r="G960" s="783"/>
      <c r="H960" s="783"/>
      <c r="I960" s="783"/>
      <c r="J960" s="783"/>
      <c r="K960" s="783"/>
      <c r="L960" s="783"/>
      <c r="M960" s="64"/>
    </row>
    <row r="961" spans="2:14" ht="15" x14ac:dyDescent="0.25">
      <c r="B961" s="829" t="str">
        <f>$B$4</f>
        <v>2025 RATE CASE</v>
      </c>
      <c r="C961" s="835"/>
      <c r="D961" s="836"/>
      <c r="E961" s="783"/>
      <c r="F961" s="783"/>
      <c r="G961" s="783"/>
      <c r="H961" s="783"/>
      <c r="I961" s="783"/>
      <c r="J961" s="783"/>
      <c r="K961" s="783"/>
      <c r="L961" s="783"/>
    </row>
    <row r="962" spans="2:14" ht="15" x14ac:dyDescent="0.25">
      <c r="B962" s="826" t="str">
        <f>$B$5</f>
        <v>ONCOR ELECTRIC DELIVERY COMPANY LLC</v>
      </c>
      <c r="C962" s="304"/>
      <c r="D962" s="837"/>
      <c r="E962" s="783"/>
      <c r="F962" s="783"/>
      <c r="G962" s="783"/>
      <c r="H962" s="783"/>
      <c r="I962" s="783"/>
      <c r="J962" s="783"/>
      <c r="K962" s="783"/>
      <c r="L962" s="783"/>
      <c r="M962" s="64"/>
    </row>
    <row r="963" spans="2:14" ht="15" x14ac:dyDescent="0.25">
      <c r="B963" s="341" t="str">
        <f>$B$6</f>
        <v>CONSOLIDATED FUNCTIONALIZED COST OF SERVICE</v>
      </c>
      <c r="C963" s="304"/>
      <c r="D963" s="837"/>
      <c r="E963" s="783"/>
      <c r="F963" s="783"/>
      <c r="G963" s="783"/>
      <c r="H963" s="783"/>
      <c r="I963" s="783"/>
      <c r="J963" s="783"/>
      <c r="K963" s="783"/>
      <c r="L963" s="783"/>
      <c r="M963" s="64"/>
    </row>
    <row r="964" spans="2:14" ht="15.75" x14ac:dyDescent="0.25">
      <c r="B964" s="341" t="str">
        <f>$B$7</f>
        <v>TEST YEAR ENDING 12/31/2024</v>
      </c>
      <c r="C964" s="752"/>
      <c r="D964" s="830"/>
      <c r="E964" s="64"/>
      <c r="F964" s="589"/>
      <c r="G964" s="589"/>
      <c r="H964" s="589"/>
      <c r="I964" s="589"/>
      <c r="J964" s="64"/>
      <c r="K964" s="64"/>
      <c r="L964" s="64"/>
      <c r="M964" s="64"/>
    </row>
    <row r="965" spans="2:14" ht="15" x14ac:dyDescent="0.25">
      <c r="B965" s="341" t="str">
        <f>$B$8</f>
        <v>SPONSOR:  MATTHEW A. TROXLE</v>
      </c>
      <c r="C965" s="304"/>
      <c r="D965" s="837"/>
      <c r="E965" s="304"/>
      <c r="F965" s="304"/>
      <c r="G965" s="304"/>
      <c r="H965" s="304"/>
      <c r="I965" s="304"/>
      <c r="J965" s="304"/>
      <c r="K965" s="304"/>
      <c r="L965" s="304"/>
      <c r="M965" s="64"/>
    </row>
    <row r="966" spans="2:14" ht="15.75" thickBot="1" x14ac:dyDescent="0.3">
      <c r="B966" s="345"/>
      <c r="C966" s="843"/>
      <c r="D966" s="845"/>
      <c r="F966" s="654"/>
      <c r="G966" s="654"/>
      <c r="H966" s="654"/>
      <c r="I966" s="654"/>
      <c r="J966" s="267"/>
      <c r="K966" s="41"/>
      <c r="L966" s="41"/>
      <c r="M966" s="64"/>
    </row>
    <row r="967" spans="2:14" x14ac:dyDescent="0.2">
      <c r="B967" s="12"/>
      <c r="C967" s="13"/>
      <c r="D967" s="13"/>
      <c r="E967" s="13"/>
      <c r="F967" s="988" t="s">
        <v>6</v>
      </c>
      <c r="G967" s="655" t="s">
        <v>7</v>
      </c>
      <c r="H967" s="655" t="s">
        <v>8</v>
      </c>
      <c r="I967" s="855" t="s">
        <v>9</v>
      </c>
      <c r="J967" s="12" t="s">
        <v>10</v>
      </c>
      <c r="K967" s="16"/>
      <c r="L967" s="110" t="s">
        <v>907</v>
      </c>
      <c r="M967" s="64"/>
    </row>
    <row r="968" spans="2:14" ht="15" x14ac:dyDescent="0.25">
      <c r="B968" s="14" t="s">
        <v>2</v>
      </c>
      <c r="C968" s="14" t="s">
        <v>349</v>
      </c>
      <c r="D968" s="226" t="s">
        <v>639</v>
      </c>
      <c r="E968" s="14" t="s">
        <v>350</v>
      </c>
      <c r="F968" s="661"/>
      <c r="G968" s="660"/>
      <c r="H968" s="660"/>
      <c r="I968" s="660"/>
      <c r="J968" s="14"/>
      <c r="K968" s="16"/>
      <c r="L968" s="93" t="s">
        <v>908</v>
      </c>
      <c r="M968" s="64"/>
    </row>
    <row r="969" spans="2:14" x14ac:dyDescent="0.2">
      <c r="B969" s="14"/>
      <c r="C969" s="14"/>
      <c r="D969" s="14"/>
      <c r="E969" s="14"/>
      <c r="F969" s="661"/>
      <c r="G969" s="660"/>
      <c r="H969" s="660"/>
      <c r="I969" s="660"/>
      <c r="J969" s="14"/>
      <c r="K969" s="16"/>
      <c r="L969" s="93"/>
      <c r="M969" s="64"/>
    </row>
    <row r="970" spans="2:14" ht="15" thickBot="1" x14ac:dyDescent="0.25">
      <c r="B970" s="15"/>
      <c r="C970" s="15" t="s">
        <v>13</v>
      </c>
      <c r="D970" s="15" t="s">
        <v>14</v>
      </c>
      <c r="E970" s="15" t="s">
        <v>15</v>
      </c>
      <c r="F970" s="664" t="s">
        <v>16</v>
      </c>
      <c r="G970" s="664" t="s">
        <v>17</v>
      </c>
      <c r="H970" s="664" t="s">
        <v>18</v>
      </c>
      <c r="I970" s="664" t="s">
        <v>21</v>
      </c>
      <c r="J970" s="15" t="s">
        <v>22</v>
      </c>
      <c r="K970" s="16"/>
      <c r="L970" s="997" t="s">
        <v>397</v>
      </c>
      <c r="M970" s="64"/>
    </row>
    <row r="971" spans="2:14" ht="15" x14ac:dyDescent="0.25">
      <c r="B971" s="64"/>
      <c r="C971" s="268"/>
      <c r="D971" s="268"/>
      <c r="E971" s="35"/>
      <c r="F971" s="666"/>
      <c r="G971" s="666"/>
      <c r="H971" s="666"/>
      <c r="I971" s="611"/>
      <c r="J971" s="41"/>
      <c r="K971" s="41"/>
      <c r="L971" s="41"/>
      <c r="M971" s="64"/>
      <c r="N971" s="751">
        <f t="shared" ref="N971:N978" si="131">J971-L971-F971</f>
        <v>0</v>
      </c>
    </row>
    <row r="972" spans="2:14" s="321" customFormat="1" ht="15" x14ac:dyDescent="0.25">
      <c r="B972" s="16">
        <f t="shared" ref="B972:B978" si="132">B971+1</f>
        <v>1</v>
      </c>
      <c r="C972" s="311"/>
      <c r="D972" s="41" t="s">
        <v>272</v>
      </c>
      <c r="E972" s="35" t="s">
        <v>273</v>
      </c>
      <c r="F972" s="802">
        <f>'WP II-I-1.1'!F361</f>
        <v>0</v>
      </c>
      <c r="G972" s="802">
        <f>'WP II-I-1.1'!G361</f>
        <v>0</v>
      </c>
      <c r="H972" s="802">
        <f>'WP II-I-1.1'!H361</f>
        <v>0</v>
      </c>
      <c r="I972" s="802">
        <f>'WP II-I-1.1'!I361</f>
        <v>0</v>
      </c>
      <c r="J972" s="229">
        <f>SUM(F972:I972)</f>
        <v>0</v>
      </c>
      <c r="K972" s="229"/>
      <c r="L972" s="17">
        <f t="shared" si="130"/>
        <v>0</v>
      </c>
      <c r="M972" s="45"/>
      <c r="N972" s="751">
        <f t="shared" si="131"/>
        <v>0</v>
      </c>
    </row>
    <row r="973" spans="2:14" s="321" customFormat="1" ht="15" x14ac:dyDescent="0.25">
      <c r="B973" s="16">
        <f t="shared" si="132"/>
        <v>2</v>
      </c>
      <c r="C973" s="269"/>
      <c r="D973" s="41" t="s">
        <v>274</v>
      </c>
      <c r="E973" s="35" t="s">
        <v>273</v>
      </c>
      <c r="F973" s="802">
        <f>'WP II-I-1.1'!F362</f>
        <v>0</v>
      </c>
      <c r="G973" s="802">
        <f>'WP II-I-1.1'!G362</f>
        <v>0</v>
      </c>
      <c r="H973" s="802">
        <f>'WP II-I-1.1'!H362</f>
        <v>0</v>
      </c>
      <c r="I973" s="802">
        <f>'WP II-I-1.1'!I362</f>
        <v>0</v>
      </c>
      <c r="J973" s="229">
        <f>SUM(F973:I973)</f>
        <v>0</v>
      </c>
      <c r="K973" s="229"/>
      <c r="L973" s="17">
        <f t="shared" si="130"/>
        <v>0</v>
      </c>
      <c r="M973" s="45"/>
      <c r="N973" s="751">
        <f t="shared" si="131"/>
        <v>0</v>
      </c>
    </row>
    <row r="974" spans="2:14" s="321" customFormat="1" ht="15" x14ac:dyDescent="0.25">
      <c r="B974" s="16">
        <f t="shared" si="132"/>
        <v>3</v>
      </c>
      <c r="C974" s="41"/>
      <c r="D974" s="41" t="s">
        <v>275</v>
      </c>
      <c r="E974" s="35" t="s">
        <v>276</v>
      </c>
      <c r="F974" s="802">
        <f>'WP II-I-1.1'!F363</f>
        <v>0</v>
      </c>
      <c r="G974" s="802">
        <f>'WP II-I-1.1'!G363</f>
        <v>0</v>
      </c>
      <c r="H974" s="802">
        <f>'WP II-I-1.1'!H363</f>
        <v>0</v>
      </c>
      <c r="I974" s="802">
        <f>'WP II-I-1.1'!I363</f>
        <v>0</v>
      </c>
      <c r="J974" s="229">
        <f>SUM(F974:I974)</f>
        <v>0</v>
      </c>
      <c r="K974" s="229"/>
      <c r="L974" s="17">
        <f t="shared" si="130"/>
        <v>0</v>
      </c>
      <c r="M974" s="45"/>
      <c r="N974" s="751">
        <f t="shared" si="131"/>
        <v>0</v>
      </c>
    </row>
    <row r="975" spans="2:14" s="321" customFormat="1" ht="15" x14ac:dyDescent="0.25">
      <c r="B975" s="16">
        <f t="shared" si="132"/>
        <v>4</v>
      </c>
      <c r="C975" s="41"/>
      <c r="D975" s="41" t="s">
        <v>277</v>
      </c>
      <c r="E975" s="35" t="s">
        <v>276</v>
      </c>
      <c r="F975" s="802">
        <f>'WP II-I-1.1'!F364</f>
        <v>0</v>
      </c>
      <c r="G975" s="802">
        <f>'WP II-I-1.1'!G364</f>
        <v>0</v>
      </c>
      <c r="H975" s="802">
        <f>'WP II-I-1.1'!H364</f>
        <v>0</v>
      </c>
      <c r="I975" s="802">
        <f>'WP II-I-1.1'!I364</f>
        <v>0</v>
      </c>
      <c r="J975" s="229">
        <f>SUM(F975:I975)</f>
        <v>0</v>
      </c>
      <c r="K975" s="229"/>
      <c r="L975" s="17">
        <f t="shared" si="130"/>
        <v>0</v>
      </c>
      <c r="M975" s="45"/>
      <c r="N975" s="751">
        <f t="shared" si="131"/>
        <v>0</v>
      </c>
    </row>
    <row r="976" spans="2:14" s="321" customFormat="1" ht="15" x14ac:dyDescent="0.25">
      <c r="B976" s="16">
        <f t="shared" si="132"/>
        <v>5</v>
      </c>
      <c r="C976" s="41"/>
      <c r="D976" s="41" t="s">
        <v>278</v>
      </c>
      <c r="E976" s="35" t="s">
        <v>276</v>
      </c>
      <c r="F976" s="802">
        <f>'WP II-I-1.1'!F365</f>
        <v>0</v>
      </c>
      <c r="G976" s="802">
        <f>'WP II-I-1.1'!G365</f>
        <v>0</v>
      </c>
      <c r="H976" s="802">
        <f>'WP II-I-1.1'!H365</f>
        <v>0</v>
      </c>
      <c r="I976" s="802">
        <f>'WP II-I-1.1'!I365</f>
        <v>0</v>
      </c>
      <c r="J976" s="229">
        <f>SUM(F976:I976)</f>
        <v>0</v>
      </c>
      <c r="K976" s="229"/>
      <c r="L976" s="17">
        <f t="shared" si="130"/>
        <v>0</v>
      </c>
      <c r="M976" s="45"/>
      <c r="N976" s="751">
        <f t="shared" si="131"/>
        <v>0</v>
      </c>
    </row>
    <row r="977" spans="2:14" ht="15.75" thickBot="1" x14ac:dyDescent="0.3">
      <c r="B977" s="16">
        <f t="shared" si="132"/>
        <v>6</v>
      </c>
      <c r="C977" s="41"/>
      <c r="D977" s="41"/>
      <c r="E977" s="35"/>
      <c r="F977" s="802"/>
      <c r="G977" s="802"/>
      <c r="H977" s="802"/>
      <c r="I977" s="802"/>
      <c r="J977" s="97"/>
      <c r="K977" s="229"/>
      <c r="L977" s="17">
        <f t="shared" si="130"/>
        <v>0</v>
      </c>
      <c r="M977" s="64"/>
      <c r="N977" s="751">
        <f t="shared" si="131"/>
        <v>0</v>
      </c>
    </row>
    <row r="978" spans="2:14" ht="15.75" thickBot="1" x14ac:dyDescent="0.3">
      <c r="B978" s="16">
        <f t="shared" si="132"/>
        <v>7</v>
      </c>
      <c r="C978" s="276" t="s">
        <v>640</v>
      </c>
      <c r="D978" s="271"/>
      <c r="E978" s="272"/>
      <c r="F978" s="814">
        <f>+F972+F973+F974+F975</f>
        <v>0</v>
      </c>
      <c r="G978" s="814">
        <f>+G972+G973+G974+G975</f>
        <v>0</v>
      </c>
      <c r="H978" s="814">
        <f>+H972+H973+H974+H975</f>
        <v>0</v>
      </c>
      <c r="I978" s="814">
        <f>+I972+I973+I974+I975</f>
        <v>0</v>
      </c>
      <c r="J978" s="195">
        <f>SUM(F978:I978)</f>
        <v>0</v>
      </c>
      <c r="K978" s="191"/>
      <c r="L978" s="219">
        <f t="shared" si="130"/>
        <v>0</v>
      </c>
      <c r="M978" s="64"/>
      <c r="N978" s="751">
        <f t="shared" si="131"/>
        <v>0</v>
      </c>
    </row>
    <row r="979" spans="2:14" ht="4.5" customHeight="1" x14ac:dyDescent="0.25">
      <c r="B979" s="783"/>
      <c r="C979" s="783"/>
      <c r="D979" s="783"/>
      <c r="E979" s="783"/>
      <c r="F979" s="783"/>
      <c r="G979" s="783"/>
      <c r="H979" s="783"/>
      <c r="I979" s="783"/>
      <c r="J979" s="783"/>
      <c r="K979" s="783"/>
      <c r="L979" s="783"/>
      <c r="M979" s="64"/>
    </row>
    <row r="980" spans="2:14" ht="3.75" customHeight="1" thickBot="1" x14ac:dyDescent="0.3">
      <c r="B980" s="783"/>
      <c r="C980" s="783"/>
      <c r="D980" s="783"/>
      <c r="E980" s="783"/>
      <c r="F980" s="783"/>
      <c r="G980" s="783"/>
      <c r="H980" s="783"/>
      <c r="I980" s="783"/>
      <c r="J980" s="783"/>
      <c r="K980" s="783"/>
      <c r="L980" s="783"/>
      <c r="M980" s="105" t="str">
        <f>$M$2</f>
        <v xml:space="preserve"> </v>
      </c>
    </row>
    <row r="981" spans="2:14" ht="15" x14ac:dyDescent="0.25">
      <c r="B981" s="829" t="str">
        <f>$B$4</f>
        <v>2025 RATE CASE</v>
      </c>
      <c r="C981" s="835"/>
      <c r="D981" s="836"/>
      <c r="E981" s="783"/>
      <c r="F981" s="783"/>
      <c r="G981" s="783"/>
      <c r="H981" s="783"/>
      <c r="I981" s="783"/>
      <c r="J981" s="783"/>
      <c r="K981" s="783"/>
      <c r="L981" s="783"/>
    </row>
    <row r="982" spans="2:14" ht="15" x14ac:dyDescent="0.25">
      <c r="B982" s="826" t="str">
        <f>$B$5</f>
        <v>ONCOR ELECTRIC DELIVERY COMPANY LLC</v>
      </c>
      <c r="C982" s="304"/>
      <c r="D982" s="837"/>
      <c r="E982" s="783"/>
      <c r="F982" s="783"/>
      <c r="G982" s="783"/>
      <c r="H982" s="783"/>
      <c r="I982" s="783"/>
      <c r="J982" s="783"/>
      <c r="K982" s="783"/>
      <c r="L982" s="783"/>
      <c r="M982" s="64"/>
    </row>
    <row r="983" spans="2:14" ht="15" x14ac:dyDescent="0.25">
      <c r="B983" s="341" t="str">
        <f>$B$6</f>
        <v>CONSOLIDATED FUNCTIONALIZED COST OF SERVICE</v>
      </c>
      <c r="C983" s="304"/>
      <c r="D983" s="837"/>
      <c r="E983" s="783"/>
      <c r="F983" s="783"/>
      <c r="G983" s="783"/>
      <c r="H983" s="783"/>
      <c r="I983" s="783"/>
      <c r="J983" s="783"/>
      <c r="K983" s="783"/>
      <c r="L983" s="783"/>
      <c r="M983" s="64"/>
    </row>
    <row r="984" spans="2:14" ht="15.75" x14ac:dyDescent="0.25">
      <c r="B984" s="341" t="str">
        <f>$B$7</f>
        <v>TEST YEAR ENDING 12/31/2024</v>
      </c>
      <c r="C984" s="752"/>
      <c r="D984" s="830"/>
      <c r="E984" s="64"/>
      <c r="F984" s="589"/>
      <c r="G984" s="589"/>
      <c r="H984" s="589"/>
      <c r="I984" s="589"/>
      <c r="J984" s="64"/>
      <c r="K984" s="64"/>
      <c r="L984" s="64"/>
      <c r="M984" s="64"/>
    </row>
    <row r="985" spans="2:14" ht="15" x14ac:dyDescent="0.25">
      <c r="B985" s="341" t="str">
        <f>$B$8</f>
        <v>SPONSOR:  MATTHEW A. TROXLE</v>
      </c>
      <c r="C985" s="304"/>
      <c r="D985" s="837"/>
      <c r="E985" s="304"/>
      <c r="F985" s="304"/>
      <c r="G985" s="304"/>
      <c r="H985" s="304"/>
      <c r="I985" s="304"/>
      <c r="J985" s="304"/>
      <c r="K985" s="304"/>
      <c r="L985" s="304"/>
      <c r="M985" s="64"/>
    </row>
    <row r="986" spans="2:14" ht="15.75" thickBot="1" x14ac:dyDescent="0.3">
      <c r="B986" s="345"/>
      <c r="C986" s="843"/>
      <c r="D986" s="845"/>
      <c r="F986" s="654"/>
      <c r="G986" s="654"/>
      <c r="H986" s="654"/>
      <c r="I986" s="654"/>
      <c r="J986" s="267"/>
      <c r="K986" s="41"/>
      <c r="L986" s="41"/>
      <c r="M986" s="64"/>
    </row>
    <row r="987" spans="2:14" ht="11.25" customHeight="1" x14ac:dyDescent="0.2">
      <c r="B987" s="12"/>
      <c r="C987" s="13"/>
      <c r="D987" s="13"/>
      <c r="E987" s="13"/>
      <c r="F987" s="988" t="s">
        <v>6</v>
      </c>
      <c r="G987" s="655" t="s">
        <v>7</v>
      </c>
      <c r="H987" s="655" t="s">
        <v>8</v>
      </c>
      <c r="I987" s="855" t="s">
        <v>9</v>
      </c>
      <c r="J987" s="12" t="s">
        <v>10</v>
      </c>
      <c r="K987" s="16"/>
      <c r="L987" s="110" t="s">
        <v>907</v>
      </c>
      <c r="M987" s="64"/>
    </row>
    <row r="988" spans="2:14" ht="15" x14ac:dyDescent="0.25">
      <c r="B988" s="14" t="s">
        <v>2</v>
      </c>
      <c r="C988" s="14" t="s">
        <v>349</v>
      </c>
      <c r="D988" s="226" t="s">
        <v>641</v>
      </c>
      <c r="E988" s="14" t="s">
        <v>350</v>
      </c>
      <c r="F988" s="661"/>
      <c r="G988" s="660"/>
      <c r="H988" s="660"/>
      <c r="I988" s="660"/>
      <c r="J988" s="14"/>
      <c r="K988" s="16"/>
      <c r="L988" s="93" t="s">
        <v>908</v>
      </c>
      <c r="M988" s="64"/>
    </row>
    <row r="989" spans="2:14" x14ac:dyDescent="0.2">
      <c r="B989" s="14"/>
      <c r="C989" s="14"/>
      <c r="D989" s="14"/>
      <c r="E989" s="14"/>
      <c r="F989" s="661"/>
      <c r="G989" s="660"/>
      <c r="H989" s="660"/>
      <c r="I989" s="660"/>
      <c r="J989" s="14"/>
      <c r="K989" s="16"/>
      <c r="L989" s="93"/>
      <c r="M989" s="64"/>
    </row>
    <row r="990" spans="2:14" ht="15" thickBot="1" x14ac:dyDescent="0.25">
      <c r="B990" s="15"/>
      <c r="C990" s="15" t="s">
        <v>13</v>
      </c>
      <c r="D990" s="15" t="s">
        <v>14</v>
      </c>
      <c r="E990" s="15" t="s">
        <v>15</v>
      </c>
      <c r="F990" s="664" t="s">
        <v>16</v>
      </c>
      <c r="G990" s="664" t="s">
        <v>17</v>
      </c>
      <c r="H990" s="664" t="s">
        <v>18</v>
      </c>
      <c r="I990" s="664" t="s">
        <v>21</v>
      </c>
      <c r="J990" s="15" t="s">
        <v>22</v>
      </c>
      <c r="K990" s="16"/>
      <c r="L990" s="997" t="s">
        <v>397</v>
      </c>
      <c r="M990" s="64"/>
    </row>
    <row r="991" spans="2:14" ht="10.5" customHeight="1" x14ac:dyDescent="0.2">
      <c r="B991" s="64"/>
      <c r="C991" s="268"/>
      <c r="D991" s="268"/>
      <c r="E991" s="268"/>
      <c r="F991" s="666"/>
      <c r="G991" s="666"/>
      <c r="H991" s="666"/>
      <c r="I991" s="611"/>
      <c r="J991" s="41"/>
      <c r="K991" s="41"/>
      <c r="L991" s="41"/>
      <c r="M991" s="64"/>
    </row>
    <row r="992" spans="2:14" ht="15" x14ac:dyDescent="0.25">
      <c r="B992" s="16">
        <f t="shared" ref="B992:B1017" si="133">B991+1</f>
        <v>1</v>
      </c>
      <c r="C992" s="301" t="s">
        <v>279</v>
      </c>
      <c r="D992" s="8"/>
      <c r="E992" s="19"/>
      <c r="F992" s="8"/>
      <c r="G992" s="8"/>
      <c r="H992" s="8"/>
      <c r="I992" s="8"/>
      <c r="J992" s="8"/>
      <c r="K992" s="8"/>
      <c r="L992" s="8"/>
      <c r="M992" s="64"/>
    </row>
    <row r="993" spans="2:14" ht="10.5" customHeight="1" x14ac:dyDescent="0.2">
      <c r="B993" s="16">
        <f t="shared" si="133"/>
        <v>2</v>
      </c>
      <c r="C993" s="1"/>
      <c r="D993" s="1"/>
      <c r="E993" s="16"/>
      <c r="F993" s="647"/>
      <c r="G993" s="647"/>
      <c r="H993" s="647"/>
      <c r="I993" s="647"/>
      <c r="J993" s="1"/>
      <c r="K993" s="1"/>
      <c r="L993" s="1"/>
      <c r="M993" s="64"/>
    </row>
    <row r="994" spans="2:14" ht="15" x14ac:dyDescent="0.25">
      <c r="B994" s="16">
        <f t="shared" si="133"/>
        <v>3</v>
      </c>
      <c r="C994" s="8" t="s">
        <v>642</v>
      </c>
      <c r="D994" s="8"/>
      <c r="E994" s="19" t="s">
        <v>280</v>
      </c>
      <c r="F994" s="811"/>
      <c r="G994" s="811"/>
      <c r="H994" s="811"/>
      <c r="I994" s="811"/>
      <c r="J994" s="8"/>
      <c r="K994" s="8"/>
      <c r="L994" s="99"/>
      <c r="M994" s="64"/>
    </row>
    <row r="995" spans="2:14" s="321" customFormat="1" x14ac:dyDescent="0.2">
      <c r="B995" s="16">
        <f t="shared" si="133"/>
        <v>4</v>
      </c>
      <c r="C995" s="1" t="s">
        <v>25</v>
      </c>
      <c r="D995" s="1" t="s">
        <v>26</v>
      </c>
      <c r="E995" s="16"/>
      <c r="F995" s="985">
        <f>'WP II-I-1.1'!F370</f>
        <v>0</v>
      </c>
      <c r="G995" s="986">
        <f>'WP II-I-1.1'!G370</f>
        <v>0</v>
      </c>
      <c r="H995" s="986">
        <f>'WP II-I-1.1'!H370</f>
        <v>0</v>
      </c>
      <c r="I995" s="987">
        <f>'WP II-I-1.1'!I370</f>
        <v>0</v>
      </c>
      <c r="J995" s="229">
        <f>SUM(F995:I995)</f>
        <v>0</v>
      </c>
      <c r="K995" s="229"/>
      <c r="L995" s="17">
        <f t="shared" ref="L995:L1063" si="134">SUM(G995:I995)</f>
        <v>0</v>
      </c>
      <c r="M995" s="45"/>
      <c r="N995" s="751">
        <f t="shared" ref="N995:N1065" si="135">J995-L995-F995</f>
        <v>0</v>
      </c>
    </row>
    <row r="996" spans="2:14" s="321" customFormat="1" x14ac:dyDescent="0.2">
      <c r="B996" s="16">
        <f t="shared" si="133"/>
        <v>5</v>
      </c>
      <c r="C996" s="1" t="s">
        <v>27</v>
      </c>
      <c r="D996" s="1" t="s">
        <v>35</v>
      </c>
      <c r="E996" s="16"/>
      <c r="F996" s="980">
        <f>'WP II-I-1.1'!F371</f>
        <v>0</v>
      </c>
      <c r="G996" s="802">
        <f>'WP II-I-1.1'!G371</f>
        <v>0</v>
      </c>
      <c r="H996" s="802">
        <f>'WP II-I-1.1'!H371</f>
        <v>0</v>
      </c>
      <c r="I996" s="981">
        <f>'WP II-I-1.1'!I371</f>
        <v>0</v>
      </c>
      <c r="J996" s="229">
        <f>SUM(F996:I996)</f>
        <v>0</v>
      </c>
      <c r="K996" s="229"/>
      <c r="L996" s="17">
        <f t="shared" si="134"/>
        <v>0</v>
      </c>
      <c r="M996" s="45"/>
      <c r="N996" s="751">
        <f t="shared" si="135"/>
        <v>0</v>
      </c>
    </row>
    <row r="997" spans="2:14" s="321" customFormat="1" ht="16.5" x14ac:dyDescent="0.35">
      <c r="B997" s="16">
        <f t="shared" si="133"/>
        <v>6</v>
      </c>
      <c r="C997" s="1" t="s">
        <v>29</v>
      </c>
      <c r="D997" s="1" t="s">
        <v>32</v>
      </c>
      <c r="E997" s="16"/>
      <c r="F997" s="982">
        <f>'WP II-I-1.1'!F372</f>
        <v>486900.61</v>
      </c>
      <c r="G997" s="983">
        <f>'WP II-I-1.1'!G372</f>
        <v>620475.91</v>
      </c>
      <c r="H997" s="983">
        <f>'WP II-I-1.1'!H372</f>
        <v>23278.12</v>
      </c>
      <c r="I997" s="984">
        <f>'WP II-I-1.1'!I372</f>
        <v>10429.510000005943</v>
      </c>
      <c r="J997" s="238">
        <f>SUM(F997:I997)</f>
        <v>1141084.150000006</v>
      </c>
      <c r="K997" s="238"/>
      <c r="L997" s="232">
        <f t="shared" si="134"/>
        <v>654183.54000000597</v>
      </c>
      <c r="M997" s="45"/>
      <c r="N997" s="751">
        <f t="shared" si="135"/>
        <v>0</v>
      </c>
    </row>
    <row r="998" spans="2:14" ht="15" x14ac:dyDescent="0.25">
      <c r="B998" s="16">
        <f t="shared" si="133"/>
        <v>7</v>
      </c>
      <c r="C998" s="21"/>
      <c r="D998" s="314" t="s">
        <v>444</v>
      </c>
      <c r="E998" s="21"/>
      <c r="F998" s="805">
        <f>+F995+F996+F997</f>
        <v>486900.61</v>
      </c>
      <c r="G998" s="805">
        <f>+G995+G996+G997</f>
        <v>620475.91</v>
      </c>
      <c r="H998" s="805">
        <f>+H995+H996+H997</f>
        <v>23278.12</v>
      </c>
      <c r="I998" s="805">
        <f>+I995+I996+I997</f>
        <v>10429.510000005943</v>
      </c>
      <c r="J998" s="235">
        <f>SUM(F998:I998)</f>
        <v>1141084.150000006</v>
      </c>
      <c r="K998" s="236"/>
      <c r="L998" s="805">
        <f t="shared" si="134"/>
        <v>654183.54000000597</v>
      </c>
      <c r="M998" s="64"/>
      <c r="N998" s="751">
        <f t="shared" si="135"/>
        <v>0</v>
      </c>
    </row>
    <row r="999" spans="2:14" ht="9.75" customHeight="1" x14ac:dyDescent="0.2">
      <c r="B999" s="16">
        <f t="shared" si="133"/>
        <v>8</v>
      </c>
      <c r="C999" s="1"/>
      <c r="D999" s="1"/>
      <c r="E999" s="16"/>
      <c r="F999" s="803"/>
      <c r="G999" s="803"/>
      <c r="H999" s="803"/>
      <c r="I999" s="803"/>
      <c r="J999" s="1"/>
      <c r="K999" s="1"/>
      <c r="L999" s="18">
        <f t="shared" si="134"/>
        <v>0</v>
      </c>
      <c r="M999" s="64"/>
      <c r="N999" s="751">
        <f t="shared" si="135"/>
        <v>0</v>
      </c>
    </row>
    <row r="1000" spans="2:14" ht="15" x14ac:dyDescent="0.25">
      <c r="B1000" s="16">
        <f t="shared" si="133"/>
        <v>9</v>
      </c>
      <c r="C1000" s="8" t="s">
        <v>643</v>
      </c>
      <c r="D1000" s="8"/>
      <c r="E1000" s="19" t="s">
        <v>280</v>
      </c>
      <c r="F1000" s="805"/>
      <c r="G1000" s="805"/>
      <c r="H1000" s="805"/>
      <c r="I1000" s="805"/>
      <c r="J1000" s="8"/>
      <c r="K1000" s="8"/>
      <c r="L1000" s="21">
        <f t="shared" si="134"/>
        <v>0</v>
      </c>
      <c r="M1000" s="64"/>
      <c r="N1000" s="751">
        <f t="shared" si="135"/>
        <v>0</v>
      </c>
    </row>
    <row r="1001" spans="2:14" s="321" customFormat="1" x14ac:dyDescent="0.2">
      <c r="B1001" s="16">
        <f t="shared" si="133"/>
        <v>10</v>
      </c>
      <c r="C1001" s="1" t="s">
        <v>39</v>
      </c>
      <c r="D1001" s="1" t="s">
        <v>40</v>
      </c>
      <c r="E1001" s="16"/>
      <c r="F1001" s="985">
        <f>'WP II-I-1.1'!F374</f>
        <v>6441296.0800000001</v>
      </c>
      <c r="G1001" s="986">
        <f>'WP II-I-1.1'!G374</f>
        <v>0</v>
      </c>
      <c r="H1001" s="986">
        <f>'WP II-I-1.1'!H374</f>
        <v>0</v>
      </c>
      <c r="I1001" s="987">
        <f>'WP II-I-1.1'!I374</f>
        <v>0</v>
      </c>
      <c r="J1001" s="229">
        <f t="shared" ref="J1001:J1013" si="136">SUM(F1001:I1001)</f>
        <v>6441296.0800000001</v>
      </c>
      <c r="K1001" s="229"/>
      <c r="L1001" s="17">
        <f t="shared" si="134"/>
        <v>0</v>
      </c>
      <c r="M1001" s="45"/>
      <c r="N1001" s="751">
        <f t="shared" si="135"/>
        <v>0</v>
      </c>
    </row>
    <row r="1002" spans="2:14" s="321" customFormat="1" x14ac:dyDescent="0.2">
      <c r="B1002" s="16">
        <f t="shared" si="133"/>
        <v>11</v>
      </c>
      <c r="C1002" s="1" t="s">
        <v>1229</v>
      </c>
      <c r="D1002" s="1" t="s">
        <v>1230</v>
      </c>
      <c r="E1002" s="16"/>
      <c r="F1002" s="980">
        <f>'WP II-I-1.1'!F375</f>
        <v>0</v>
      </c>
      <c r="G1002" s="802">
        <f>'WP II-I-1.1'!G375</f>
        <v>0</v>
      </c>
      <c r="H1002" s="802">
        <f>'WP II-I-1.1'!H375</f>
        <v>0</v>
      </c>
      <c r="I1002" s="981">
        <f>'WP II-I-1.1'!I375</f>
        <v>0</v>
      </c>
      <c r="J1002" s="229"/>
      <c r="K1002" s="229"/>
      <c r="L1002" s="17"/>
      <c r="M1002" s="45"/>
      <c r="N1002" s="751"/>
    </row>
    <row r="1003" spans="2:14" s="321" customFormat="1" x14ac:dyDescent="0.2">
      <c r="B1003" s="16">
        <f t="shared" si="133"/>
        <v>12</v>
      </c>
      <c r="C1003" s="1" t="s">
        <v>1231</v>
      </c>
      <c r="D1003" s="1" t="s">
        <v>1232</v>
      </c>
      <c r="E1003" s="16"/>
      <c r="F1003" s="980">
        <f>'WP II-I-1.1'!F376</f>
        <v>12662464.560000001</v>
      </c>
      <c r="G1003" s="802">
        <f>'WP II-I-1.1'!G376</f>
        <v>0</v>
      </c>
      <c r="H1003" s="802">
        <f>'WP II-I-1.1'!H376</f>
        <v>0</v>
      </c>
      <c r="I1003" s="981">
        <f>'WP II-I-1.1'!I376</f>
        <v>0</v>
      </c>
      <c r="J1003" s="229"/>
      <c r="K1003" s="229"/>
      <c r="L1003" s="17"/>
      <c r="M1003" s="45"/>
      <c r="N1003" s="751"/>
    </row>
    <row r="1004" spans="2:14" s="321" customFormat="1" x14ac:dyDescent="0.2">
      <c r="B1004" s="16">
        <f t="shared" si="133"/>
        <v>13</v>
      </c>
      <c r="C1004" s="1" t="s">
        <v>1233</v>
      </c>
      <c r="D1004" s="1" t="s">
        <v>103</v>
      </c>
      <c r="E1004" s="16"/>
      <c r="F1004" s="980">
        <f>'WP II-I-1.1'!F377</f>
        <v>122277.99</v>
      </c>
      <c r="G1004" s="802">
        <f>'WP II-I-1.1'!G377</f>
        <v>0</v>
      </c>
      <c r="H1004" s="802">
        <f>'WP II-I-1.1'!H377</f>
        <v>0</v>
      </c>
      <c r="I1004" s="981">
        <f>'WP II-I-1.1'!I377</f>
        <v>0</v>
      </c>
      <c r="J1004" s="229"/>
      <c r="K1004" s="229"/>
      <c r="L1004" s="17"/>
      <c r="M1004" s="45"/>
      <c r="N1004" s="751"/>
    </row>
    <row r="1005" spans="2:14" s="321" customFormat="1" x14ac:dyDescent="0.2">
      <c r="B1005" s="16">
        <f t="shared" si="133"/>
        <v>14</v>
      </c>
      <c r="C1005" s="1" t="s">
        <v>41</v>
      </c>
      <c r="D1005" s="1" t="s">
        <v>42</v>
      </c>
      <c r="E1005" s="16"/>
      <c r="F1005" s="980">
        <f>'WP II-I-1.1'!F378</f>
        <v>15587347.260000002</v>
      </c>
      <c r="G1005" s="802">
        <f>'WP II-I-1.1'!G378</f>
        <v>0</v>
      </c>
      <c r="H1005" s="802">
        <f>'WP II-I-1.1'!H378</f>
        <v>0</v>
      </c>
      <c r="I1005" s="981">
        <f>'WP II-I-1.1'!I378</f>
        <v>0</v>
      </c>
      <c r="J1005" s="229">
        <f t="shared" si="136"/>
        <v>15587347.260000002</v>
      </c>
      <c r="K1005" s="229"/>
      <c r="L1005" s="17">
        <f t="shared" si="134"/>
        <v>0</v>
      </c>
      <c r="M1005" s="45"/>
      <c r="N1005" s="751">
        <f t="shared" si="135"/>
        <v>0</v>
      </c>
    </row>
    <row r="1006" spans="2:14" s="321" customFormat="1" x14ac:dyDescent="0.2">
      <c r="B1006" s="16">
        <f t="shared" si="133"/>
        <v>15</v>
      </c>
      <c r="C1006" s="1" t="s">
        <v>43</v>
      </c>
      <c r="D1006" s="1" t="s">
        <v>44</v>
      </c>
      <c r="E1006" s="16"/>
      <c r="F1006" s="980">
        <f>'WP II-I-1.1'!F379</f>
        <v>104852644.48</v>
      </c>
      <c r="G1006" s="802">
        <f>'WP II-I-1.1'!G379</f>
        <v>11435177.9</v>
      </c>
      <c r="H1006" s="802">
        <f>'WP II-I-1.1'!H379</f>
        <v>0</v>
      </c>
      <c r="I1006" s="981">
        <f>'WP II-I-1.1'!I379</f>
        <v>0</v>
      </c>
      <c r="J1006" s="229">
        <f t="shared" si="136"/>
        <v>116287822.38000001</v>
      </c>
      <c r="K1006" s="229"/>
      <c r="L1006" s="17">
        <f t="shared" si="134"/>
        <v>11435177.9</v>
      </c>
      <c r="M1006" s="45"/>
      <c r="N1006" s="751">
        <f t="shared" si="135"/>
        <v>0</v>
      </c>
    </row>
    <row r="1007" spans="2:14" s="321" customFormat="1" x14ac:dyDescent="0.2">
      <c r="B1007" s="16">
        <f t="shared" si="133"/>
        <v>16</v>
      </c>
      <c r="C1007" s="1" t="s">
        <v>45</v>
      </c>
      <c r="D1007" s="1" t="s">
        <v>46</v>
      </c>
      <c r="E1007" s="16"/>
      <c r="F1007" s="980">
        <f>'WP II-I-1.1'!F380</f>
        <v>41336657.349999994</v>
      </c>
      <c r="G1007" s="802">
        <f>'WP II-I-1.1'!G380</f>
        <v>0</v>
      </c>
      <c r="H1007" s="802">
        <f>'WP II-I-1.1'!H380</f>
        <v>0</v>
      </c>
      <c r="I1007" s="981">
        <f>'WP II-I-1.1'!I380</f>
        <v>0</v>
      </c>
      <c r="J1007" s="229">
        <f t="shared" si="136"/>
        <v>41336657.349999994</v>
      </c>
      <c r="K1007" s="229"/>
      <c r="L1007" s="17">
        <f t="shared" si="134"/>
        <v>0</v>
      </c>
      <c r="M1007" s="45"/>
      <c r="N1007" s="751">
        <f t="shared" si="135"/>
        <v>0</v>
      </c>
    </row>
    <row r="1008" spans="2:14" s="321" customFormat="1" x14ac:dyDescent="0.2">
      <c r="B1008" s="16">
        <f t="shared" si="133"/>
        <v>17</v>
      </c>
      <c r="C1008" s="1" t="s">
        <v>47</v>
      </c>
      <c r="D1008" s="1" t="s">
        <v>48</v>
      </c>
      <c r="E1008" s="16"/>
      <c r="F1008" s="980">
        <f>'WP II-I-1.1'!F381</f>
        <v>125659802.26000001</v>
      </c>
      <c r="G1008" s="802">
        <f>'WP II-I-1.1'!G381</f>
        <v>0</v>
      </c>
      <c r="H1008" s="802">
        <f>'WP II-I-1.1'!H381</f>
        <v>0</v>
      </c>
      <c r="I1008" s="981">
        <f>'WP II-I-1.1'!I381</f>
        <v>0</v>
      </c>
      <c r="J1008" s="229">
        <f t="shared" si="136"/>
        <v>125659802.26000001</v>
      </c>
      <c r="K1008" s="229"/>
      <c r="L1008" s="17">
        <f t="shared" si="134"/>
        <v>0</v>
      </c>
      <c r="M1008" s="45"/>
      <c r="N1008" s="751">
        <f t="shared" si="135"/>
        <v>0</v>
      </c>
    </row>
    <row r="1009" spans="2:14" s="321" customFormat="1" x14ac:dyDescent="0.2">
      <c r="B1009" s="16">
        <f t="shared" si="133"/>
        <v>18</v>
      </c>
      <c r="C1009" s="1" t="s">
        <v>49</v>
      </c>
      <c r="D1009" s="1" t="s">
        <v>486</v>
      </c>
      <c r="E1009" s="16"/>
      <c r="F1009" s="980">
        <f>'WP II-I-1.1'!F382</f>
        <v>87131859.400000006</v>
      </c>
      <c r="G1009" s="802">
        <f>'WP II-I-1.1'!G382</f>
        <v>0</v>
      </c>
      <c r="H1009" s="802">
        <f>'WP II-I-1.1'!H382</f>
        <v>0</v>
      </c>
      <c r="I1009" s="981">
        <f>'WP II-I-1.1'!I382</f>
        <v>0</v>
      </c>
      <c r="J1009" s="229">
        <f t="shared" si="136"/>
        <v>87131859.400000006</v>
      </c>
      <c r="K1009" s="229"/>
      <c r="L1009" s="17">
        <f t="shared" si="134"/>
        <v>0</v>
      </c>
      <c r="M1009" s="45"/>
      <c r="N1009" s="751">
        <f t="shared" si="135"/>
        <v>0</v>
      </c>
    </row>
    <row r="1010" spans="2:14" s="321" customFormat="1" x14ac:dyDescent="0.2">
      <c r="B1010" s="16">
        <f t="shared" si="133"/>
        <v>19</v>
      </c>
      <c r="C1010" s="1" t="s">
        <v>51</v>
      </c>
      <c r="D1010" s="1" t="s">
        <v>644</v>
      </c>
      <c r="E1010" s="16"/>
      <c r="F1010" s="980">
        <f>'WP II-I-1.1'!F383</f>
        <v>1022587.85</v>
      </c>
      <c r="G1010" s="802">
        <f>'WP II-I-1.1'!G383</f>
        <v>0</v>
      </c>
      <c r="H1010" s="802">
        <f>'WP II-I-1.1'!H383</f>
        <v>0</v>
      </c>
      <c r="I1010" s="981">
        <f>'WP II-I-1.1'!I383</f>
        <v>0</v>
      </c>
      <c r="J1010" s="229">
        <f t="shared" si="136"/>
        <v>1022587.85</v>
      </c>
      <c r="K1010" s="229"/>
      <c r="L1010" s="17">
        <f t="shared" si="134"/>
        <v>0</v>
      </c>
      <c r="M1010" s="45"/>
      <c r="N1010" s="751">
        <f t="shared" si="135"/>
        <v>0</v>
      </c>
    </row>
    <row r="1011" spans="2:14" s="321" customFormat="1" x14ac:dyDescent="0.2">
      <c r="B1011" s="16">
        <f t="shared" si="133"/>
        <v>20</v>
      </c>
      <c r="C1011" s="1" t="s">
        <v>53</v>
      </c>
      <c r="D1011" s="29" t="s">
        <v>487</v>
      </c>
      <c r="E1011" s="16"/>
      <c r="F1011" s="980">
        <f>'WP II-I-1.1'!F384</f>
        <v>1783420.47</v>
      </c>
      <c r="G1011" s="802">
        <f>'WP II-I-1.1'!G384</f>
        <v>0</v>
      </c>
      <c r="H1011" s="802">
        <f>'WP II-I-1.1'!H384</f>
        <v>0</v>
      </c>
      <c r="I1011" s="981">
        <f>'WP II-I-1.1'!I384</f>
        <v>0</v>
      </c>
      <c r="J1011" s="229">
        <f t="shared" si="136"/>
        <v>1783420.47</v>
      </c>
      <c r="K1011" s="229"/>
      <c r="L1011" s="17">
        <f t="shared" si="134"/>
        <v>0</v>
      </c>
      <c r="M1011" s="45"/>
      <c r="N1011" s="751">
        <f t="shared" si="135"/>
        <v>0</v>
      </c>
    </row>
    <row r="1012" spans="2:14" s="321" customFormat="1" ht="16.5" x14ac:dyDescent="0.35">
      <c r="B1012" s="16">
        <f t="shared" si="133"/>
        <v>21</v>
      </c>
      <c r="C1012" s="1" t="s">
        <v>55</v>
      </c>
      <c r="D1012" s="1" t="s">
        <v>56</v>
      </c>
      <c r="E1012" s="16"/>
      <c r="F1012" s="982">
        <f>'WP II-I-1.1'!F385</f>
        <v>0</v>
      </c>
      <c r="G1012" s="983">
        <f>'WP II-I-1.1'!G385</f>
        <v>0</v>
      </c>
      <c r="H1012" s="983">
        <f>'WP II-I-1.1'!H385</f>
        <v>0</v>
      </c>
      <c r="I1012" s="984">
        <f>'WP II-I-1.1'!I385</f>
        <v>0</v>
      </c>
      <c r="J1012" s="238">
        <f t="shared" si="136"/>
        <v>0</v>
      </c>
      <c r="K1012" s="238"/>
      <c r="L1012" s="232">
        <f t="shared" si="134"/>
        <v>0</v>
      </c>
      <c r="M1012" s="45"/>
      <c r="N1012" s="751">
        <f t="shared" si="135"/>
        <v>0</v>
      </c>
    </row>
    <row r="1013" spans="2:14" ht="15" x14ac:dyDescent="0.25">
      <c r="B1013" s="16">
        <f t="shared" si="133"/>
        <v>22</v>
      </c>
      <c r="C1013" s="8"/>
      <c r="D1013" s="233" t="s">
        <v>444</v>
      </c>
      <c r="E1013" s="1315"/>
      <c r="F1013" s="805">
        <f>SUM(F1001:F1012)</f>
        <v>396600357.70000005</v>
      </c>
      <c r="G1013" s="805">
        <f>SUM(G1001:G1012)</f>
        <v>11435177.9</v>
      </c>
      <c r="H1013" s="805">
        <f>SUM(H1001:H1012)</f>
        <v>0</v>
      </c>
      <c r="I1013" s="805">
        <f>SUM(I1001:I1012)</f>
        <v>0</v>
      </c>
      <c r="J1013" s="235">
        <f t="shared" si="136"/>
        <v>408035535.60000002</v>
      </c>
      <c r="K1013" s="236"/>
      <c r="L1013" s="21">
        <f t="shared" si="134"/>
        <v>11435177.9</v>
      </c>
      <c r="M1013" s="64"/>
      <c r="N1013" s="751">
        <f t="shared" si="135"/>
        <v>0</v>
      </c>
    </row>
    <row r="1014" spans="2:14" x14ac:dyDescent="0.2">
      <c r="B1014" s="16">
        <f t="shared" si="133"/>
        <v>23</v>
      </c>
      <c r="C1014" s="1"/>
      <c r="D1014" s="1"/>
      <c r="E1014" s="16"/>
      <c r="F1014" s="803"/>
      <c r="G1014" s="803"/>
      <c r="H1014" s="803"/>
      <c r="I1014" s="803"/>
      <c r="J1014" s="1"/>
      <c r="K1014" s="1"/>
      <c r="L1014" s="18">
        <f t="shared" si="134"/>
        <v>0</v>
      </c>
      <c r="M1014" s="64"/>
      <c r="N1014" s="751">
        <f t="shared" si="135"/>
        <v>0</v>
      </c>
    </row>
    <row r="1015" spans="2:14" ht="15" x14ac:dyDescent="0.25">
      <c r="B1015" s="16">
        <f t="shared" si="133"/>
        <v>24</v>
      </c>
      <c r="C1015" s="8" t="s">
        <v>645</v>
      </c>
      <c r="D1015" s="8"/>
      <c r="E1015" s="1315" t="s">
        <v>280</v>
      </c>
      <c r="F1015" s="805"/>
      <c r="G1015" s="805"/>
      <c r="H1015" s="805"/>
      <c r="I1015" s="805"/>
      <c r="J1015" s="8"/>
      <c r="K1015" s="8"/>
      <c r="L1015" s="21">
        <f t="shared" si="134"/>
        <v>0</v>
      </c>
      <c r="M1015" s="64"/>
      <c r="N1015" s="751">
        <f t="shared" si="135"/>
        <v>0</v>
      </c>
    </row>
    <row r="1016" spans="2:14" s="321" customFormat="1" x14ac:dyDescent="0.2">
      <c r="B1016" s="16">
        <f t="shared" si="133"/>
        <v>25</v>
      </c>
      <c r="C1016" s="1" t="s">
        <v>59</v>
      </c>
      <c r="D1016" s="1" t="s">
        <v>40</v>
      </c>
      <c r="E1016" s="16"/>
      <c r="F1016" s="985">
        <f>'WP II-I-1.1'!F387</f>
        <v>36178.58</v>
      </c>
      <c r="G1016" s="986">
        <f>'WP II-I-1.1'!G387</f>
        <v>360797.93</v>
      </c>
      <c r="H1016" s="986">
        <f>'WP II-I-1.1'!H387</f>
        <v>0</v>
      </c>
      <c r="I1016" s="987">
        <f>'WP II-I-1.1'!I387</f>
        <v>0</v>
      </c>
      <c r="J1016" s="229">
        <f t="shared" ref="J1016:J1032" si="137">SUM(F1016:I1016)</f>
        <v>396976.51</v>
      </c>
      <c r="K1016" s="229"/>
      <c r="L1016" s="17">
        <f t="shared" si="134"/>
        <v>360797.93</v>
      </c>
      <c r="M1016" s="45"/>
      <c r="N1016" s="751">
        <f t="shared" si="135"/>
        <v>0</v>
      </c>
    </row>
    <row r="1017" spans="2:14" s="321" customFormat="1" x14ac:dyDescent="0.2">
      <c r="B1017" s="16">
        <f t="shared" si="133"/>
        <v>26</v>
      </c>
      <c r="C1017" s="1" t="s">
        <v>60</v>
      </c>
      <c r="D1017" s="29" t="s">
        <v>42</v>
      </c>
      <c r="E1017" s="16"/>
      <c r="F1017" s="980">
        <f>'WP II-I-1.1'!F388</f>
        <v>2888075.9</v>
      </c>
      <c r="G1017" s="802">
        <f>'WP II-I-1.1'!G388</f>
        <v>5614303.75</v>
      </c>
      <c r="H1017" s="802">
        <f>'WP II-I-1.1'!H388</f>
        <v>0</v>
      </c>
      <c r="I1017" s="981">
        <f>'WP II-I-1.1'!I388</f>
        <v>0</v>
      </c>
      <c r="J1017" s="229">
        <f t="shared" si="137"/>
        <v>8502379.6500000004</v>
      </c>
      <c r="K1017" s="229"/>
      <c r="L1017" s="17">
        <f t="shared" si="134"/>
        <v>5614303.75</v>
      </c>
      <c r="M1017" s="45"/>
      <c r="N1017" s="751">
        <f t="shared" si="135"/>
        <v>0</v>
      </c>
    </row>
    <row r="1018" spans="2:14" s="321" customFormat="1" x14ac:dyDescent="0.2">
      <c r="B1018" s="16">
        <f>B1017+1</f>
        <v>27</v>
      </c>
      <c r="C1018" s="1" t="s">
        <v>61</v>
      </c>
      <c r="D1018" s="1" t="s">
        <v>44</v>
      </c>
      <c r="E1018" s="16"/>
      <c r="F1018" s="980">
        <f>'WP II-I-1.1'!F389</f>
        <v>21322027.099999998</v>
      </c>
      <c r="G1018" s="802">
        <f>'WP II-I-1.1'!G389</f>
        <v>58018119.409999996</v>
      </c>
      <c r="H1018" s="802">
        <f>'WP II-I-1.1'!H389</f>
        <v>0</v>
      </c>
      <c r="I1018" s="981">
        <f>'WP II-I-1.1'!I389</f>
        <v>0</v>
      </c>
      <c r="J1018" s="229">
        <f t="shared" si="137"/>
        <v>79340146.50999999</v>
      </c>
      <c r="K1018" s="229"/>
      <c r="L1018" s="17">
        <f t="shared" si="134"/>
        <v>58018119.409999996</v>
      </c>
      <c r="M1018" s="45"/>
      <c r="N1018" s="751">
        <f t="shared" si="135"/>
        <v>0</v>
      </c>
    </row>
    <row r="1019" spans="2:14" s="321" customFormat="1" x14ac:dyDescent="0.2">
      <c r="B1019" s="16">
        <f t="shared" ref="B1019:B1032" si="138">B1018+1</f>
        <v>28</v>
      </c>
      <c r="C1019" s="1" t="s">
        <v>1234</v>
      </c>
      <c r="D1019" s="1" t="s">
        <v>1230</v>
      </c>
      <c r="E1019" s="16"/>
      <c r="F1019" s="980">
        <f>'WP II-I-1.1'!F390</f>
        <v>0</v>
      </c>
      <c r="G1019" s="802">
        <f>'WP II-I-1.1'!G390</f>
        <v>0</v>
      </c>
      <c r="H1019" s="802">
        <f>'WP II-I-1.1'!H390</f>
        <v>0</v>
      </c>
      <c r="I1019" s="981">
        <f>'WP II-I-1.1'!I390</f>
        <v>0</v>
      </c>
      <c r="J1019" s="229">
        <f t="shared" ref="J1019:J1021" si="139">SUM(F1019:I1019)</f>
        <v>0</v>
      </c>
      <c r="K1019" s="229"/>
      <c r="L1019" s="17">
        <f t="shared" ref="L1019:L1021" si="140">SUM(G1019:I1019)</f>
        <v>0</v>
      </c>
      <c r="M1019" s="45"/>
      <c r="N1019" s="751"/>
    </row>
    <row r="1020" spans="2:14" s="321" customFormat="1" x14ac:dyDescent="0.2">
      <c r="B1020" s="16">
        <f t="shared" si="138"/>
        <v>29</v>
      </c>
      <c r="C1020" s="1" t="s">
        <v>1235</v>
      </c>
      <c r="D1020" s="1" t="s">
        <v>1232</v>
      </c>
      <c r="E1020" s="16"/>
      <c r="F1020" s="980">
        <f>'WP II-I-1.1'!F391</f>
        <v>0</v>
      </c>
      <c r="G1020" s="802">
        <f>'WP II-I-1.1'!G391</f>
        <v>27237168.699999999</v>
      </c>
      <c r="H1020" s="802">
        <f>'WP II-I-1.1'!H391</f>
        <v>3385973.72</v>
      </c>
      <c r="I1020" s="981">
        <f>'WP II-I-1.1'!I391</f>
        <v>30500116.5</v>
      </c>
      <c r="J1020" s="229">
        <f t="shared" si="139"/>
        <v>61123258.920000002</v>
      </c>
      <c r="K1020" s="229"/>
      <c r="L1020" s="17">
        <f t="shared" si="140"/>
        <v>61123258.920000002</v>
      </c>
      <c r="M1020" s="45"/>
      <c r="N1020" s="751"/>
    </row>
    <row r="1021" spans="2:14" s="321" customFormat="1" x14ac:dyDescent="0.2">
      <c r="B1021" s="16">
        <f t="shared" si="138"/>
        <v>30</v>
      </c>
      <c r="C1021" s="1" t="s">
        <v>1236</v>
      </c>
      <c r="D1021" s="1" t="s">
        <v>103</v>
      </c>
      <c r="E1021" s="16"/>
      <c r="F1021" s="980">
        <f>'WP II-I-1.1'!F392</f>
        <v>0</v>
      </c>
      <c r="G1021" s="802">
        <f>'WP II-I-1.1'!G392</f>
        <v>0</v>
      </c>
      <c r="H1021" s="802">
        <f>'WP II-I-1.1'!H392</f>
        <v>0</v>
      </c>
      <c r="I1021" s="981">
        <f>'WP II-I-1.1'!I392</f>
        <v>0</v>
      </c>
      <c r="J1021" s="229">
        <f t="shared" si="139"/>
        <v>0</v>
      </c>
      <c r="K1021" s="229"/>
      <c r="L1021" s="17">
        <f t="shared" si="140"/>
        <v>0</v>
      </c>
      <c r="M1021" s="45"/>
      <c r="N1021" s="751">
        <f t="shared" si="135"/>
        <v>0</v>
      </c>
    </row>
    <row r="1022" spans="2:14" s="321" customFormat="1" x14ac:dyDescent="0.2">
      <c r="B1022" s="16">
        <f t="shared" si="138"/>
        <v>31</v>
      </c>
      <c r="C1022" s="1" t="s">
        <v>62</v>
      </c>
      <c r="D1022" s="29" t="s">
        <v>646</v>
      </c>
      <c r="E1022" s="16"/>
      <c r="F1022" s="980">
        <f>'WP II-I-1.1'!F393</f>
        <v>0</v>
      </c>
      <c r="G1022" s="802">
        <f>'WP II-I-1.1'!G393</f>
        <v>132772031.77</v>
      </c>
      <c r="H1022" s="802">
        <f>'WP II-I-1.1'!H393</f>
        <v>0</v>
      </c>
      <c r="I1022" s="981">
        <f>'WP II-I-1.1'!I393</f>
        <v>0</v>
      </c>
      <c r="J1022" s="229">
        <f t="shared" si="137"/>
        <v>132772031.77</v>
      </c>
      <c r="K1022" s="229"/>
      <c r="L1022" s="17">
        <f t="shared" si="134"/>
        <v>132772031.77</v>
      </c>
      <c r="M1022" s="45"/>
      <c r="N1022" s="751">
        <f t="shared" si="135"/>
        <v>0</v>
      </c>
    </row>
    <row r="1023" spans="2:14" s="321" customFormat="1" x14ac:dyDescent="0.2">
      <c r="B1023" s="16">
        <f t="shared" si="138"/>
        <v>32</v>
      </c>
      <c r="C1023" s="1" t="s">
        <v>64</v>
      </c>
      <c r="D1023" s="1" t="s">
        <v>486</v>
      </c>
      <c r="E1023" s="16"/>
      <c r="F1023" s="980">
        <f>'WP II-I-1.1'!F394</f>
        <v>0</v>
      </c>
      <c r="G1023" s="802">
        <f>'WP II-I-1.1'!G394</f>
        <v>61699776.700000003</v>
      </c>
      <c r="H1023" s="802">
        <f>'WP II-I-1.1'!H394</f>
        <v>0</v>
      </c>
      <c r="I1023" s="981">
        <f>'WP II-I-1.1'!I394</f>
        <v>0</v>
      </c>
      <c r="J1023" s="229">
        <f t="shared" si="137"/>
        <v>61699776.700000003</v>
      </c>
      <c r="K1023" s="229"/>
      <c r="L1023" s="17">
        <f t="shared" si="134"/>
        <v>61699776.700000003</v>
      </c>
      <c r="M1023" s="45"/>
      <c r="N1023" s="751">
        <f t="shared" si="135"/>
        <v>0</v>
      </c>
    </row>
    <row r="1024" spans="2:14" s="321" customFormat="1" x14ac:dyDescent="0.2">
      <c r="B1024" s="16">
        <f t="shared" si="138"/>
        <v>33</v>
      </c>
      <c r="C1024" s="1" t="s">
        <v>66</v>
      </c>
      <c r="D1024" s="1" t="s">
        <v>647</v>
      </c>
      <c r="E1024" s="16"/>
      <c r="F1024" s="980">
        <f>'WP II-I-1.1'!F395</f>
        <v>0</v>
      </c>
      <c r="G1024" s="802">
        <f>'WP II-I-1.1'!G395</f>
        <v>40143407.219999999</v>
      </c>
      <c r="H1024" s="802">
        <f>'WP II-I-1.1'!H395</f>
        <v>0</v>
      </c>
      <c r="I1024" s="981">
        <f>'WP II-I-1.1'!I395</f>
        <v>0</v>
      </c>
      <c r="J1024" s="229">
        <f t="shared" si="137"/>
        <v>40143407.219999999</v>
      </c>
      <c r="K1024" s="229"/>
      <c r="L1024" s="17">
        <f t="shared" si="134"/>
        <v>40143407.219999999</v>
      </c>
      <c r="M1024" s="45"/>
      <c r="N1024" s="751">
        <f t="shared" si="135"/>
        <v>0</v>
      </c>
    </row>
    <row r="1025" spans="2:14" s="321" customFormat="1" x14ac:dyDescent="0.2">
      <c r="B1025" s="16">
        <f t="shared" si="138"/>
        <v>34</v>
      </c>
      <c r="C1025" s="1" t="s">
        <v>68</v>
      </c>
      <c r="D1025" s="29" t="s">
        <v>648</v>
      </c>
      <c r="E1025" s="16"/>
      <c r="F1025" s="980">
        <f>'WP II-I-1.1'!F396</f>
        <v>0</v>
      </c>
      <c r="G1025" s="802">
        <f>'WP II-I-1.1'!G396</f>
        <v>79884161.159999996</v>
      </c>
      <c r="H1025" s="802">
        <f>'WP II-I-1.1'!H396</f>
        <v>0</v>
      </c>
      <c r="I1025" s="981">
        <f>'WP II-I-1.1'!I396</f>
        <v>0</v>
      </c>
      <c r="J1025" s="229">
        <f t="shared" si="137"/>
        <v>79884161.159999996</v>
      </c>
      <c r="K1025" s="229"/>
      <c r="L1025" s="17">
        <f t="shared" si="134"/>
        <v>79884161.159999996</v>
      </c>
      <c r="M1025" s="45"/>
      <c r="N1025" s="751">
        <f t="shared" si="135"/>
        <v>0</v>
      </c>
    </row>
    <row r="1026" spans="2:14" s="321" customFormat="1" x14ac:dyDescent="0.2">
      <c r="B1026" s="16">
        <f t="shared" si="138"/>
        <v>35</v>
      </c>
      <c r="C1026" s="1" t="s">
        <v>70</v>
      </c>
      <c r="D1026" s="1" t="s">
        <v>649</v>
      </c>
      <c r="E1026" s="16"/>
      <c r="F1026" s="980">
        <f>'WP II-I-1.1'!F397</f>
        <v>0</v>
      </c>
      <c r="G1026" s="802">
        <f>'WP II-I-1.1'!G397</f>
        <v>74745921.769999996</v>
      </c>
      <c r="H1026" s="802">
        <f>'WP II-I-1.1'!H397</f>
        <v>0</v>
      </c>
      <c r="I1026" s="981">
        <f>'WP II-I-1.1'!I397</f>
        <v>0</v>
      </c>
      <c r="J1026" s="229">
        <f t="shared" si="137"/>
        <v>74745921.769999996</v>
      </c>
      <c r="K1026" s="229"/>
      <c r="L1026" s="17">
        <f t="shared" si="134"/>
        <v>74745921.769999996</v>
      </c>
      <c r="M1026" s="45"/>
      <c r="N1026" s="751">
        <f t="shared" si="135"/>
        <v>0</v>
      </c>
    </row>
    <row r="1027" spans="2:14" s="321" customFormat="1" x14ac:dyDescent="0.2">
      <c r="B1027" s="16">
        <f t="shared" si="138"/>
        <v>36</v>
      </c>
      <c r="C1027" s="1" t="s">
        <v>72</v>
      </c>
      <c r="D1027" s="29" t="s">
        <v>73</v>
      </c>
      <c r="E1027" s="16"/>
      <c r="F1027" s="980">
        <f>'WP II-I-1.1'!F398</f>
        <v>0</v>
      </c>
      <c r="G1027" s="802">
        <f>'WP II-I-1.1'!G398</f>
        <v>69028413.349999994</v>
      </c>
      <c r="H1027" s="802">
        <f>'WP II-I-1.1'!H398</f>
        <v>0</v>
      </c>
      <c r="I1027" s="981">
        <f>'WP II-I-1.1'!I398</f>
        <v>0</v>
      </c>
      <c r="J1027" s="229">
        <f t="shared" si="137"/>
        <v>69028413.349999994</v>
      </c>
      <c r="K1027" s="229"/>
      <c r="L1027" s="17">
        <f t="shared" si="134"/>
        <v>69028413.349999994</v>
      </c>
      <c r="M1027" s="45"/>
      <c r="N1027" s="751">
        <f t="shared" si="135"/>
        <v>0</v>
      </c>
    </row>
    <row r="1028" spans="2:14" s="321" customFormat="1" x14ac:dyDescent="0.2">
      <c r="B1028" s="16">
        <f t="shared" si="138"/>
        <v>37</v>
      </c>
      <c r="C1028" s="1" t="s">
        <v>74</v>
      </c>
      <c r="D1028" s="1" t="s">
        <v>75</v>
      </c>
      <c r="E1028" s="16"/>
      <c r="F1028" s="980">
        <f>'WP II-I-1.1'!F399</f>
        <v>0</v>
      </c>
      <c r="G1028" s="802">
        <f>'WP II-I-1.1'!G399</f>
        <v>0</v>
      </c>
      <c r="H1028" s="802">
        <f>'WP II-I-1.1'!H399</f>
        <v>20313009.949999999</v>
      </c>
      <c r="I1028" s="981">
        <f>'WP II-I-1.1'!I399</f>
        <v>0</v>
      </c>
      <c r="J1028" s="229">
        <f t="shared" si="137"/>
        <v>20313009.949999999</v>
      </c>
      <c r="K1028" s="229"/>
      <c r="L1028" s="17">
        <f t="shared" si="134"/>
        <v>20313009.949999999</v>
      </c>
      <c r="M1028" s="45"/>
      <c r="N1028" s="751">
        <f t="shared" si="135"/>
        <v>0</v>
      </c>
    </row>
    <row r="1029" spans="2:14" s="321" customFormat="1" x14ac:dyDescent="0.2">
      <c r="B1029" s="16">
        <f t="shared" si="138"/>
        <v>38</v>
      </c>
      <c r="C1029" s="1" t="s">
        <v>76</v>
      </c>
      <c r="D1029" s="1" t="s">
        <v>495</v>
      </c>
      <c r="E1029" s="16"/>
      <c r="F1029" s="980">
        <f>'WP II-I-1.1'!F400</f>
        <v>0</v>
      </c>
      <c r="G1029" s="802">
        <f>'WP II-I-1.1'!G400</f>
        <v>2687947.96</v>
      </c>
      <c r="H1029" s="802">
        <f>'WP II-I-1.1'!H400</f>
        <v>0</v>
      </c>
      <c r="I1029" s="981">
        <f>'WP II-I-1.1'!I400</f>
        <v>0</v>
      </c>
      <c r="J1029" s="229">
        <f t="shared" si="137"/>
        <v>2687947.96</v>
      </c>
      <c r="K1029" s="229"/>
      <c r="L1029" s="17">
        <f t="shared" si="134"/>
        <v>2687947.96</v>
      </c>
      <c r="M1029" s="45"/>
      <c r="N1029" s="751">
        <f t="shared" si="135"/>
        <v>0</v>
      </c>
    </row>
    <row r="1030" spans="2:14" s="321" customFormat="1" x14ac:dyDescent="0.2">
      <c r="B1030" s="16">
        <f t="shared" si="138"/>
        <v>39</v>
      </c>
      <c r="C1030" s="1" t="s">
        <v>78</v>
      </c>
      <c r="D1030" s="1" t="s">
        <v>496</v>
      </c>
      <c r="E1030" s="16"/>
      <c r="F1030" s="980">
        <f>'WP II-I-1.1'!F401</f>
        <v>0</v>
      </c>
      <c r="G1030" s="802">
        <f>'WP II-I-1.1'!G401</f>
        <v>0</v>
      </c>
      <c r="H1030" s="802">
        <f>'WP II-I-1.1'!H401</f>
        <v>0</v>
      </c>
      <c r="I1030" s="981">
        <f>'WP II-I-1.1'!I401</f>
        <v>0</v>
      </c>
      <c r="J1030" s="229">
        <f t="shared" si="137"/>
        <v>0</v>
      </c>
      <c r="K1030" s="229"/>
      <c r="L1030" s="17">
        <f t="shared" si="134"/>
        <v>0</v>
      </c>
      <c r="M1030" s="45"/>
      <c r="N1030" s="751">
        <f t="shared" si="135"/>
        <v>0</v>
      </c>
    </row>
    <row r="1031" spans="2:14" s="321" customFormat="1" ht="16.5" x14ac:dyDescent="0.35">
      <c r="B1031" s="16">
        <f t="shared" si="138"/>
        <v>40</v>
      </c>
      <c r="C1031" s="1" t="s">
        <v>80</v>
      </c>
      <c r="D1031" s="1" t="s">
        <v>84</v>
      </c>
      <c r="E1031" s="16"/>
      <c r="F1031" s="982">
        <f>'WP II-I-1.1'!F402</f>
        <v>0</v>
      </c>
      <c r="G1031" s="983">
        <f>'WP II-I-1.1'!G402</f>
        <v>25905960.890000001</v>
      </c>
      <c r="H1031" s="983">
        <f>'WP II-I-1.1'!H402</f>
        <v>0</v>
      </c>
      <c r="I1031" s="984">
        <f>'WP II-I-1.1'!I402</f>
        <v>0</v>
      </c>
      <c r="J1031" s="238">
        <f t="shared" si="137"/>
        <v>25905960.890000001</v>
      </c>
      <c r="K1031" s="238"/>
      <c r="L1031" s="232">
        <f t="shared" si="134"/>
        <v>25905960.890000001</v>
      </c>
      <c r="M1031" s="45"/>
      <c r="N1031" s="751">
        <f t="shared" si="135"/>
        <v>0</v>
      </c>
    </row>
    <row r="1032" spans="2:14" ht="15" x14ac:dyDescent="0.25">
      <c r="B1032" s="16">
        <f t="shared" si="138"/>
        <v>41</v>
      </c>
      <c r="C1032" s="8"/>
      <c r="D1032" s="233" t="s">
        <v>444</v>
      </c>
      <c r="E1032" s="19"/>
      <c r="F1032" s="805">
        <f>SUM(F1016:F1031)</f>
        <v>24246281.579999998</v>
      </c>
      <c r="G1032" s="805">
        <f>SUM(G1016:G1031)</f>
        <v>578098010.61000001</v>
      </c>
      <c r="H1032" s="805">
        <f>SUM(H1016:H1031)</f>
        <v>23698983.669999998</v>
      </c>
      <c r="I1032" s="805">
        <f>SUM(I1016:I1031)</f>
        <v>30500116.5</v>
      </c>
      <c r="J1032" s="235">
        <f t="shared" si="137"/>
        <v>656543392.36000001</v>
      </c>
      <c r="K1032" s="236"/>
      <c r="L1032" s="21">
        <f t="shared" si="134"/>
        <v>632297110.77999997</v>
      </c>
      <c r="M1032" s="64"/>
      <c r="N1032" s="751">
        <f t="shared" si="135"/>
        <v>4.4703483581542969E-8</v>
      </c>
    </row>
    <row r="1033" spans="2:14" x14ac:dyDescent="0.2">
      <c r="B1033" s="16"/>
      <c r="C1033" s="1"/>
      <c r="D1033" s="1"/>
      <c r="E1033" s="16"/>
      <c r="F1033" s="803"/>
      <c r="G1033" s="803"/>
      <c r="H1033" s="803"/>
      <c r="I1033" s="803"/>
      <c r="J1033" s="1"/>
      <c r="K1033" s="1"/>
      <c r="L1033" s="18"/>
      <c r="M1033" s="64"/>
      <c r="N1033" s="751">
        <f t="shared" si="135"/>
        <v>0</v>
      </c>
    </row>
    <row r="1034" spans="2:14" ht="15" x14ac:dyDescent="0.25">
      <c r="B1034" s="783"/>
      <c r="C1034" s="783"/>
      <c r="D1034" s="783"/>
      <c r="E1034" s="783"/>
      <c r="F1034" s="783"/>
      <c r="G1034" s="783"/>
      <c r="H1034" s="783"/>
      <c r="I1034" s="783"/>
      <c r="J1034" s="783"/>
      <c r="K1034" s="783"/>
      <c r="L1034" s="783"/>
      <c r="M1034" s="105" t="str">
        <f>$M$2</f>
        <v xml:space="preserve"> </v>
      </c>
      <c r="N1034" s="751">
        <f t="shared" si="135"/>
        <v>0</v>
      </c>
    </row>
    <row r="1035" spans="2:14" ht="15.75" thickBot="1" x14ac:dyDescent="0.3">
      <c r="B1035" s="783"/>
      <c r="C1035" s="783"/>
      <c r="D1035" s="783"/>
      <c r="E1035" s="783"/>
      <c r="F1035" s="783"/>
      <c r="G1035" s="783"/>
      <c r="H1035" s="783"/>
      <c r="I1035" s="783"/>
      <c r="J1035" s="783"/>
      <c r="K1035" s="783"/>
      <c r="L1035" s="783"/>
      <c r="M1035" s="64"/>
      <c r="N1035" s="751">
        <f t="shared" si="135"/>
        <v>0</v>
      </c>
    </row>
    <row r="1036" spans="2:14" ht="15" x14ac:dyDescent="0.25">
      <c r="B1036" s="829" t="str">
        <f>$B$4</f>
        <v>2025 RATE CASE</v>
      </c>
      <c r="C1036" s="835"/>
      <c r="D1036" s="836"/>
      <c r="E1036" s="783"/>
      <c r="F1036" s="783"/>
      <c r="G1036" s="783"/>
      <c r="H1036" s="783"/>
      <c r="I1036" s="783"/>
      <c r="J1036" s="783"/>
      <c r="K1036" s="783"/>
      <c r="L1036" s="783"/>
      <c r="N1036" s="751">
        <f t="shared" si="135"/>
        <v>0</v>
      </c>
    </row>
    <row r="1037" spans="2:14" ht="15" x14ac:dyDescent="0.25">
      <c r="B1037" s="826" t="str">
        <f>$B$5</f>
        <v>ONCOR ELECTRIC DELIVERY COMPANY LLC</v>
      </c>
      <c r="C1037" s="304"/>
      <c r="D1037" s="837"/>
      <c r="E1037" s="783"/>
      <c r="F1037" s="783"/>
      <c r="G1037" s="783"/>
      <c r="H1037" s="783"/>
      <c r="I1037" s="783"/>
      <c r="J1037" s="783"/>
      <c r="K1037" s="783"/>
      <c r="L1037" s="783"/>
      <c r="M1037" s="64"/>
      <c r="N1037" s="751">
        <f t="shared" si="135"/>
        <v>0</v>
      </c>
    </row>
    <row r="1038" spans="2:14" ht="15" x14ac:dyDescent="0.25">
      <c r="B1038" s="341" t="str">
        <f>$B$6</f>
        <v>CONSOLIDATED FUNCTIONALIZED COST OF SERVICE</v>
      </c>
      <c r="C1038" s="304"/>
      <c r="D1038" s="837"/>
      <c r="E1038" s="783"/>
      <c r="F1038" s="783"/>
      <c r="G1038" s="783"/>
      <c r="H1038" s="783"/>
      <c r="I1038" s="783"/>
      <c r="J1038" s="783"/>
      <c r="K1038" s="783"/>
      <c r="L1038" s="783"/>
      <c r="M1038" s="64"/>
      <c r="N1038" s="751">
        <f t="shared" si="135"/>
        <v>0</v>
      </c>
    </row>
    <row r="1039" spans="2:14" ht="15.75" x14ac:dyDescent="0.25">
      <c r="B1039" s="341" t="str">
        <f>$B$7</f>
        <v>TEST YEAR ENDING 12/31/2024</v>
      </c>
      <c r="C1039" s="752"/>
      <c r="D1039" s="830"/>
      <c r="E1039" s="64"/>
      <c r="F1039" s="589"/>
      <c r="G1039" s="589"/>
      <c r="H1039" s="589"/>
      <c r="I1039" s="589"/>
      <c r="J1039" s="64"/>
      <c r="K1039" s="64"/>
      <c r="L1039" s="64"/>
      <c r="M1039" s="64"/>
      <c r="N1039" s="751">
        <f t="shared" si="135"/>
        <v>0</v>
      </c>
    </row>
    <row r="1040" spans="2:14" ht="15" x14ac:dyDescent="0.25">
      <c r="B1040" s="341" t="str">
        <f>$B$8</f>
        <v>SPONSOR:  MATTHEW A. TROXLE</v>
      </c>
      <c r="C1040" s="304"/>
      <c r="D1040" s="837"/>
      <c r="E1040" s="304"/>
      <c r="F1040" s="304"/>
      <c r="G1040" s="304"/>
      <c r="H1040" s="304"/>
      <c r="I1040" s="304"/>
      <c r="J1040" s="304"/>
      <c r="K1040" s="304"/>
      <c r="L1040" s="304"/>
      <c r="M1040" s="64"/>
      <c r="N1040" s="751">
        <f t="shared" si="135"/>
        <v>0</v>
      </c>
    </row>
    <row r="1041" spans="2:14" ht="15.75" thickBot="1" x14ac:dyDescent="0.3">
      <c r="B1041" s="345"/>
      <c r="C1041" s="843"/>
      <c r="D1041" s="845"/>
      <c r="F1041" s="654"/>
      <c r="G1041" s="654"/>
      <c r="H1041" s="654"/>
      <c r="I1041" s="654"/>
      <c r="J1041" s="267"/>
      <c r="K1041" s="41"/>
      <c r="L1041" s="41"/>
      <c r="M1041" s="64"/>
      <c r="N1041" s="751">
        <f t="shared" si="135"/>
        <v>0</v>
      </c>
    </row>
    <row r="1042" spans="2:14" x14ac:dyDescent="0.2">
      <c r="B1042" s="12"/>
      <c r="C1042" s="13"/>
      <c r="D1042" s="13"/>
      <c r="E1042" s="13"/>
      <c r="F1042" s="988" t="s">
        <v>6</v>
      </c>
      <c r="G1042" s="655" t="s">
        <v>7</v>
      </c>
      <c r="H1042" s="655" t="s">
        <v>8</v>
      </c>
      <c r="I1042" s="855" t="s">
        <v>9</v>
      </c>
      <c r="J1042" s="12" t="s">
        <v>10</v>
      </c>
      <c r="K1042" s="16"/>
      <c r="L1042" s="110" t="s">
        <v>907</v>
      </c>
      <c r="M1042" s="64"/>
      <c r="N1042" s="751"/>
    </row>
    <row r="1043" spans="2:14" ht="15" x14ac:dyDescent="0.25">
      <c r="B1043" s="14" t="s">
        <v>2</v>
      </c>
      <c r="C1043" s="14" t="s">
        <v>349</v>
      </c>
      <c r="D1043" s="226" t="s">
        <v>650</v>
      </c>
      <c r="E1043" s="14" t="s">
        <v>350</v>
      </c>
      <c r="F1043" s="661"/>
      <c r="G1043" s="660"/>
      <c r="H1043" s="660"/>
      <c r="I1043" s="660"/>
      <c r="J1043" s="14"/>
      <c r="K1043" s="16"/>
      <c r="L1043" s="93" t="s">
        <v>908</v>
      </c>
      <c r="M1043" s="64"/>
      <c r="N1043" s="751"/>
    </row>
    <row r="1044" spans="2:14" x14ac:dyDescent="0.2">
      <c r="B1044" s="14"/>
      <c r="C1044" s="14"/>
      <c r="D1044" s="14"/>
      <c r="E1044" s="14"/>
      <c r="F1044" s="661"/>
      <c r="G1044" s="660"/>
      <c r="H1044" s="660"/>
      <c r="I1044" s="660"/>
      <c r="J1044" s="14"/>
      <c r="K1044" s="16"/>
      <c r="L1044" s="93"/>
      <c r="M1044" s="64"/>
      <c r="N1044" s="751"/>
    </row>
    <row r="1045" spans="2:14" ht="15" thickBot="1" x14ac:dyDescent="0.25">
      <c r="B1045" s="15"/>
      <c r="C1045" s="15" t="s">
        <v>13</v>
      </c>
      <c r="D1045" s="15" t="s">
        <v>14</v>
      </c>
      <c r="E1045" s="15" t="s">
        <v>15</v>
      </c>
      <c r="F1045" s="664" t="s">
        <v>16</v>
      </c>
      <c r="G1045" s="664" t="s">
        <v>17</v>
      </c>
      <c r="H1045" s="664" t="s">
        <v>18</v>
      </c>
      <c r="I1045" s="664" t="s">
        <v>21</v>
      </c>
      <c r="J1045" s="15" t="s">
        <v>22</v>
      </c>
      <c r="K1045" s="16"/>
      <c r="L1045" s="997" t="s">
        <v>397</v>
      </c>
      <c r="M1045" s="64"/>
      <c r="N1045" s="751"/>
    </row>
    <row r="1046" spans="2:14" x14ac:dyDescent="0.2">
      <c r="B1046" s="64"/>
      <c r="C1046" s="268"/>
      <c r="D1046" s="268"/>
      <c r="E1046" s="268"/>
      <c r="F1046" s="666"/>
      <c r="G1046" s="666"/>
      <c r="H1046" s="666"/>
      <c r="I1046" s="611"/>
      <c r="J1046" s="41"/>
      <c r="K1046" s="41"/>
      <c r="L1046" s="41"/>
      <c r="M1046" s="64"/>
      <c r="N1046" s="751"/>
    </row>
    <row r="1047" spans="2:14" ht="15" x14ac:dyDescent="0.25">
      <c r="B1047" s="16">
        <f>B1033+1</f>
        <v>1</v>
      </c>
      <c r="C1047" s="32" t="s">
        <v>651</v>
      </c>
      <c r="D1047" s="8"/>
      <c r="E1047" s="19" t="s">
        <v>280</v>
      </c>
      <c r="F1047" s="805"/>
      <c r="G1047" s="805"/>
      <c r="H1047" s="805"/>
      <c r="I1047" s="805"/>
      <c r="J1047" s="8"/>
      <c r="K1047" s="8"/>
      <c r="L1047" s="21"/>
      <c r="M1047" s="64"/>
      <c r="N1047" s="751"/>
    </row>
    <row r="1048" spans="2:14" x14ac:dyDescent="0.2">
      <c r="B1048" s="16">
        <f t="shared" ref="B1048:B1055" si="141">B1047+1</f>
        <v>2</v>
      </c>
      <c r="C1048" s="1"/>
      <c r="D1048" s="1"/>
      <c r="E1048" s="16"/>
      <c r="F1048" s="803"/>
      <c r="G1048" s="803"/>
      <c r="H1048" s="803"/>
      <c r="I1048" s="803"/>
      <c r="J1048" s="1"/>
      <c r="K1048" s="1"/>
      <c r="L1048" s="18"/>
      <c r="M1048" s="64"/>
      <c r="N1048" s="751">
        <f t="shared" si="135"/>
        <v>0</v>
      </c>
    </row>
    <row r="1049" spans="2:14" s="321" customFormat="1" x14ac:dyDescent="0.2">
      <c r="B1049" s="16">
        <f t="shared" si="141"/>
        <v>3</v>
      </c>
      <c r="C1049" s="1" t="s">
        <v>652</v>
      </c>
      <c r="D1049" s="1" t="s">
        <v>40</v>
      </c>
      <c r="E1049" s="16"/>
      <c r="F1049" s="985">
        <f>'WP II-I-1.1'!F404</f>
        <v>1197.03</v>
      </c>
      <c r="G1049" s="986">
        <f>'WP II-I-1.1'!G404</f>
        <v>1539.35</v>
      </c>
      <c r="H1049" s="986">
        <f>'WP II-I-1.1'!H404</f>
        <v>64.39</v>
      </c>
      <c r="I1049" s="987">
        <f>'WP II-I-1.1'!I404</f>
        <v>26.13</v>
      </c>
      <c r="J1049" s="229">
        <f t="shared" ref="J1049:J1063" si="142">SUM(F1049:I1049)</f>
        <v>2826.9</v>
      </c>
      <c r="K1049" s="229"/>
      <c r="L1049" s="17">
        <f t="shared" si="134"/>
        <v>1629.8700000000001</v>
      </c>
      <c r="M1049" s="45"/>
      <c r="N1049" s="751">
        <f t="shared" si="135"/>
        <v>0</v>
      </c>
    </row>
    <row r="1050" spans="2:14" s="321" customFormat="1" x14ac:dyDescent="0.2">
      <c r="B1050" s="16">
        <f t="shared" si="141"/>
        <v>4</v>
      </c>
      <c r="C1050" s="1" t="s">
        <v>89</v>
      </c>
      <c r="D1050" s="1" t="s">
        <v>42</v>
      </c>
      <c r="E1050" s="16"/>
      <c r="F1050" s="980">
        <f>'WP II-I-1.1'!F405</f>
        <v>2664923.4900000002</v>
      </c>
      <c r="G1050" s="802">
        <f>'WP II-I-1.1'!G405</f>
        <v>4484234.24</v>
      </c>
      <c r="H1050" s="802">
        <f>'WP II-I-1.1'!H405</f>
        <v>666116.93999999994</v>
      </c>
      <c r="I1050" s="981">
        <f>'WP II-I-1.1'!I405</f>
        <v>378511.92</v>
      </c>
      <c r="J1050" s="229">
        <f t="shared" si="142"/>
        <v>8193786.5899999999</v>
      </c>
      <c r="K1050" s="229"/>
      <c r="L1050" s="17">
        <f t="shared" si="134"/>
        <v>5528863.0999999996</v>
      </c>
      <c r="M1050" s="45"/>
      <c r="N1050" s="751">
        <f t="shared" si="135"/>
        <v>0</v>
      </c>
    </row>
    <row r="1051" spans="2:14" s="321" customFormat="1" x14ac:dyDescent="0.2">
      <c r="B1051" s="16">
        <f t="shared" si="141"/>
        <v>5</v>
      </c>
      <c r="C1051" s="1" t="s">
        <v>90</v>
      </c>
      <c r="D1051" s="1" t="s">
        <v>91</v>
      </c>
      <c r="E1051" s="16"/>
      <c r="F1051" s="980">
        <f>'WP II-I-1.1'!F406</f>
        <v>825196.7699999999</v>
      </c>
      <c r="G1051" s="802">
        <f>'WP II-I-1.1'!G406</f>
        <v>872993.73</v>
      </c>
      <c r="H1051" s="802">
        <f>'WP II-I-1.1'!H406</f>
        <v>103421.83</v>
      </c>
      <c r="I1051" s="981">
        <f>'WP II-I-1.1'!I406</f>
        <v>71119.63</v>
      </c>
      <c r="J1051" s="229">
        <f t="shared" si="142"/>
        <v>1872731.96</v>
      </c>
      <c r="K1051" s="229"/>
      <c r="L1051" s="17">
        <f t="shared" si="134"/>
        <v>1047535.19</v>
      </c>
      <c r="M1051" s="45"/>
      <c r="N1051" s="751">
        <f t="shared" si="135"/>
        <v>0</v>
      </c>
    </row>
    <row r="1052" spans="2:14" s="321" customFormat="1" x14ac:dyDescent="0.2">
      <c r="B1052" s="16">
        <f t="shared" si="141"/>
        <v>6</v>
      </c>
      <c r="C1052" s="1" t="s">
        <v>92</v>
      </c>
      <c r="D1052" s="1" t="s">
        <v>653</v>
      </c>
      <c r="E1052" s="16"/>
      <c r="F1052" s="980">
        <f>'WP II-I-1.1'!F407</f>
        <v>984101.91999999993</v>
      </c>
      <c r="G1052" s="802">
        <f>'WP II-I-1.1'!G407</f>
        <v>1019555.56</v>
      </c>
      <c r="H1052" s="802">
        <f>'WP II-I-1.1'!H407</f>
        <v>0</v>
      </c>
      <c r="I1052" s="981">
        <f>'WP II-I-1.1'!I407</f>
        <v>0</v>
      </c>
      <c r="J1052" s="229">
        <f t="shared" si="142"/>
        <v>2003657.48</v>
      </c>
      <c r="K1052" s="229"/>
      <c r="L1052" s="17">
        <f t="shared" si="134"/>
        <v>1019555.56</v>
      </c>
      <c r="M1052" s="45"/>
      <c r="N1052" s="751">
        <f t="shared" si="135"/>
        <v>0</v>
      </c>
    </row>
    <row r="1053" spans="2:14" s="321" customFormat="1" x14ac:dyDescent="0.2">
      <c r="B1053" s="16">
        <f t="shared" si="141"/>
        <v>7</v>
      </c>
      <c r="C1053" s="1" t="s">
        <v>95</v>
      </c>
      <c r="D1053" s="1" t="s">
        <v>654</v>
      </c>
      <c r="E1053" s="16"/>
      <c r="F1053" s="980">
        <f>'WP II-I-1.1'!F408</f>
        <v>144269.21</v>
      </c>
      <c r="G1053" s="802">
        <f>'WP II-I-1.1'!G408</f>
        <v>241776.52</v>
      </c>
      <c r="H1053" s="802">
        <f>'WP II-I-1.1'!H408</f>
        <v>18900.36</v>
      </c>
      <c r="I1053" s="981">
        <f>'WP II-I-1.1'!I408</f>
        <v>0</v>
      </c>
      <c r="J1053" s="229">
        <f t="shared" si="142"/>
        <v>404946.08999999997</v>
      </c>
      <c r="K1053" s="229"/>
      <c r="L1053" s="17">
        <f t="shared" si="134"/>
        <v>260676.88</v>
      </c>
      <c r="M1053" s="45"/>
      <c r="N1053" s="751">
        <f t="shared" si="135"/>
        <v>0</v>
      </c>
    </row>
    <row r="1054" spans="2:14" s="321" customFormat="1" x14ac:dyDescent="0.2">
      <c r="B1054" s="16">
        <f t="shared" si="141"/>
        <v>8</v>
      </c>
      <c r="C1054" s="1" t="s">
        <v>97</v>
      </c>
      <c r="D1054" s="1" t="s">
        <v>655</v>
      </c>
      <c r="E1054" s="16"/>
      <c r="F1054" s="980">
        <f>'WP II-I-1.1'!F409</f>
        <v>1200837.26</v>
      </c>
      <c r="G1054" s="802">
        <f>'WP II-I-1.1'!G409</f>
        <v>1862721.24</v>
      </c>
      <c r="H1054" s="802">
        <f>'WP II-I-1.1'!H409</f>
        <v>149028.20000000001</v>
      </c>
      <c r="I1054" s="981">
        <f>'WP II-I-1.1'!I409</f>
        <v>0</v>
      </c>
      <c r="J1054" s="229">
        <f t="shared" si="142"/>
        <v>3212586.7</v>
      </c>
      <c r="K1054" s="229"/>
      <c r="L1054" s="17">
        <f t="shared" si="134"/>
        <v>2011749.44</v>
      </c>
      <c r="M1054" s="45"/>
      <c r="N1054" s="751">
        <f t="shared" si="135"/>
        <v>0</v>
      </c>
    </row>
    <row r="1055" spans="2:14" s="321" customFormat="1" x14ac:dyDescent="0.2">
      <c r="B1055" s="16">
        <f t="shared" si="141"/>
        <v>9</v>
      </c>
      <c r="C1055" s="1" t="s">
        <v>99</v>
      </c>
      <c r="D1055" s="1" t="s">
        <v>656</v>
      </c>
      <c r="E1055" s="16"/>
      <c r="F1055" s="980">
        <f>'WP II-I-1.1'!F410</f>
        <v>2109846.2400000002</v>
      </c>
      <c r="G1055" s="802">
        <f>'WP II-I-1.1'!G410</f>
        <v>1349974.31</v>
      </c>
      <c r="H1055" s="802">
        <f>'WP II-I-1.1'!H410</f>
        <v>175526.25</v>
      </c>
      <c r="I1055" s="981">
        <f>'WP II-I-1.1'!I410</f>
        <v>0</v>
      </c>
      <c r="J1055" s="229">
        <f t="shared" si="142"/>
        <v>3635346.8000000003</v>
      </c>
      <c r="K1055" s="229"/>
      <c r="L1055" s="17">
        <f t="shared" si="134"/>
        <v>1525500.56</v>
      </c>
      <c r="M1055" s="45"/>
      <c r="N1055" s="751">
        <f t="shared" si="135"/>
        <v>0</v>
      </c>
    </row>
    <row r="1056" spans="2:14" s="321" customFormat="1" x14ac:dyDescent="0.2">
      <c r="B1056" s="16">
        <f>B1055+1</f>
        <v>10</v>
      </c>
      <c r="C1056" s="1" t="s">
        <v>101</v>
      </c>
      <c r="D1056" s="1" t="s">
        <v>102</v>
      </c>
      <c r="E1056" s="16"/>
      <c r="F1056" s="980">
        <f>'WP II-I-1.1'!F411</f>
        <v>220696.44</v>
      </c>
      <c r="G1056" s="802">
        <f>'WP II-I-1.1'!G411</f>
        <v>670961.80000000005</v>
      </c>
      <c r="H1056" s="802">
        <f>'WP II-I-1.1'!H411</f>
        <v>74852.31</v>
      </c>
      <c r="I1056" s="981">
        <f>'WP II-I-1.1'!I411</f>
        <v>0</v>
      </c>
      <c r="J1056" s="229">
        <f t="shared" si="142"/>
        <v>966510.55</v>
      </c>
      <c r="K1056" s="229"/>
      <c r="L1056" s="17">
        <f t="shared" si="134"/>
        <v>745814.1100000001</v>
      </c>
      <c r="M1056" s="45"/>
      <c r="N1056" s="751">
        <f t="shared" si="135"/>
        <v>0</v>
      </c>
    </row>
    <row r="1057" spans="1:16" s="321" customFormat="1" x14ac:dyDescent="0.2">
      <c r="A1057" s="16">
        <f t="shared" ref="A1057:A1070" si="143">A1056+1</f>
        <v>1</v>
      </c>
      <c r="B1057" s="16">
        <f t="shared" ref="B1057:B1070" si="144">B1056+1</f>
        <v>11</v>
      </c>
      <c r="C1057" s="1" t="s">
        <v>1237</v>
      </c>
      <c r="D1057" s="1" t="s">
        <v>1230</v>
      </c>
      <c r="E1057" s="16"/>
      <c r="F1057" s="980">
        <f>'WP II-I-1.1'!F412</f>
        <v>8162694.2199999997</v>
      </c>
      <c r="G1057" s="802">
        <f>'WP II-I-1.1'!G412</f>
        <v>13211162.220000001</v>
      </c>
      <c r="H1057" s="802">
        <f>'WP II-I-1.1'!H412</f>
        <v>3187582.92</v>
      </c>
      <c r="I1057" s="981">
        <f>'WP II-I-1.1'!I412</f>
        <v>8445873.6300000008</v>
      </c>
      <c r="J1057" s="229">
        <f t="shared" ref="J1057:J1059" si="145">SUM(F1057:I1057)</f>
        <v>33007312.990000002</v>
      </c>
      <c r="K1057" s="229"/>
      <c r="L1057" s="17">
        <f t="shared" ref="L1057:L1059" si="146">SUM(G1057:I1057)</f>
        <v>24844618.770000003</v>
      </c>
      <c r="M1057" s="45"/>
      <c r="N1057" s="751"/>
    </row>
    <row r="1058" spans="1:16" s="321" customFormat="1" x14ac:dyDescent="0.2">
      <c r="A1058" s="16">
        <f t="shared" si="143"/>
        <v>2</v>
      </c>
      <c r="B1058" s="16">
        <f t="shared" si="144"/>
        <v>12</v>
      </c>
      <c r="C1058" s="1" t="s">
        <v>1238</v>
      </c>
      <c r="D1058" s="1" t="s">
        <v>1232</v>
      </c>
      <c r="E1058" s="16"/>
      <c r="F1058" s="980">
        <f>'WP II-I-1.1'!F413</f>
        <v>27598244.41</v>
      </c>
      <c r="G1058" s="802">
        <f>'WP II-I-1.1'!G413</f>
        <v>31269918.829999998</v>
      </c>
      <c r="H1058" s="802">
        <f>'WP II-I-1.1'!H413</f>
        <v>860969.08</v>
      </c>
      <c r="I1058" s="981">
        <f>'WP II-I-1.1'!I413</f>
        <v>60387.42</v>
      </c>
      <c r="J1058" s="229">
        <f t="shared" si="145"/>
        <v>59789519.739999995</v>
      </c>
      <c r="K1058" s="229"/>
      <c r="L1058" s="17">
        <f t="shared" si="146"/>
        <v>32191275.329999998</v>
      </c>
      <c r="M1058" s="45"/>
      <c r="N1058" s="751"/>
    </row>
    <row r="1059" spans="1:16" s="321" customFormat="1" x14ac:dyDescent="0.2">
      <c r="A1059" s="16">
        <f t="shared" si="143"/>
        <v>3</v>
      </c>
      <c r="B1059" s="16">
        <f t="shared" si="144"/>
        <v>13</v>
      </c>
      <c r="C1059" s="1" t="s">
        <v>1239</v>
      </c>
      <c r="D1059" s="1" t="s">
        <v>103</v>
      </c>
      <c r="E1059" s="16"/>
      <c r="F1059" s="980">
        <f>'WP II-I-1.1'!F414</f>
        <v>4404922.1499999994</v>
      </c>
      <c r="G1059" s="802">
        <f>'WP II-I-1.1'!G414</f>
        <v>5714691.2800000003</v>
      </c>
      <c r="H1059" s="802">
        <f>'WP II-I-1.1'!H414</f>
        <v>789978.38</v>
      </c>
      <c r="I1059" s="981">
        <f>'WP II-I-1.1'!I414</f>
        <v>527108.76</v>
      </c>
      <c r="J1059" s="229">
        <f t="shared" si="145"/>
        <v>11436700.57</v>
      </c>
      <c r="K1059" s="229"/>
      <c r="L1059" s="17">
        <f t="shared" si="146"/>
        <v>7031778.4199999999</v>
      </c>
      <c r="M1059" s="45"/>
      <c r="N1059" s="751">
        <f t="shared" si="135"/>
        <v>0</v>
      </c>
    </row>
    <row r="1060" spans="1:16" s="321" customFormat="1" x14ac:dyDescent="0.2">
      <c r="A1060" s="16">
        <f t="shared" si="143"/>
        <v>4</v>
      </c>
      <c r="B1060" s="16">
        <f t="shared" si="144"/>
        <v>14</v>
      </c>
      <c r="C1060" s="1" t="s">
        <v>105</v>
      </c>
      <c r="D1060" s="1" t="s">
        <v>657</v>
      </c>
      <c r="E1060" s="16"/>
      <c r="F1060" s="980">
        <f>'WP II-I-1.1'!F415</f>
        <v>380825.88</v>
      </c>
      <c r="G1060" s="802">
        <f>'WP II-I-1.1'!G415</f>
        <v>563858.28</v>
      </c>
      <c r="H1060" s="802">
        <f>'WP II-I-1.1'!H415</f>
        <v>88993.39</v>
      </c>
      <c r="I1060" s="981">
        <f>'WP II-I-1.1'!I415</f>
        <v>0</v>
      </c>
      <c r="J1060" s="229">
        <f t="shared" si="142"/>
        <v>1033677.55</v>
      </c>
      <c r="K1060" s="229"/>
      <c r="L1060" s="17">
        <f t="shared" si="134"/>
        <v>652851.67000000004</v>
      </c>
      <c r="M1060" s="45"/>
      <c r="N1060" s="751">
        <f t="shared" si="135"/>
        <v>0</v>
      </c>
    </row>
    <row r="1061" spans="1:16" s="321" customFormat="1" x14ac:dyDescent="0.2">
      <c r="A1061" s="16">
        <f t="shared" si="143"/>
        <v>5</v>
      </c>
      <c r="B1061" s="16">
        <f t="shared" si="144"/>
        <v>15</v>
      </c>
      <c r="C1061" s="1" t="s">
        <v>107</v>
      </c>
      <c r="D1061" s="1" t="s">
        <v>285</v>
      </c>
      <c r="E1061" s="16"/>
      <c r="F1061" s="980">
        <f>'WP II-I-1.1'!F416</f>
        <v>0</v>
      </c>
      <c r="G1061" s="802">
        <f>'WP II-I-1.1'!G416</f>
        <v>0</v>
      </c>
      <c r="H1061" s="802">
        <f>'WP II-I-1.1'!H416</f>
        <v>0</v>
      </c>
      <c r="I1061" s="981">
        <f>'WP II-I-1.1'!I416</f>
        <v>0</v>
      </c>
      <c r="J1061" s="229">
        <f t="shared" si="142"/>
        <v>0</v>
      </c>
      <c r="K1061" s="229"/>
      <c r="L1061" s="17">
        <f t="shared" si="134"/>
        <v>0</v>
      </c>
      <c r="M1061" s="45"/>
      <c r="N1061" s="751">
        <f t="shared" si="135"/>
        <v>0</v>
      </c>
    </row>
    <row r="1062" spans="1:16" s="321" customFormat="1" ht="16.5" x14ac:dyDescent="0.35">
      <c r="A1062" s="16">
        <f t="shared" si="143"/>
        <v>6</v>
      </c>
      <c r="B1062" s="16">
        <f t="shared" si="144"/>
        <v>16</v>
      </c>
      <c r="C1062" s="1" t="s">
        <v>107</v>
      </c>
      <c r="D1062" s="1" t="s">
        <v>286</v>
      </c>
      <c r="E1062" s="16"/>
      <c r="F1062" s="982">
        <f>'WP II-I-1.1'!F417</f>
        <v>0</v>
      </c>
      <c r="G1062" s="983">
        <f>'WP II-I-1.1'!G417</f>
        <v>0</v>
      </c>
      <c r="H1062" s="983">
        <f>'WP II-I-1.1'!H417</f>
        <v>0</v>
      </c>
      <c r="I1062" s="984">
        <f>'WP II-I-1.1'!I417</f>
        <v>0</v>
      </c>
      <c r="J1062" s="238">
        <f t="shared" si="142"/>
        <v>0</v>
      </c>
      <c r="K1062" s="238"/>
      <c r="L1062" s="232">
        <f t="shared" si="134"/>
        <v>0</v>
      </c>
      <c r="M1062" s="45"/>
      <c r="N1062" s="751">
        <f t="shared" si="135"/>
        <v>0</v>
      </c>
    </row>
    <row r="1063" spans="1:16" ht="15" x14ac:dyDescent="0.25">
      <c r="A1063" s="16">
        <f t="shared" si="143"/>
        <v>7</v>
      </c>
      <c r="B1063" s="16">
        <f t="shared" si="144"/>
        <v>17</v>
      </c>
      <c r="C1063" s="8"/>
      <c r="D1063" s="233" t="s">
        <v>444</v>
      </c>
      <c r="E1063" s="19"/>
      <c r="F1063" s="805">
        <f>SUM(F1049:F1062)</f>
        <v>48697755.020000003</v>
      </c>
      <c r="G1063" s="805">
        <f>SUM(G1049:G1062)</f>
        <v>61263387.359999999</v>
      </c>
      <c r="H1063" s="805">
        <f>SUM(H1049:H1062)</f>
        <v>6115434.0499999998</v>
      </c>
      <c r="I1063" s="805">
        <f>SUM(I1049:I1062)</f>
        <v>9483027.4900000002</v>
      </c>
      <c r="J1063" s="235">
        <f t="shared" si="142"/>
        <v>125559603.91999999</v>
      </c>
      <c r="K1063" s="236"/>
      <c r="L1063" s="21">
        <f t="shared" si="134"/>
        <v>76861848.899999991</v>
      </c>
      <c r="M1063" s="64"/>
      <c r="N1063" s="751">
        <f t="shared" si="135"/>
        <v>0</v>
      </c>
    </row>
    <row r="1064" spans="1:16" ht="15.75" thickBot="1" x14ac:dyDescent="0.3">
      <c r="A1064" s="16">
        <f t="shared" si="143"/>
        <v>8</v>
      </c>
      <c r="B1064" s="16">
        <f t="shared" si="144"/>
        <v>18</v>
      </c>
      <c r="C1064" s="8"/>
      <c r="D1064" s="233"/>
      <c r="E1064" s="19"/>
      <c r="F1064" s="805"/>
      <c r="G1064" s="805"/>
      <c r="H1064" s="805"/>
      <c r="I1064" s="805"/>
      <c r="J1064" s="235"/>
      <c r="K1064" s="236"/>
      <c r="L1064" s="21"/>
      <c r="M1064" s="64"/>
      <c r="N1064" s="751">
        <f t="shared" si="135"/>
        <v>0</v>
      </c>
    </row>
    <row r="1065" spans="1:16" ht="15.75" thickBot="1" x14ac:dyDescent="0.3">
      <c r="A1065" s="16">
        <f t="shared" si="143"/>
        <v>9</v>
      </c>
      <c r="B1065" s="16">
        <f t="shared" si="144"/>
        <v>19</v>
      </c>
      <c r="C1065" s="223" t="s">
        <v>658</v>
      </c>
      <c r="D1065" s="224"/>
      <c r="E1065" s="309" t="s">
        <v>280</v>
      </c>
      <c r="F1065" s="812">
        <f>F998+F1013+F1032+F1063</f>
        <v>470031294.91000003</v>
      </c>
      <c r="G1065" s="812">
        <f>G998+G1013+G1032+G1063</f>
        <v>651417051.77999997</v>
      </c>
      <c r="H1065" s="812">
        <f>H998+H1013+H1032+H1063</f>
        <v>29837695.84</v>
      </c>
      <c r="I1065" s="812">
        <f>I998+I1013+I1032+I1063</f>
        <v>39993573.500000007</v>
      </c>
      <c r="J1065" s="315">
        <f>SUM(F1065:I1065)</f>
        <v>1191279616.03</v>
      </c>
      <c r="K1065" s="805"/>
      <c r="L1065" s="196">
        <f t="shared" ref="L1065:L1128" si="147">SUM(G1065:I1065)</f>
        <v>721248321.12</v>
      </c>
      <c r="M1065" s="64"/>
      <c r="N1065" s="751">
        <f t="shared" si="135"/>
        <v>0</v>
      </c>
    </row>
    <row r="1066" spans="1:16" ht="14.25" customHeight="1" x14ac:dyDescent="0.25">
      <c r="A1066" s="16">
        <f t="shared" si="143"/>
        <v>10</v>
      </c>
      <c r="B1066" s="16">
        <f t="shared" si="144"/>
        <v>20</v>
      </c>
      <c r="C1066" s="8"/>
      <c r="D1066" s="233"/>
      <c r="E1066" s="19"/>
      <c r="F1066" s="805"/>
      <c r="G1066" s="805"/>
      <c r="H1066" s="805"/>
      <c r="I1066" s="805"/>
      <c r="J1066" s="235"/>
      <c r="K1066" s="236"/>
      <c r="L1066" s="21"/>
      <c r="M1066" s="64"/>
      <c r="N1066" s="751">
        <f t="shared" ref="N1066:N1130" si="148">J1066-L1066-F1066</f>
        <v>0</v>
      </c>
    </row>
    <row r="1067" spans="1:16" ht="15" x14ac:dyDescent="0.25">
      <c r="A1067" s="16">
        <f t="shared" si="143"/>
        <v>11</v>
      </c>
      <c r="B1067" s="16">
        <f t="shared" si="144"/>
        <v>21</v>
      </c>
      <c r="C1067" s="8" t="s">
        <v>659</v>
      </c>
      <c r="D1067" s="233"/>
      <c r="E1067" s="19" t="s">
        <v>313</v>
      </c>
      <c r="F1067" s="985">
        <f>'WP II-I-1.1'!F465</f>
        <v>9888367</v>
      </c>
      <c r="G1067" s="986">
        <f>'WP II-I-1.1'!G465</f>
        <v>7439</v>
      </c>
      <c r="H1067" s="986">
        <f>'WP II-I-1.1'!H465</f>
        <v>0</v>
      </c>
      <c r="I1067" s="987">
        <f>'WP II-I-1.1'!I465</f>
        <v>0</v>
      </c>
      <c r="J1067" s="97">
        <f>SUM(F1067:I1067)</f>
        <v>9895806</v>
      </c>
      <c r="K1067" s="229"/>
      <c r="L1067" s="17">
        <f t="shared" si="147"/>
        <v>7439</v>
      </c>
      <c r="M1067" s="64"/>
      <c r="N1067" s="751">
        <f t="shared" si="148"/>
        <v>0</v>
      </c>
    </row>
    <row r="1068" spans="1:16" ht="16.5" x14ac:dyDescent="0.35">
      <c r="A1068" s="16">
        <f t="shared" si="143"/>
        <v>12</v>
      </c>
      <c r="B1068" s="16">
        <f t="shared" si="144"/>
        <v>22</v>
      </c>
      <c r="C1068" s="8" t="s">
        <v>660</v>
      </c>
      <c r="D1068" s="233"/>
      <c r="E1068" s="19" t="s">
        <v>316</v>
      </c>
      <c r="F1068" s="982">
        <f>'WP II-I-1.1'!F466</f>
        <v>425064.95999999996</v>
      </c>
      <c r="G1068" s="983">
        <f>'WP II-I-1.1'!G466</f>
        <v>15421186.759999998</v>
      </c>
      <c r="H1068" s="983">
        <f>'WP II-I-1.1'!H466</f>
        <v>25459958.280000001</v>
      </c>
      <c r="I1068" s="984">
        <f>'WP II-I-1.1'!I466</f>
        <v>0</v>
      </c>
      <c r="J1068" s="231">
        <f>SUM(F1068:I1068)</f>
        <v>41306210</v>
      </c>
      <c r="K1068" s="238"/>
      <c r="L1068" s="232">
        <f t="shared" si="147"/>
        <v>40881145.039999999</v>
      </c>
      <c r="M1068" s="64"/>
      <c r="N1068" s="751">
        <f t="shared" si="148"/>
        <v>9.3132257461547852E-10</v>
      </c>
    </row>
    <row r="1069" spans="1:16" ht="15.75" thickBot="1" x14ac:dyDescent="0.3">
      <c r="A1069" s="16">
        <f t="shared" si="143"/>
        <v>13</v>
      </c>
      <c r="B1069" s="16">
        <f t="shared" si="144"/>
        <v>23</v>
      </c>
      <c r="C1069" s="8"/>
      <c r="D1069" s="233"/>
      <c r="E1069" s="19"/>
      <c r="F1069" s="805"/>
      <c r="G1069" s="805"/>
      <c r="H1069" s="805"/>
      <c r="I1069" s="805"/>
      <c r="J1069" s="235"/>
      <c r="K1069" s="236"/>
      <c r="L1069" s="21"/>
      <c r="M1069" s="64"/>
      <c r="N1069" s="751">
        <f t="shared" si="148"/>
        <v>0</v>
      </c>
    </row>
    <row r="1070" spans="1:16" ht="15.75" thickBot="1" x14ac:dyDescent="0.3">
      <c r="A1070" s="16">
        <f t="shared" si="143"/>
        <v>14</v>
      </c>
      <c r="B1070" s="16">
        <f t="shared" si="144"/>
        <v>24</v>
      </c>
      <c r="C1070" s="223" t="s">
        <v>661</v>
      </c>
      <c r="D1070" s="224"/>
      <c r="E1070" s="309"/>
      <c r="F1070" s="812">
        <f>SUM(F1065:F1068)</f>
        <v>480344726.87</v>
      </c>
      <c r="G1070" s="812">
        <f>SUM(G1065:G1068)</f>
        <v>666845677.53999996</v>
      </c>
      <c r="H1070" s="812">
        <f>SUM(H1065:H1068)</f>
        <v>55297654.120000005</v>
      </c>
      <c r="I1070" s="812">
        <f>SUM(I1065:I1068)</f>
        <v>39993573.500000007</v>
      </c>
      <c r="J1070" s="315">
        <f>SUM(F1070:I1070)</f>
        <v>1242481632.0299997</v>
      </c>
      <c r="K1070" s="805"/>
      <c r="L1070" s="196">
        <f t="shared" si="147"/>
        <v>762136905.15999997</v>
      </c>
      <c r="M1070" s="64"/>
      <c r="N1070" s="751">
        <f t="shared" si="148"/>
        <v>0</v>
      </c>
      <c r="P1070" s="589" t="s">
        <v>1141</v>
      </c>
    </row>
    <row r="1071" spans="1:16" x14ac:dyDescent="0.2">
      <c r="B1071" s="64"/>
      <c r="C1071" s="64"/>
      <c r="D1071" s="64"/>
      <c r="E1071" s="64"/>
      <c r="F1071" s="589"/>
      <c r="G1071" s="589"/>
      <c r="H1071" s="589"/>
      <c r="I1071" s="589"/>
      <c r="J1071" s="64"/>
      <c r="K1071" s="45"/>
      <c r="L1071" s="45"/>
      <c r="M1071" s="64"/>
      <c r="N1071" s="751">
        <f t="shared" si="148"/>
        <v>0</v>
      </c>
    </row>
    <row r="1072" spans="1:16" ht="15" x14ac:dyDescent="0.25">
      <c r="B1072" s="783"/>
      <c r="C1072" s="783"/>
      <c r="D1072" s="783"/>
      <c r="E1072" s="783"/>
      <c r="F1072" s="783"/>
      <c r="G1072" s="783"/>
      <c r="H1072" s="783"/>
      <c r="I1072" s="783"/>
      <c r="J1072" s="783"/>
      <c r="K1072" s="783"/>
      <c r="L1072" s="783"/>
      <c r="M1072" s="105" t="str">
        <f>$M$2</f>
        <v xml:space="preserve"> </v>
      </c>
      <c r="N1072" s="751">
        <f t="shared" si="148"/>
        <v>0</v>
      </c>
    </row>
    <row r="1073" spans="2:14" ht="15.75" thickBot="1" x14ac:dyDescent="0.3">
      <c r="B1073" s="783"/>
      <c r="C1073" s="783"/>
      <c r="D1073" s="783"/>
      <c r="E1073" s="783"/>
      <c r="F1073" s="783"/>
      <c r="G1073" s="783"/>
      <c r="H1073" s="783"/>
      <c r="I1073" s="783"/>
      <c r="J1073" s="783"/>
      <c r="K1073" s="783"/>
      <c r="L1073" s="783"/>
      <c r="M1073" s="64"/>
      <c r="N1073" s="751">
        <f t="shared" si="148"/>
        <v>0</v>
      </c>
    </row>
    <row r="1074" spans="2:14" ht="15" x14ac:dyDescent="0.25">
      <c r="B1074" s="829" t="str">
        <f>$B$4</f>
        <v>2025 RATE CASE</v>
      </c>
      <c r="C1074" s="835"/>
      <c r="D1074" s="836"/>
      <c r="E1074" s="783"/>
      <c r="F1074" s="783"/>
      <c r="G1074" s="783"/>
      <c r="H1074" s="783"/>
      <c r="I1074" s="783"/>
      <c r="J1074" s="783"/>
      <c r="K1074" s="783"/>
      <c r="L1074" s="783"/>
      <c r="N1074" s="751">
        <f t="shared" si="148"/>
        <v>0</v>
      </c>
    </row>
    <row r="1075" spans="2:14" ht="15" x14ac:dyDescent="0.25">
      <c r="B1075" s="826" t="str">
        <f>$B$5</f>
        <v>ONCOR ELECTRIC DELIVERY COMPANY LLC</v>
      </c>
      <c r="C1075" s="304"/>
      <c r="D1075" s="837"/>
      <c r="E1075" s="783"/>
      <c r="F1075" s="783"/>
      <c r="G1075" s="783"/>
      <c r="H1075" s="783"/>
      <c r="I1075" s="783"/>
      <c r="J1075" s="783"/>
      <c r="K1075" s="783"/>
      <c r="L1075" s="783"/>
      <c r="M1075" s="64"/>
      <c r="N1075" s="751">
        <f t="shared" si="148"/>
        <v>0</v>
      </c>
    </row>
    <row r="1076" spans="2:14" ht="15" x14ac:dyDescent="0.25">
      <c r="B1076" s="341" t="str">
        <f>$B$6</f>
        <v>CONSOLIDATED FUNCTIONALIZED COST OF SERVICE</v>
      </c>
      <c r="C1076" s="304"/>
      <c r="D1076" s="837"/>
      <c r="E1076" s="783"/>
      <c r="F1076" s="783"/>
      <c r="G1076" s="783"/>
      <c r="H1076" s="783"/>
      <c r="I1076" s="783"/>
      <c r="J1076" s="783"/>
      <c r="K1076" s="783"/>
      <c r="L1076" s="783"/>
      <c r="M1076" s="64"/>
      <c r="N1076" s="751">
        <f t="shared" si="148"/>
        <v>0</v>
      </c>
    </row>
    <row r="1077" spans="2:14" ht="15.75" x14ac:dyDescent="0.25">
      <c r="B1077" s="341" t="str">
        <f>$B$7</f>
        <v>TEST YEAR ENDING 12/31/2024</v>
      </c>
      <c r="C1077" s="752"/>
      <c r="D1077" s="830"/>
      <c r="E1077" s="64"/>
      <c r="F1077" s="589"/>
      <c r="G1077" s="589"/>
      <c r="H1077" s="589"/>
      <c r="I1077" s="589"/>
      <c r="J1077" s="64"/>
      <c r="K1077" s="64"/>
      <c r="L1077" s="64"/>
      <c r="M1077" s="64"/>
      <c r="N1077" s="751">
        <f t="shared" si="148"/>
        <v>0</v>
      </c>
    </row>
    <row r="1078" spans="2:14" ht="15" x14ac:dyDescent="0.25">
      <c r="B1078" s="341" t="str">
        <f>$B$8</f>
        <v>SPONSOR:  MATTHEW A. TROXLE</v>
      </c>
      <c r="C1078" s="304"/>
      <c r="D1078" s="837"/>
      <c r="E1078" s="304"/>
      <c r="F1078" s="304"/>
      <c r="G1078" s="304"/>
      <c r="H1078" s="304"/>
      <c r="I1078" s="304"/>
      <c r="J1078" s="304"/>
      <c r="K1078" s="304"/>
      <c r="L1078" s="304"/>
      <c r="M1078" s="64"/>
      <c r="N1078" s="751">
        <f t="shared" si="148"/>
        <v>0</v>
      </c>
    </row>
    <row r="1079" spans="2:14" ht="15.75" thickBot="1" x14ac:dyDescent="0.3">
      <c r="B1079" s="345"/>
      <c r="C1079" s="843"/>
      <c r="D1079" s="845"/>
      <c r="F1079" s="654"/>
      <c r="G1079" s="654"/>
      <c r="H1079" s="654"/>
      <c r="I1079" s="654"/>
      <c r="J1079" s="267"/>
      <c r="K1079" s="41"/>
      <c r="L1079" s="41"/>
      <c r="M1079" s="64"/>
      <c r="N1079" s="751">
        <f t="shared" si="148"/>
        <v>0</v>
      </c>
    </row>
    <row r="1080" spans="2:14" x14ac:dyDescent="0.2">
      <c r="B1080" s="12"/>
      <c r="C1080" s="13"/>
      <c r="D1080" s="13"/>
      <c r="E1080" s="13"/>
      <c r="F1080" s="988" t="s">
        <v>6</v>
      </c>
      <c r="G1080" s="655" t="s">
        <v>7</v>
      </c>
      <c r="H1080" s="655" t="s">
        <v>8</v>
      </c>
      <c r="I1080" s="855" t="s">
        <v>9</v>
      </c>
      <c r="J1080" s="12" t="s">
        <v>10</v>
      </c>
      <c r="K1080" s="16"/>
      <c r="L1080" s="110" t="s">
        <v>907</v>
      </c>
      <c r="M1080" s="64"/>
      <c r="N1080" s="751"/>
    </row>
    <row r="1081" spans="2:14" ht="15" x14ac:dyDescent="0.25">
      <c r="B1081" s="14" t="s">
        <v>2</v>
      </c>
      <c r="C1081" s="14" t="s">
        <v>349</v>
      </c>
      <c r="D1081" s="226" t="s">
        <v>287</v>
      </c>
      <c r="E1081" s="14" t="s">
        <v>350</v>
      </c>
      <c r="F1081" s="661"/>
      <c r="G1081" s="660"/>
      <c r="H1081" s="660"/>
      <c r="I1081" s="660"/>
      <c r="J1081" s="14"/>
      <c r="K1081" s="16"/>
      <c r="L1081" s="93" t="s">
        <v>908</v>
      </c>
      <c r="M1081" s="64"/>
      <c r="N1081" s="751"/>
    </row>
    <row r="1082" spans="2:14" x14ac:dyDescent="0.2">
      <c r="B1082" s="14"/>
      <c r="C1082" s="14"/>
      <c r="D1082" s="14"/>
      <c r="E1082" s="14"/>
      <c r="F1082" s="661"/>
      <c r="G1082" s="660"/>
      <c r="H1082" s="660"/>
      <c r="I1082" s="660"/>
      <c r="J1082" s="14"/>
      <c r="K1082" s="16"/>
      <c r="L1082" s="93"/>
      <c r="M1082" s="64"/>
      <c r="N1082" s="751"/>
    </row>
    <row r="1083" spans="2:14" ht="15" thickBot="1" x14ac:dyDescent="0.25">
      <c r="B1083" s="15"/>
      <c r="C1083" s="15" t="s">
        <v>13</v>
      </c>
      <c r="D1083" s="15" t="s">
        <v>14</v>
      </c>
      <c r="E1083" s="15" t="s">
        <v>15</v>
      </c>
      <c r="F1083" s="664" t="s">
        <v>16</v>
      </c>
      <c r="G1083" s="664" t="s">
        <v>17</v>
      </c>
      <c r="H1083" s="664" t="s">
        <v>18</v>
      </c>
      <c r="I1083" s="664" t="s">
        <v>21</v>
      </c>
      <c r="J1083" s="15" t="s">
        <v>22</v>
      </c>
      <c r="K1083" s="16"/>
      <c r="L1083" s="997" t="s">
        <v>397</v>
      </c>
      <c r="M1083" s="64"/>
      <c r="N1083" s="751"/>
    </row>
    <row r="1084" spans="2:14" x14ac:dyDescent="0.2">
      <c r="B1084" s="64"/>
      <c r="C1084" s="268"/>
      <c r="D1084" s="268"/>
      <c r="E1084" s="268"/>
      <c r="F1084" s="666"/>
      <c r="G1084" s="666"/>
      <c r="H1084" s="666"/>
      <c r="I1084" s="611"/>
      <c r="J1084" s="41"/>
      <c r="K1084" s="41"/>
      <c r="L1084" s="41"/>
      <c r="M1084" s="64"/>
      <c r="N1084" s="751"/>
    </row>
    <row r="1085" spans="2:14" ht="15" x14ac:dyDescent="0.25">
      <c r="B1085" s="16">
        <f t="shared" ref="B1085:B1103" si="149">B1084+1</f>
        <v>1</v>
      </c>
      <c r="C1085" s="301" t="s">
        <v>287</v>
      </c>
      <c r="D1085" s="301"/>
      <c r="E1085" s="19"/>
      <c r="F1085" s="805"/>
      <c r="G1085" s="805"/>
      <c r="H1085" s="805"/>
      <c r="I1085" s="8"/>
      <c r="J1085" s="8"/>
      <c r="K1085" s="8"/>
      <c r="L1085" s="8"/>
      <c r="M1085" s="64"/>
      <c r="N1085" s="751"/>
    </row>
    <row r="1086" spans="2:14" x14ac:dyDescent="0.2">
      <c r="B1086" s="16">
        <f t="shared" si="149"/>
        <v>2</v>
      </c>
      <c r="C1086" s="1"/>
      <c r="D1086" s="1"/>
      <c r="E1086" s="16"/>
      <c r="F1086" s="803"/>
      <c r="G1086" s="803"/>
      <c r="H1086" s="803"/>
      <c r="I1086" s="647"/>
      <c r="J1086" s="1"/>
      <c r="K1086" s="1"/>
      <c r="L1086" s="1"/>
      <c r="M1086" s="64"/>
      <c r="N1086" s="751"/>
    </row>
    <row r="1087" spans="2:14" ht="15" x14ac:dyDescent="0.25">
      <c r="B1087" s="16">
        <f t="shared" si="149"/>
        <v>3</v>
      </c>
      <c r="C1087" s="8" t="s">
        <v>289</v>
      </c>
      <c r="D1087" s="8"/>
      <c r="E1087" s="19" t="s">
        <v>288</v>
      </c>
      <c r="F1087" s="805"/>
      <c r="G1087" s="805"/>
      <c r="H1087" s="805"/>
      <c r="I1087" s="8"/>
      <c r="J1087" s="8"/>
      <c r="K1087" s="8"/>
      <c r="L1087" s="8"/>
      <c r="M1087" s="64"/>
      <c r="N1087" s="751"/>
    </row>
    <row r="1088" spans="2:14" s="321" customFormat="1" x14ac:dyDescent="0.2">
      <c r="B1088" s="16">
        <f t="shared" si="149"/>
        <v>4</v>
      </c>
      <c r="C1088" s="1"/>
      <c r="D1088" s="1" t="s">
        <v>290</v>
      </c>
      <c r="E1088" s="16"/>
      <c r="F1088" s="985">
        <f>'WP II-I-1.1'!F421</f>
        <v>4578987.92</v>
      </c>
      <c r="G1088" s="986">
        <f>'WP II-I-1.1'!G421</f>
        <v>12228771.32</v>
      </c>
      <c r="H1088" s="986">
        <f>'WP II-I-1.1'!H421</f>
        <v>3419493.17</v>
      </c>
      <c r="I1088" s="987">
        <f>'WP II-I-1.1'!I421</f>
        <v>140165.69000000134</v>
      </c>
      <c r="J1088" s="229">
        <f>SUM(F1088:I1088)</f>
        <v>20367418.100000005</v>
      </c>
      <c r="K1088" s="229"/>
      <c r="L1088" s="17">
        <f t="shared" si="147"/>
        <v>15788430.180000002</v>
      </c>
      <c r="M1088" s="45"/>
      <c r="N1088" s="751">
        <f t="shared" si="148"/>
        <v>0</v>
      </c>
    </row>
    <row r="1089" spans="2:16" s="321" customFormat="1" x14ac:dyDescent="0.2">
      <c r="B1089" s="16">
        <f t="shared" si="149"/>
        <v>5</v>
      </c>
      <c r="C1089" s="1"/>
      <c r="D1089" s="1" t="s">
        <v>291</v>
      </c>
      <c r="E1089" s="16"/>
      <c r="F1089" s="980">
        <f>'WP II-I-1.1'!F422</f>
        <v>99398.1</v>
      </c>
      <c r="G1089" s="802">
        <f>'WP II-I-1.1'!G422</f>
        <v>265455.3</v>
      </c>
      <c r="H1089" s="802">
        <f>'WP II-I-1.1'!H422</f>
        <v>74228.44</v>
      </c>
      <c r="I1089" s="981">
        <f>'WP II-I-1.1'!I422</f>
        <v>3042.6300000000047</v>
      </c>
      <c r="J1089" s="229">
        <f>SUM(F1089:I1089)</f>
        <v>442124.47000000003</v>
      </c>
      <c r="K1089" s="229"/>
      <c r="L1089" s="17">
        <f t="shared" si="147"/>
        <v>342726.37</v>
      </c>
      <c r="M1089" s="45"/>
      <c r="N1089" s="751">
        <f t="shared" si="148"/>
        <v>0</v>
      </c>
    </row>
    <row r="1090" spans="2:16" s="321" customFormat="1" ht="16.5" x14ac:dyDescent="0.35">
      <c r="B1090" s="16">
        <f t="shared" si="149"/>
        <v>6</v>
      </c>
      <c r="C1090" s="1"/>
      <c r="D1090" s="1" t="s">
        <v>292</v>
      </c>
      <c r="E1090" s="16"/>
      <c r="F1090" s="982">
        <f>'WP II-I-1.1'!F423</f>
        <v>94486.61</v>
      </c>
      <c r="G1090" s="983">
        <f>'WP II-I-1.1'!G423</f>
        <v>252338.55</v>
      </c>
      <c r="H1090" s="983">
        <f>'WP II-I-1.1'!H423</f>
        <v>70560.639999999999</v>
      </c>
      <c r="I1090" s="984">
        <f>'WP II-I-1.1'!I423</f>
        <v>2892.2900000000518</v>
      </c>
      <c r="J1090" s="238">
        <f>SUM(F1090:I1090)</f>
        <v>420278.09</v>
      </c>
      <c r="K1090" s="238"/>
      <c r="L1090" s="232">
        <f t="shared" si="147"/>
        <v>325791.48000000004</v>
      </c>
      <c r="M1090" s="45"/>
      <c r="N1090" s="751">
        <f t="shared" si="148"/>
        <v>0</v>
      </c>
    </row>
    <row r="1091" spans="2:16" ht="15" x14ac:dyDescent="0.25">
      <c r="B1091" s="16">
        <f t="shared" si="149"/>
        <v>7</v>
      </c>
      <c r="C1091" s="8"/>
      <c r="D1091" s="233" t="s">
        <v>662</v>
      </c>
      <c r="E1091" s="19"/>
      <c r="F1091" s="191">
        <f>SUM(F1088:F1090)</f>
        <v>4772872.63</v>
      </c>
      <c r="G1091" s="191">
        <f>SUM(G1088:G1090)</f>
        <v>12746565.170000002</v>
      </c>
      <c r="H1091" s="191">
        <f>SUM(H1088:H1090)</f>
        <v>3564282.25</v>
      </c>
      <c r="I1091" s="191">
        <f>SUM(I1088:I1090)</f>
        <v>146100.61000000138</v>
      </c>
      <c r="J1091" s="235">
        <f>SUM(F1091:I1091)</f>
        <v>21229820.660000004</v>
      </c>
      <c r="K1091" s="236"/>
      <c r="L1091" s="191">
        <f t="shared" si="147"/>
        <v>16456948.030000003</v>
      </c>
      <c r="M1091" s="64"/>
      <c r="N1091" s="751">
        <f t="shared" si="148"/>
        <v>0</v>
      </c>
    </row>
    <row r="1092" spans="2:16" x14ac:dyDescent="0.2">
      <c r="B1092" s="16">
        <f t="shared" si="149"/>
        <v>8</v>
      </c>
      <c r="C1092" s="1"/>
      <c r="D1092" s="1"/>
      <c r="E1092" s="16"/>
      <c r="F1092" s="803"/>
      <c r="G1092" s="803"/>
      <c r="H1092" s="803"/>
      <c r="I1092" s="803"/>
      <c r="J1092" s="1"/>
      <c r="K1092" s="1"/>
      <c r="L1092" s="18">
        <f t="shared" si="147"/>
        <v>0</v>
      </c>
      <c r="M1092" s="64"/>
      <c r="N1092" s="751">
        <f t="shared" si="148"/>
        <v>0</v>
      </c>
    </row>
    <row r="1093" spans="2:16" ht="15" x14ac:dyDescent="0.25">
      <c r="B1093" s="16">
        <f t="shared" si="149"/>
        <v>9</v>
      </c>
      <c r="C1093" s="8" t="s">
        <v>293</v>
      </c>
      <c r="D1093" s="8"/>
      <c r="E1093" s="19" t="s">
        <v>288</v>
      </c>
      <c r="F1093" s="805"/>
      <c r="G1093" s="805"/>
      <c r="H1093" s="805"/>
      <c r="I1093" s="805"/>
      <c r="J1093" s="316"/>
      <c r="K1093" s="316"/>
      <c r="L1093" s="21">
        <f t="shared" si="147"/>
        <v>0</v>
      </c>
      <c r="M1093" s="64"/>
      <c r="N1093" s="751">
        <f t="shared" si="148"/>
        <v>0</v>
      </c>
    </row>
    <row r="1094" spans="2:16" s="321" customFormat="1" ht="16.5" x14ac:dyDescent="0.35">
      <c r="B1094" s="16">
        <f t="shared" si="149"/>
        <v>10</v>
      </c>
      <c r="C1094" s="318"/>
      <c r="D1094" s="1" t="s">
        <v>294</v>
      </c>
      <c r="E1094" s="18"/>
      <c r="F1094" s="1334">
        <f>'WP II-I-1.1'!F425</f>
        <v>135647129.13</v>
      </c>
      <c r="G1094" s="1335">
        <f>'WP II-I-1.1'!G425</f>
        <v>139899372.06999999</v>
      </c>
      <c r="H1094" s="1335">
        <f>'WP II-I-1.1'!H425</f>
        <v>4193051.07</v>
      </c>
      <c r="I1094" s="1336">
        <f>'WP II-I-1.1'!I425</f>
        <v>2771920.8399999966</v>
      </c>
      <c r="J1094" s="238">
        <f>SUM(F1094:I1094)</f>
        <v>282511473.10999995</v>
      </c>
      <c r="K1094" s="238"/>
      <c r="L1094" s="232">
        <f t="shared" si="147"/>
        <v>146864343.97999999</v>
      </c>
      <c r="M1094" s="540"/>
      <c r="N1094" s="751">
        <f t="shared" si="148"/>
        <v>0</v>
      </c>
    </row>
    <row r="1095" spans="2:16" ht="15" x14ac:dyDescent="0.25">
      <c r="B1095" s="16">
        <f t="shared" si="149"/>
        <v>11</v>
      </c>
      <c r="C1095" s="8"/>
      <c r="D1095" s="233" t="s">
        <v>663</v>
      </c>
      <c r="E1095" s="19"/>
      <c r="F1095" s="805">
        <f>+F1094</f>
        <v>135647129.13</v>
      </c>
      <c r="G1095" s="805">
        <f>+G1094</f>
        <v>139899372.06999999</v>
      </c>
      <c r="H1095" s="805">
        <f>+H1094</f>
        <v>4193051.07</v>
      </c>
      <c r="I1095" s="805">
        <f>+I1094</f>
        <v>2771920.8399999966</v>
      </c>
      <c r="J1095" s="236">
        <f>SUM(F1095:I1095)</f>
        <v>282511473.10999995</v>
      </c>
      <c r="K1095" s="236"/>
      <c r="L1095" s="21">
        <f t="shared" si="147"/>
        <v>146864343.97999999</v>
      </c>
      <c r="M1095" s="64"/>
      <c r="N1095" s="751">
        <f t="shared" si="148"/>
        <v>0</v>
      </c>
    </row>
    <row r="1096" spans="2:16" x14ac:dyDescent="0.2">
      <c r="B1096" s="16">
        <f t="shared" si="149"/>
        <v>12</v>
      </c>
      <c r="C1096" s="1"/>
      <c r="D1096" s="1"/>
      <c r="E1096" s="16"/>
      <c r="F1096" s="803"/>
      <c r="G1096" s="803"/>
      <c r="H1096" s="803"/>
      <c r="I1096" s="803"/>
      <c r="J1096" s="1"/>
      <c r="K1096" s="1"/>
      <c r="L1096" s="18">
        <f t="shared" si="147"/>
        <v>0</v>
      </c>
      <c r="M1096" s="64"/>
      <c r="N1096" s="751">
        <f t="shared" si="148"/>
        <v>0</v>
      </c>
    </row>
    <row r="1097" spans="2:16" ht="15" x14ac:dyDescent="0.25">
      <c r="B1097" s="16">
        <f t="shared" si="149"/>
        <v>13</v>
      </c>
      <c r="C1097" s="8" t="s">
        <v>295</v>
      </c>
      <c r="D1097" s="8"/>
      <c r="E1097" s="19" t="s">
        <v>288</v>
      </c>
      <c r="F1097" s="805"/>
      <c r="G1097" s="805"/>
      <c r="H1097" s="805"/>
      <c r="I1097" s="805"/>
      <c r="J1097" s="8"/>
      <c r="K1097" s="8"/>
      <c r="L1097" s="21">
        <f t="shared" si="147"/>
        <v>0</v>
      </c>
      <c r="M1097" s="64"/>
      <c r="N1097" s="751">
        <f t="shared" si="148"/>
        <v>0</v>
      </c>
    </row>
    <row r="1098" spans="2:16" s="321" customFormat="1" x14ac:dyDescent="0.2">
      <c r="B1098" s="16">
        <f t="shared" si="149"/>
        <v>14</v>
      </c>
      <c r="C1098" s="1"/>
      <c r="D1098" s="1" t="s">
        <v>296</v>
      </c>
      <c r="E1098" s="16"/>
      <c r="F1098" s="985">
        <f>'WP II-I-1.1'!F427</f>
        <v>6660528.0499999998</v>
      </c>
      <c r="G1098" s="986">
        <f>'WP II-I-1.1'!G427</f>
        <v>29832300.199999999</v>
      </c>
      <c r="H1098" s="986">
        <f>'WP II-I-1.1'!H427</f>
        <v>1151630.57</v>
      </c>
      <c r="I1098" s="987">
        <f>'WP II-I-1.1'!I427</f>
        <v>639188.18000000005</v>
      </c>
      <c r="J1098" s="23">
        <f>SUM(F1098:I1098)</f>
        <v>38283647</v>
      </c>
      <c r="K1098" s="23"/>
      <c r="L1098" s="17">
        <f t="shared" si="147"/>
        <v>31623118.949999999</v>
      </c>
      <c r="M1098" s="45"/>
      <c r="N1098" s="751">
        <f t="shared" si="148"/>
        <v>0</v>
      </c>
    </row>
    <row r="1099" spans="2:16" s="321" customFormat="1" x14ac:dyDescent="0.2">
      <c r="B1099" s="16">
        <f t="shared" si="149"/>
        <v>15</v>
      </c>
      <c r="C1099" s="1"/>
      <c r="D1099" s="1" t="s">
        <v>297</v>
      </c>
      <c r="E1099" s="16"/>
      <c r="F1099" s="980">
        <f>'WP II-I-1.1'!F428</f>
        <v>0</v>
      </c>
      <c r="G1099" s="802">
        <f>'WP II-I-1.1'!G428</f>
        <v>300041884.94999999</v>
      </c>
      <c r="H1099" s="802">
        <f>'WP II-I-1.1'!H428</f>
        <v>0</v>
      </c>
      <c r="I1099" s="981">
        <f>'WP II-I-1.1'!I428</f>
        <v>0</v>
      </c>
      <c r="J1099" s="692">
        <f>SUM(F1099:I1099)</f>
        <v>300041884.94999999</v>
      </c>
      <c r="K1099" s="692"/>
      <c r="L1099" s="802">
        <f t="shared" si="147"/>
        <v>300041884.94999999</v>
      </c>
      <c r="M1099" s="45"/>
      <c r="N1099" s="751">
        <f t="shared" si="148"/>
        <v>0</v>
      </c>
      <c r="P1099" s="620"/>
    </row>
    <row r="1100" spans="2:16" s="321" customFormat="1" ht="16.5" x14ac:dyDescent="0.35">
      <c r="B1100" s="16">
        <f t="shared" si="149"/>
        <v>16</v>
      </c>
      <c r="C1100" s="1"/>
      <c r="D1100" s="1" t="s">
        <v>1313</v>
      </c>
      <c r="E1100" s="16"/>
      <c r="F1100" s="982">
        <f>'WP II-I-1.1'!F429</f>
        <v>1336.4899999999998</v>
      </c>
      <c r="G1100" s="983">
        <f>'WP II-I-1.1'!G429</f>
        <v>155.75</v>
      </c>
      <c r="H1100" s="983">
        <f>'WP II-I-1.1'!H429</f>
        <v>4.67</v>
      </c>
      <c r="I1100" s="984">
        <f>'WP II-I-1.1'!I429</f>
        <v>303.08999999999997</v>
      </c>
      <c r="J1100" s="238">
        <f>SUM(F1100:I1100)</f>
        <v>1799.9999999999998</v>
      </c>
      <c r="K1100" s="238"/>
      <c r="L1100" s="232">
        <f t="shared" ref="L1100" si="150">SUM(G1100:I1100)</f>
        <v>463.51</v>
      </c>
      <c r="M1100" s="45"/>
      <c r="N1100" s="751"/>
      <c r="P1100" s="620"/>
    </row>
    <row r="1101" spans="2:16" ht="15" x14ac:dyDescent="0.25">
      <c r="B1101" s="16">
        <f t="shared" si="149"/>
        <v>17</v>
      </c>
      <c r="C1101" s="8"/>
      <c r="D1101" s="233" t="s">
        <v>664</v>
      </c>
      <c r="E1101" s="19"/>
      <c r="F1101" s="805">
        <f>SUM(F1098:F1100)</f>
        <v>6661864.54</v>
      </c>
      <c r="G1101" s="805">
        <f t="shared" ref="G1101:I1101" si="151">SUM(G1098:G1100)</f>
        <v>329874340.89999998</v>
      </c>
      <c r="H1101" s="805">
        <f t="shared" si="151"/>
        <v>1151635.24</v>
      </c>
      <c r="I1101" s="805">
        <f t="shared" si="151"/>
        <v>639491.27</v>
      </c>
      <c r="J1101" s="235">
        <f>SUM(F1101:I1101)</f>
        <v>338327331.94999999</v>
      </c>
      <c r="K1101" s="236"/>
      <c r="L1101" s="21">
        <f t="shared" si="147"/>
        <v>331665467.40999997</v>
      </c>
      <c r="M1101" s="64"/>
      <c r="N1101" s="1286"/>
    </row>
    <row r="1102" spans="2:16" ht="15" thickBot="1" x14ac:dyDescent="0.25">
      <c r="B1102" s="16">
        <f t="shared" si="149"/>
        <v>18</v>
      </c>
      <c r="C1102" s="1"/>
      <c r="D1102" s="1"/>
      <c r="E1102" s="16"/>
      <c r="F1102" s="670"/>
      <c r="G1102" s="670"/>
      <c r="H1102" s="670"/>
      <c r="I1102" s="670"/>
      <c r="J1102" s="320"/>
      <c r="K1102" s="320"/>
      <c r="L1102" s="100"/>
      <c r="M1102" s="64"/>
      <c r="N1102" s="751">
        <f t="shared" si="148"/>
        <v>0</v>
      </c>
    </row>
    <row r="1103" spans="2:16" ht="15.75" thickBot="1" x14ac:dyDescent="0.3">
      <c r="B1103" s="16">
        <f t="shared" si="149"/>
        <v>19</v>
      </c>
      <c r="C1103" s="223" t="s">
        <v>665</v>
      </c>
      <c r="D1103" s="224"/>
      <c r="E1103" s="309" t="s">
        <v>288</v>
      </c>
      <c r="F1103" s="812">
        <f>+F1101+F1095+F1091</f>
        <v>147081866.29999998</v>
      </c>
      <c r="G1103" s="812">
        <f>+G1101+G1095+G1091</f>
        <v>482520278.13999999</v>
      </c>
      <c r="H1103" s="812">
        <f>+H1101+H1095+H1091</f>
        <v>8908968.5599999987</v>
      </c>
      <c r="I1103" s="812">
        <f>+I1101+I1095+I1091</f>
        <v>3557512.7199999979</v>
      </c>
      <c r="J1103" s="195">
        <f>SUM(F1103:I1103)</f>
        <v>642068625.71999991</v>
      </c>
      <c r="K1103" s="191"/>
      <c r="L1103" s="196">
        <f t="shared" si="147"/>
        <v>494986759.41999996</v>
      </c>
      <c r="M1103" s="64"/>
      <c r="N1103" s="751">
        <f t="shared" si="148"/>
        <v>0</v>
      </c>
    </row>
    <row r="1104" spans="2:16" ht="15.75" thickBot="1" x14ac:dyDescent="0.3">
      <c r="B1104" s="783"/>
      <c r="C1104" s="783"/>
      <c r="D1104" s="783"/>
      <c r="E1104" s="783"/>
      <c r="F1104" s="783"/>
      <c r="G1104" s="783"/>
      <c r="H1104" s="783"/>
      <c r="I1104" s="783"/>
      <c r="J1104" s="783"/>
      <c r="K1104" s="783"/>
      <c r="L1104" s="783"/>
      <c r="M1104" s="64"/>
      <c r="N1104" s="751">
        <f t="shared" si="148"/>
        <v>0</v>
      </c>
    </row>
    <row r="1105" spans="2:14" ht="15" x14ac:dyDescent="0.25">
      <c r="B1105" s="829" t="str">
        <f>$B$4</f>
        <v>2025 RATE CASE</v>
      </c>
      <c r="C1105" s="835"/>
      <c r="D1105" s="836"/>
      <c r="E1105" s="783"/>
      <c r="F1105" s="783"/>
      <c r="G1105" s="783"/>
      <c r="H1105" s="783"/>
      <c r="I1105" s="783"/>
      <c r="J1105" s="783"/>
      <c r="K1105" s="783"/>
      <c r="L1105" s="783"/>
      <c r="M1105" s="105" t="str">
        <f>$M$2</f>
        <v xml:space="preserve"> </v>
      </c>
      <c r="N1105" s="751">
        <f t="shared" si="148"/>
        <v>0</v>
      </c>
    </row>
    <row r="1106" spans="2:14" ht="15" x14ac:dyDescent="0.25">
      <c r="B1106" s="826" t="str">
        <f>$B$5</f>
        <v>ONCOR ELECTRIC DELIVERY COMPANY LLC</v>
      </c>
      <c r="C1106" s="304"/>
      <c r="D1106" s="837"/>
      <c r="E1106" s="783"/>
      <c r="F1106" s="783"/>
      <c r="G1106" s="783"/>
      <c r="H1106" s="783"/>
      <c r="I1106" s="783"/>
      <c r="J1106" s="783"/>
      <c r="K1106" s="783"/>
      <c r="L1106" s="783"/>
      <c r="M1106" s="64"/>
      <c r="N1106" s="751">
        <f t="shared" si="148"/>
        <v>0</v>
      </c>
    </row>
    <row r="1107" spans="2:14" ht="15" x14ac:dyDescent="0.25">
      <c r="B1107" s="341" t="str">
        <f>$B$6</f>
        <v>CONSOLIDATED FUNCTIONALIZED COST OF SERVICE</v>
      </c>
      <c r="C1107" s="304"/>
      <c r="D1107" s="837"/>
      <c r="E1107" s="783"/>
      <c r="F1107" s="783"/>
      <c r="G1107" s="783"/>
      <c r="H1107" s="783"/>
      <c r="I1107" s="783"/>
      <c r="J1107" s="783"/>
      <c r="K1107" s="783"/>
      <c r="L1107" s="783"/>
      <c r="M1107" s="64"/>
      <c r="N1107" s="751">
        <f t="shared" si="148"/>
        <v>0</v>
      </c>
    </row>
    <row r="1108" spans="2:14" ht="15" x14ac:dyDescent="0.25">
      <c r="B1108" s="341" t="str">
        <f>$B$7</f>
        <v>TEST YEAR ENDING 12/31/2024</v>
      </c>
      <c r="C1108" s="304"/>
      <c r="D1108" s="837"/>
      <c r="E1108" s="783"/>
      <c r="F1108" s="783"/>
      <c r="G1108" s="783"/>
      <c r="H1108" s="783"/>
      <c r="I1108" s="783"/>
      <c r="J1108" s="783"/>
      <c r="K1108" s="783"/>
      <c r="L1108" s="783"/>
      <c r="M1108" s="64"/>
      <c r="N1108" s="751">
        <f t="shared" si="148"/>
        <v>0</v>
      </c>
    </row>
    <row r="1109" spans="2:14" ht="15.75" x14ac:dyDescent="0.25">
      <c r="B1109" s="341" t="str">
        <f>$B$8</f>
        <v>SPONSOR:  MATTHEW A. TROXLE</v>
      </c>
      <c r="C1109" s="752"/>
      <c r="D1109" s="830"/>
      <c r="E1109" s="64"/>
      <c r="F1109" s="589"/>
      <c r="G1109" s="589"/>
      <c r="H1109" s="589"/>
      <c r="I1109" s="589"/>
      <c r="J1109" s="64"/>
      <c r="K1109" s="64"/>
      <c r="L1109" s="64"/>
      <c r="M1109" s="64"/>
      <c r="N1109" s="751">
        <f t="shared" si="148"/>
        <v>0</v>
      </c>
    </row>
    <row r="1110" spans="2:14" ht="15.75" thickBot="1" x14ac:dyDescent="0.3">
      <c r="B1110" s="345"/>
      <c r="C1110" s="840"/>
      <c r="D1110" s="841"/>
      <c r="E1110" s="304"/>
      <c r="F1110" s="304"/>
      <c r="G1110" s="304"/>
      <c r="H1110" s="304"/>
      <c r="I1110" s="304"/>
      <c r="J1110" s="304"/>
      <c r="K1110" s="304"/>
      <c r="L1110" s="304"/>
      <c r="M1110" s="64"/>
      <c r="N1110" s="751">
        <f t="shared" si="148"/>
        <v>0</v>
      </c>
    </row>
    <row r="1111" spans="2:14" x14ac:dyDescent="0.2">
      <c r="B1111" s="12"/>
      <c r="C1111" s="13"/>
      <c r="D1111" s="13"/>
      <c r="E1111" s="13"/>
      <c r="F1111" s="988" t="s">
        <v>6</v>
      </c>
      <c r="G1111" s="655" t="s">
        <v>7</v>
      </c>
      <c r="H1111" s="655" t="s">
        <v>8</v>
      </c>
      <c r="I1111" s="855" t="s">
        <v>9</v>
      </c>
      <c r="J1111" s="12" t="s">
        <v>10</v>
      </c>
      <c r="K1111" s="16"/>
      <c r="L1111" s="110" t="s">
        <v>907</v>
      </c>
      <c r="M1111" s="64"/>
      <c r="N1111" s="751"/>
    </row>
    <row r="1112" spans="2:14" ht="15" x14ac:dyDescent="0.25">
      <c r="B1112" s="14" t="s">
        <v>2</v>
      </c>
      <c r="C1112" s="14" t="s">
        <v>349</v>
      </c>
      <c r="D1112" s="226" t="s">
        <v>298</v>
      </c>
      <c r="E1112" s="14" t="s">
        <v>350</v>
      </c>
      <c r="F1112" s="661"/>
      <c r="G1112" s="660"/>
      <c r="H1112" s="660"/>
      <c r="I1112" s="660"/>
      <c r="J1112" s="14"/>
      <c r="K1112" s="16"/>
      <c r="L1112" s="93" t="s">
        <v>908</v>
      </c>
      <c r="M1112" s="64"/>
      <c r="N1112" s="751"/>
    </row>
    <row r="1113" spans="2:14" x14ac:dyDescent="0.2">
      <c r="B1113" s="14"/>
      <c r="C1113" s="14"/>
      <c r="D1113" s="14"/>
      <c r="E1113" s="14"/>
      <c r="F1113" s="661"/>
      <c r="G1113" s="660"/>
      <c r="H1113" s="660"/>
      <c r="I1113" s="660"/>
      <c r="J1113" s="14"/>
      <c r="K1113" s="16"/>
      <c r="L1113" s="93"/>
      <c r="M1113" s="64"/>
      <c r="N1113" s="751"/>
    </row>
    <row r="1114" spans="2:14" ht="15" thickBot="1" x14ac:dyDescent="0.25">
      <c r="B1114" s="15"/>
      <c r="C1114" s="15" t="s">
        <v>13</v>
      </c>
      <c r="D1114" s="15" t="s">
        <v>14</v>
      </c>
      <c r="E1114" s="15" t="s">
        <v>15</v>
      </c>
      <c r="F1114" s="664" t="s">
        <v>16</v>
      </c>
      <c r="G1114" s="664" t="s">
        <v>17</v>
      </c>
      <c r="H1114" s="664" t="s">
        <v>18</v>
      </c>
      <c r="I1114" s="664" t="s">
        <v>21</v>
      </c>
      <c r="J1114" s="15" t="s">
        <v>22</v>
      </c>
      <c r="K1114" s="16"/>
      <c r="L1114" s="997" t="s">
        <v>397</v>
      </c>
      <c r="M1114" s="64"/>
      <c r="N1114" s="751"/>
    </row>
    <row r="1115" spans="2:14" x14ac:dyDescent="0.2">
      <c r="B1115" s="64"/>
      <c r="C1115" s="268"/>
      <c r="D1115" s="268"/>
      <c r="E1115" s="268"/>
      <c r="F1115" s="666"/>
      <c r="G1115" s="666"/>
      <c r="H1115" s="666"/>
      <c r="I1115" s="611"/>
      <c r="J1115" s="41"/>
      <c r="K1115" s="41"/>
      <c r="L1115" s="41"/>
      <c r="M1115" s="64"/>
      <c r="N1115" s="751">
        <f t="shared" si="148"/>
        <v>0</v>
      </c>
    </row>
    <row r="1116" spans="2:14" ht="15" x14ac:dyDescent="0.25">
      <c r="B1116" s="16">
        <f t="shared" ref="B1116:B1163" si="152">B1115+1</f>
        <v>1</v>
      </c>
      <c r="C1116" s="301" t="s">
        <v>298</v>
      </c>
      <c r="D1116" s="8"/>
      <c r="E1116" s="19"/>
      <c r="F1116" s="805"/>
      <c r="G1116" s="805"/>
      <c r="H1116" s="805"/>
      <c r="I1116" s="8"/>
      <c r="J1116" s="8"/>
      <c r="K1116" s="8"/>
      <c r="L1116" s="8"/>
      <c r="M1116" s="64"/>
      <c r="N1116" s="751">
        <f t="shared" si="148"/>
        <v>0</v>
      </c>
    </row>
    <row r="1117" spans="2:14" x14ac:dyDescent="0.2">
      <c r="B1117" s="16">
        <f t="shared" si="152"/>
        <v>2</v>
      </c>
      <c r="C1117" s="1"/>
      <c r="D1117" s="1"/>
      <c r="E1117" s="16"/>
      <c r="F1117" s="803"/>
      <c r="G1117" s="803"/>
      <c r="H1117" s="803"/>
      <c r="I1117" s="647"/>
      <c r="J1117" s="1"/>
      <c r="K1117" s="1"/>
      <c r="L1117" s="1"/>
      <c r="M1117" s="64"/>
      <c r="N1117" s="751">
        <f t="shared" si="148"/>
        <v>0</v>
      </c>
    </row>
    <row r="1118" spans="2:14" ht="15" x14ac:dyDescent="0.25">
      <c r="B1118" s="16">
        <f t="shared" si="152"/>
        <v>3</v>
      </c>
      <c r="C1118" s="8"/>
      <c r="D1118" s="32" t="s">
        <v>340</v>
      </c>
      <c r="E1118" s="19" t="s">
        <v>462</v>
      </c>
      <c r="F1118" s="805">
        <f>+F622</f>
        <v>910883577.74595141</v>
      </c>
      <c r="G1118" s="805">
        <f>+G622</f>
        <v>1009018361.9291829</v>
      </c>
      <c r="H1118" s="805">
        <f>+H622</f>
        <v>32952955.556200724</v>
      </c>
      <c r="I1118" s="805">
        <f>+I622</f>
        <v>17186005.438984014</v>
      </c>
      <c r="J1118" s="804">
        <f>SUM(F1118:I1118)</f>
        <v>1970040900.6703188</v>
      </c>
      <c r="K1118" s="20"/>
      <c r="L1118" s="21">
        <f t="shared" si="147"/>
        <v>1059157322.9243677</v>
      </c>
      <c r="M1118" s="45"/>
      <c r="N1118" s="751">
        <f t="shared" si="148"/>
        <v>0</v>
      </c>
    </row>
    <row r="1119" spans="2:14" x14ac:dyDescent="0.2">
      <c r="B1119" s="16">
        <f t="shared" si="152"/>
        <v>4</v>
      </c>
      <c r="C1119" s="1"/>
      <c r="D1119" s="1"/>
      <c r="E1119" s="16"/>
      <c r="F1119" s="803"/>
      <c r="G1119" s="803"/>
      <c r="H1119" s="803"/>
      <c r="I1119" s="647"/>
      <c r="J1119" s="17"/>
      <c r="K1119" s="17"/>
      <c r="L1119" s="1"/>
      <c r="M1119" s="64"/>
      <c r="N1119" s="751">
        <f t="shared" si="148"/>
        <v>0</v>
      </c>
    </row>
    <row r="1120" spans="2:14" ht="15" x14ac:dyDescent="0.25">
      <c r="B1120" s="16">
        <f t="shared" si="152"/>
        <v>5</v>
      </c>
      <c r="C1120" s="1"/>
      <c r="D1120" s="8" t="s">
        <v>300</v>
      </c>
      <c r="E1120" s="1005" t="s">
        <v>299</v>
      </c>
      <c r="F1120" s="803"/>
      <c r="G1120" s="803"/>
      <c r="H1120" s="803"/>
      <c r="I1120" s="647"/>
      <c r="J1120" s="17"/>
      <c r="K1120" s="17"/>
      <c r="L1120" s="1"/>
      <c r="M1120" s="64"/>
    </row>
    <row r="1121" spans="2:14" s="321" customFormat="1" x14ac:dyDescent="0.2">
      <c r="B1121" s="16">
        <f t="shared" si="152"/>
        <v>6</v>
      </c>
      <c r="C1121" s="1"/>
      <c r="D1121" s="18" t="s">
        <v>301</v>
      </c>
      <c r="E1121" s="16"/>
      <c r="F1121" s="985">
        <f>'WP II-I-1.1'!F433</f>
        <v>331673806.08999997</v>
      </c>
      <c r="G1121" s="986">
        <f>'WP II-I-1.1'!G433</f>
        <v>367406953.74000001</v>
      </c>
      <c r="H1121" s="986">
        <f>'WP II-I-1.1'!H433</f>
        <v>11998934.289999999</v>
      </c>
      <c r="I1121" s="987">
        <f>'WP II-I-1.1'!I433</f>
        <v>6257822.5999999996</v>
      </c>
      <c r="J1121" s="17">
        <f t="shared" ref="J1121:J1130" si="153">SUM(F1121:I1121)</f>
        <v>717337516.71999991</v>
      </c>
      <c r="K1121" s="17"/>
      <c r="L1121" s="17">
        <f t="shared" si="147"/>
        <v>385663710.63000005</v>
      </c>
      <c r="M1121" s="45"/>
      <c r="N1121" s="751">
        <f t="shared" si="148"/>
        <v>0</v>
      </c>
    </row>
    <row r="1122" spans="2:14" s="321" customFormat="1" x14ac:dyDescent="0.2">
      <c r="B1122" s="16">
        <f t="shared" si="152"/>
        <v>7</v>
      </c>
      <c r="C1122" s="1"/>
      <c r="D1122" s="18" t="s">
        <v>302</v>
      </c>
      <c r="E1122" s="16"/>
      <c r="F1122" s="980">
        <f>'WP II-I-1.1'!F434</f>
        <v>485229.49</v>
      </c>
      <c r="G1122" s="802">
        <f>'WP II-I-1.1'!G434</f>
        <v>0</v>
      </c>
      <c r="H1122" s="802">
        <f>'WP II-I-1.1'!H434</f>
        <v>0</v>
      </c>
      <c r="I1122" s="981">
        <f>'WP II-I-1.1'!I434</f>
        <v>0</v>
      </c>
      <c r="J1122" s="17">
        <f t="shared" si="153"/>
        <v>485229.49</v>
      </c>
      <c r="K1122" s="17"/>
      <c r="L1122" s="17">
        <f t="shared" si="147"/>
        <v>0</v>
      </c>
      <c r="M1122" s="45"/>
      <c r="N1122" s="751">
        <f t="shared" si="148"/>
        <v>0</v>
      </c>
    </row>
    <row r="1123" spans="2:14" s="321" customFormat="1" x14ac:dyDescent="0.2">
      <c r="B1123" s="16">
        <f t="shared" si="152"/>
        <v>8</v>
      </c>
      <c r="C1123" s="1"/>
      <c r="D1123" s="18" t="s">
        <v>1128</v>
      </c>
      <c r="E1123" s="16"/>
      <c r="F1123" s="980">
        <f>'WP II-I-1.1'!F435</f>
        <v>8793525.3100000005</v>
      </c>
      <c r="G1123" s="802">
        <f>'WP II-I-1.1'!G435</f>
        <v>7936236.2800000003</v>
      </c>
      <c r="H1123" s="802">
        <f>'WP II-I-1.1'!H435</f>
        <v>237864.14</v>
      </c>
      <c r="I1123" s="981">
        <f>'WP II-I-1.1'!I435</f>
        <v>157246.0099999985</v>
      </c>
      <c r="J1123" s="17">
        <f t="shared" si="153"/>
        <v>17124871.739999998</v>
      </c>
      <c r="K1123" s="17"/>
      <c r="L1123" s="17">
        <f t="shared" si="147"/>
        <v>8331346.4299999988</v>
      </c>
      <c r="M1123" s="45"/>
      <c r="N1123" s="751">
        <f t="shared" si="148"/>
        <v>0</v>
      </c>
    </row>
    <row r="1124" spans="2:14" s="321" customFormat="1" x14ac:dyDescent="0.2">
      <c r="B1124" s="16">
        <f t="shared" si="152"/>
        <v>9</v>
      </c>
      <c r="C1124" s="1"/>
      <c r="D1124" s="18" t="s">
        <v>1129</v>
      </c>
      <c r="E1124" s="16"/>
      <c r="F1124" s="980">
        <f>'WP II-I-1.1'!F436</f>
        <v>11501583.959999999</v>
      </c>
      <c r="G1124" s="802">
        <f>'WP II-I-1.1'!G436</f>
        <v>18862682.34</v>
      </c>
      <c r="H1124" s="802">
        <f>'WP II-I-1.1'!H436</f>
        <v>2497334.4699999997</v>
      </c>
      <c r="I1124" s="981">
        <f>'WP II-I-1.1'!I436</f>
        <v>-252101.1100000001</v>
      </c>
      <c r="J1124" s="17">
        <f t="shared" si="153"/>
        <v>32609499.659999996</v>
      </c>
      <c r="K1124" s="17"/>
      <c r="L1124" s="17">
        <f t="shared" si="147"/>
        <v>21107915.699999999</v>
      </c>
      <c r="M1124" s="45"/>
      <c r="N1124" s="751">
        <f t="shared" si="148"/>
        <v>0</v>
      </c>
    </row>
    <row r="1125" spans="2:14" s="321" customFormat="1" x14ac:dyDescent="0.2">
      <c r="B1125" s="16">
        <f>B1124+1</f>
        <v>10</v>
      </c>
      <c r="C1125" s="1"/>
      <c r="D1125" s="18" t="s">
        <v>1130</v>
      </c>
      <c r="E1125" s="16"/>
      <c r="F1125" s="980">
        <f>'WP II-I-1.1'!F437</f>
        <v>-782812.41000000027</v>
      </c>
      <c r="G1125" s="802">
        <f>'WP II-I-1.1'!G437</f>
        <v>-3166047.5599999996</v>
      </c>
      <c r="H1125" s="802">
        <f>'WP II-I-1.1'!H437</f>
        <v>-94892.49</v>
      </c>
      <c r="I1125" s="981">
        <f>'WP II-I-1.1'!I437</f>
        <v>-62731.040000000001</v>
      </c>
      <c r="J1125" s="17">
        <f t="shared" si="153"/>
        <v>-4106483.5</v>
      </c>
      <c r="K1125" s="17"/>
      <c r="L1125" s="17">
        <f t="shared" si="147"/>
        <v>-3323671.09</v>
      </c>
      <c r="M1125" s="45"/>
      <c r="N1125" s="751">
        <f t="shared" si="148"/>
        <v>0</v>
      </c>
    </row>
    <row r="1126" spans="2:14" s="321" customFormat="1" x14ac:dyDescent="0.2">
      <c r="B1126" s="16">
        <f t="shared" si="152"/>
        <v>11</v>
      </c>
      <c r="C1126" s="1"/>
      <c r="D1126" s="803" t="s">
        <v>1295</v>
      </c>
      <c r="E1126" s="16"/>
      <c r="F1126" s="980">
        <f>'WP II-I-1.1'!F438</f>
        <v>36110.080000000002</v>
      </c>
      <c r="G1126" s="802">
        <f>'WP II-I-1.1'!G438</f>
        <v>41205.93</v>
      </c>
      <c r="H1126" s="802">
        <f>'WP II-I-1.1'!H438</f>
        <v>1235.02</v>
      </c>
      <c r="I1126" s="981">
        <f>'WP II-I-1.1'!I438</f>
        <v>816.43000000000438</v>
      </c>
      <c r="J1126" s="17">
        <f t="shared" si="153"/>
        <v>79367.460000000021</v>
      </c>
      <c r="K1126" s="17"/>
      <c r="L1126" s="17">
        <f t="shared" si="147"/>
        <v>43257.380000000005</v>
      </c>
      <c r="M1126" s="45"/>
      <c r="N1126" s="751">
        <f t="shared" si="148"/>
        <v>0</v>
      </c>
    </row>
    <row r="1127" spans="2:14" x14ac:dyDescent="0.2">
      <c r="B1127" s="16">
        <f>B1126+1</f>
        <v>12</v>
      </c>
      <c r="C1127" s="1"/>
      <c r="D1127" s="18"/>
      <c r="E1127" s="16"/>
      <c r="F1127" s="980">
        <f>'WP II-I-1.1'!F439</f>
        <v>0</v>
      </c>
      <c r="G1127" s="802">
        <f>'WP II-I-1.1'!G439</f>
        <v>0</v>
      </c>
      <c r="H1127" s="802">
        <f>'WP II-I-1.1'!H439</f>
        <v>0</v>
      </c>
      <c r="I1127" s="981">
        <f>'WP II-I-1.1'!I439</f>
        <v>0</v>
      </c>
      <c r="J1127" s="17">
        <f t="shared" si="153"/>
        <v>0</v>
      </c>
      <c r="K1127" s="17"/>
      <c r="L1127" s="17">
        <f t="shared" si="147"/>
        <v>0</v>
      </c>
      <c r="M1127" s="97"/>
      <c r="N1127" s="751">
        <f t="shared" si="148"/>
        <v>0</v>
      </c>
    </row>
    <row r="1128" spans="2:14" x14ac:dyDescent="0.2">
      <c r="B1128" s="16">
        <f t="shared" si="152"/>
        <v>13</v>
      </c>
      <c r="C1128" s="1"/>
      <c r="D1128" s="1"/>
      <c r="E1128" s="16"/>
      <c r="F1128" s="980"/>
      <c r="G1128" s="802"/>
      <c r="H1128" s="802"/>
      <c r="I1128" s="981"/>
      <c r="J1128" s="17">
        <f t="shared" si="153"/>
        <v>0</v>
      </c>
      <c r="K1128" s="17"/>
      <c r="L1128" s="17">
        <f t="shared" si="147"/>
        <v>0</v>
      </c>
      <c r="M1128" s="64"/>
      <c r="N1128" s="751">
        <f t="shared" si="148"/>
        <v>0</v>
      </c>
    </row>
    <row r="1129" spans="2:14" ht="16.5" x14ac:dyDescent="0.35">
      <c r="B1129" s="16">
        <f t="shared" si="152"/>
        <v>14</v>
      </c>
      <c r="C1129" s="1"/>
      <c r="D1129" s="1"/>
      <c r="E1129" s="16"/>
      <c r="F1129" s="980"/>
      <c r="G1129" s="802"/>
      <c r="H1129" s="802"/>
      <c r="I1129" s="981"/>
      <c r="J1129" s="232">
        <f t="shared" si="153"/>
        <v>0</v>
      </c>
      <c r="K1129" s="232"/>
      <c r="L1129" s="232">
        <f t="shared" ref="L1129:L1189" si="154">SUM(G1129:I1129)</f>
        <v>0</v>
      </c>
      <c r="M1129" s="97"/>
      <c r="N1129" s="751">
        <f t="shared" si="148"/>
        <v>0</v>
      </c>
    </row>
    <row r="1130" spans="2:14" ht="15" x14ac:dyDescent="0.25">
      <c r="B1130" s="16">
        <f>B1129+1</f>
        <v>15</v>
      </c>
      <c r="C1130" s="8"/>
      <c r="D1130" s="233" t="s">
        <v>444</v>
      </c>
      <c r="E1130" s="1315"/>
      <c r="F1130" s="1017">
        <f>SUM(F1121:F1129)</f>
        <v>351707442.51999992</v>
      </c>
      <c r="G1130" s="431">
        <f>SUM(G1121:G1129)</f>
        <v>391081030.72999996</v>
      </c>
      <c r="H1130" s="431">
        <f>SUM(H1121:H1129)</f>
        <v>14640475.429999998</v>
      </c>
      <c r="I1130" s="432">
        <f>SUM(I1121:I1129)</f>
        <v>6101052.8899999978</v>
      </c>
      <c r="J1130" s="236">
        <f t="shared" si="153"/>
        <v>763530001.56999981</v>
      </c>
      <c r="K1130" s="236"/>
      <c r="L1130" s="21">
        <f t="shared" si="154"/>
        <v>411822559.04999995</v>
      </c>
      <c r="M1130" s="64"/>
      <c r="N1130" s="751">
        <f t="shared" si="148"/>
        <v>0</v>
      </c>
    </row>
    <row r="1131" spans="2:14" x14ac:dyDescent="0.2">
      <c r="B1131" s="16">
        <f t="shared" si="152"/>
        <v>16</v>
      </c>
      <c r="C1131" s="1"/>
      <c r="D1131" s="1"/>
      <c r="E1131" s="16"/>
      <c r="F1131" s="670"/>
      <c r="G1131" s="670"/>
      <c r="H1131" s="670"/>
      <c r="I1131" s="670"/>
      <c r="J1131" s="100"/>
      <c r="K1131" s="100"/>
      <c r="L1131" s="100"/>
      <c r="M1131" s="64"/>
      <c r="N1131" s="751">
        <f t="shared" ref="N1131:N1196" si="155">J1131-L1131-F1131</f>
        <v>0</v>
      </c>
    </row>
    <row r="1132" spans="2:14" ht="15" x14ac:dyDescent="0.25">
      <c r="B1132" s="16">
        <f t="shared" si="152"/>
        <v>17</v>
      </c>
      <c r="C1132" s="8"/>
      <c r="D1132" s="8" t="s">
        <v>304</v>
      </c>
      <c r="E1132" s="1315" t="s">
        <v>299</v>
      </c>
      <c r="F1132" s="805"/>
      <c r="G1132" s="805"/>
      <c r="H1132" s="805"/>
      <c r="I1132" s="8"/>
      <c r="J1132" s="8"/>
      <c r="K1132" s="8"/>
      <c r="L1132" s="8"/>
      <c r="M1132" s="64"/>
      <c r="N1132" s="751">
        <f t="shared" si="155"/>
        <v>0</v>
      </c>
    </row>
    <row r="1133" spans="2:14" s="321" customFormat="1" x14ac:dyDescent="0.2">
      <c r="B1133" s="16">
        <f t="shared" si="152"/>
        <v>18</v>
      </c>
      <c r="C1133" s="1"/>
      <c r="D1133" s="1" t="s">
        <v>306</v>
      </c>
      <c r="E1133" s="16"/>
      <c r="F1133" s="985">
        <f>'WP II-I-1.1'!F444</f>
        <v>402497.99</v>
      </c>
      <c r="G1133" s="986">
        <f>'WP II-I-1.1'!G444</f>
        <v>459298.48</v>
      </c>
      <c r="H1133" s="986">
        <f>'WP II-I-1.1'!H444</f>
        <v>13766.05</v>
      </c>
      <c r="I1133" s="986">
        <f>'WP II-I-1.1'!I444</f>
        <v>9100.39</v>
      </c>
      <c r="J1133" s="17">
        <f t="shared" ref="J1133:J1140" si="156">SUM(F1133:I1133)</f>
        <v>884662.91</v>
      </c>
      <c r="K1133" s="17"/>
      <c r="L1133" s="17">
        <f t="shared" si="154"/>
        <v>482164.92</v>
      </c>
      <c r="M1133" s="45"/>
      <c r="N1133" s="751">
        <f t="shared" si="155"/>
        <v>0</v>
      </c>
    </row>
    <row r="1134" spans="2:14" s="321" customFormat="1" x14ac:dyDescent="0.2">
      <c r="B1134" s="16">
        <f t="shared" si="152"/>
        <v>19</v>
      </c>
      <c r="C1134" s="1"/>
      <c r="D1134" s="1" t="s">
        <v>1131</v>
      </c>
      <c r="E1134" s="16"/>
      <c r="F1134" s="980">
        <f>'WP II-I-1.1'!F445</f>
        <v>969088.11</v>
      </c>
      <c r="G1134" s="802">
        <f>'WP II-I-1.1'!G445</f>
        <v>2588073.41</v>
      </c>
      <c r="H1134" s="802">
        <f>'WP II-I-1.1'!H445</f>
        <v>723694.89</v>
      </c>
      <c r="I1134" s="981">
        <f>'WP II-I-1.1'!I445</f>
        <v>29664.399999999558</v>
      </c>
      <c r="J1134" s="17">
        <f t="shared" si="156"/>
        <v>4310520.8099999996</v>
      </c>
      <c r="K1134" s="17"/>
      <c r="L1134" s="17">
        <f t="shared" si="154"/>
        <v>3341432.6999999997</v>
      </c>
      <c r="M1134" s="45"/>
      <c r="N1134" s="751">
        <f t="shared" si="155"/>
        <v>0</v>
      </c>
    </row>
    <row r="1135" spans="2:14" s="321" customFormat="1" x14ac:dyDescent="0.2">
      <c r="B1135" s="16">
        <f t="shared" si="152"/>
        <v>20</v>
      </c>
      <c r="C1135" s="1"/>
      <c r="D1135" s="1" t="s">
        <v>1132</v>
      </c>
      <c r="E1135" s="16"/>
      <c r="F1135" s="980">
        <f>'WP II-I-1.1'!F446</f>
        <v>0</v>
      </c>
      <c r="G1135" s="802">
        <f>'WP II-I-1.1'!G446</f>
        <v>0</v>
      </c>
      <c r="H1135" s="802">
        <f>'WP II-I-1.1'!H446</f>
        <v>0</v>
      </c>
      <c r="I1135" s="981">
        <f>'WP II-I-1.1'!I446</f>
        <v>0</v>
      </c>
      <c r="J1135" s="17">
        <f t="shared" si="156"/>
        <v>0</v>
      </c>
      <c r="K1135" s="17"/>
      <c r="L1135" s="17">
        <f t="shared" si="154"/>
        <v>0</v>
      </c>
      <c r="M1135" s="45"/>
      <c r="N1135" s="751">
        <f t="shared" si="155"/>
        <v>0</v>
      </c>
    </row>
    <row r="1136" spans="2:14" s="321" customFormat="1" x14ac:dyDescent="0.2">
      <c r="B1136" s="16">
        <f t="shared" si="152"/>
        <v>21</v>
      </c>
      <c r="C1136" s="1"/>
      <c r="D1136" s="1" t="s">
        <v>1133</v>
      </c>
      <c r="E1136" s="16"/>
      <c r="F1136" s="980">
        <f>'WP II-I-1.1'!F447</f>
        <v>342827.24</v>
      </c>
      <c r="G1136" s="802">
        <f>'WP II-I-1.1'!G447</f>
        <v>915563.86</v>
      </c>
      <c r="H1136" s="802">
        <f>'WP II-I-1.1'!H447</f>
        <v>256016.27</v>
      </c>
      <c r="I1136" s="981">
        <f>'WP II-I-1.1'!I447</f>
        <v>10494.150000000052</v>
      </c>
      <c r="J1136" s="17">
        <f t="shared" si="156"/>
        <v>1524901.5200000003</v>
      </c>
      <c r="K1136" s="17"/>
      <c r="L1136" s="17">
        <f t="shared" si="154"/>
        <v>1182074.28</v>
      </c>
      <c r="M1136" s="45"/>
      <c r="N1136" s="751">
        <f t="shared" si="155"/>
        <v>0</v>
      </c>
    </row>
    <row r="1137" spans="2:14" s="321" customFormat="1" x14ac:dyDescent="0.2">
      <c r="B1137" s="16">
        <f t="shared" si="152"/>
        <v>22</v>
      </c>
      <c r="C1137" s="1"/>
      <c r="D1137" s="26" t="s">
        <v>1134</v>
      </c>
      <c r="E1137" s="16"/>
      <c r="F1137" s="980">
        <f>'WP II-I-1.1'!F448</f>
        <v>-2968971.78</v>
      </c>
      <c r="G1137" s="802">
        <f>'WP II-I-1.1'!G448</f>
        <v>-7595322.4699999997</v>
      </c>
      <c r="H1137" s="802">
        <f>'WP II-I-1.1'!H448</f>
        <v>-2721141.47</v>
      </c>
      <c r="I1137" s="981">
        <f>'WP II-I-1.1'!I448</f>
        <v>-936334.28000000259</v>
      </c>
      <c r="J1137" s="17">
        <f t="shared" si="156"/>
        <v>-14221770.000000004</v>
      </c>
      <c r="K1137" s="17"/>
      <c r="L1137" s="17">
        <f t="shared" si="154"/>
        <v>-11252798.220000003</v>
      </c>
      <c r="M1137" s="45"/>
      <c r="N1137" s="751">
        <f t="shared" si="155"/>
        <v>0</v>
      </c>
    </row>
    <row r="1138" spans="2:14" s="321" customFormat="1" x14ac:dyDescent="0.2">
      <c r="B1138" s="16">
        <f t="shared" si="152"/>
        <v>23</v>
      </c>
      <c r="C1138" s="1"/>
      <c r="D1138" s="1109" t="s">
        <v>1296</v>
      </c>
      <c r="E1138" s="16"/>
      <c r="F1138" s="980">
        <f>'WP II-I-1.1'!F449</f>
        <v>0</v>
      </c>
      <c r="G1138" s="802">
        <f>'WP II-I-1.1'!G449</f>
        <v>0</v>
      </c>
      <c r="H1138" s="802">
        <f>'WP II-I-1.1'!H449</f>
        <v>0</v>
      </c>
      <c r="I1138" s="981">
        <f>'WP II-I-1.1'!I449</f>
        <v>0</v>
      </c>
      <c r="J1138" s="17">
        <f t="shared" ref="J1138" si="157">SUM(F1138:I1138)</f>
        <v>0</v>
      </c>
      <c r="K1138" s="17"/>
      <c r="L1138" s="17"/>
      <c r="M1138" s="45"/>
      <c r="N1138" s="751"/>
    </row>
    <row r="1139" spans="2:14" s="321" customFormat="1" ht="16.5" x14ac:dyDescent="0.35">
      <c r="B1139" s="16">
        <f t="shared" si="152"/>
        <v>24</v>
      </c>
      <c r="C1139" s="1"/>
      <c r="D1139" s="26" t="s">
        <v>305</v>
      </c>
      <c r="F1139" s="1363">
        <f>'WP II-I-1.1'!F450</f>
        <v>0</v>
      </c>
      <c r="G1139" s="956">
        <f>'WP II-I-1.1'!G450</f>
        <v>0</v>
      </c>
      <c r="H1139" s="956">
        <f>'WP II-I-1.1'!H450</f>
        <v>0</v>
      </c>
      <c r="I1139" s="984">
        <f>'WP II-I-1.1'!I450</f>
        <v>0</v>
      </c>
      <c r="J1139" s="232">
        <f t="shared" si="156"/>
        <v>0</v>
      </c>
      <c r="K1139" s="232"/>
      <c r="L1139" s="232">
        <f t="shared" si="154"/>
        <v>0</v>
      </c>
      <c r="M1139" s="45"/>
      <c r="N1139" s="751">
        <f t="shared" si="155"/>
        <v>0</v>
      </c>
    </row>
    <row r="1140" spans="2:14" s="321" customFormat="1" ht="15" x14ac:dyDescent="0.25">
      <c r="B1140" s="16">
        <f t="shared" si="152"/>
        <v>25</v>
      </c>
      <c r="C1140" s="1"/>
      <c r="D1140" s="233" t="s">
        <v>444</v>
      </c>
      <c r="E1140" s="16"/>
      <c r="F1140" s="805">
        <f>SUM(F1133:F1139)</f>
        <v>-1254558.4399999997</v>
      </c>
      <c r="G1140" s="805">
        <f>SUM(G1133:G1139)</f>
        <v>-3632386.7199999997</v>
      </c>
      <c r="H1140" s="805">
        <f>SUM(H1133:H1139)</f>
        <v>-1727664.2600000002</v>
      </c>
      <c r="I1140" s="805">
        <f>SUM(I1133:I1139)</f>
        <v>-887075.34000000299</v>
      </c>
      <c r="J1140" s="805">
        <f t="shared" si="156"/>
        <v>-7501684.7600000026</v>
      </c>
      <c r="K1140" s="805"/>
      <c r="L1140" s="805">
        <f t="shared" si="154"/>
        <v>-6247126.3200000031</v>
      </c>
      <c r="M1140" s="45"/>
      <c r="N1140" s="751">
        <f t="shared" si="155"/>
        <v>0</v>
      </c>
    </row>
    <row r="1141" spans="2:14" s="321" customFormat="1" x14ac:dyDescent="0.2">
      <c r="B1141" s="16">
        <f t="shared" si="152"/>
        <v>26</v>
      </c>
      <c r="C1141" s="1"/>
      <c r="D1141" s="26"/>
      <c r="E1141" s="16"/>
      <c r="F1141" s="803"/>
      <c r="G1141" s="803"/>
      <c r="H1141" s="803"/>
      <c r="I1141" s="647"/>
      <c r="J1141" s="17"/>
      <c r="K1141" s="17"/>
      <c r="L1141" s="1"/>
      <c r="M1141" s="45"/>
      <c r="N1141" s="751">
        <f t="shared" si="155"/>
        <v>0</v>
      </c>
    </row>
    <row r="1142" spans="2:14" s="321" customFormat="1" ht="15" x14ac:dyDescent="0.25">
      <c r="B1142" s="16">
        <f t="shared" si="152"/>
        <v>27</v>
      </c>
      <c r="C1142" s="8"/>
      <c r="D1142" s="8" t="s">
        <v>402</v>
      </c>
      <c r="E1142" s="1315"/>
      <c r="F1142" s="805">
        <f>+F1118-F1130+F1140</f>
        <v>557921576.78595138</v>
      </c>
      <c r="G1142" s="805">
        <f>+G1118-G1130+G1140</f>
        <v>614304944.47918296</v>
      </c>
      <c r="H1142" s="805">
        <f>+H1118-H1130+H1140</f>
        <v>16584815.866200728</v>
      </c>
      <c r="I1142" s="805">
        <f>+I1118-I1130+I1140</f>
        <v>10197877.208984014</v>
      </c>
      <c r="J1142" s="236">
        <f>SUM(F1142:I1142)</f>
        <v>1199009214.3403189</v>
      </c>
      <c r="K1142" s="236"/>
      <c r="L1142" s="805">
        <f t="shared" si="154"/>
        <v>641087637.55436766</v>
      </c>
      <c r="M1142" s="45"/>
      <c r="N1142" s="751">
        <f t="shared" si="155"/>
        <v>0</v>
      </c>
    </row>
    <row r="1143" spans="2:14" s="321" customFormat="1" ht="15" x14ac:dyDescent="0.25">
      <c r="B1143" s="16">
        <f t="shared" si="152"/>
        <v>28</v>
      </c>
      <c r="C1143" s="8"/>
      <c r="D1143" s="8" t="s">
        <v>403</v>
      </c>
      <c r="E1143" s="1315" t="s">
        <v>299</v>
      </c>
      <c r="F1143" s="811">
        <f>0.21/(1-0.21)</f>
        <v>0.26582278481012656</v>
      </c>
      <c r="G1143" s="811">
        <f t="shared" ref="G1143:I1143" si="158">0.21/(1-0.21)</f>
        <v>0.26582278481012656</v>
      </c>
      <c r="H1143" s="811">
        <f t="shared" si="158"/>
        <v>0.26582278481012656</v>
      </c>
      <c r="I1143" s="811">
        <f t="shared" si="158"/>
        <v>0.26582278481012656</v>
      </c>
      <c r="J1143" s="99">
        <f>J1145/J1142</f>
        <v>0.26582278481012661</v>
      </c>
      <c r="K1143" s="99"/>
      <c r="L1143" s="99">
        <f t="shared" si="154"/>
        <v>0.79746835443037967</v>
      </c>
      <c r="M1143" s="45"/>
      <c r="N1143" s="751">
        <f t="shared" si="155"/>
        <v>-0.79746835443037967</v>
      </c>
    </row>
    <row r="1144" spans="2:14" s="321" customFormat="1" ht="15" x14ac:dyDescent="0.25">
      <c r="B1144" s="16">
        <f t="shared" si="152"/>
        <v>29</v>
      </c>
      <c r="C1144" s="1"/>
      <c r="D1144" s="1"/>
      <c r="E1144" s="16"/>
      <c r="F1144" s="803"/>
      <c r="G1144" s="803"/>
      <c r="H1144" s="803"/>
      <c r="I1144" s="647"/>
      <c r="J1144" s="8"/>
      <c r="K1144" s="8"/>
      <c r="L1144" s="1"/>
      <c r="M1144" s="45"/>
      <c r="N1144" s="751">
        <f t="shared" si="155"/>
        <v>0</v>
      </c>
    </row>
    <row r="1145" spans="2:14" s="321" customFormat="1" ht="15" x14ac:dyDescent="0.25">
      <c r="B1145" s="16">
        <f t="shared" si="152"/>
        <v>30</v>
      </c>
      <c r="C1145" s="8"/>
      <c r="D1145" s="8" t="s">
        <v>666</v>
      </c>
      <c r="E1145" s="1315"/>
      <c r="F1145" s="805">
        <f>+F1142*F1143</f>
        <v>148308267.24689844</v>
      </c>
      <c r="G1145" s="805">
        <f>+G1142*G1143</f>
        <v>163296251.06408659</v>
      </c>
      <c r="H1145" s="805">
        <f>+H1142*H1143</f>
        <v>4408621.9391166484</v>
      </c>
      <c r="I1145" s="805">
        <f>+I1142*I1143</f>
        <v>2710828.1188438516</v>
      </c>
      <c r="J1145" s="236">
        <f>SUM(F1145:I1145)</f>
        <v>318723968.36894554</v>
      </c>
      <c r="K1145" s="236"/>
      <c r="L1145" s="805">
        <f t="shared" si="154"/>
        <v>170415701.1220471</v>
      </c>
      <c r="M1145" s="45"/>
      <c r="N1145" s="751">
        <f t="shared" si="155"/>
        <v>0</v>
      </c>
    </row>
    <row r="1146" spans="2:14" s="321" customFormat="1" x14ac:dyDescent="0.2">
      <c r="B1146" s="16">
        <f t="shared" si="152"/>
        <v>31</v>
      </c>
      <c r="C1146" s="1"/>
      <c r="D1146" s="1"/>
      <c r="E1146" s="16"/>
      <c r="F1146" s="803"/>
      <c r="G1146" s="803"/>
      <c r="H1146" s="803"/>
      <c r="I1146" s="647"/>
      <c r="J1146" s="1"/>
      <c r="K1146" s="1"/>
      <c r="L1146" s="1"/>
      <c r="M1146" s="45"/>
      <c r="N1146" s="751">
        <f t="shared" si="155"/>
        <v>0</v>
      </c>
    </row>
    <row r="1147" spans="2:14" s="321" customFormat="1" ht="15" x14ac:dyDescent="0.25">
      <c r="B1147" s="16">
        <f t="shared" si="152"/>
        <v>32</v>
      </c>
      <c r="C1147" s="8"/>
      <c r="D1147" s="8" t="s">
        <v>307</v>
      </c>
      <c r="E1147" s="1315" t="s">
        <v>299</v>
      </c>
      <c r="F1147" s="805"/>
      <c r="G1147" s="805"/>
      <c r="H1147" s="805"/>
      <c r="I1147" s="8"/>
      <c r="J1147" s="8"/>
      <c r="K1147" s="8"/>
      <c r="L1147" s="8"/>
      <c r="M1147" s="45"/>
      <c r="N1147" s="751">
        <f t="shared" si="155"/>
        <v>0</v>
      </c>
    </row>
    <row r="1148" spans="2:14" s="321" customFormat="1" x14ac:dyDescent="0.2">
      <c r="B1148" s="16">
        <f t="shared" si="152"/>
        <v>33</v>
      </c>
      <c r="C1148" s="1"/>
      <c r="D1148" s="695" t="s">
        <v>302</v>
      </c>
      <c r="E1148" s="16"/>
      <c r="F1148" s="985">
        <f>'WP II-I-1.1'!F452</f>
        <v>485229.49</v>
      </c>
      <c r="G1148" s="986">
        <f>'WP II-I-1.1'!G452</f>
        <v>0</v>
      </c>
      <c r="H1148" s="986">
        <f>'WP II-I-1.1'!H452</f>
        <v>0</v>
      </c>
      <c r="I1148" s="987">
        <f>'WP II-I-1.1'!I452</f>
        <v>0</v>
      </c>
      <c r="J1148" s="17">
        <f>SUM(F1148:I1148)</f>
        <v>485229.49</v>
      </c>
      <c r="K1148" s="17"/>
      <c r="L1148" s="17">
        <f t="shared" si="154"/>
        <v>0</v>
      </c>
      <c r="M1148" s="45"/>
      <c r="N1148" s="751">
        <f t="shared" si="155"/>
        <v>0</v>
      </c>
    </row>
    <row r="1149" spans="2:14" s="321" customFormat="1" x14ac:dyDescent="0.2">
      <c r="B1149" s="16">
        <f t="shared" si="152"/>
        <v>34</v>
      </c>
      <c r="C1149" s="1"/>
      <c r="D1149" s="695" t="s">
        <v>1128</v>
      </c>
      <c r="E1149" s="16"/>
      <c r="F1149" s="980">
        <f>'WP II-I-1.1'!F453</f>
        <v>8793525.3100000005</v>
      </c>
      <c r="G1149" s="802">
        <f>'WP II-I-1.1'!G453</f>
        <v>7936236.2800000003</v>
      </c>
      <c r="H1149" s="802">
        <f>'WP II-I-1.1'!H453</f>
        <v>237864.14</v>
      </c>
      <c r="I1149" s="981">
        <f>'WP II-I-1.1'!I453</f>
        <v>157246.0099999985</v>
      </c>
      <c r="J1149" s="17">
        <f>SUM(F1149:I1149)</f>
        <v>17124871.739999998</v>
      </c>
      <c r="K1149" s="17"/>
      <c r="L1149" s="17">
        <f t="shared" si="154"/>
        <v>8331346.4299999988</v>
      </c>
      <c r="M1149" s="45"/>
      <c r="N1149" s="751">
        <f t="shared" si="155"/>
        <v>0</v>
      </c>
    </row>
    <row r="1150" spans="2:14" s="321" customFormat="1" x14ac:dyDescent="0.2">
      <c r="B1150" s="16">
        <f t="shared" si="152"/>
        <v>35</v>
      </c>
      <c r="C1150" s="1"/>
      <c r="D1150" s="695" t="s">
        <v>1129</v>
      </c>
      <c r="E1150" s="16"/>
      <c r="F1150" s="980">
        <f>'WP II-I-1.1'!F454</f>
        <v>11501583.959999999</v>
      </c>
      <c r="G1150" s="802">
        <f>'WP II-I-1.1'!G454</f>
        <v>18862682.34</v>
      </c>
      <c r="H1150" s="802">
        <f>'WP II-I-1.1'!H454</f>
        <v>2497334.4699999997</v>
      </c>
      <c r="I1150" s="981">
        <f>'WP II-I-1.1'!I454</f>
        <v>-252101.1100000001</v>
      </c>
      <c r="J1150" s="17">
        <f>SUM(F1150:I1150)</f>
        <v>32609499.659999996</v>
      </c>
      <c r="K1150" s="17"/>
      <c r="L1150" s="17">
        <f t="shared" si="154"/>
        <v>21107915.699999999</v>
      </c>
      <c r="M1150" s="45"/>
      <c r="N1150" s="751">
        <f t="shared" si="155"/>
        <v>0</v>
      </c>
    </row>
    <row r="1151" spans="2:14" s="321" customFormat="1" x14ac:dyDescent="0.2">
      <c r="B1151" s="16">
        <f t="shared" si="152"/>
        <v>36</v>
      </c>
      <c r="C1151" s="1"/>
      <c r="D1151" s="695" t="s">
        <v>1130</v>
      </c>
      <c r="E1151" s="16"/>
      <c r="F1151" s="980">
        <f>'WP II-I-1.1'!F455</f>
        <v>-782812.41000000027</v>
      </c>
      <c r="G1151" s="802">
        <f>'WP II-I-1.1'!G455</f>
        <v>-3166047.5599999996</v>
      </c>
      <c r="H1151" s="802">
        <f>'WP II-I-1.1'!H455</f>
        <v>-94892.49</v>
      </c>
      <c r="I1151" s="981">
        <f>'WP II-I-1.1'!I455</f>
        <v>-62731.040000000001</v>
      </c>
      <c r="J1151" s="17">
        <f t="shared" ref="J1151:J1152" si="159">SUM(F1151:I1151)</f>
        <v>-4106483.5</v>
      </c>
      <c r="K1151" s="17"/>
      <c r="L1151" s="17">
        <f t="shared" si="154"/>
        <v>-3323671.09</v>
      </c>
      <c r="M1151" s="45"/>
      <c r="N1151" s="751">
        <f t="shared" si="155"/>
        <v>0</v>
      </c>
    </row>
    <row r="1152" spans="2:14" s="321" customFormat="1" x14ac:dyDescent="0.2">
      <c r="B1152" s="16">
        <f t="shared" si="152"/>
        <v>37</v>
      </c>
      <c r="C1152" s="1"/>
      <c r="D1152" s="695" t="s">
        <v>1295</v>
      </c>
      <c r="E1152" s="16"/>
      <c r="F1152" s="982">
        <f>'WP II-I-1.1'!F456</f>
        <v>36110.080000000002</v>
      </c>
      <c r="G1152" s="983">
        <f>'WP II-I-1.1'!G456</f>
        <v>41205.93</v>
      </c>
      <c r="H1152" s="983">
        <f>'WP II-I-1.1'!H456</f>
        <v>1235.02</v>
      </c>
      <c r="I1152" s="984">
        <f>'WP II-I-1.1'!I456</f>
        <v>816.43</v>
      </c>
      <c r="J1152" s="17">
        <f t="shared" si="159"/>
        <v>79367.460000000006</v>
      </c>
      <c r="K1152" s="17"/>
      <c r="L1152" s="17">
        <f t="shared" si="154"/>
        <v>43257.38</v>
      </c>
      <c r="M1152" s="45"/>
      <c r="N1152" s="751">
        <f t="shared" si="155"/>
        <v>0</v>
      </c>
    </row>
    <row r="1153" spans="2:16" s="321" customFormat="1" ht="15" x14ac:dyDescent="0.25">
      <c r="B1153" s="16">
        <f t="shared" si="152"/>
        <v>38</v>
      </c>
      <c r="C1153" s="1"/>
      <c r="D1153" s="233" t="s">
        <v>444</v>
      </c>
      <c r="E1153" s="16"/>
      <c r="F1153" s="805">
        <f>SUM(F1148:F1152)</f>
        <v>20033636.429999996</v>
      </c>
      <c r="G1153" s="805">
        <f t="shared" ref="G1153:I1153" si="160">SUM(G1148:G1152)</f>
        <v>23674076.990000002</v>
      </c>
      <c r="H1153" s="805">
        <f t="shared" si="160"/>
        <v>2641541.1399999997</v>
      </c>
      <c r="I1153" s="805">
        <f t="shared" si="160"/>
        <v>-156769.71000000162</v>
      </c>
      <c r="J1153" s="805">
        <f>SUM(F1153:I1153)</f>
        <v>46192484.850000001</v>
      </c>
      <c r="K1153" s="805"/>
      <c r="L1153" s="805">
        <f t="shared" si="154"/>
        <v>26158848.420000002</v>
      </c>
      <c r="M1153" s="45"/>
      <c r="N1153" s="751">
        <f t="shared" si="155"/>
        <v>0</v>
      </c>
    </row>
    <row r="1154" spans="2:16" s="321" customFormat="1" x14ac:dyDescent="0.2">
      <c r="B1154" s="16">
        <f t="shared" si="152"/>
        <v>39</v>
      </c>
      <c r="C1154" s="1"/>
      <c r="D1154" s="1"/>
      <c r="E1154" s="16"/>
      <c r="F1154" s="802"/>
      <c r="G1154" s="802"/>
      <c r="H1154" s="802"/>
      <c r="I1154" s="802"/>
      <c r="J1154" s="17"/>
      <c r="K1154" s="17"/>
      <c r="L1154" s="17"/>
      <c r="M1154" s="45"/>
      <c r="N1154" s="751">
        <f t="shared" si="155"/>
        <v>0</v>
      </c>
    </row>
    <row r="1155" spans="2:16" s="321" customFormat="1" ht="15" x14ac:dyDescent="0.25">
      <c r="B1155" s="16">
        <f t="shared" si="152"/>
        <v>40</v>
      </c>
      <c r="C1155" s="8"/>
      <c r="D1155" s="8" t="s">
        <v>308</v>
      </c>
      <c r="E1155" s="1116" t="s">
        <v>299</v>
      </c>
      <c r="F1155" s="805"/>
      <c r="G1155" s="805"/>
      <c r="H1155" s="805"/>
      <c r="I1155" s="8"/>
      <c r="J1155" s="17"/>
      <c r="K1155" s="17"/>
      <c r="L1155" s="8"/>
      <c r="M1155" s="45"/>
      <c r="N1155" s="751">
        <f t="shared" si="155"/>
        <v>0</v>
      </c>
    </row>
    <row r="1156" spans="2:16" s="321" customFormat="1" x14ac:dyDescent="0.2">
      <c r="B1156" s="16">
        <f t="shared" si="152"/>
        <v>41</v>
      </c>
      <c r="C1156" s="1"/>
      <c r="D1156" s="695" t="s">
        <v>306</v>
      </c>
      <c r="E1156" s="16"/>
      <c r="F1156" s="985">
        <f>'WP II-I-1.1'!F458</f>
        <v>402497.99</v>
      </c>
      <c r="G1156" s="986">
        <f>'WP II-I-1.1'!G458</f>
        <v>459298.48</v>
      </c>
      <c r="H1156" s="986">
        <f>'WP II-I-1.1'!H458</f>
        <v>13766.05</v>
      </c>
      <c r="I1156" s="987">
        <f>'WP II-I-1.1'!I458</f>
        <v>9100.39</v>
      </c>
      <c r="J1156" s="17">
        <f t="shared" ref="J1156:J1161" si="161">SUM(F1156:I1156)</f>
        <v>884662.91</v>
      </c>
      <c r="K1156" s="17"/>
      <c r="L1156" s="17">
        <f t="shared" si="154"/>
        <v>482164.92</v>
      </c>
      <c r="M1156" s="45"/>
      <c r="N1156" s="751">
        <f t="shared" si="155"/>
        <v>0</v>
      </c>
    </row>
    <row r="1157" spans="2:16" s="321" customFormat="1" x14ac:dyDescent="0.2">
      <c r="B1157" s="16">
        <f t="shared" si="152"/>
        <v>42</v>
      </c>
      <c r="C1157" s="1"/>
      <c r="D1157" s="1109" t="s">
        <v>1181</v>
      </c>
      <c r="E1157" s="16"/>
      <c r="F1157" s="980">
        <f>'WP II-I-1.1'!F459</f>
        <v>0</v>
      </c>
      <c r="G1157" s="802">
        <f>'WP II-I-1.1'!G459</f>
        <v>0</v>
      </c>
      <c r="H1157" s="802">
        <f>'WP II-I-1.1'!H459</f>
        <v>0</v>
      </c>
      <c r="I1157" s="981">
        <f>'WP II-I-1.1'!I459</f>
        <v>0</v>
      </c>
      <c r="J1157" s="17">
        <f t="shared" si="161"/>
        <v>0</v>
      </c>
      <c r="K1157" s="17"/>
      <c r="L1157" s="17"/>
      <c r="M1157" s="45"/>
      <c r="N1157" s="751"/>
    </row>
    <row r="1158" spans="2:16" s="321" customFormat="1" x14ac:dyDescent="0.2">
      <c r="B1158" s="16">
        <f t="shared" si="152"/>
        <v>43</v>
      </c>
      <c r="C1158" s="1"/>
      <c r="D1158" s="695" t="s">
        <v>309</v>
      </c>
      <c r="F1158" s="980">
        <f>'WP II-I-1.1'!F460</f>
        <v>0</v>
      </c>
      <c r="G1158" s="802">
        <f>'WP II-I-1.1'!G460</f>
        <v>0</v>
      </c>
      <c r="H1158" s="802">
        <f>'WP II-I-1.1'!H460</f>
        <v>0</v>
      </c>
      <c r="I1158" s="981">
        <f>'WP II-I-1.1'!I460</f>
        <v>0</v>
      </c>
      <c r="J1158" s="17">
        <f t="shared" si="161"/>
        <v>0</v>
      </c>
      <c r="K1158" s="17"/>
      <c r="L1158" s="17">
        <f t="shared" si="154"/>
        <v>0</v>
      </c>
      <c r="M1158" s="45"/>
      <c r="N1158" s="751">
        <f t="shared" si="155"/>
        <v>0</v>
      </c>
    </row>
    <row r="1159" spans="2:16" s="321" customFormat="1" x14ac:dyDescent="0.2">
      <c r="B1159" s="16">
        <f t="shared" si="152"/>
        <v>44</v>
      </c>
      <c r="C1159" s="1"/>
      <c r="D1159" s="803"/>
      <c r="E1159" s="16"/>
      <c r="F1159" s="980"/>
      <c r="G1159" s="802"/>
      <c r="H1159" s="802"/>
      <c r="I1159" s="981"/>
      <c r="J1159" s="17">
        <f t="shared" si="161"/>
        <v>0</v>
      </c>
      <c r="K1159" s="17"/>
      <c r="L1159" s="17">
        <f t="shared" si="154"/>
        <v>0</v>
      </c>
      <c r="M1159" s="45"/>
      <c r="N1159" s="751">
        <f t="shared" si="155"/>
        <v>0</v>
      </c>
    </row>
    <row r="1160" spans="2:16" x14ac:dyDescent="0.2">
      <c r="B1160" s="16">
        <f t="shared" si="152"/>
        <v>45</v>
      </c>
      <c r="C1160" s="1"/>
      <c r="D1160" s="18"/>
      <c r="E1160" s="16"/>
      <c r="F1160" s="982"/>
      <c r="G1160" s="983"/>
      <c r="H1160" s="983"/>
      <c r="I1160" s="984"/>
      <c r="J1160" s="17">
        <f t="shared" si="161"/>
        <v>0</v>
      </c>
      <c r="K1160" s="17"/>
      <c r="L1160" s="17">
        <f t="shared" si="154"/>
        <v>0</v>
      </c>
      <c r="M1160" s="64"/>
      <c r="N1160" s="751">
        <f t="shared" si="155"/>
        <v>0</v>
      </c>
    </row>
    <row r="1161" spans="2:16" ht="15" x14ac:dyDescent="0.25">
      <c r="B1161" s="16">
        <f t="shared" si="152"/>
        <v>46</v>
      </c>
      <c r="C1161" s="1"/>
      <c r="D1161" s="233" t="s">
        <v>444</v>
      </c>
      <c r="E1161" s="16"/>
      <c r="F1161" s="805">
        <f>SUM(F1156:F1160)</f>
        <v>402497.99</v>
      </c>
      <c r="G1161" s="805">
        <f>SUM(G1156:G1158)</f>
        <v>459298.48</v>
      </c>
      <c r="H1161" s="805">
        <f>SUM(H1156:H1160)</f>
        <v>13766.05</v>
      </c>
      <c r="I1161" s="805">
        <f>SUM(I1156:I1160)</f>
        <v>9100.39</v>
      </c>
      <c r="J1161" s="21">
        <f t="shared" si="161"/>
        <v>884662.91</v>
      </c>
      <c r="K1161" s="21"/>
      <c r="L1161" s="21">
        <f t="shared" si="154"/>
        <v>482164.92</v>
      </c>
      <c r="M1161" s="64"/>
      <c r="N1161" s="751">
        <f t="shared" si="155"/>
        <v>0</v>
      </c>
    </row>
    <row r="1162" spans="2:16" ht="15" thickBot="1" x14ac:dyDescent="0.25">
      <c r="B1162" s="16">
        <f t="shared" si="152"/>
        <v>47</v>
      </c>
      <c r="C1162" s="1"/>
      <c r="D1162" s="1"/>
      <c r="E1162" s="16"/>
      <c r="F1162" s="803"/>
      <c r="G1162" s="803"/>
      <c r="H1162" s="803"/>
      <c r="I1162" s="647"/>
      <c r="J1162" s="1"/>
      <c r="K1162" s="1"/>
      <c r="L1162" s="1"/>
      <c r="M1162" s="64"/>
      <c r="N1162" s="751">
        <f t="shared" si="155"/>
        <v>0</v>
      </c>
    </row>
    <row r="1163" spans="2:16" ht="15.75" thickBot="1" x14ac:dyDescent="0.3">
      <c r="B1163" s="16">
        <f t="shared" si="152"/>
        <v>48</v>
      </c>
      <c r="C1163" s="223" t="s">
        <v>667</v>
      </c>
      <c r="D1163" s="224"/>
      <c r="E1163" s="309" t="s">
        <v>299</v>
      </c>
      <c r="F1163" s="812">
        <f>+F1145-SUM(F1148:F1152)+SUM(F1156:F1160)</f>
        <v>128677128.80689844</v>
      </c>
      <c r="G1163" s="812">
        <f>+G1145-SUM(G1148:G1152)+SUM(G1156:G1158)</f>
        <v>140081472.55408657</v>
      </c>
      <c r="H1163" s="812">
        <f t="shared" ref="H1163:J1163" si="162">+H1145-SUM(H1148:H1152)+SUM(H1156:H1160)</f>
        <v>1780846.8491166488</v>
      </c>
      <c r="I1163" s="812">
        <f t="shared" si="162"/>
        <v>2876698.2188438536</v>
      </c>
      <c r="J1163" s="315">
        <f t="shared" si="162"/>
        <v>273416146.4289456</v>
      </c>
      <c r="K1163" s="21"/>
      <c r="L1163" s="196">
        <f t="shared" si="154"/>
        <v>144739017.62204707</v>
      </c>
      <c r="M1163" s="64"/>
      <c r="N1163" s="751">
        <f t="shared" si="155"/>
        <v>0</v>
      </c>
      <c r="P1163" s="612"/>
    </row>
    <row r="1164" spans="2:16" x14ac:dyDescent="0.2">
      <c r="B1164" s="64"/>
      <c r="C1164" s="64"/>
      <c r="D1164" s="64"/>
      <c r="E1164" s="64"/>
      <c r="F1164" s="854"/>
      <c r="G1164" s="854"/>
      <c r="H1164" s="854"/>
      <c r="I1164" s="854"/>
      <c r="J1164" s="327"/>
      <c r="K1164" s="45"/>
      <c r="L1164" s="45"/>
      <c r="M1164" s="64"/>
      <c r="N1164" s="751">
        <f t="shared" si="155"/>
        <v>0</v>
      </c>
    </row>
    <row r="1165" spans="2:16" ht="15" x14ac:dyDescent="0.25">
      <c r="B1165" s="783"/>
      <c r="C1165" s="783"/>
      <c r="D1165" s="783"/>
      <c r="E1165" s="783"/>
      <c r="F1165" s="783"/>
      <c r="G1165" s="783"/>
      <c r="H1165" s="783"/>
      <c r="I1165" s="783"/>
      <c r="J1165" s="783"/>
      <c r="K1165" s="783"/>
      <c r="L1165" s="783"/>
      <c r="M1165" s="105" t="str">
        <f>$M$2</f>
        <v xml:space="preserve"> </v>
      </c>
      <c r="N1165" s="751">
        <f t="shared" si="155"/>
        <v>0</v>
      </c>
    </row>
    <row r="1166" spans="2:16" ht="15.75" thickBot="1" x14ac:dyDescent="0.3">
      <c r="B1166" s="783"/>
      <c r="C1166" s="783"/>
      <c r="D1166" s="783"/>
      <c r="E1166" s="783"/>
      <c r="F1166" s="783"/>
      <c r="G1166" s="1040"/>
      <c r="H1166" s="783"/>
      <c r="I1166" s="783"/>
      <c r="J1166" s="783"/>
      <c r="K1166" s="783"/>
      <c r="L1166" s="783"/>
      <c r="M1166" s="64"/>
      <c r="N1166" s="751">
        <f t="shared" si="155"/>
        <v>0</v>
      </c>
    </row>
    <row r="1167" spans="2:16" ht="15" x14ac:dyDescent="0.25">
      <c r="B1167" s="829" t="str">
        <f>$B$4</f>
        <v>2025 RATE CASE</v>
      </c>
      <c r="C1167" s="835"/>
      <c r="D1167" s="836"/>
      <c r="E1167" s="783"/>
      <c r="F1167" s="783"/>
      <c r="G1167" s="783"/>
      <c r="H1167" s="783"/>
      <c r="I1167" s="783"/>
      <c r="J1167" s="783"/>
      <c r="K1167" s="783"/>
      <c r="L1167" s="783"/>
      <c r="N1167" s="751">
        <f t="shared" si="155"/>
        <v>0</v>
      </c>
    </row>
    <row r="1168" spans="2:16" ht="15" x14ac:dyDescent="0.25">
      <c r="B1168" s="826" t="str">
        <f>$B$5</f>
        <v>ONCOR ELECTRIC DELIVERY COMPANY LLC</v>
      </c>
      <c r="C1168" s="304"/>
      <c r="D1168" s="837"/>
      <c r="E1168" s="783"/>
      <c r="F1168" s="783"/>
      <c r="G1168" s="783"/>
      <c r="H1168" s="783"/>
      <c r="I1168" s="783"/>
      <c r="J1168" s="783"/>
      <c r="K1168" s="783"/>
      <c r="L1168" s="783"/>
      <c r="M1168" s="64"/>
      <c r="N1168" s="751">
        <f t="shared" si="155"/>
        <v>0</v>
      </c>
    </row>
    <row r="1169" spans="2:14" ht="15" x14ac:dyDescent="0.25">
      <c r="B1169" s="341" t="str">
        <f>$B$6</f>
        <v>CONSOLIDATED FUNCTIONALIZED COST OF SERVICE</v>
      </c>
      <c r="C1169" s="304"/>
      <c r="D1169" s="837"/>
      <c r="E1169" s="783"/>
      <c r="F1169" s="783"/>
      <c r="G1169" s="783"/>
      <c r="H1169" s="783"/>
      <c r="I1169" s="783"/>
      <c r="J1169" s="783"/>
      <c r="K1169" s="783"/>
      <c r="L1169" s="783"/>
      <c r="M1169" s="64"/>
      <c r="N1169" s="751">
        <f t="shared" si="155"/>
        <v>0</v>
      </c>
    </row>
    <row r="1170" spans="2:14" ht="15.75" x14ac:dyDescent="0.25">
      <c r="B1170" s="341" t="str">
        <f>$B$7</f>
        <v>TEST YEAR ENDING 12/31/2024</v>
      </c>
      <c r="C1170" s="752"/>
      <c r="D1170" s="830"/>
      <c r="E1170" s="64"/>
      <c r="F1170" s="589"/>
      <c r="G1170" s="589"/>
      <c r="H1170" s="589"/>
      <c r="I1170" s="589"/>
      <c r="J1170" s="64"/>
      <c r="K1170" s="64"/>
      <c r="L1170" s="64"/>
      <c r="M1170" s="64"/>
      <c r="N1170" s="751">
        <f t="shared" si="155"/>
        <v>0</v>
      </c>
    </row>
    <row r="1171" spans="2:14" ht="15" x14ac:dyDescent="0.25">
      <c r="B1171" s="341" t="str">
        <f>$B$8</f>
        <v>SPONSOR:  MATTHEW A. TROXLE</v>
      </c>
      <c r="C1171" s="304"/>
      <c r="D1171" s="837"/>
      <c r="E1171" s="304"/>
      <c r="F1171" s="304"/>
      <c r="G1171" s="304"/>
      <c r="H1171" s="304"/>
      <c r="I1171" s="304"/>
      <c r="J1171" s="304"/>
      <c r="K1171" s="304"/>
      <c r="L1171" s="304"/>
      <c r="M1171" s="64"/>
      <c r="N1171" s="751">
        <f t="shared" si="155"/>
        <v>0</v>
      </c>
    </row>
    <row r="1172" spans="2:14" ht="15.75" thickBot="1" x14ac:dyDescent="0.3">
      <c r="B1172" s="345"/>
      <c r="C1172" s="843"/>
      <c r="D1172" s="845"/>
      <c r="F1172" s="654"/>
      <c r="G1172" s="654"/>
      <c r="H1172" s="654"/>
      <c r="I1172" s="654"/>
      <c r="J1172" s="267"/>
      <c r="K1172" s="41"/>
      <c r="L1172" s="41"/>
      <c r="M1172" s="64"/>
      <c r="N1172" s="751">
        <f t="shared" si="155"/>
        <v>0</v>
      </c>
    </row>
    <row r="1173" spans="2:14" x14ac:dyDescent="0.2">
      <c r="B1173" s="12"/>
      <c r="C1173" s="13"/>
      <c r="D1173" s="13"/>
      <c r="E1173" s="13"/>
      <c r="F1173" s="988" t="s">
        <v>6</v>
      </c>
      <c r="G1173" s="655" t="s">
        <v>7</v>
      </c>
      <c r="H1173" s="655" t="s">
        <v>8</v>
      </c>
      <c r="I1173" s="855" t="s">
        <v>9</v>
      </c>
      <c r="J1173" s="12" t="s">
        <v>10</v>
      </c>
      <c r="K1173" s="16"/>
      <c r="L1173" s="110" t="s">
        <v>907</v>
      </c>
      <c r="M1173" s="64"/>
      <c r="N1173" s="751"/>
    </row>
    <row r="1174" spans="2:14" ht="15" x14ac:dyDescent="0.25">
      <c r="B1174" s="14" t="s">
        <v>2</v>
      </c>
      <c r="C1174" s="14" t="s">
        <v>349</v>
      </c>
      <c r="D1174" s="226" t="s">
        <v>668</v>
      </c>
      <c r="E1174" s="14" t="s">
        <v>350</v>
      </c>
      <c r="F1174" s="661"/>
      <c r="G1174" s="660"/>
      <c r="H1174" s="660"/>
      <c r="I1174" s="660"/>
      <c r="J1174" s="14"/>
      <c r="K1174" s="16"/>
      <c r="L1174" s="93" t="s">
        <v>908</v>
      </c>
      <c r="M1174" s="64"/>
      <c r="N1174" s="751"/>
    </row>
    <row r="1175" spans="2:14" x14ac:dyDescent="0.2">
      <c r="B1175" s="14"/>
      <c r="C1175" s="14"/>
      <c r="D1175" s="14"/>
      <c r="E1175" s="14"/>
      <c r="F1175" s="661"/>
      <c r="G1175" s="660"/>
      <c r="H1175" s="660"/>
      <c r="I1175" s="660"/>
      <c r="J1175" s="14"/>
      <c r="K1175" s="16"/>
      <c r="L1175" s="93"/>
      <c r="M1175" s="64"/>
      <c r="N1175" s="751"/>
    </row>
    <row r="1176" spans="2:14" ht="15" thickBot="1" x14ac:dyDescent="0.25">
      <c r="B1176" s="15"/>
      <c r="C1176" s="15" t="s">
        <v>13</v>
      </c>
      <c r="D1176" s="15" t="s">
        <v>14</v>
      </c>
      <c r="E1176" s="15" t="s">
        <v>15</v>
      </c>
      <c r="F1176" s="664" t="s">
        <v>16</v>
      </c>
      <c r="G1176" s="664" t="s">
        <v>17</v>
      </c>
      <c r="H1176" s="664" t="s">
        <v>18</v>
      </c>
      <c r="I1176" s="664" t="s">
        <v>21</v>
      </c>
      <c r="J1176" s="15" t="s">
        <v>22</v>
      </c>
      <c r="K1176" s="16"/>
      <c r="L1176" s="997" t="s">
        <v>397</v>
      </c>
      <c r="M1176" s="64"/>
      <c r="N1176" s="751"/>
    </row>
    <row r="1177" spans="2:14" x14ac:dyDescent="0.2">
      <c r="B1177" s="64"/>
      <c r="C1177" s="268"/>
      <c r="D1177" s="268"/>
      <c r="E1177" s="268"/>
      <c r="F1177" s="666"/>
      <c r="G1177" s="666"/>
      <c r="H1177" s="666"/>
      <c r="I1177" s="611"/>
      <c r="J1177" s="41"/>
      <c r="K1177" s="41"/>
      <c r="L1177" s="41"/>
      <c r="M1177" s="64"/>
      <c r="N1177" s="751"/>
    </row>
    <row r="1178" spans="2:14" ht="15" x14ac:dyDescent="0.25">
      <c r="B1178" s="16">
        <f t="shared" ref="B1178:B1189" si="163">B1177+1</f>
        <v>1</v>
      </c>
      <c r="C1178" s="301" t="s">
        <v>668</v>
      </c>
      <c r="D1178" s="8"/>
      <c r="E1178" s="19"/>
      <c r="F1178" s="805"/>
      <c r="G1178" s="805"/>
      <c r="H1178" s="805"/>
      <c r="I1178" s="8"/>
      <c r="J1178" s="8"/>
      <c r="K1178" s="8"/>
      <c r="L1178" s="8"/>
      <c r="M1178" s="64"/>
      <c r="N1178" s="751"/>
    </row>
    <row r="1179" spans="2:14" x14ac:dyDescent="0.2">
      <c r="B1179" s="16">
        <f t="shared" si="163"/>
        <v>2</v>
      </c>
      <c r="D1179" s="1"/>
      <c r="E1179" s="16"/>
      <c r="F1179" s="803"/>
      <c r="G1179" s="803"/>
      <c r="H1179" s="803"/>
      <c r="I1179" s="647"/>
      <c r="J1179" s="1"/>
      <c r="K1179" s="1"/>
      <c r="L1179" s="1"/>
      <c r="M1179" s="64"/>
      <c r="N1179" s="751"/>
    </row>
    <row r="1180" spans="2:14" ht="15" x14ac:dyDescent="0.25">
      <c r="B1180" s="16">
        <f t="shared" si="163"/>
        <v>3</v>
      </c>
      <c r="C1180" s="8" t="s">
        <v>669</v>
      </c>
      <c r="F1180" s="321"/>
      <c r="G1180" s="321"/>
      <c r="H1180" s="321"/>
      <c r="I1180" s="321"/>
      <c r="J1180" s="321"/>
    </row>
    <row r="1181" spans="2:14" s="339" customFormat="1" ht="15" x14ac:dyDescent="0.25">
      <c r="B1181" s="16">
        <f t="shared" si="163"/>
        <v>4</v>
      </c>
      <c r="C1181" s="647" t="s">
        <v>311</v>
      </c>
      <c r="D1181" s="1" t="s">
        <v>312</v>
      </c>
      <c r="E1181" s="1538" t="s">
        <v>313</v>
      </c>
      <c r="F1181" s="802">
        <f>F1067</f>
        <v>9888367</v>
      </c>
      <c r="G1181" s="802">
        <f>G1067</f>
        <v>7439</v>
      </c>
      <c r="H1181" s="802">
        <f>H1067</f>
        <v>0</v>
      </c>
      <c r="I1181" s="802">
        <f>I1067</f>
        <v>0</v>
      </c>
      <c r="J1181" s="23">
        <f>SUM(F1181:I1181)</f>
        <v>9895806</v>
      </c>
      <c r="K1181" s="23"/>
      <c r="L1181" s="17">
        <f>SUM(G1181:I1181)</f>
        <v>7439</v>
      </c>
      <c r="M1181" s="1"/>
      <c r="N1181" s="1010"/>
    </row>
    <row r="1182" spans="2:14" ht="15" thickBot="1" x14ac:dyDescent="0.25">
      <c r="B1182" s="16">
        <f t="shared" si="163"/>
        <v>5</v>
      </c>
      <c r="C1182" s="1"/>
      <c r="D1182" s="1"/>
      <c r="E1182" s="16"/>
      <c r="F1182" s="803"/>
      <c r="G1182" s="803"/>
      <c r="H1182" s="803"/>
      <c r="I1182" s="647"/>
      <c r="J1182" s="1"/>
      <c r="K1182" s="1"/>
      <c r="L1182" s="1"/>
      <c r="M1182" s="64"/>
      <c r="N1182" s="751">
        <f t="shared" si="155"/>
        <v>0</v>
      </c>
    </row>
    <row r="1183" spans="2:14" ht="15.75" thickBot="1" x14ac:dyDescent="0.3">
      <c r="B1183" s="16">
        <f t="shared" si="163"/>
        <v>6</v>
      </c>
      <c r="C1183" s="223" t="s">
        <v>670</v>
      </c>
      <c r="D1183" s="271"/>
      <c r="E1183" s="272"/>
      <c r="F1183" s="814">
        <f>+F1181+F1103+F1070-F1068-F1067</f>
        <v>627001528.20999992</v>
      </c>
      <c r="G1183" s="814">
        <f>+G1181+G1103+G1070-G1068-G1067</f>
        <v>1133944768.9199998</v>
      </c>
      <c r="H1183" s="814">
        <f>+H1181+H1103+H1070-H1068-H1067</f>
        <v>38746664.400000006</v>
      </c>
      <c r="I1183" s="814">
        <f>+I1181+I1103+I1070-I1068-I1067</f>
        <v>43551086.220000006</v>
      </c>
      <c r="J1183" s="218">
        <f>SUM(F1183:I1183)</f>
        <v>1843244047.7499998</v>
      </c>
      <c r="K1183" s="37"/>
      <c r="L1183" s="219">
        <f t="shared" si="154"/>
        <v>1216242519.54</v>
      </c>
      <c r="M1183" s="64"/>
      <c r="N1183" s="751">
        <f t="shared" si="155"/>
        <v>0</v>
      </c>
    </row>
    <row r="1184" spans="2:14" ht="15.75" thickBot="1" x14ac:dyDescent="0.3">
      <c r="B1184" s="16">
        <f t="shared" si="163"/>
        <v>7</v>
      </c>
      <c r="C1184" s="8"/>
      <c r="D1184" s="34"/>
      <c r="E1184" s="35"/>
      <c r="F1184" s="807"/>
      <c r="G1184" s="807"/>
      <c r="H1184" s="807"/>
      <c r="I1184" s="805"/>
      <c r="J1184" s="229"/>
      <c r="K1184" s="229"/>
      <c r="L1184" s="21"/>
      <c r="M1184" s="45"/>
      <c r="N1184" s="751">
        <f t="shared" si="155"/>
        <v>0</v>
      </c>
    </row>
    <row r="1185" spans="2:14" ht="15.75" thickBot="1" x14ac:dyDescent="0.3">
      <c r="B1185" s="16">
        <f t="shared" si="163"/>
        <v>8</v>
      </c>
      <c r="C1185" s="223" t="s">
        <v>671</v>
      </c>
      <c r="D1185" s="271"/>
      <c r="E1185" s="272"/>
      <c r="F1185" s="814">
        <f>F1183+F1163</f>
        <v>755678657.01689839</v>
      </c>
      <c r="G1185" s="814">
        <f>G1183+G1163</f>
        <v>1274026241.4740863</v>
      </c>
      <c r="H1185" s="814">
        <f>H1183+H1163</f>
        <v>40527511.249116652</v>
      </c>
      <c r="I1185" s="814">
        <f>I1183+I1163</f>
        <v>46427784.438843861</v>
      </c>
      <c r="J1185" s="218">
        <f>SUM(F1185:I1185)</f>
        <v>2116660194.1789453</v>
      </c>
      <c r="K1185" s="37"/>
      <c r="L1185" s="219">
        <f t="shared" si="154"/>
        <v>1360981537.1620469</v>
      </c>
      <c r="M1185" s="64"/>
      <c r="N1185" s="751">
        <f t="shared" si="155"/>
        <v>0</v>
      </c>
    </row>
    <row r="1186" spans="2:14" ht="15.75" thickBot="1" x14ac:dyDescent="0.3">
      <c r="B1186" s="16">
        <f t="shared" si="163"/>
        <v>9</v>
      </c>
      <c r="C1186" s="8"/>
      <c r="D1186" s="34"/>
      <c r="E1186" s="35"/>
      <c r="F1186" s="807"/>
      <c r="G1186" s="807"/>
      <c r="H1186" s="807"/>
      <c r="I1186" s="805"/>
      <c r="J1186" s="229"/>
      <c r="K1186" s="229"/>
      <c r="L1186" s="21"/>
      <c r="M1186" s="45"/>
      <c r="N1186" s="751">
        <f t="shared" si="155"/>
        <v>0</v>
      </c>
    </row>
    <row r="1187" spans="2:14" ht="15.75" thickBot="1" x14ac:dyDescent="0.3">
      <c r="B1187" s="16">
        <f t="shared" si="163"/>
        <v>10</v>
      </c>
      <c r="C1187" s="223" t="s">
        <v>672</v>
      </c>
      <c r="D1187" s="271"/>
      <c r="E1187" s="272"/>
      <c r="F1187" s="814">
        <f>F1163+F1103+F1070+F785</f>
        <v>1046704351.2168984</v>
      </c>
      <c r="G1187" s="814">
        <f>G1163+G1103+G1070+G785</f>
        <v>4617887231.4740868</v>
      </c>
      <c r="H1187" s="814">
        <f>H1163+H1103+H1070+H785</f>
        <v>186405248.59911665</v>
      </c>
      <c r="I1187" s="814">
        <f>I1163+I1103+I1070+I785</f>
        <v>104564123.46884386</v>
      </c>
      <c r="J1187" s="218">
        <f>SUM(F1187:I1187)</f>
        <v>5955560954.7589445</v>
      </c>
      <c r="K1187" s="37"/>
      <c r="L1187" s="219">
        <f t="shared" si="154"/>
        <v>4908856603.5420465</v>
      </c>
      <c r="M1187" s="64"/>
      <c r="N1187" s="751">
        <f t="shared" si="155"/>
        <v>0</v>
      </c>
    </row>
    <row r="1188" spans="2:14" ht="15.75" thickBot="1" x14ac:dyDescent="0.3">
      <c r="B1188" s="16">
        <f t="shared" si="163"/>
        <v>11</v>
      </c>
      <c r="C1188" s="8"/>
      <c r="D1188" s="34"/>
      <c r="E1188" s="35"/>
      <c r="F1188" s="807"/>
      <c r="G1188" s="807"/>
      <c r="H1188" s="807"/>
      <c r="I1188" s="805"/>
      <c r="J1188" s="229"/>
      <c r="K1188" s="229"/>
      <c r="L1188" s="21"/>
      <c r="M1188" s="45"/>
      <c r="N1188" s="751">
        <f t="shared" si="155"/>
        <v>0</v>
      </c>
    </row>
    <row r="1189" spans="2:14" ht="15.75" thickBot="1" x14ac:dyDescent="0.3">
      <c r="B1189" s="16">
        <f t="shared" si="163"/>
        <v>12</v>
      </c>
      <c r="C1189" s="223" t="s">
        <v>1182</v>
      </c>
      <c r="D1189" s="271"/>
      <c r="E1189" s="272"/>
      <c r="F1189" s="814">
        <f>F1187-F645</f>
        <v>1046704351.2168984</v>
      </c>
      <c r="G1189" s="1203">
        <f>G1187-G645-(('WP II-I-2.2'!$P$45)*G776)</f>
        <v>2517045758.8140869</v>
      </c>
      <c r="H1189" s="814">
        <f>H1187-H645</f>
        <v>186405248.59911665</v>
      </c>
      <c r="I1189" s="814">
        <f>I1187-I645</f>
        <v>104564123.46884386</v>
      </c>
      <c r="J1189" s="218">
        <f>SUM(F1189:I1189)</f>
        <v>3854719482.0989461</v>
      </c>
      <c r="K1189" s="37"/>
      <c r="L1189" s="219">
        <f t="shared" si="154"/>
        <v>2808015130.8820477</v>
      </c>
      <c r="M1189" s="64"/>
      <c r="N1189" s="751">
        <f t="shared" si="155"/>
        <v>0</v>
      </c>
    </row>
    <row r="1190" spans="2:14" x14ac:dyDescent="0.2">
      <c r="B1190" s="64"/>
      <c r="C1190" s="64"/>
      <c r="D1190" s="64"/>
      <c r="E1190" s="64"/>
      <c r="F1190" s="589"/>
      <c r="G1190" s="589"/>
      <c r="H1190" s="589"/>
      <c r="I1190" s="589"/>
      <c r="J1190" s="64"/>
      <c r="K1190" s="45"/>
      <c r="L1190" s="45"/>
      <c r="M1190" s="64"/>
      <c r="N1190" s="751">
        <f t="shared" si="155"/>
        <v>0</v>
      </c>
    </row>
    <row r="1191" spans="2:14" x14ac:dyDescent="0.2">
      <c r="B1191" s="64"/>
      <c r="C1191" s="64"/>
      <c r="D1191" s="64"/>
      <c r="E1191" s="64"/>
      <c r="F1191" s="589"/>
      <c r="G1191" s="589"/>
      <c r="H1191" s="589"/>
      <c r="I1191" s="589"/>
      <c r="J1191" s="64"/>
      <c r="K1191" s="45"/>
      <c r="L1191" s="45"/>
      <c r="M1191" s="105" t="str">
        <f>$M$2</f>
        <v xml:space="preserve"> </v>
      </c>
      <c r="N1191" s="751">
        <f t="shared" si="155"/>
        <v>0</v>
      </c>
    </row>
    <row r="1192" spans="2:14" ht="15.75" thickBot="1" x14ac:dyDescent="0.3">
      <c r="B1192" s="783"/>
      <c r="C1192" s="783"/>
      <c r="D1192" s="783"/>
      <c r="E1192" s="783"/>
      <c r="F1192" s="783"/>
      <c r="G1192" s="783"/>
      <c r="H1192" s="783"/>
      <c r="I1192" s="783"/>
      <c r="J1192" s="783"/>
      <c r="K1192" s="783"/>
      <c r="L1192" s="783"/>
      <c r="M1192" s="64"/>
      <c r="N1192" s="751">
        <f t="shared" si="155"/>
        <v>0</v>
      </c>
    </row>
    <row r="1193" spans="2:14" ht="15" x14ac:dyDescent="0.25">
      <c r="B1193" s="829" t="str">
        <f>$B$4</f>
        <v>2025 RATE CASE</v>
      </c>
      <c r="C1193" s="835"/>
      <c r="D1193" s="836"/>
      <c r="E1193" s="783"/>
      <c r="F1193" s="783"/>
      <c r="G1193" s="783"/>
      <c r="H1193" s="783"/>
      <c r="I1193" s="783"/>
      <c r="J1193" s="783"/>
      <c r="K1193" s="783"/>
      <c r="L1193" s="783"/>
      <c r="N1193" s="751">
        <f t="shared" si="155"/>
        <v>0</v>
      </c>
    </row>
    <row r="1194" spans="2:14" ht="15" x14ac:dyDescent="0.25">
      <c r="B1194" s="826" t="str">
        <f>$B$5</f>
        <v>ONCOR ELECTRIC DELIVERY COMPANY LLC</v>
      </c>
      <c r="C1194" s="304"/>
      <c r="D1194" s="837"/>
      <c r="E1194" s="783"/>
      <c r="F1194" s="783"/>
      <c r="G1194" s="783"/>
      <c r="H1194" s="783"/>
      <c r="I1194" s="783"/>
      <c r="J1194" s="783"/>
      <c r="K1194" s="783"/>
      <c r="L1194" s="783"/>
      <c r="M1194" s="64"/>
      <c r="N1194" s="751">
        <f t="shared" si="155"/>
        <v>0</v>
      </c>
    </row>
    <row r="1195" spans="2:14" ht="15" x14ac:dyDescent="0.25">
      <c r="B1195" s="341" t="str">
        <f>$B$6</f>
        <v>CONSOLIDATED FUNCTIONALIZED COST OF SERVICE</v>
      </c>
      <c r="C1195" s="304"/>
      <c r="D1195" s="837"/>
      <c r="E1195" s="783"/>
      <c r="F1195" s="783"/>
      <c r="G1195" s="783"/>
      <c r="H1195" s="783"/>
      <c r="I1195" s="783"/>
      <c r="J1195" s="783"/>
      <c r="K1195" s="783"/>
      <c r="L1195" s="783"/>
      <c r="M1195" s="64"/>
      <c r="N1195" s="751">
        <f t="shared" si="155"/>
        <v>0</v>
      </c>
    </row>
    <row r="1196" spans="2:14" ht="15" x14ac:dyDescent="0.25">
      <c r="B1196" s="341" t="str">
        <f>$B$7</f>
        <v>TEST YEAR ENDING 12/31/2024</v>
      </c>
      <c r="C1196" s="304"/>
      <c r="D1196" s="837"/>
      <c r="E1196" s="783"/>
      <c r="F1196" s="783"/>
      <c r="G1196" s="783"/>
      <c r="H1196" s="783"/>
      <c r="I1196" s="783"/>
      <c r="J1196" s="783"/>
      <c r="K1196" s="783"/>
      <c r="L1196" s="783"/>
      <c r="M1196" s="64"/>
      <c r="N1196" s="751">
        <f t="shared" si="155"/>
        <v>0</v>
      </c>
    </row>
    <row r="1197" spans="2:14" ht="15.75" x14ac:dyDescent="0.25">
      <c r="B1197" s="341" t="str">
        <f>$B$8</f>
        <v>SPONSOR:  MATTHEW A. TROXLE</v>
      </c>
      <c r="C1197" s="752"/>
      <c r="D1197" s="830"/>
      <c r="E1197" s="64"/>
      <c r="F1197" s="589"/>
      <c r="G1197" s="589"/>
      <c r="H1197" s="589"/>
      <c r="I1197" s="589"/>
      <c r="J1197" s="64"/>
      <c r="K1197" s="64"/>
      <c r="L1197" s="64"/>
      <c r="M1197" s="64"/>
      <c r="N1197" s="751">
        <f t="shared" ref="N1197:N1198" si="164">J1197-L1197-F1197</f>
        <v>0</v>
      </c>
    </row>
    <row r="1198" spans="2:14" ht="15.75" thickBot="1" x14ac:dyDescent="0.3">
      <c r="B1198" s="345"/>
      <c r="C1198" s="840"/>
      <c r="D1198" s="841"/>
      <c r="E1198" s="304"/>
      <c r="F1198" s="304"/>
      <c r="G1198" s="304"/>
      <c r="H1198" s="304"/>
      <c r="I1198" s="304"/>
      <c r="J1198" s="304"/>
      <c r="K1198" s="304"/>
      <c r="L1198" s="304"/>
      <c r="M1198" s="64"/>
      <c r="N1198" s="751">
        <f t="shared" si="164"/>
        <v>0</v>
      </c>
    </row>
    <row r="1199" spans="2:14" x14ac:dyDescent="0.2">
      <c r="B1199" s="12"/>
      <c r="C1199" s="13"/>
      <c r="D1199" s="13"/>
      <c r="E1199" s="13"/>
      <c r="F1199" s="988"/>
      <c r="G1199" s="655"/>
      <c r="H1199" s="655"/>
      <c r="I1199" s="855"/>
      <c r="J1199" s="12"/>
      <c r="K1199" s="16"/>
      <c r="L1199" s="110" t="s">
        <v>907</v>
      </c>
      <c r="M1199" s="64"/>
      <c r="N1199" s="751"/>
    </row>
    <row r="1200" spans="2:14" ht="15" x14ac:dyDescent="0.25">
      <c r="B1200" s="14" t="s">
        <v>2</v>
      </c>
      <c r="C1200" s="14" t="s">
        <v>349</v>
      </c>
      <c r="D1200" s="226" t="s">
        <v>317</v>
      </c>
      <c r="E1200" s="14" t="s">
        <v>350</v>
      </c>
      <c r="F1200" s="661" t="s">
        <v>6</v>
      </c>
      <c r="G1200" s="660" t="s">
        <v>7</v>
      </c>
      <c r="H1200" s="660" t="s">
        <v>8</v>
      </c>
      <c r="I1200" s="660" t="s">
        <v>9</v>
      </c>
      <c r="J1200" s="660" t="s">
        <v>10</v>
      </c>
      <c r="K1200" s="16"/>
      <c r="L1200" s="93" t="s">
        <v>908</v>
      </c>
      <c r="M1200" s="64"/>
      <c r="N1200" s="751"/>
    </row>
    <row r="1201" spans="2:14" x14ac:dyDescent="0.2">
      <c r="B1201" s="14"/>
      <c r="C1201" s="14"/>
      <c r="D1201" s="14"/>
      <c r="E1201" s="14"/>
      <c r="F1201" s="661"/>
      <c r="G1201" s="660"/>
      <c r="H1201" s="660"/>
      <c r="I1201" s="660"/>
      <c r="J1201" s="14"/>
      <c r="K1201" s="16"/>
      <c r="L1201" s="93"/>
      <c r="M1201" s="64"/>
      <c r="N1201" s="751"/>
    </row>
    <row r="1202" spans="2:14" ht="15" thickBot="1" x14ac:dyDescent="0.25">
      <c r="B1202" s="15"/>
      <c r="C1202" s="15" t="s">
        <v>13</v>
      </c>
      <c r="D1202" s="15" t="s">
        <v>14</v>
      </c>
      <c r="E1202" s="15" t="s">
        <v>15</v>
      </c>
      <c r="F1202" s="664" t="s">
        <v>16</v>
      </c>
      <c r="G1202" s="664" t="s">
        <v>17</v>
      </c>
      <c r="H1202" s="664" t="s">
        <v>18</v>
      </c>
      <c r="I1202" s="664" t="s">
        <v>21</v>
      </c>
      <c r="J1202" s="15" t="s">
        <v>22</v>
      </c>
      <c r="K1202" s="16"/>
      <c r="L1202" s="997" t="s">
        <v>397</v>
      </c>
      <c r="M1202" s="64"/>
      <c r="N1202" s="751"/>
    </row>
    <row r="1203" spans="2:14" x14ac:dyDescent="0.2">
      <c r="B1203" s="64"/>
      <c r="C1203" s="96"/>
      <c r="D1203" s="96"/>
      <c r="E1203" s="251"/>
      <c r="F1203" s="674"/>
      <c r="G1203" s="674"/>
      <c r="H1203" s="674"/>
      <c r="I1203" s="647"/>
      <c r="J1203" s="1"/>
      <c r="K1203" s="1"/>
      <c r="L1203" s="1"/>
      <c r="M1203" s="64"/>
      <c r="N1203" s="751"/>
    </row>
    <row r="1204" spans="2:14" ht="15" x14ac:dyDescent="0.25">
      <c r="B1204" s="16">
        <f t="shared" ref="B1204:B1231" si="165">B1203+1</f>
        <v>1</v>
      </c>
      <c r="C1204" s="8" t="s">
        <v>673</v>
      </c>
      <c r="D1204" s="8"/>
      <c r="E1204" s="1005" t="s">
        <v>318</v>
      </c>
      <c r="F1204" s="805"/>
      <c r="G1204" s="805"/>
      <c r="H1204" s="805"/>
      <c r="I1204" s="8"/>
      <c r="J1204" s="8"/>
      <c r="K1204" s="8"/>
      <c r="L1204" s="8"/>
      <c r="M1204" s="64"/>
      <c r="N1204" s="751"/>
    </row>
    <row r="1205" spans="2:14" ht="15" x14ac:dyDescent="0.25">
      <c r="B1205" s="16">
        <f t="shared" si="165"/>
        <v>2</v>
      </c>
      <c r="C1205" s="8" t="s">
        <v>319</v>
      </c>
      <c r="D1205" s="8"/>
      <c r="E1205" s="1005"/>
      <c r="F1205" s="805"/>
      <c r="G1205" s="805"/>
      <c r="H1205" s="805"/>
      <c r="I1205" s="8"/>
      <c r="J1205" s="8"/>
      <c r="K1205" s="8"/>
      <c r="L1205" s="8"/>
      <c r="M1205" s="64"/>
      <c r="N1205" s="751"/>
    </row>
    <row r="1206" spans="2:14" s="321" customFormat="1" x14ac:dyDescent="0.2">
      <c r="B1206" s="16">
        <f t="shared" si="165"/>
        <v>3</v>
      </c>
      <c r="C1206" s="1" t="s">
        <v>320</v>
      </c>
      <c r="D1206" s="1" t="s">
        <v>321</v>
      </c>
      <c r="E1206" s="16"/>
      <c r="F1206" s="985">
        <f>'WP II-I-1.1'!F470</f>
        <v>0</v>
      </c>
      <c r="G1206" s="986">
        <f>'WP II-I-1.1'!G470</f>
        <v>34378539</v>
      </c>
      <c r="H1206" s="986">
        <f>'WP II-I-1.1'!H470</f>
        <v>0</v>
      </c>
      <c r="I1206" s="987">
        <f>'WP II-I-1.1'!I470</f>
        <v>0</v>
      </c>
      <c r="J1206" s="229">
        <f t="shared" ref="J1206:J1221" si="166">SUM(F1206:I1206)</f>
        <v>34378539</v>
      </c>
      <c r="K1206" s="229"/>
      <c r="L1206" s="17">
        <f t="shared" ref="L1206:L1231" si="167">SUM(G1206:I1206)</f>
        <v>34378539</v>
      </c>
      <c r="M1206" s="45"/>
      <c r="N1206" s="751">
        <f>J1206-L1206+'WP II-I-1.1'!F470</f>
        <v>0</v>
      </c>
    </row>
    <row r="1207" spans="2:14" s="321" customFormat="1" x14ac:dyDescent="0.2">
      <c r="B1207" s="16">
        <f t="shared" si="165"/>
        <v>4</v>
      </c>
      <c r="C1207" s="1" t="s">
        <v>322</v>
      </c>
      <c r="D1207" s="1" t="s">
        <v>323</v>
      </c>
      <c r="E1207" s="16"/>
      <c r="F1207" s="980">
        <f>'WP II-I-1.1'!F471</f>
        <v>0</v>
      </c>
      <c r="G1207" s="802">
        <f>'WP II-I-1.1'!G471</f>
        <v>758930.8</v>
      </c>
      <c r="H1207" s="802">
        <f>'WP II-I-1.1'!H471</f>
        <v>0</v>
      </c>
      <c r="I1207" s="981">
        <f>'WP II-I-1.1'!I471</f>
        <v>0</v>
      </c>
      <c r="J1207" s="229">
        <f t="shared" si="166"/>
        <v>758930.8</v>
      </c>
      <c r="K1207" s="229"/>
      <c r="L1207" s="17">
        <f t="shared" si="167"/>
        <v>758930.8</v>
      </c>
      <c r="M1207" s="45"/>
      <c r="N1207" s="751">
        <f>J1207-L1207+'WP II-I-1.1'!F471</f>
        <v>0</v>
      </c>
    </row>
    <row r="1208" spans="2:14" s="321" customFormat="1" x14ac:dyDescent="0.2">
      <c r="B1208" s="16">
        <f t="shared" si="165"/>
        <v>5</v>
      </c>
      <c r="C1208" s="1" t="s">
        <v>322</v>
      </c>
      <c r="D1208" s="1" t="s">
        <v>1297</v>
      </c>
      <c r="E1208" s="16"/>
      <c r="F1208" s="980">
        <f>'WP II-I-1.1'!F472</f>
        <v>0</v>
      </c>
      <c r="G1208" s="802">
        <f>'WP II-I-1.1'!G472</f>
        <v>0</v>
      </c>
      <c r="H1208" s="802">
        <f>'WP II-I-1.1'!H472</f>
        <v>0</v>
      </c>
      <c r="I1208" s="981">
        <f>'WP II-I-1.1'!I472</f>
        <v>0</v>
      </c>
      <c r="J1208" s="229">
        <f t="shared" ref="J1208" si="168">SUM(F1208:I1208)</f>
        <v>0</v>
      </c>
      <c r="K1208" s="229"/>
      <c r="L1208" s="17">
        <f t="shared" ref="L1208" si="169">SUM(G1208:I1208)</f>
        <v>0</v>
      </c>
      <c r="M1208" s="45"/>
      <c r="N1208" s="751"/>
    </row>
    <row r="1209" spans="2:14" s="321" customFormat="1" x14ac:dyDescent="0.2">
      <c r="B1209" s="16">
        <f t="shared" si="165"/>
        <v>6</v>
      </c>
      <c r="C1209" s="1" t="s">
        <v>674</v>
      </c>
      <c r="D1209" s="26" t="s">
        <v>324</v>
      </c>
      <c r="E1209" s="16"/>
      <c r="F1209" s="980">
        <f>'WP II-I-1.1'!F473</f>
        <v>0</v>
      </c>
      <c r="G1209" s="802">
        <f>'WP II-I-1.1'!G473</f>
        <v>13606322</v>
      </c>
      <c r="H1209" s="802">
        <f>'WP II-I-1.1'!H473</f>
        <v>14115591</v>
      </c>
      <c r="I1209" s="981">
        <f>'WP II-I-1.1'!I473</f>
        <v>85782</v>
      </c>
      <c r="J1209" s="229">
        <f t="shared" si="166"/>
        <v>27807695</v>
      </c>
      <c r="K1209" s="229"/>
      <c r="L1209" s="17">
        <f t="shared" si="167"/>
        <v>27807695</v>
      </c>
      <c r="M1209" s="45"/>
      <c r="N1209" s="751">
        <f>J1209-L1209-'WP II-I-1.1'!F473</f>
        <v>0</v>
      </c>
    </row>
    <row r="1210" spans="2:14" s="321" customFormat="1" x14ac:dyDescent="0.2">
      <c r="B1210" s="16">
        <f t="shared" si="165"/>
        <v>7</v>
      </c>
      <c r="C1210" s="1" t="s">
        <v>674</v>
      </c>
      <c r="D1210" s="1" t="s">
        <v>325</v>
      </c>
      <c r="E1210" s="16"/>
      <c r="F1210" s="980">
        <f>'WP II-I-1.1'!F474</f>
        <v>0</v>
      </c>
      <c r="G1210" s="802">
        <f>'WP II-I-1.1'!G474</f>
        <v>107361.28</v>
      </c>
      <c r="H1210" s="802">
        <f>'WP II-I-1.1'!H474</f>
        <v>0</v>
      </c>
      <c r="I1210" s="981">
        <f>'WP II-I-1.1'!I474</f>
        <v>0</v>
      </c>
      <c r="J1210" s="229">
        <f t="shared" si="166"/>
        <v>107361.28</v>
      </c>
      <c r="K1210" s="229"/>
      <c r="L1210" s="17">
        <f t="shared" si="167"/>
        <v>107361.28</v>
      </c>
      <c r="M1210" s="45"/>
      <c r="N1210" s="751">
        <f>J1210-L1210+'WP II-I-1.1'!F474</f>
        <v>0</v>
      </c>
    </row>
    <row r="1211" spans="2:14" s="321" customFormat="1" x14ac:dyDescent="0.2">
      <c r="B1211" s="16">
        <f t="shared" si="165"/>
        <v>8</v>
      </c>
      <c r="C1211" s="647" t="s">
        <v>1135</v>
      </c>
      <c r="D1211" s="1" t="s">
        <v>327</v>
      </c>
      <c r="E1211" s="16"/>
      <c r="F1211" s="980">
        <f>'WP II-I-1.1'!F476</f>
        <v>0</v>
      </c>
      <c r="G1211" s="802">
        <f>'WP II-I-1.1'!G476</f>
        <v>10615770.26</v>
      </c>
      <c r="H1211" s="802">
        <f>'WP II-I-1.1'!H476</f>
        <v>0</v>
      </c>
      <c r="I1211" s="981">
        <f>'WP II-I-1.1'!I476</f>
        <v>0</v>
      </c>
      <c r="J1211" s="229">
        <f t="shared" si="166"/>
        <v>10615770.26</v>
      </c>
      <c r="K1211" s="229"/>
      <c r="L1211" s="17">
        <f t="shared" si="167"/>
        <v>10615770.26</v>
      </c>
      <c r="M1211" s="45"/>
      <c r="N1211" s="751">
        <f>J1211-L1211+'WP II-I-1.1'!F475</f>
        <v>0</v>
      </c>
    </row>
    <row r="1212" spans="2:14" s="321" customFormat="1" x14ac:dyDescent="0.2">
      <c r="B1212" s="16">
        <f t="shared" si="165"/>
        <v>9</v>
      </c>
      <c r="C1212" s="647" t="s">
        <v>1135</v>
      </c>
      <c r="D1212" s="1" t="s">
        <v>900</v>
      </c>
      <c r="E1212" s="16" t="s">
        <v>902</v>
      </c>
      <c r="F1212" s="985">
        <f>'WP II-I-1.2'!F17</f>
        <v>143239.511</v>
      </c>
      <c r="G1212" s="986">
        <f>'WP II-I-1.2'!G17</f>
        <v>191157.49081999998</v>
      </c>
      <c r="H1212" s="986">
        <f>'WP II-I-1.2'!H17</f>
        <v>0</v>
      </c>
      <c r="I1212" s="987">
        <f>'WP II-I-1.2'!I17</f>
        <v>0</v>
      </c>
      <c r="J1212" s="229">
        <f t="shared" si="166"/>
        <v>334397.00182</v>
      </c>
      <c r="K1212" s="229"/>
      <c r="L1212" s="17">
        <f t="shared" si="167"/>
        <v>191157.49081999998</v>
      </c>
      <c r="M1212" s="45"/>
      <c r="N1212" s="751"/>
    </row>
    <row r="1213" spans="2:14" s="321" customFormat="1" x14ac:dyDescent="0.2">
      <c r="B1213" s="16">
        <f t="shared" si="165"/>
        <v>10</v>
      </c>
      <c r="C1213" s="647" t="s">
        <v>1135</v>
      </c>
      <c r="D1213" s="1" t="s">
        <v>901</v>
      </c>
      <c r="E1213" s="16" t="s">
        <v>902</v>
      </c>
      <c r="F1213" s="982">
        <f>'WP II-I-1.2'!F18</f>
        <v>818099.48900000006</v>
      </c>
      <c r="G1213" s="983">
        <f>'WP II-I-1.2'!G18</f>
        <v>1091778.68918</v>
      </c>
      <c r="H1213" s="983">
        <f>'WP II-I-1.2'!H18</f>
        <v>0</v>
      </c>
      <c r="I1213" s="984">
        <f>'WP II-I-1.2'!I18</f>
        <v>0</v>
      </c>
      <c r="J1213" s="229">
        <f t="shared" si="166"/>
        <v>1909878.17818</v>
      </c>
      <c r="K1213" s="229"/>
      <c r="L1213" s="17">
        <f t="shared" si="167"/>
        <v>1091778.68918</v>
      </c>
      <c r="M1213" s="45"/>
      <c r="N1213" s="751">
        <f>SUM(F1212:G1213)-'WP II-I-1.1'!J477</f>
        <v>0</v>
      </c>
    </row>
    <row r="1214" spans="2:14" s="321" customFormat="1" x14ac:dyDescent="0.2">
      <c r="B1214" s="16">
        <f t="shared" si="165"/>
        <v>11</v>
      </c>
      <c r="C1214" s="647" t="s">
        <v>1135</v>
      </c>
      <c r="D1214" s="1" t="s">
        <v>331</v>
      </c>
      <c r="E1214" s="16"/>
      <c r="F1214" s="980">
        <f>'WP II-I-1.1'!F478</f>
        <v>11507204.149999999</v>
      </c>
      <c r="G1214" s="802">
        <f>'WP II-I-1.1'!G478</f>
        <v>0</v>
      </c>
      <c r="H1214" s="802">
        <f>'WP II-I-1.1'!H478</f>
        <v>0</v>
      </c>
      <c r="I1214" s="981">
        <f>'WP II-I-1.1'!I478</f>
        <v>0</v>
      </c>
      <c r="J1214" s="229">
        <f t="shared" si="166"/>
        <v>11507204.149999999</v>
      </c>
      <c r="K1214" s="229"/>
      <c r="L1214" s="17">
        <f t="shared" si="167"/>
        <v>0</v>
      </c>
      <c r="M1214" s="45"/>
      <c r="N1214" s="751">
        <f>J1214-L1214-'WP II-I-1.1'!F478</f>
        <v>0</v>
      </c>
    </row>
    <row r="1215" spans="2:14" s="321" customFormat="1" x14ac:dyDescent="0.2">
      <c r="B1215" s="16">
        <f t="shared" si="165"/>
        <v>12</v>
      </c>
      <c r="C1215" s="647" t="s">
        <v>1135</v>
      </c>
      <c r="D1215" s="647" t="s">
        <v>1307</v>
      </c>
      <c r="E1215" s="16"/>
      <c r="F1215" s="980">
        <f>'WP II-I-1.1'!F479</f>
        <v>1182437.47</v>
      </c>
      <c r="G1215" s="802">
        <f>'WP II-I-1.1'!G479</f>
        <v>36752.630000000005</v>
      </c>
      <c r="H1215" s="802">
        <f>'WP II-I-1.1'!H479</f>
        <v>0</v>
      </c>
      <c r="I1215" s="981">
        <f>'WP II-I-1.1'!I479</f>
        <v>0</v>
      </c>
      <c r="J1215" s="229">
        <f t="shared" si="166"/>
        <v>1219190.1000000001</v>
      </c>
      <c r="K1215" s="229"/>
      <c r="L1215" s="17">
        <f t="shared" si="167"/>
        <v>36752.630000000005</v>
      </c>
      <c r="M1215" s="45"/>
      <c r="N1215" s="751">
        <f>J1215-L1215-'WP II-I-1.1'!F479</f>
        <v>0</v>
      </c>
    </row>
    <row r="1216" spans="2:14" s="321" customFormat="1" x14ac:dyDescent="0.2">
      <c r="B1216" s="16">
        <f t="shared" si="165"/>
        <v>13</v>
      </c>
      <c r="C1216" s="647" t="s">
        <v>1135</v>
      </c>
      <c r="D1216" s="647" t="s">
        <v>1305</v>
      </c>
      <c r="E1216" s="16"/>
      <c r="F1216" s="980">
        <f>'WP II-I-1.1'!F480</f>
        <v>369308.58</v>
      </c>
      <c r="G1216" s="802">
        <f>'WP II-I-1.1'!G480</f>
        <v>0</v>
      </c>
      <c r="H1216" s="802">
        <f>'WP II-I-1.1'!H480</f>
        <v>0</v>
      </c>
      <c r="I1216" s="981">
        <f>'WP II-I-1.1'!I480</f>
        <v>0</v>
      </c>
      <c r="J1216" s="229">
        <f t="shared" ref="J1216" si="170">SUM(F1216:I1216)</f>
        <v>369308.58</v>
      </c>
      <c r="K1216" s="229"/>
      <c r="L1216" s="17">
        <f t="shared" ref="L1216" si="171">SUM(G1216:I1216)</f>
        <v>0</v>
      </c>
      <c r="M1216" s="45"/>
      <c r="N1216" s="751"/>
    </row>
    <row r="1217" spans="2:14" s="321" customFormat="1" x14ac:dyDescent="0.2">
      <c r="B1217" s="16">
        <f t="shared" si="165"/>
        <v>14</v>
      </c>
      <c r="C1217" s="647" t="s">
        <v>1135</v>
      </c>
      <c r="D1217" s="1" t="s">
        <v>1306</v>
      </c>
      <c r="E1217" s="16"/>
      <c r="F1217" s="980">
        <f>'WP II-I-1.1'!F481</f>
        <v>260.98000000000013</v>
      </c>
      <c r="G1217" s="802">
        <f>'WP II-I-1.1'!G481</f>
        <v>0</v>
      </c>
      <c r="H1217" s="802">
        <f>'WP II-I-1.1'!H481</f>
        <v>0</v>
      </c>
      <c r="I1217" s="981">
        <f>'WP II-I-1.1'!I481</f>
        <v>0</v>
      </c>
      <c r="J1217" s="229">
        <f t="shared" si="166"/>
        <v>260.98000000000013</v>
      </c>
      <c r="K1217" s="229"/>
      <c r="L1217" s="17">
        <f t="shared" si="167"/>
        <v>0</v>
      </c>
      <c r="M1217" s="45"/>
      <c r="N1217" s="751">
        <f>J1217-L1217-'WP II-I-1.1'!F481</f>
        <v>0</v>
      </c>
    </row>
    <row r="1218" spans="2:14" s="321" customFormat="1" x14ac:dyDescent="0.2">
      <c r="B1218" s="16">
        <f t="shared" si="165"/>
        <v>15</v>
      </c>
      <c r="C1218" s="647" t="s">
        <v>334</v>
      </c>
      <c r="D1218" s="1" t="s">
        <v>335</v>
      </c>
      <c r="E1218" s="16"/>
      <c r="F1218" s="980">
        <f>'WP II-I-1.1'!F482</f>
        <v>28756794.140000001</v>
      </c>
      <c r="G1218" s="802">
        <f>'WP II-I-1.1'!G482</f>
        <v>6026344.0000000075</v>
      </c>
      <c r="H1218" s="802">
        <f>'WP II-I-1.1'!H482</f>
        <v>0</v>
      </c>
      <c r="I1218" s="981">
        <f>'WP II-I-1.1'!I482</f>
        <v>0</v>
      </c>
      <c r="J1218" s="229">
        <f t="shared" ref="J1218:J1219" si="172">SUM(F1218:I1218)</f>
        <v>34783138.140000008</v>
      </c>
      <c r="K1218" s="229"/>
      <c r="L1218" s="17">
        <f t="shared" ref="L1218:L1219" si="173">SUM(G1218:I1218)</f>
        <v>6026344.0000000075</v>
      </c>
      <c r="M1218" s="45"/>
      <c r="N1218" s="751">
        <f>J1218-L1218-'WP II-I-1.1'!F482</f>
        <v>0</v>
      </c>
    </row>
    <row r="1219" spans="2:14" s="321" customFormat="1" x14ac:dyDescent="0.2">
      <c r="B1219" s="16">
        <f t="shared" si="165"/>
        <v>16</v>
      </c>
      <c r="C1219" s="647" t="s">
        <v>334</v>
      </c>
      <c r="D1219" s="1" t="s">
        <v>1301</v>
      </c>
      <c r="E1219" s="16"/>
      <c r="F1219" s="980">
        <f>'WP II-I-1.1'!F483</f>
        <v>1987707.08</v>
      </c>
      <c r="G1219" s="802">
        <f>'WP II-I-1.1'!G483</f>
        <v>0</v>
      </c>
      <c r="H1219" s="802">
        <f>'WP II-I-1.1'!H483</f>
        <v>0</v>
      </c>
      <c r="I1219" s="981">
        <f>'WP II-I-1.1'!I483</f>
        <v>0</v>
      </c>
      <c r="J1219" s="229">
        <f t="shared" si="172"/>
        <v>1987707.08</v>
      </c>
      <c r="K1219" s="229"/>
      <c r="L1219" s="17">
        <f t="shared" si="173"/>
        <v>0</v>
      </c>
      <c r="M1219" s="45"/>
      <c r="N1219" s="751"/>
    </row>
    <row r="1220" spans="2:14" s="321" customFormat="1" ht="16.5" x14ac:dyDescent="0.35">
      <c r="B1220" s="16">
        <f t="shared" si="165"/>
        <v>17</v>
      </c>
      <c r="C1220" s="1" t="s">
        <v>334</v>
      </c>
      <c r="D1220" s="1" t="s">
        <v>1302</v>
      </c>
      <c r="E1220" s="16"/>
      <c r="F1220" s="982">
        <f>'WP II-I-1.1'!F484</f>
        <v>1366665.33</v>
      </c>
      <c r="G1220" s="983">
        <f>'WP II-I-1.1'!G484</f>
        <v>0</v>
      </c>
      <c r="H1220" s="983">
        <f>'WP II-I-1.1'!H484</f>
        <v>0</v>
      </c>
      <c r="I1220" s="984">
        <f>'WP II-I-1.1'!I484</f>
        <v>0</v>
      </c>
      <c r="J1220" s="238">
        <f t="shared" si="166"/>
        <v>1366665.33</v>
      </c>
      <c r="K1220" s="238"/>
      <c r="L1220" s="232">
        <f t="shared" si="167"/>
        <v>0</v>
      </c>
      <c r="M1220" s="45"/>
    </row>
    <row r="1221" spans="2:14" ht="15" x14ac:dyDescent="0.25">
      <c r="B1221" s="16">
        <f t="shared" si="165"/>
        <v>18</v>
      </c>
      <c r="C1221" s="191"/>
      <c r="D1221" s="323" t="s">
        <v>444</v>
      </c>
      <c r="E1221" s="191"/>
      <c r="F1221" s="805">
        <f>SUM(F1206:F1220)</f>
        <v>46131716.729999997</v>
      </c>
      <c r="G1221" s="805">
        <f>SUM(G1206:G1220)</f>
        <v>66812956.150000006</v>
      </c>
      <c r="H1221" s="805">
        <f>SUM(H1206:H1220)</f>
        <v>14115591</v>
      </c>
      <c r="I1221" s="805">
        <f>SUM(I1206:I1220)</f>
        <v>85782</v>
      </c>
      <c r="J1221" s="21">
        <f t="shared" si="166"/>
        <v>127146045.88</v>
      </c>
      <c r="K1221" s="21"/>
      <c r="L1221" s="21">
        <f t="shared" si="167"/>
        <v>81014329.150000006</v>
      </c>
      <c r="M1221" s="64"/>
      <c r="N1221" s="751">
        <f>J1221-L1221-F1221</f>
        <v>0</v>
      </c>
    </row>
    <row r="1222" spans="2:14" ht="15" thickBot="1" x14ac:dyDescent="0.25">
      <c r="B1222" s="16">
        <f t="shared" si="165"/>
        <v>19</v>
      </c>
      <c r="C1222" s="1"/>
      <c r="D1222" s="1"/>
      <c r="E1222" s="16"/>
      <c r="F1222" s="803"/>
      <c r="G1222" s="803"/>
      <c r="H1222" s="803"/>
      <c r="I1222" s="647"/>
      <c r="J1222" s="23"/>
      <c r="K1222" s="23"/>
      <c r="L1222" s="1"/>
      <c r="M1222" s="64"/>
    </row>
    <row r="1223" spans="2:14" ht="15.75" thickBot="1" x14ac:dyDescent="0.3">
      <c r="B1223" s="16">
        <f t="shared" si="165"/>
        <v>20</v>
      </c>
      <c r="C1223" s="223" t="s">
        <v>676</v>
      </c>
      <c r="D1223" s="252"/>
      <c r="E1223" s="252" t="s">
        <v>318</v>
      </c>
      <c r="F1223" s="812">
        <f>+F1221</f>
        <v>46131716.729999997</v>
      </c>
      <c r="G1223" s="812">
        <f>+G1221</f>
        <v>66812956.150000006</v>
      </c>
      <c r="H1223" s="812">
        <f>+H1221</f>
        <v>14115591</v>
      </c>
      <c r="I1223" s="812">
        <f>+I1221</f>
        <v>85782</v>
      </c>
      <c r="J1223" s="195">
        <f>SUM(F1223:I1223)</f>
        <v>127146045.88</v>
      </c>
      <c r="K1223" s="191"/>
      <c r="L1223" s="196">
        <f t="shared" si="167"/>
        <v>81014329.150000006</v>
      </c>
      <c r="M1223" s="64"/>
      <c r="N1223" s="751">
        <f>J1223-L1223-F1223</f>
        <v>0</v>
      </c>
    </row>
    <row r="1224" spans="2:14" ht="15" thickBot="1" x14ac:dyDescent="0.25">
      <c r="B1224" s="16">
        <f t="shared" si="165"/>
        <v>21</v>
      </c>
      <c r="C1224" s="64"/>
      <c r="D1224" s="64"/>
      <c r="E1224" s="64"/>
      <c r="F1224" s="589"/>
      <c r="G1224" s="589"/>
      <c r="H1224" s="589"/>
      <c r="I1224" s="589"/>
      <c r="J1224" s="64"/>
      <c r="K1224" s="45"/>
      <c r="L1224" s="45"/>
      <c r="M1224" s="64"/>
    </row>
    <row r="1225" spans="2:14" ht="15.75" thickBot="1" x14ac:dyDescent="0.3">
      <c r="B1225" s="16">
        <f t="shared" si="165"/>
        <v>22</v>
      </c>
      <c r="C1225" s="223" t="s">
        <v>463</v>
      </c>
      <c r="D1225" s="252"/>
      <c r="E1225" s="252"/>
      <c r="F1225" s="812">
        <f>F622+F1187</f>
        <v>1957587928.9628499</v>
      </c>
      <c r="G1225" s="812">
        <f>G622+G1187</f>
        <v>5626905593.4032698</v>
      </c>
      <c r="H1225" s="812">
        <f>H622+H1187</f>
        <v>219358204.15531737</v>
      </c>
      <c r="I1225" s="812">
        <f>I622+I1187</f>
        <v>121750128.90782788</v>
      </c>
      <c r="J1225" s="195">
        <f>SUM(F1225:I1225)</f>
        <v>7925601855.429265</v>
      </c>
      <c r="K1225" s="191"/>
      <c r="L1225" s="196">
        <f t="shared" si="167"/>
        <v>5968013926.4664154</v>
      </c>
      <c r="M1225" s="101"/>
      <c r="N1225" s="751">
        <f>J1225-L1225-F1225</f>
        <v>0</v>
      </c>
    </row>
    <row r="1226" spans="2:14" ht="15" thickBot="1" x14ac:dyDescent="0.25">
      <c r="B1226" s="16">
        <f t="shared" si="165"/>
        <v>23</v>
      </c>
      <c r="C1226" s="64"/>
      <c r="D1226" s="64"/>
      <c r="E1226" s="64"/>
      <c r="F1226" s="589"/>
      <c r="G1226" s="589"/>
      <c r="H1226" s="589"/>
      <c r="I1226" s="589"/>
      <c r="J1226" s="64"/>
      <c r="K1226" s="45"/>
      <c r="L1226" s="45"/>
      <c r="M1226" s="64"/>
    </row>
    <row r="1227" spans="2:14" ht="15.75" thickBot="1" x14ac:dyDescent="0.3">
      <c r="B1227" s="16">
        <f t="shared" si="165"/>
        <v>24</v>
      </c>
      <c r="C1227" s="223" t="s">
        <v>677</v>
      </c>
      <c r="D1227" s="252"/>
      <c r="E1227" s="252"/>
      <c r="F1227" s="812">
        <f>F1225-F1223</f>
        <v>1911456212.2328498</v>
      </c>
      <c r="G1227" s="812">
        <f>G1225-G1223</f>
        <v>5560092637.2532701</v>
      </c>
      <c r="H1227" s="812">
        <f>H1225-H1223</f>
        <v>205242613.15531737</v>
      </c>
      <c r="I1227" s="812">
        <f>I1225-I1223</f>
        <v>121664346.90782788</v>
      </c>
      <c r="J1227" s="195">
        <f>SUM(F1227:I1227)</f>
        <v>7798455809.5492659</v>
      </c>
      <c r="K1227" s="191"/>
      <c r="L1227" s="196">
        <f t="shared" si="167"/>
        <v>5886999597.3164158</v>
      </c>
      <c r="M1227" s="101"/>
      <c r="N1227" s="751">
        <f>J1227-L1227-F1227</f>
        <v>0</v>
      </c>
    </row>
    <row r="1228" spans="2:14" ht="15" thickBot="1" x14ac:dyDescent="0.25">
      <c r="B1228" s="16">
        <f t="shared" si="165"/>
        <v>25</v>
      </c>
      <c r="C1228" s="64"/>
      <c r="D1228" s="64"/>
      <c r="E1228" s="64"/>
      <c r="F1228" s="589"/>
      <c r="G1228" s="589"/>
      <c r="H1228" s="589"/>
      <c r="I1228" s="589"/>
      <c r="J1228" s="64"/>
      <c r="K1228" s="45"/>
      <c r="L1228" s="45"/>
      <c r="M1228" s="64"/>
    </row>
    <row r="1229" spans="2:14" ht="15" x14ac:dyDescent="0.25">
      <c r="B1229" s="16">
        <f t="shared" si="165"/>
        <v>26</v>
      </c>
      <c r="C1229" s="255" t="s">
        <v>1187</v>
      </c>
      <c r="D1229" s="241"/>
      <c r="E1229" s="241"/>
      <c r="F1229" s="817">
        <f>F1225-F645</f>
        <v>1957587928.9628499</v>
      </c>
      <c r="G1229" s="817">
        <f>G1225-G645-('WP II-I-2.2'!$P$45)*G776</f>
        <v>3526064120.7432699</v>
      </c>
      <c r="H1229" s="817">
        <f>H1225-H645</f>
        <v>219358204.15531737</v>
      </c>
      <c r="I1229" s="817">
        <f>I1225-I645</f>
        <v>121750128.90782788</v>
      </c>
      <c r="J1229" s="243">
        <f>SUM(F1229:I1229)</f>
        <v>5824760382.7692652</v>
      </c>
      <c r="K1229" s="191"/>
      <c r="L1229" s="244">
        <f t="shared" si="167"/>
        <v>3867172453.8064151</v>
      </c>
      <c r="M1229" s="101"/>
      <c r="N1229" s="751">
        <f>J1229-L1229-F1229</f>
        <v>0</v>
      </c>
    </row>
    <row r="1230" spans="2:14" x14ac:dyDescent="0.2">
      <c r="B1230" s="16">
        <f t="shared" si="165"/>
        <v>27</v>
      </c>
      <c r="C1230" s="324"/>
      <c r="D1230" s="325"/>
      <c r="E1230" s="325"/>
      <c r="F1230" s="853"/>
      <c r="G1230" s="853"/>
      <c r="H1230" s="853"/>
      <c r="I1230" s="853"/>
      <c r="J1230" s="237"/>
      <c r="K1230" s="1"/>
      <c r="L1230" s="326"/>
      <c r="M1230" s="64"/>
    </row>
    <row r="1231" spans="2:14" ht="15.75" thickBot="1" x14ac:dyDescent="0.3">
      <c r="B1231" s="16">
        <f t="shared" si="165"/>
        <v>28</v>
      </c>
      <c r="C1231" s="262" t="s">
        <v>1197</v>
      </c>
      <c r="D1231" s="247"/>
      <c r="E1231" s="247"/>
      <c r="F1231" s="248">
        <f>F1229-F1223</f>
        <v>1911456212.2328498</v>
      </c>
      <c r="G1231" s="248">
        <f>G1229-G1223</f>
        <v>3459251164.5932698</v>
      </c>
      <c r="H1231" s="248">
        <f>H1229-H1223</f>
        <v>205242613.15531737</v>
      </c>
      <c r="I1231" s="248">
        <f>I1229-I1223</f>
        <v>121664346.90782788</v>
      </c>
      <c r="J1231" s="249">
        <f>SUM(F1231:I1231)</f>
        <v>5697614336.8892651</v>
      </c>
      <c r="K1231" s="191"/>
      <c r="L1231" s="250">
        <f t="shared" si="167"/>
        <v>3786158124.656415</v>
      </c>
      <c r="M1231" s="101"/>
      <c r="N1231" s="751">
        <f>J1231-L1231-F1231</f>
        <v>0</v>
      </c>
    </row>
    <row r="1232" spans="2:14" x14ac:dyDescent="0.2">
      <c r="J1232" s="172"/>
      <c r="K1232" s="172"/>
      <c r="L1232" s="172"/>
    </row>
    <row r="1233" spans="3:12" x14ac:dyDescent="0.2">
      <c r="H1233" s="305"/>
      <c r="J1233" s="172"/>
      <c r="K1233" s="172"/>
      <c r="L1233" s="172"/>
    </row>
    <row r="1234" spans="3:12" s="958" customFormat="1" x14ac:dyDescent="0.2">
      <c r="C1234" s="958" t="s">
        <v>677</v>
      </c>
      <c r="F1234" s="959" t="b">
        <f>IF(ROUND(F1227-'WP II-I-1.1'!F500,0)=0,TRUE,F1227-'WP II-I-1.1'!F500)</f>
        <v>1</v>
      </c>
      <c r="G1234" s="959" t="b">
        <f>IF(ROUND(G1227-'WP II-I-1.1'!G500,0)=0,TRUE,G1227-'WP II-I-1.1'!G500)</f>
        <v>1</v>
      </c>
      <c r="H1234" s="959" t="b">
        <f>IF(ROUND(H1227-'WP II-I-1.1'!H500,0)=0,TRUE,H1227-'WP II-I-1.1'!H500)</f>
        <v>1</v>
      </c>
      <c r="I1234" s="959" t="b">
        <f>IF(ROUND(I1227-'WP II-I-1.1'!I500,0)=0,TRUE,I1227-'WP II-I-1.1'!I500)</f>
        <v>1</v>
      </c>
      <c r="J1234" s="959" t="b">
        <f>IF(ROUND(J1227-'WP II-I-1.1'!J500,0)=0,TRUE,J1227-'WP II-I-1.1'!J500)</f>
        <v>1</v>
      </c>
      <c r="K1234" s="959"/>
      <c r="L1234" s="960"/>
    </row>
  </sheetData>
  <phoneticPr fontId="0" type="noConversion"/>
  <printOptions horizontalCentered="1"/>
  <pageMargins left="0.5" right="0.35" top="1.5" bottom="0.75" header="1.5" footer="0.5"/>
  <pageSetup scale="60" fitToHeight="35" pageOrder="overThenDown" orientation="landscape" r:id="rId1"/>
  <headerFooter alignWithMargins="0">
    <oddHeader>&amp;RWP/ II-I-1.4
Page &amp;P of &amp;N</oddHeader>
  </headerFooter>
  <rowBreaks count="34" manualBreakCount="34">
    <brk id="39" max="13" man="1"/>
    <brk id="87" max="11" man="1"/>
    <brk id="121" max="16383" man="1"/>
    <brk id="169" max="16383" man="1"/>
    <brk id="200" max="16383" man="1"/>
    <brk id="226" max="16383" man="1"/>
    <brk id="244" max="13" man="1"/>
    <brk id="276" max="13" man="1"/>
    <brk id="328" max="16383" man="1"/>
    <brk id="369" max="16383" man="1"/>
    <brk id="389" max="16383" man="1"/>
    <brk id="414" max="16383" man="1"/>
    <brk id="436" max="16383" man="1"/>
    <brk id="456" max="16383" man="1"/>
    <brk id="479" max="16383" man="1"/>
    <brk id="502" max="16383" man="1"/>
    <brk id="556" max="11" man="1"/>
    <brk id="577" max="11" man="1"/>
    <brk id="623" max="16383" man="1"/>
    <brk id="664" max="16383" man="1"/>
    <brk id="710" max="16383" man="1"/>
    <brk id="754" max="16383" man="1"/>
    <brk id="788" max="16383" man="1"/>
    <brk id="828" max="16383" man="1"/>
    <brk id="874" max="13" man="1"/>
    <brk id="925" max="16383" man="1"/>
    <brk id="958" max="16383" man="1"/>
    <brk id="978" max="13" man="1"/>
    <brk id="1033" max="16383" man="1"/>
    <brk id="1071" max="16383" man="1"/>
    <brk id="1103" max="13" man="1"/>
    <brk id="1146" max="11" man="1"/>
    <brk id="1164" max="16383" man="1"/>
    <brk id="119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Z1448"/>
  <sheetViews>
    <sheetView view="pageBreakPreview" topLeftCell="A108" zoomScale="70" zoomScaleNormal="75" zoomScaleSheetLayoutView="70" workbookViewId="0">
      <selection activeCell="H1411" sqref="H1411"/>
    </sheetView>
  </sheetViews>
  <sheetFormatPr defaultRowHeight="14.25" x14ac:dyDescent="0.2"/>
  <cols>
    <col min="1" max="1" width="1" customWidth="1"/>
    <col min="2" max="2" width="4.625" customWidth="1"/>
    <col min="3" max="3" width="7.625" customWidth="1"/>
    <col min="4" max="4" width="45.875" customWidth="1"/>
    <col min="5" max="5" width="7.625" customWidth="1"/>
    <col min="6" max="6" width="18.75" customWidth="1"/>
    <col min="7" max="7" width="6" customWidth="1"/>
    <col min="8" max="8" width="15.25" customWidth="1"/>
    <col min="9" max="9" width="1" customWidth="1"/>
    <col min="10" max="10" width="18.75" customWidth="1"/>
    <col min="11" max="11" width="15.625" customWidth="1"/>
    <col min="12" max="12" width="18.5" customWidth="1"/>
    <col min="13" max="13" width="12.875" customWidth="1"/>
    <col min="14" max="14" width="17.25" customWidth="1"/>
    <col min="15" max="15" width="15.875" customWidth="1"/>
    <col min="16" max="16" width="15.625" customWidth="1"/>
    <col min="17" max="17" width="16.625" customWidth="1"/>
    <col min="18" max="18" width="12.75" customWidth="1"/>
    <col min="19" max="19" width="14.375" customWidth="1"/>
    <col min="20" max="20" width="0.625" customWidth="1"/>
    <col min="21" max="21" width="19.125" customWidth="1"/>
    <col min="22" max="22" width="1.25" customWidth="1"/>
    <col min="23" max="23" width="7.875" customWidth="1"/>
    <col min="24" max="24" width="12" customWidth="1"/>
    <col min="25" max="25" width="13.5" customWidth="1"/>
    <col min="28" max="28" width="9" customWidth="1"/>
  </cols>
  <sheetData>
    <row r="1" spans="1:24" ht="15" x14ac:dyDescent="0.2">
      <c r="A1" s="101"/>
      <c r="B1" s="1062"/>
      <c r="J1" s="101"/>
      <c r="U1" s="172"/>
    </row>
    <row r="2" spans="1:24" ht="15" x14ac:dyDescent="0.2">
      <c r="B2" s="1063"/>
      <c r="C2" s="935"/>
      <c r="H2" s="105"/>
      <c r="U2" s="105"/>
    </row>
    <row r="3" spans="1:24" ht="15" thickBo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101"/>
      <c r="W3" s="101"/>
    </row>
    <row r="4" spans="1:24" ht="15.75" x14ac:dyDescent="0.25">
      <c r="A4" s="64"/>
      <c r="B4" s="829" t="str">
        <f>'WP II-I-1.1'!B3</f>
        <v>2025 RATE CASE</v>
      </c>
      <c r="C4" s="867"/>
      <c r="D4" s="868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138"/>
      <c r="V4" s="138"/>
      <c r="W4" s="138"/>
      <c r="X4" s="138"/>
    </row>
    <row r="5" spans="1:24" ht="15.75" x14ac:dyDescent="0.25">
      <c r="A5" s="64"/>
      <c r="B5" s="826" t="str">
        <f>'WP II-I-1.1'!B4</f>
        <v>ONCOR ELECTRIC DELIVERY COMPANY LLC</v>
      </c>
      <c r="C5" s="752"/>
      <c r="D5" s="869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105"/>
      <c r="V5" s="64"/>
      <c r="W5" s="64"/>
      <c r="X5" s="138"/>
    </row>
    <row r="6" spans="1:24" ht="15.75" x14ac:dyDescent="0.25">
      <c r="A6" s="64"/>
      <c r="B6" s="341" t="str">
        <f>"II-I-1-DIST:  CLASS REVENUE REQUIREMENT"</f>
        <v>II-I-1-DIST:  CLASS REVENUE REQUIREMENT</v>
      </c>
      <c r="C6" s="752"/>
      <c r="D6" s="830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138"/>
    </row>
    <row r="7" spans="1:24" ht="15.75" x14ac:dyDescent="0.25">
      <c r="A7" s="64"/>
      <c r="B7" s="341" t="str">
        <f>'WP II-I-1.1'!B6</f>
        <v>TEST YEAR ENDING 12/31/2024</v>
      </c>
      <c r="C7" s="752"/>
      <c r="D7" s="830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138"/>
    </row>
    <row r="8" spans="1:24" ht="15.75" x14ac:dyDescent="0.25">
      <c r="A8" s="64"/>
      <c r="B8" s="341" t="str">
        <f>'WP II-I-2.2'!$B$7</f>
        <v>SPONSOR:  MATTHEW A. TROXLE</v>
      </c>
      <c r="C8" s="752"/>
      <c r="D8" s="830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138"/>
    </row>
    <row r="9" spans="1:24" ht="16.5" thickBot="1" x14ac:dyDescent="0.3">
      <c r="A9" s="64"/>
      <c r="B9" s="341"/>
      <c r="C9" s="752"/>
      <c r="D9" s="830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138"/>
    </row>
    <row r="10" spans="1:24" ht="15.75" thickBot="1" x14ac:dyDescent="0.25">
      <c r="A10" s="64"/>
      <c r="B10" s="12"/>
      <c r="C10" s="1149"/>
      <c r="D10" s="176"/>
      <c r="E10" s="177"/>
      <c r="F10" s="177"/>
      <c r="G10" s="177"/>
      <c r="H10" s="177"/>
      <c r="I10" s="406"/>
      <c r="J10" s="13"/>
      <c r="K10" s="177"/>
      <c r="L10" s="13"/>
      <c r="M10" s="177"/>
      <c r="N10" s="177"/>
      <c r="O10" s="177"/>
      <c r="P10" s="177"/>
      <c r="Q10" s="13"/>
      <c r="R10" s="328" t="str">
        <f>" "</f>
        <v xml:space="preserve"> </v>
      </c>
      <c r="S10" s="329"/>
      <c r="T10" s="177"/>
      <c r="U10" s="12"/>
      <c r="V10" s="64"/>
      <c r="W10" s="64"/>
      <c r="X10" s="138"/>
    </row>
    <row r="11" spans="1:24" ht="15.75" x14ac:dyDescent="0.25">
      <c r="A11" s="64"/>
      <c r="B11" s="14" t="s">
        <v>2</v>
      </c>
      <c r="C11" s="1150"/>
      <c r="D11" s="180" t="s">
        <v>678</v>
      </c>
      <c r="E11" s="181" t="s">
        <v>350</v>
      </c>
      <c r="F11" s="226" t="s">
        <v>7</v>
      </c>
      <c r="G11" s="181"/>
      <c r="H11" s="181"/>
      <c r="I11" s="330"/>
      <c r="J11" s="14" t="s">
        <v>679</v>
      </c>
      <c r="K11" s="181" t="s">
        <v>388</v>
      </c>
      <c r="L11" s="14" t="s">
        <v>388</v>
      </c>
      <c r="M11" s="181" t="s">
        <v>389</v>
      </c>
      <c r="N11" s="181" t="s">
        <v>389</v>
      </c>
      <c r="O11" s="181" t="s">
        <v>389</v>
      </c>
      <c r="P11" s="181" t="s">
        <v>390</v>
      </c>
      <c r="Q11" s="14" t="s">
        <v>391</v>
      </c>
      <c r="R11" s="331" t="s">
        <v>386</v>
      </c>
      <c r="S11" s="12" t="s">
        <v>386</v>
      </c>
      <c r="T11" s="181"/>
      <c r="U11" s="14" t="s">
        <v>10</v>
      </c>
      <c r="V11" s="64"/>
      <c r="W11" s="64"/>
      <c r="X11" s="138"/>
    </row>
    <row r="12" spans="1:24" ht="15" x14ac:dyDescent="0.2">
      <c r="A12" s="64"/>
      <c r="B12" s="14"/>
      <c r="C12" s="1150"/>
      <c r="D12" s="181"/>
      <c r="E12" s="181"/>
      <c r="F12" s="181"/>
      <c r="G12" s="181"/>
      <c r="H12" s="181"/>
      <c r="I12" s="330"/>
      <c r="J12" s="14"/>
      <c r="K12" s="181" t="s">
        <v>680</v>
      </c>
      <c r="L12" s="14" t="s">
        <v>681</v>
      </c>
      <c r="M12" s="181" t="s">
        <v>680</v>
      </c>
      <c r="N12" s="181" t="s">
        <v>681</v>
      </c>
      <c r="O12" s="181" t="s">
        <v>393</v>
      </c>
      <c r="P12" s="181"/>
      <c r="Q12" s="14"/>
      <c r="R12" s="174" t="s">
        <v>411</v>
      </c>
      <c r="S12" s="14" t="s">
        <v>394</v>
      </c>
      <c r="T12" s="181"/>
      <c r="U12" s="14"/>
      <c r="V12" s="64"/>
      <c r="W12" s="64"/>
    </row>
    <row r="13" spans="1:24" ht="15" thickBot="1" x14ac:dyDescent="0.25">
      <c r="A13" s="64"/>
      <c r="B13" s="15"/>
      <c r="C13" s="408"/>
      <c r="D13" s="184"/>
      <c r="E13" s="184"/>
      <c r="F13" s="15" t="s">
        <v>13</v>
      </c>
      <c r="G13" s="15" t="s">
        <v>14</v>
      </c>
      <c r="H13" s="15" t="s">
        <v>15</v>
      </c>
      <c r="I13" s="182"/>
      <c r="J13" s="15" t="s">
        <v>16</v>
      </c>
      <c r="K13" s="182" t="s">
        <v>17</v>
      </c>
      <c r="L13" s="15" t="s">
        <v>18</v>
      </c>
      <c r="M13" s="15" t="s">
        <v>19</v>
      </c>
      <c r="N13" s="15" t="s">
        <v>20</v>
      </c>
      <c r="O13" s="15" t="s">
        <v>21</v>
      </c>
      <c r="P13" s="15" t="s">
        <v>22</v>
      </c>
      <c r="Q13" s="15" t="s">
        <v>397</v>
      </c>
      <c r="R13" s="182" t="s">
        <v>398</v>
      </c>
      <c r="S13" s="15" t="s">
        <v>682</v>
      </c>
      <c r="T13" s="15"/>
      <c r="U13" s="15" t="s">
        <v>683</v>
      </c>
      <c r="V13" s="64"/>
      <c r="W13" s="64"/>
    </row>
    <row r="14" spans="1:24" x14ac:dyDescent="0.2">
      <c r="A14" s="64"/>
      <c r="B14" s="64"/>
      <c r="C14" s="11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1"/>
      <c r="V14" s="64"/>
      <c r="W14" s="64"/>
    </row>
    <row r="15" spans="1:24" ht="15" x14ac:dyDescent="0.25">
      <c r="A15" s="64"/>
      <c r="B15" s="16">
        <f t="shared" ref="B15:B24" si="0">B14+1</f>
        <v>1</v>
      </c>
      <c r="C15" s="11"/>
      <c r="D15" s="186" t="s">
        <v>592</v>
      </c>
      <c r="E15" s="55" t="s">
        <v>236</v>
      </c>
      <c r="F15" s="98">
        <f>F661+F709</f>
        <v>2465845937.04</v>
      </c>
      <c r="G15" s="185"/>
      <c r="H15" s="185"/>
      <c r="I15" s="185"/>
      <c r="J15" s="98">
        <f t="shared" ref="J15:Q15" ca="1" si="1">J661+J709</f>
        <v>1112581185.372129</v>
      </c>
      <c r="K15" s="98">
        <f t="shared" ca="1" si="1"/>
        <v>22758119.058724228</v>
      </c>
      <c r="L15" s="98">
        <f t="shared" ca="1" si="1"/>
        <v>763826290.56078959</v>
      </c>
      <c r="M15" s="98">
        <f t="shared" ca="1" si="1"/>
        <v>359979.97054501635</v>
      </c>
      <c r="N15" s="98">
        <f t="shared" ca="1" si="1"/>
        <v>230273708.01729742</v>
      </c>
      <c r="O15" s="98">
        <f ca="1">O661+O709</f>
        <v>75448314.761212856</v>
      </c>
      <c r="P15" s="98">
        <f t="shared" ca="1" si="1"/>
        <v>247426885.69303074</v>
      </c>
      <c r="Q15" s="98">
        <f t="shared" ca="1" si="1"/>
        <v>11812786.618961325</v>
      </c>
      <c r="R15" s="98">
        <f ca="1">R661+R709</f>
        <v>208241.91539838881</v>
      </c>
      <c r="S15" s="98">
        <f ca="1">S661+S709</f>
        <v>1150425.0719113618</v>
      </c>
      <c r="T15" s="185"/>
      <c r="U15" s="98">
        <f ca="1">SUM(I15:T15)</f>
        <v>2465845937.0400004</v>
      </c>
      <c r="V15" s="64"/>
      <c r="W15" s="64"/>
      <c r="X15" s="305">
        <f ca="1">U15-F15</f>
        <v>0</v>
      </c>
    </row>
    <row r="16" spans="1:24" ht="15" x14ac:dyDescent="0.25">
      <c r="A16" s="64"/>
      <c r="B16" s="16">
        <f t="shared" si="0"/>
        <v>2</v>
      </c>
      <c r="C16" s="11"/>
      <c r="D16" s="186" t="s">
        <v>593</v>
      </c>
      <c r="E16" s="55" t="s">
        <v>236</v>
      </c>
      <c r="F16" s="23">
        <f>F729+F739+F749</f>
        <v>339790.12</v>
      </c>
      <c r="G16" s="185"/>
      <c r="H16" s="185"/>
      <c r="I16" s="185"/>
      <c r="J16" s="98">
        <f t="shared" ref="J16:Q16" si="2">J729+J739+J749</f>
        <v>254774.27288305075</v>
      </c>
      <c r="K16" s="98">
        <f t="shared" si="2"/>
        <v>24361.402553575645</v>
      </c>
      <c r="L16" s="98">
        <f t="shared" si="2"/>
        <v>44514.918085944752</v>
      </c>
      <c r="M16" s="98">
        <f t="shared" si="2"/>
        <v>1487.8884383889208</v>
      </c>
      <c r="N16" s="98">
        <f t="shared" si="2"/>
        <v>10475.930717435942</v>
      </c>
      <c r="O16" s="98">
        <f>O729+O739+O749</f>
        <v>339.8816775007831</v>
      </c>
      <c r="P16" s="98">
        <f t="shared" si="2"/>
        <v>708.95564632065214</v>
      </c>
      <c r="Q16" s="98">
        <f t="shared" si="2"/>
        <v>2993.6929123193609</v>
      </c>
      <c r="R16" s="98">
        <f>R729+R739+R749</f>
        <v>37.532945981681586</v>
      </c>
      <c r="S16" s="98">
        <f>S729+S739+S749</f>
        <v>95.644139481518749</v>
      </c>
      <c r="T16" s="185"/>
      <c r="U16" s="98">
        <f>SUM(I16:T16)</f>
        <v>339790.12000000005</v>
      </c>
      <c r="V16" s="64"/>
      <c r="W16" s="64"/>
      <c r="X16" s="305">
        <f t="shared" ref="X16:X79" si="3">U16-F16</f>
        <v>0</v>
      </c>
    </row>
    <row r="17" spans="1:26" ht="16.5" x14ac:dyDescent="0.35">
      <c r="A17" s="64"/>
      <c r="B17" s="16">
        <f t="shared" si="0"/>
        <v>3</v>
      </c>
      <c r="C17" s="11"/>
      <c r="D17" s="559" t="s">
        <v>594</v>
      </c>
      <c r="E17" s="55" t="s">
        <v>236</v>
      </c>
      <c r="F17" s="205">
        <f>F783</f>
        <v>862254076.08000004</v>
      </c>
      <c r="G17" s="185"/>
      <c r="H17" s="185"/>
      <c r="I17" s="185"/>
      <c r="J17" s="204">
        <f t="shared" ref="J17:Q17" ca="1" si="4">J783</f>
        <v>459862606.186961</v>
      </c>
      <c r="K17" s="204">
        <f t="shared" ca="1" si="4"/>
        <v>13373498.161593666</v>
      </c>
      <c r="L17" s="204">
        <f t="shared" ca="1" si="4"/>
        <v>291760409.98486793</v>
      </c>
      <c r="M17" s="204">
        <f t="shared" ca="1" si="4"/>
        <v>182914.30028372907</v>
      </c>
      <c r="N17" s="204">
        <f t="shared" ca="1" si="4"/>
        <v>59664370.198566064</v>
      </c>
      <c r="O17" s="204">
        <f ca="1">O783</f>
        <v>6384539.4460068978</v>
      </c>
      <c r="P17" s="204">
        <f t="shared" ca="1" si="4"/>
        <v>825460.57770532405</v>
      </c>
      <c r="Q17" s="204">
        <f t="shared" ca="1" si="4"/>
        <v>27500798.555158991</v>
      </c>
      <c r="R17" s="204">
        <f ca="1">R783</f>
        <v>438479.81412157789</v>
      </c>
      <c r="S17" s="204">
        <f ca="1">S783</f>
        <v>2260998.8547346657</v>
      </c>
      <c r="T17" s="185"/>
      <c r="U17" s="204">
        <f ca="1">SUM(I17:T17)</f>
        <v>862254076.07999992</v>
      </c>
      <c r="V17" s="64"/>
      <c r="W17" s="64"/>
      <c r="X17" s="305">
        <f t="shared" ca="1" si="3"/>
        <v>0</v>
      </c>
    </row>
    <row r="18" spans="1:26" ht="15.75" x14ac:dyDescent="0.25">
      <c r="A18" s="97"/>
      <c r="B18" s="16">
        <f t="shared" si="0"/>
        <v>4</v>
      </c>
      <c r="C18" s="138"/>
      <c r="D18" s="186" t="s">
        <v>458</v>
      </c>
      <c r="E18" s="55"/>
      <c r="F18" s="805">
        <f>SUM(F15:F17)</f>
        <v>3328439803.2399998</v>
      </c>
      <c r="G18" s="55"/>
      <c r="H18" s="19"/>
      <c r="I18" s="55"/>
      <c r="J18" s="51">
        <f t="shared" ref="J18:Q18" ca="1" si="5">SUM(J15:J17)</f>
        <v>1572698565.8319728</v>
      </c>
      <c r="K18" s="51">
        <f t="shared" ca="1" si="5"/>
        <v>36155978.622871473</v>
      </c>
      <c r="L18" s="51">
        <f t="shared" ca="1" si="5"/>
        <v>1055631215.4637434</v>
      </c>
      <c r="M18" s="51">
        <f t="shared" ca="1" si="5"/>
        <v>544382.15926713438</v>
      </c>
      <c r="N18" s="51">
        <f t="shared" ca="1" si="5"/>
        <v>289948554.14658093</v>
      </c>
      <c r="O18" s="51">
        <f ca="1">SUM(O15:O17)</f>
        <v>81833194.088897243</v>
      </c>
      <c r="P18" s="51">
        <f t="shared" ca="1" si="5"/>
        <v>248253055.22638237</v>
      </c>
      <c r="Q18" s="51">
        <f t="shared" ca="1" si="5"/>
        <v>39316578.867032632</v>
      </c>
      <c r="R18" s="51">
        <f ca="1">SUM(R15:R17)</f>
        <v>646759.26246594836</v>
      </c>
      <c r="S18" s="51">
        <f ca="1">SUM(S15:S17)</f>
        <v>3411519.570785509</v>
      </c>
      <c r="T18" s="48"/>
      <c r="U18" s="190">
        <f ca="1">SUM(I18:T18)</f>
        <v>3328439803.2399993</v>
      </c>
      <c r="V18" s="64"/>
      <c r="W18" s="64"/>
      <c r="X18" s="305">
        <f t="shared" ca="1" si="3"/>
        <v>0</v>
      </c>
      <c r="Y18" s="612" t="b">
        <f ca="1">'WP II-I-1.1'!$G$495=U18</f>
        <v>1</v>
      </c>
      <c r="Z18" s="589" t="s">
        <v>1143</v>
      </c>
    </row>
    <row r="19" spans="1:26" ht="15.75" x14ac:dyDescent="0.25">
      <c r="A19" s="97"/>
      <c r="B19" s="16">
        <f t="shared" si="0"/>
        <v>5</v>
      </c>
      <c r="C19" s="138"/>
      <c r="D19" s="186"/>
      <c r="E19" s="55"/>
      <c r="F19" s="803"/>
      <c r="G19" s="55"/>
      <c r="H19" s="19"/>
      <c r="I19" s="55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98"/>
      <c r="V19" s="64"/>
      <c r="W19" s="64"/>
      <c r="X19" s="305">
        <f t="shared" si="3"/>
        <v>0</v>
      </c>
    </row>
    <row r="20" spans="1:26" ht="15.75" x14ac:dyDescent="0.25">
      <c r="A20" s="97"/>
      <c r="B20" s="16">
        <f t="shared" si="0"/>
        <v>6</v>
      </c>
      <c r="C20" s="138"/>
      <c r="D20" s="154" t="s">
        <v>590</v>
      </c>
      <c r="E20" s="55" t="s">
        <v>280</v>
      </c>
      <c r="F20" s="803">
        <f>F1065</f>
        <v>651417051.77999997</v>
      </c>
      <c r="G20" s="55"/>
      <c r="H20" s="19"/>
      <c r="I20" s="55"/>
      <c r="J20" s="48">
        <f t="shared" ref="J20:Q20" ca="1" si="6">J1065</f>
        <v>344614149.32039005</v>
      </c>
      <c r="K20" s="48">
        <f t="shared" ca="1" si="6"/>
        <v>11876247.33674439</v>
      </c>
      <c r="L20" s="48">
        <f t="shared" ca="1" si="6"/>
        <v>217342209.16610709</v>
      </c>
      <c r="M20" s="48">
        <f t="shared" ca="1" si="6"/>
        <v>63251.400844966229</v>
      </c>
      <c r="N20" s="48">
        <f t="shared" ca="1" si="6"/>
        <v>39759013.301531591</v>
      </c>
      <c r="O20" s="48">
        <f ca="1">O1065</f>
        <v>3731667.6100232075</v>
      </c>
      <c r="P20" s="48">
        <f t="shared" ca="1" si="6"/>
        <v>647373.09331261017</v>
      </c>
      <c r="Q20" s="48">
        <f t="shared" ca="1" si="6"/>
        <v>31599629.802086275</v>
      </c>
      <c r="R20" s="48">
        <f ca="1">R1065</f>
        <v>257947.44425908255</v>
      </c>
      <c r="S20" s="48">
        <f ca="1">S1065</f>
        <v>1525563.3047007185</v>
      </c>
      <c r="T20" s="48"/>
      <c r="U20" s="98">
        <f ca="1">SUM(I20:T20)</f>
        <v>651417051.77999985</v>
      </c>
      <c r="V20" s="64"/>
      <c r="W20" s="64"/>
      <c r="X20" s="305">
        <f t="shared" ca="1" si="3"/>
        <v>0</v>
      </c>
    </row>
    <row r="21" spans="1:26" ht="17.25" x14ac:dyDescent="0.35">
      <c r="A21" s="97"/>
      <c r="B21" s="16">
        <f t="shared" si="0"/>
        <v>7</v>
      </c>
      <c r="C21" s="138"/>
      <c r="D21" s="560" t="s">
        <v>591</v>
      </c>
      <c r="E21" s="55" t="s">
        <v>313</v>
      </c>
      <c r="F21" s="810">
        <f>F1067+F1068</f>
        <v>15428625.759999998</v>
      </c>
      <c r="G21" s="55"/>
      <c r="H21" s="19"/>
      <c r="I21" s="55"/>
      <c r="J21" s="557">
        <f t="shared" ref="J21:Q21" ca="1" si="7">J1067+J1068</f>
        <v>8417584.3285156284</v>
      </c>
      <c r="K21" s="557">
        <f t="shared" ca="1" si="7"/>
        <v>222821.52119660002</v>
      </c>
      <c r="L21" s="557">
        <f t="shared" ca="1" si="7"/>
        <v>5359035.7768390821</v>
      </c>
      <c r="M21" s="557">
        <f t="shared" ca="1" si="7"/>
        <v>1614.6021155010158</v>
      </c>
      <c r="N21" s="557">
        <f t="shared" ca="1" si="7"/>
        <v>1014918.0275743222</v>
      </c>
      <c r="O21" s="557">
        <f ca="1">O1067+O1068</f>
        <v>118589.02953894621</v>
      </c>
      <c r="P21" s="557">
        <f t="shared" ca="1" si="7"/>
        <v>20014.915559177683</v>
      </c>
      <c r="Q21" s="557">
        <f t="shared" ca="1" si="7"/>
        <v>226907.56255514783</v>
      </c>
      <c r="R21" s="557">
        <f ca="1">R1067+R1068</f>
        <v>8197.3370309221591</v>
      </c>
      <c r="S21" s="557">
        <f ca="1">S1067+S1068</f>
        <v>38942.659074665055</v>
      </c>
      <c r="T21" s="48"/>
      <c r="U21" s="204">
        <f ca="1">SUM(I21:T21)</f>
        <v>15428625.759999996</v>
      </c>
      <c r="V21" s="64"/>
      <c r="W21" s="64"/>
      <c r="X21" s="305">
        <f t="shared" ca="1" si="3"/>
        <v>0</v>
      </c>
    </row>
    <row r="22" spans="1:26" ht="15.75" x14ac:dyDescent="0.25">
      <c r="A22" s="97"/>
      <c r="B22" s="16">
        <f t="shared" si="0"/>
        <v>8</v>
      </c>
      <c r="C22" s="138"/>
      <c r="D22" s="11" t="s">
        <v>459</v>
      </c>
      <c r="E22" s="55"/>
      <c r="F22" s="805">
        <f>SUM(F20:F21)</f>
        <v>666845677.53999996</v>
      </c>
      <c r="G22" s="55"/>
      <c r="H22" s="55"/>
      <c r="I22" s="55"/>
      <c r="J22" s="51">
        <f t="shared" ref="J22:Q22" ca="1" si="8">SUM(J20:J21)</f>
        <v>353031733.64890569</v>
      </c>
      <c r="K22" s="51">
        <f t="shared" ca="1" si="8"/>
        <v>12099068.85794099</v>
      </c>
      <c r="L22" s="51">
        <f t="shared" ca="1" si="8"/>
        <v>222701244.94294617</v>
      </c>
      <c r="M22" s="51">
        <f t="shared" ca="1" si="8"/>
        <v>64866.002960467245</v>
      </c>
      <c r="N22" s="51">
        <f t="shared" ca="1" si="8"/>
        <v>40773931.329105914</v>
      </c>
      <c r="O22" s="51">
        <f ca="1">SUM(O20:O21)</f>
        <v>3850256.6395621537</v>
      </c>
      <c r="P22" s="51">
        <f t="shared" ca="1" si="8"/>
        <v>667388.00887178781</v>
      </c>
      <c r="Q22" s="51">
        <f t="shared" ca="1" si="8"/>
        <v>31826537.364641424</v>
      </c>
      <c r="R22" s="51">
        <f ca="1">SUM(R20:R21)</f>
        <v>266144.78129000473</v>
      </c>
      <c r="S22" s="51">
        <f ca="1">SUM(S20:S21)</f>
        <v>1564505.9637753835</v>
      </c>
      <c r="T22" s="48"/>
      <c r="U22" s="190">
        <f ca="1">SUM(I22:T22)</f>
        <v>666845677.53999996</v>
      </c>
      <c r="V22" s="64"/>
      <c r="W22" s="64"/>
      <c r="X22" s="305">
        <f t="shared" ca="1" si="3"/>
        <v>0</v>
      </c>
      <c r="Y22" s="612" t="b">
        <f ca="1">'WP II-I-1.1'!$G$496=U22</f>
        <v>1</v>
      </c>
    </row>
    <row r="23" spans="1:26" ht="15.75" x14ac:dyDescent="0.25">
      <c r="A23" s="97"/>
      <c r="B23" s="16">
        <f t="shared" si="0"/>
        <v>9</v>
      </c>
      <c r="C23" s="138"/>
      <c r="D23" s="11"/>
      <c r="E23" s="55"/>
      <c r="F23" s="803"/>
      <c r="G23" s="55"/>
      <c r="H23" s="55"/>
      <c r="I23" s="5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98"/>
      <c r="V23" s="64"/>
      <c r="W23" s="64"/>
      <c r="X23" s="305">
        <f t="shared" si="3"/>
        <v>0</v>
      </c>
    </row>
    <row r="24" spans="1:26" ht="14.45" customHeight="1" x14ac:dyDescent="0.25">
      <c r="A24" s="97"/>
      <c r="B24" s="16">
        <f t="shared" si="0"/>
        <v>10</v>
      </c>
      <c r="C24" s="138"/>
      <c r="D24" s="11" t="s">
        <v>343</v>
      </c>
      <c r="E24" s="55" t="s">
        <v>288</v>
      </c>
      <c r="F24" s="803">
        <f>+F1103</f>
        <v>482520278.13999999</v>
      </c>
      <c r="G24" s="55"/>
      <c r="H24" s="55"/>
      <c r="I24" s="55"/>
      <c r="J24" s="48">
        <f t="shared" ref="J24:Q24" ca="1" si="9">+J1103</f>
        <v>215827986.13671395</v>
      </c>
      <c r="K24" s="48">
        <f t="shared" ca="1" si="9"/>
        <v>6574075.104681477</v>
      </c>
      <c r="L24" s="48">
        <f t="shared" ca="1" si="9"/>
        <v>187509281.95644155</v>
      </c>
      <c r="M24" s="48">
        <f t="shared" ca="1" si="9"/>
        <v>25914.633512580356</v>
      </c>
      <c r="N24" s="48">
        <f t="shared" ca="1" si="9"/>
        <v>32451643.596668117</v>
      </c>
      <c r="O24" s="48">
        <f ca="1">+O1103</f>
        <v>5269286.3101618178</v>
      </c>
      <c r="P24" s="48">
        <f t="shared" ca="1" si="9"/>
        <v>27492618.247865502</v>
      </c>
      <c r="Q24" s="48">
        <f t="shared" ca="1" si="9"/>
        <v>6179210.5714292023</v>
      </c>
      <c r="R24" s="48">
        <f ca="1">+R1103</f>
        <v>389986.78307634249</v>
      </c>
      <c r="S24" s="48">
        <f ca="1">+S1103</f>
        <v>800274.79944930295</v>
      </c>
      <c r="T24" s="48"/>
      <c r="U24" s="98">
        <f ca="1">SUM(I24:T24)</f>
        <v>482520278.13999987</v>
      </c>
      <c r="V24" s="64"/>
      <c r="W24" s="64"/>
      <c r="X24" s="305">
        <f t="shared" ca="1" si="3"/>
        <v>0</v>
      </c>
      <c r="Y24" s="612" t="b">
        <f ca="1">'WP II-I-1.1'!$G$497=U24</f>
        <v>1</v>
      </c>
    </row>
    <row r="25" spans="1:26" ht="15.75" x14ac:dyDescent="0.25">
      <c r="A25" s="97"/>
      <c r="B25" s="16">
        <f t="shared" ref="B25:B39" si="10">B24+1</f>
        <v>11</v>
      </c>
      <c r="C25" s="138"/>
      <c r="D25" s="186" t="s">
        <v>460</v>
      </c>
      <c r="E25" s="55" t="s">
        <v>299</v>
      </c>
      <c r="F25" s="803">
        <f>+F1162</f>
        <v>140081472.55408657</v>
      </c>
      <c r="G25" s="55"/>
      <c r="H25" s="55"/>
      <c r="I25" s="55"/>
      <c r="J25" s="48">
        <f t="shared" ref="J25:Q25" ca="1" si="11">+J1162</f>
        <v>76325937.319654435</v>
      </c>
      <c r="K25" s="48">
        <f t="shared" ca="1" si="11"/>
        <v>2004781.4404716871</v>
      </c>
      <c r="L25" s="48">
        <f t="shared" ca="1" si="11"/>
        <v>48825551.701539032</v>
      </c>
      <c r="M25" s="48">
        <f t="shared" ca="1" si="11"/>
        <v>13856.39916743188</v>
      </c>
      <c r="N25" s="48">
        <f t="shared" ca="1" si="11"/>
        <v>9205940.8116862103</v>
      </c>
      <c r="O25" s="48">
        <f ca="1">+O1162</f>
        <v>1080092.5453297673</v>
      </c>
      <c r="P25" s="48">
        <f t="shared" ca="1" si="11"/>
        <v>274962.90126592247</v>
      </c>
      <c r="Q25" s="48">
        <f t="shared" ca="1" si="11"/>
        <v>1923365.5054662486</v>
      </c>
      <c r="R25" s="48">
        <f ca="1">+R1162</f>
        <v>75227.976490025219</v>
      </c>
      <c r="S25" s="48">
        <f ca="1">+S1162</f>
        <v>351755.95301570604</v>
      </c>
      <c r="T25" s="48"/>
      <c r="U25" s="98">
        <f ca="1">SUM(I25:T25)</f>
        <v>140081472.55408648</v>
      </c>
      <c r="V25" s="64"/>
      <c r="W25" s="64"/>
      <c r="X25" s="305">
        <f t="shared" ca="1" si="3"/>
        <v>0</v>
      </c>
      <c r="Y25" s="612">
        <f ca="1">'WP II-I-1.1'!$G$498-U25</f>
        <v>0</v>
      </c>
    </row>
    <row r="26" spans="1:26" ht="15.75" x14ac:dyDescent="0.25">
      <c r="A26" s="97"/>
      <c r="B26" s="16">
        <f t="shared" si="10"/>
        <v>12</v>
      </c>
      <c r="C26" s="138"/>
      <c r="D26" s="122"/>
      <c r="E26" s="187"/>
      <c r="F26" s="803"/>
      <c r="G26" s="187"/>
      <c r="H26" s="187"/>
      <c r="I26" s="18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64"/>
      <c r="W26" s="64"/>
      <c r="X26" s="305">
        <f t="shared" si="3"/>
        <v>0</v>
      </c>
    </row>
    <row r="27" spans="1:26" ht="15.75" x14ac:dyDescent="0.25">
      <c r="A27" s="97"/>
      <c r="B27" s="16">
        <f t="shared" si="10"/>
        <v>13</v>
      </c>
      <c r="C27" s="138"/>
      <c r="D27" s="11" t="s">
        <v>461</v>
      </c>
      <c r="E27" s="55" t="s">
        <v>462</v>
      </c>
      <c r="F27" s="803">
        <f>+F83</f>
        <v>1009018361.9291828</v>
      </c>
      <c r="G27" s="55"/>
      <c r="H27" s="55"/>
      <c r="I27" s="55"/>
      <c r="J27" s="48">
        <f t="shared" ref="J27:Q27" ca="1" si="12">+J83</f>
        <v>549611440.66317976</v>
      </c>
      <c r="K27" s="48">
        <f t="shared" ca="1" si="12"/>
        <v>14413198.600904902</v>
      </c>
      <c r="L27" s="48">
        <f t="shared" ca="1" si="12"/>
        <v>351583283.63591522</v>
      </c>
      <c r="M27" s="48">
        <f t="shared" ca="1" si="12"/>
        <v>105279.46949266038</v>
      </c>
      <c r="N27" s="48">
        <f t="shared" ca="1" si="12"/>
        <v>66579264.172825649</v>
      </c>
      <c r="O27" s="48">
        <f ca="1">+O83</f>
        <v>7827010.9114561304</v>
      </c>
      <c r="P27" s="48">
        <f t="shared" ca="1" si="12"/>
        <v>1959955.0315976443</v>
      </c>
      <c r="Q27" s="48">
        <f t="shared" ca="1" si="12"/>
        <v>13851282.928219566</v>
      </c>
      <c r="R27" s="48">
        <f ca="1">+R83</f>
        <v>544989.95810095873</v>
      </c>
      <c r="S27" s="48">
        <f ca="1">+S83</f>
        <v>2542656.5574902082</v>
      </c>
      <c r="T27" s="48"/>
      <c r="U27" s="98">
        <f ca="1">SUM(I27:T27)</f>
        <v>1009018361.9291826</v>
      </c>
      <c r="V27" s="64"/>
      <c r="W27" s="64"/>
      <c r="X27" s="305">
        <f t="shared" ca="1" si="3"/>
        <v>0</v>
      </c>
      <c r="Y27" s="612" t="b">
        <f ca="1">'WP II-I-1.1'!$G$494=U27</f>
        <v>1</v>
      </c>
    </row>
    <row r="28" spans="1:26" ht="15.75" x14ac:dyDescent="0.25">
      <c r="A28" s="97"/>
      <c r="B28" s="16">
        <f t="shared" si="10"/>
        <v>14</v>
      </c>
      <c r="C28" s="138"/>
      <c r="D28" s="186"/>
      <c r="E28" s="187"/>
      <c r="F28" s="647"/>
      <c r="G28" s="187"/>
      <c r="H28" s="187"/>
      <c r="I28" s="187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8"/>
      <c r="V28" s="64"/>
      <c r="W28" s="64"/>
      <c r="X28" s="305">
        <f t="shared" si="3"/>
        <v>0</v>
      </c>
    </row>
    <row r="29" spans="1:26" ht="15.75" x14ac:dyDescent="0.25">
      <c r="A29" s="97"/>
      <c r="B29" s="16">
        <f t="shared" si="10"/>
        <v>15</v>
      </c>
      <c r="C29" s="188"/>
      <c r="D29" s="189" t="s">
        <v>463</v>
      </c>
      <c r="E29" s="187"/>
      <c r="F29" s="805">
        <f>+F18+F22+F24+F25+F27</f>
        <v>5626905593.4032698</v>
      </c>
      <c r="G29" s="187"/>
      <c r="H29" s="187"/>
      <c r="I29" s="187"/>
      <c r="J29" s="51">
        <f t="shared" ref="J29:Q29" ca="1" si="13">+J18+J22+J24+J25+J27</f>
        <v>2767495663.6004267</v>
      </c>
      <c r="K29" s="51">
        <f t="shared" ca="1" si="13"/>
        <v>71247102.626870528</v>
      </c>
      <c r="L29" s="51">
        <f t="shared" ca="1" si="13"/>
        <v>1866250577.7005856</v>
      </c>
      <c r="M29" s="51">
        <f t="shared" ca="1" si="13"/>
        <v>754298.66440027417</v>
      </c>
      <c r="N29" s="51">
        <f t="shared" ca="1" si="13"/>
        <v>438959334.05686682</v>
      </c>
      <c r="O29" s="51">
        <f ca="1">+O18+O22+O24+O25+O27</f>
        <v>99859840.495407104</v>
      </c>
      <c r="P29" s="51">
        <f t="shared" ca="1" si="13"/>
        <v>278647979.41598326</v>
      </c>
      <c r="Q29" s="51">
        <f t="shared" ca="1" si="13"/>
        <v>93096975.236789092</v>
      </c>
      <c r="R29" s="51">
        <f ca="1">+R18+R22+R24+R25+R27</f>
        <v>1923108.7614232795</v>
      </c>
      <c r="S29" s="51">
        <f ca="1">+S18+S22+S24+S25+S27</f>
        <v>8670712.8445161097</v>
      </c>
      <c r="T29" s="51"/>
      <c r="U29" s="190">
        <f ca="1">SUM(I29:T29)</f>
        <v>5626905593.4032679</v>
      </c>
      <c r="V29" s="104"/>
      <c r="W29" s="104"/>
      <c r="X29" s="305">
        <f t="shared" ca="1" si="3"/>
        <v>0</v>
      </c>
      <c r="Y29" s="612" t="b">
        <f ca="1">'WP II-I-1.1'!$G$509=U29</f>
        <v>1</v>
      </c>
    </row>
    <row r="30" spans="1:26" ht="15.75" x14ac:dyDescent="0.25">
      <c r="A30" s="97"/>
      <c r="B30" s="16">
        <f t="shared" si="10"/>
        <v>16</v>
      </c>
      <c r="C30" s="138"/>
      <c r="D30" s="11"/>
      <c r="E30" s="55"/>
      <c r="F30" s="647"/>
      <c r="G30" s="55"/>
      <c r="H30" s="55"/>
      <c r="I30" s="5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64"/>
      <c r="W30" s="64"/>
      <c r="X30" s="305">
        <f t="shared" si="3"/>
        <v>0</v>
      </c>
    </row>
    <row r="31" spans="1:26" ht="15.75" x14ac:dyDescent="0.25">
      <c r="A31" s="97"/>
      <c r="B31" s="16">
        <f t="shared" si="10"/>
        <v>17</v>
      </c>
      <c r="C31" s="138"/>
      <c r="D31" s="11" t="s">
        <v>464</v>
      </c>
      <c r="E31" s="55" t="s">
        <v>318</v>
      </c>
      <c r="F31" s="803">
        <f>+F1222</f>
        <v>66812956.150000006</v>
      </c>
      <c r="G31" s="55"/>
      <c r="H31" s="55"/>
      <c r="I31" s="55"/>
      <c r="J31" s="48">
        <f t="shared" ref="J31:Q31" ca="1" si="14">+J1222</f>
        <v>37227660.314982563</v>
      </c>
      <c r="K31" s="48">
        <f t="shared" ca="1" si="14"/>
        <v>1479139.9690501953</v>
      </c>
      <c r="L31" s="48">
        <f t="shared" ca="1" si="14"/>
        <v>17210936.624977179</v>
      </c>
      <c r="M31" s="48">
        <f t="shared" ca="1" si="14"/>
        <v>17485.298637768941</v>
      </c>
      <c r="N31" s="48">
        <f t="shared" ca="1" si="14"/>
        <v>4364179.887896887</v>
      </c>
      <c r="O31" s="48">
        <f ca="1">+O1222</f>
        <v>1290926.5147523861</v>
      </c>
      <c r="P31" s="48">
        <f t="shared" ca="1" si="14"/>
        <v>4559734.2860010667</v>
      </c>
      <c r="Q31" s="48">
        <f t="shared" ca="1" si="14"/>
        <v>409541.83410346473</v>
      </c>
      <c r="R31" s="48">
        <f ca="1">+R1222</f>
        <v>88786.337962819947</v>
      </c>
      <c r="S31" s="48">
        <f ca="1">+S1222</f>
        <v>164565.08163566972</v>
      </c>
      <c r="T31" s="48"/>
      <c r="U31" s="98">
        <f ca="1">SUM(I31:T31)</f>
        <v>66812956.150000006</v>
      </c>
      <c r="V31" s="64"/>
      <c r="W31" s="64"/>
      <c r="X31" s="305">
        <f t="shared" ca="1" si="3"/>
        <v>0</v>
      </c>
      <c r="Y31" s="612" t="b">
        <f ca="1">'WP II-I-1.1'!$G$499=-U31</f>
        <v>1</v>
      </c>
    </row>
    <row r="32" spans="1:26" ht="15.75" thickBot="1" x14ac:dyDescent="0.25">
      <c r="A32" s="97"/>
      <c r="B32" s="16">
        <f t="shared" si="10"/>
        <v>18</v>
      </c>
      <c r="C32" s="138"/>
      <c r="D32" s="11"/>
      <c r="E32" s="11"/>
      <c r="F32" s="98"/>
      <c r="G32" s="11"/>
      <c r="H32" s="11"/>
      <c r="I32" s="11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11"/>
      <c r="U32" s="11"/>
      <c r="V32" s="64"/>
      <c r="W32" s="64"/>
      <c r="X32" s="305">
        <f t="shared" si="3"/>
        <v>0</v>
      </c>
    </row>
    <row r="33" spans="1:25" ht="16.5" thickBot="1" x14ac:dyDescent="0.3">
      <c r="A33" s="97"/>
      <c r="B33" s="16">
        <f t="shared" si="10"/>
        <v>19</v>
      </c>
      <c r="C33" s="138"/>
      <c r="D33" s="192" t="s">
        <v>337</v>
      </c>
      <c r="E33" s="193"/>
      <c r="F33" s="812">
        <f>+F29-F31</f>
        <v>5560092637.2532701</v>
      </c>
      <c r="G33" s="193"/>
      <c r="H33" s="332"/>
      <c r="I33" s="543"/>
      <c r="J33" s="381">
        <f t="shared" ref="J33:Q33" ca="1" si="15">+J29-J31</f>
        <v>2730268003.2854443</v>
      </c>
      <c r="K33" s="812">
        <f t="shared" ca="1" si="15"/>
        <v>69767962.657820329</v>
      </c>
      <c r="L33" s="812">
        <f t="shared" ca="1" si="15"/>
        <v>1849039641.0756085</v>
      </c>
      <c r="M33" s="812">
        <f t="shared" ca="1" si="15"/>
        <v>736813.36576250521</v>
      </c>
      <c r="N33" s="812">
        <f t="shared" ca="1" si="15"/>
        <v>434595154.16896993</v>
      </c>
      <c r="O33" s="812">
        <f ca="1">+O29-O31</f>
        <v>98568913.980654716</v>
      </c>
      <c r="P33" s="812">
        <f t="shared" ca="1" si="15"/>
        <v>274088245.12998217</v>
      </c>
      <c r="Q33" s="812">
        <f t="shared" ca="1" si="15"/>
        <v>92687433.402685627</v>
      </c>
      <c r="R33" s="812">
        <f ca="1">+R29-R31</f>
        <v>1834322.4234604596</v>
      </c>
      <c r="S33" s="315">
        <f ca="1">+S29-S31</f>
        <v>8506147.7628804408</v>
      </c>
      <c r="T33" s="914"/>
      <c r="U33" s="195">
        <f ca="1">SUM(I33:T33)</f>
        <v>5560092637.2532682</v>
      </c>
      <c r="V33" s="64"/>
      <c r="W33" s="64" t="b">
        <f ca="1">IF(' WP II-I-1.4'!G33=U33,TRUE,' WP II-I-1.4'!G33-G33)</f>
        <v>1</v>
      </c>
      <c r="X33" s="305">
        <f t="shared" ca="1" si="3"/>
        <v>0</v>
      </c>
      <c r="Y33" s="612" t="b">
        <f ca="1">'WP II-I-1.1'!$G$500=U33</f>
        <v>1</v>
      </c>
    </row>
    <row r="34" spans="1:25" ht="16.5" thickBot="1" x14ac:dyDescent="0.3">
      <c r="A34" s="64"/>
      <c r="B34" s="16">
        <f t="shared" si="10"/>
        <v>20</v>
      </c>
      <c r="C34" s="138"/>
      <c r="D34" s="11"/>
      <c r="E34" s="121"/>
      <c r="F34" s="98"/>
      <c r="G34" s="121"/>
      <c r="H34" s="121"/>
      <c r="I34" s="121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64"/>
      <c r="W34" s="64"/>
      <c r="X34" s="305">
        <f t="shared" si="3"/>
        <v>0</v>
      </c>
    </row>
    <row r="35" spans="1:25" ht="15.75" x14ac:dyDescent="0.25">
      <c r="A35" s="64"/>
      <c r="B35" s="16">
        <f t="shared" si="10"/>
        <v>21</v>
      </c>
      <c r="C35" s="138"/>
      <c r="D35" s="333"/>
      <c r="E35" s="334"/>
      <c r="F35" s="335"/>
      <c r="G35" s="334"/>
      <c r="H35" s="336"/>
      <c r="I35" s="417"/>
      <c r="J35" s="561"/>
      <c r="K35" s="335"/>
      <c r="L35" s="335"/>
      <c r="M35" s="335"/>
      <c r="N35" s="335"/>
      <c r="O35" s="335"/>
      <c r="P35" s="335"/>
      <c r="Q35" s="335"/>
      <c r="R35" s="335"/>
      <c r="S35" s="335"/>
      <c r="T35" s="1176"/>
      <c r="U35" s="337"/>
      <c r="V35" s="64"/>
      <c r="W35" s="64"/>
      <c r="X35" s="305">
        <f t="shared" si="3"/>
        <v>0</v>
      </c>
    </row>
    <row r="36" spans="1:25" ht="15" x14ac:dyDescent="0.2">
      <c r="A36" s="64"/>
      <c r="B36" s="16">
        <f t="shared" si="10"/>
        <v>22</v>
      </c>
      <c r="C36" s="138"/>
      <c r="D36" s="338"/>
      <c r="E36" s="339"/>
      <c r="F36" s="339"/>
      <c r="G36" s="339"/>
      <c r="H36" s="340"/>
      <c r="I36" s="418"/>
      <c r="J36" s="418"/>
      <c r="K36" s="339"/>
      <c r="L36" s="339"/>
      <c r="M36" s="339"/>
      <c r="N36" s="339"/>
      <c r="O36" s="339"/>
      <c r="P36" s="339"/>
      <c r="Q36" s="339"/>
      <c r="R36" s="339"/>
      <c r="S36" s="339"/>
      <c r="T36" s="1177"/>
      <c r="U36" s="340"/>
      <c r="V36" s="64"/>
      <c r="W36" s="64"/>
      <c r="X36" s="305">
        <f t="shared" si="3"/>
        <v>0</v>
      </c>
    </row>
    <row r="37" spans="1:25" ht="15.75" x14ac:dyDescent="0.25">
      <c r="A37" s="64"/>
      <c r="B37" s="16">
        <f t="shared" si="10"/>
        <v>23</v>
      </c>
      <c r="C37" s="138"/>
      <c r="D37" s="341" t="s">
        <v>684</v>
      </c>
      <c r="E37" s="121"/>
      <c r="F37" s="21">
        <f>F33</f>
        <v>5560092637.2532701</v>
      </c>
      <c r="G37" s="121"/>
      <c r="H37" s="342"/>
      <c r="I37" s="419"/>
      <c r="J37" s="562">
        <f ca="1">J33</f>
        <v>2730268003.2854443</v>
      </c>
      <c r="K37" s="805">
        <f t="shared" ref="K37:S37" ca="1" si="16">K33</f>
        <v>69767962.657820329</v>
      </c>
      <c r="L37" s="805">
        <f t="shared" ca="1" si="16"/>
        <v>1849039641.0756085</v>
      </c>
      <c r="M37" s="805">
        <f t="shared" ca="1" si="16"/>
        <v>736813.36576250521</v>
      </c>
      <c r="N37" s="805">
        <f t="shared" ca="1" si="16"/>
        <v>434595154.16896993</v>
      </c>
      <c r="O37" s="805">
        <f t="shared" ca="1" si="16"/>
        <v>98568913.980654716</v>
      </c>
      <c r="P37" s="805">
        <f t="shared" ca="1" si="16"/>
        <v>274088245.12998217</v>
      </c>
      <c r="Q37" s="805">
        <f t="shared" ca="1" si="16"/>
        <v>92687433.402685627</v>
      </c>
      <c r="R37" s="805">
        <f t="shared" ca="1" si="16"/>
        <v>1834322.4234604596</v>
      </c>
      <c r="S37" s="805">
        <f t="shared" ca="1" si="16"/>
        <v>8506147.7628804408</v>
      </c>
      <c r="T37" s="260"/>
      <c r="U37" s="343">
        <f ca="1">SUM(I37:T37)</f>
        <v>5560092637.2532682</v>
      </c>
      <c r="V37" s="64"/>
      <c r="W37" s="64"/>
      <c r="X37" s="305">
        <f t="shared" ca="1" si="3"/>
        <v>0</v>
      </c>
    </row>
    <row r="38" spans="1:25" ht="15.75" x14ac:dyDescent="0.25">
      <c r="A38" s="64"/>
      <c r="B38" s="16">
        <f t="shared" si="10"/>
        <v>24</v>
      </c>
      <c r="C38" s="138"/>
      <c r="D38" s="338"/>
      <c r="E38" s="121"/>
      <c r="F38" s="23"/>
      <c r="G38" s="121"/>
      <c r="H38" s="342"/>
      <c r="I38" s="419"/>
      <c r="J38" s="563"/>
      <c r="K38" s="23"/>
      <c r="L38" s="23"/>
      <c r="M38" s="23"/>
      <c r="N38" s="23"/>
      <c r="O38" s="23"/>
      <c r="P38" s="23"/>
      <c r="Q38" s="23"/>
      <c r="R38" s="23"/>
      <c r="S38" s="23"/>
      <c r="T38" s="1178"/>
      <c r="U38" s="344"/>
      <c r="V38" s="64"/>
      <c r="W38" s="64"/>
      <c r="X38" s="305">
        <f t="shared" si="3"/>
        <v>0</v>
      </c>
      <c r="Y38">
        <f>'WP II-I-2.2'!$P$45</f>
        <v>0</v>
      </c>
    </row>
    <row r="39" spans="1:25" ht="16.5" thickBot="1" x14ac:dyDescent="0.3">
      <c r="A39" s="64"/>
      <c r="B39" s="16">
        <f t="shared" si="10"/>
        <v>25</v>
      </c>
      <c r="C39" s="138"/>
      <c r="D39" s="345" t="s">
        <v>1217</v>
      </c>
      <c r="E39" s="346"/>
      <c r="F39" s="347">
        <f>+F37-F645-('WP II-I-2.2'!$P$45)*F776</f>
        <v>3459251164.5932703</v>
      </c>
      <c r="G39" s="346"/>
      <c r="H39" s="348"/>
      <c r="I39" s="1043"/>
      <c r="J39" s="962">
        <f ca="1">+J37-J645-('WP II-I-2.2'!$P$45)*J776</f>
        <v>1808863015.7172115</v>
      </c>
      <c r="K39" s="347">
        <f ca="1">+K37-K645-('WP II-I-2.2'!$P$45)*K776</f>
        <v>51193085.431880623</v>
      </c>
      <c r="L39" s="347">
        <f ca="1">+L37-L645-('WP II-I-2.2'!$P$45)*L776</f>
        <v>1207580120.741354</v>
      </c>
      <c r="M39" s="347">
        <f ca="1">+M37-M645-('WP II-I-2.2'!$P$45)*M776</f>
        <v>533883.97708080732</v>
      </c>
      <c r="N39" s="347">
        <f ca="1">+N37-N645-('WP II-I-2.2'!$P$45)*N776</f>
        <v>235145734.55356389</v>
      </c>
      <c r="O39" s="347">
        <f ca="1">+O37-O645-('WP II-I-2.2'!$P$45)*O776</f>
        <v>26160818.439228907</v>
      </c>
      <c r="P39" s="347">
        <f ca="1">+P37-P645-('WP II-I-2.2'!$P$45)*P776</f>
        <v>26746602.143922776</v>
      </c>
      <c r="Q39" s="347">
        <f ca="1">+Q37-Q645-('WP II-I-2.2'!$P$45)*Q776</f>
        <v>92687433.402685627</v>
      </c>
      <c r="R39" s="347">
        <f ca="1">+R37-R645-('WP II-I-2.2'!$P$45)*R776</f>
        <v>1834322.4234604596</v>
      </c>
      <c r="S39" s="347">
        <f ca="1">+S37-S645-('WP II-I-2.2'!$P$45)*S776</f>
        <v>8506147.7628804408</v>
      </c>
      <c r="T39" s="250"/>
      <c r="U39" s="349">
        <f ca="1">SUM(I39:T39)</f>
        <v>3459251164.5932693</v>
      </c>
      <c r="V39" s="64"/>
      <c r="W39" s="64"/>
      <c r="X39" s="305">
        <f t="shared" ca="1" si="3"/>
        <v>0</v>
      </c>
      <c r="Y39" s="612">
        <f ca="1">ROUND('WP II-I-1.1'!$G$500-'WP II-I-1.1'!$G$220-('WP II-I-1.1'!$G$279*'WP II-I-2.2'!$P$45),0)-U39</f>
        <v>0.40673065185546875</v>
      </c>
    </row>
    <row r="40" spans="1:25" ht="15" x14ac:dyDescent="0.25">
      <c r="A40" s="64"/>
      <c r="B40" s="64"/>
      <c r="C40" s="64"/>
      <c r="D40" s="64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64"/>
      <c r="V40" s="64"/>
      <c r="W40" s="97">
        <f ca="1">U39-F39</f>
        <v>0</v>
      </c>
      <c r="X40" s="305">
        <f t="shared" si="3"/>
        <v>0</v>
      </c>
    </row>
    <row r="41" spans="1:25" ht="15.75" thickBot="1" x14ac:dyDescent="0.3">
      <c r="A41" s="64"/>
      <c r="B41" s="64"/>
      <c r="C41" s="64"/>
      <c r="D41" s="64"/>
      <c r="E41" s="121"/>
      <c r="F41" s="121"/>
      <c r="G41" s="121"/>
      <c r="H41" s="105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05"/>
      <c r="V41" s="105">
        <f>$H$2</f>
        <v>0</v>
      </c>
      <c r="W41" s="105"/>
      <c r="X41" s="305"/>
    </row>
    <row r="42" spans="1:25" ht="15.75" x14ac:dyDescent="0.25">
      <c r="A42" s="64"/>
      <c r="B42" s="829" t="str">
        <f>+$B$4</f>
        <v>2025 RATE CASE</v>
      </c>
      <c r="C42" s="867"/>
      <c r="D42" s="868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105"/>
      <c r="V42" s="138"/>
      <c r="W42" s="138"/>
      <c r="X42" s="305">
        <f t="shared" si="3"/>
        <v>0</v>
      </c>
    </row>
    <row r="43" spans="1:25" ht="15.75" x14ac:dyDescent="0.25">
      <c r="A43" s="97"/>
      <c r="B43" s="826" t="str">
        <f>+$B$5</f>
        <v>ONCOR ELECTRIC DELIVERY COMPANY LLC</v>
      </c>
      <c r="C43" s="752"/>
      <c r="D43" s="869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105"/>
      <c r="V43" s="64"/>
      <c r="W43" s="64"/>
      <c r="X43" s="305">
        <f t="shared" si="3"/>
        <v>0</v>
      </c>
    </row>
    <row r="44" spans="1:25" ht="15.75" x14ac:dyDescent="0.25">
      <c r="A44" s="64"/>
      <c r="B44" s="826" t="str">
        <f>+$B$6</f>
        <v>II-I-1-DIST:  CLASS REVENUE REQUIREMENT</v>
      </c>
      <c r="C44" s="752"/>
      <c r="D44" s="830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305">
        <f t="shared" si="3"/>
        <v>0</v>
      </c>
    </row>
    <row r="45" spans="1:25" ht="15.75" x14ac:dyDescent="0.25">
      <c r="A45" s="64"/>
      <c r="B45" s="341" t="str">
        <f>+$B$7</f>
        <v>TEST YEAR ENDING 12/31/2024</v>
      </c>
      <c r="C45" s="752"/>
      <c r="D45" s="830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305">
        <f t="shared" si="3"/>
        <v>0</v>
      </c>
    </row>
    <row r="46" spans="1:25" ht="15.75" x14ac:dyDescent="0.25">
      <c r="A46" s="64"/>
      <c r="B46" s="341" t="str">
        <f>+$B$8</f>
        <v>SPONSOR:  MATTHEW A. TROXLE</v>
      </c>
      <c r="C46" s="752"/>
      <c r="D46" s="830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305">
        <f t="shared" si="3"/>
        <v>0</v>
      </c>
    </row>
    <row r="47" spans="1:25" ht="10.5" customHeight="1" thickBot="1" x14ac:dyDescent="0.3">
      <c r="A47" s="64"/>
      <c r="B47" s="345"/>
      <c r="C47" s="752"/>
      <c r="D47" s="830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305">
        <f t="shared" si="3"/>
        <v>0</v>
      </c>
    </row>
    <row r="48" spans="1:25" ht="15.75" thickBot="1" x14ac:dyDescent="0.25">
      <c r="A48" s="64"/>
      <c r="B48" s="174"/>
      <c r="C48" s="175"/>
      <c r="D48" s="198"/>
      <c r="E48" s="177"/>
      <c r="F48" s="13"/>
      <c r="G48" s="177"/>
      <c r="H48" s="177"/>
      <c r="I48" s="177"/>
      <c r="J48" s="177"/>
      <c r="K48" s="177"/>
      <c r="L48" s="13"/>
      <c r="M48" s="177"/>
      <c r="N48" s="177"/>
      <c r="O48" s="177"/>
      <c r="P48" s="177"/>
      <c r="Q48" s="13"/>
      <c r="R48" s="328" t="str">
        <f>R$10</f>
        <v xml:space="preserve"> </v>
      </c>
      <c r="S48" s="329"/>
      <c r="T48" s="177"/>
      <c r="U48" s="12"/>
      <c r="V48" s="64"/>
      <c r="W48" s="64"/>
      <c r="X48" s="305">
        <f t="shared" si="3"/>
        <v>0</v>
      </c>
    </row>
    <row r="49" spans="1:24" ht="15.75" x14ac:dyDescent="0.25">
      <c r="A49" s="64"/>
      <c r="B49" s="174" t="s">
        <v>2</v>
      </c>
      <c r="C49" s="179"/>
      <c r="D49" s="180" t="s">
        <v>685</v>
      </c>
      <c r="E49" s="181" t="s">
        <v>350</v>
      </c>
      <c r="F49" s="226" t="str">
        <f>F$11</f>
        <v>DIST</v>
      </c>
      <c r="G49" s="181"/>
      <c r="H49" s="181"/>
      <c r="I49" s="181"/>
      <c r="J49" s="181" t="s">
        <v>679</v>
      </c>
      <c r="K49" s="181" t="s">
        <v>388</v>
      </c>
      <c r="L49" s="14" t="s">
        <v>388</v>
      </c>
      <c r="M49" s="181" t="s">
        <v>389</v>
      </c>
      <c r="N49" s="181" t="s">
        <v>389</v>
      </c>
      <c r="O49" s="181" t="s">
        <v>389</v>
      </c>
      <c r="P49" s="181" t="s">
        <v>390</v>
      </c>
      <c r="Q49" s="14" t="s">
        <v>391</v>
      </c>
      <c r="R49" s="331" t="str">
        <f>R$11</f>
        <v>Wholesale</v>
      </c>
      <c r="S49" s="12" t="str">
        <f>S$11</f>
        <v>Wholesale</v>
      </c>
      <c r="T49" s="181"/>
      <c r="U49" s="14" t="s">
        <v>10</v>
      </c>
      <c r="V49" s="64"/>
      <c r="W49" s="64"/>
      <c r="X49" s="305"/>
    </row>
    <row r="50" spans="1:24" ht="15" x14ac:dyDescent="0.2">
      <c r="A50" s="64"/>
      <c r="B50" s="174"/>
      <c r="C50" s="179"/>
      <c r="D50" s="181"/>
      <c r="E50" s="181"/>
      <c r="F50" s="14"/>
      <c r="G50" s="181"/>
      <c r="H50" s="181"/>
      <c r="I50" s="181"/>
      <c r="J50" s="181"/>
      <c r="K50" s="181" t="s">
        <v>680</v>
      </c>
      <c r="L50" s="14" t="s">
        <v>681</v>
      </c>
      <c r="M50" s="181" t="s">
        <v>680</v>
      </c>
      <c r="N50" s="181" t="s">
        <v>681</v>
      </c>
      <c r="O50" s="181" t="s">
        <v>393</v>
      </c>
      <c r="P50" s="181"/>
      <c r="Q50" s="14"/>
      <c r="R50" s="174" t="str">
        <f>R$12</f>
        <v>XFMR</v>
      </c>
      <c r="S50" s="14" t="str">
        <f>S$12</f>
        <v>DLS</v>
      </c>
      <c r="T50" s="181"/>
      <c r="U50" s="14"/>
      <c r="V50" s="64"/>
      <c r="W50" s="64"/>
      <c r="X50" s="305">
        <f t="shared" si="3"/>
        <v>0</v>
      </c>
    </row>
    <row r="51" spans="1:24" ht="15" thickBot="1" x14ac:dyDescent="0.25">
      <c r="A51" s="64"/>
      <c r="B51" s="182"/>
      <c r="C51" s="182"/>
      <c r="D51" s="184"/>
      <c r="E51" s="184"/>
      <c r="F51" s="15" t="s">
        <v>13</v>
      </c>
      <c r="G51" s="15" t="s">
        <v>14</v>
      </c>
      <c r="H51" s="15" t="s">
        <v>15</v>
      </c>
      <c r="I51" s="15"/>
      <c r="J51" s="182" t="str">
        <f t="shared" ref="J51:Q51" si="17">J$13</f>
        <v>(d)</v>
      </c>
      <c r="K51" s="182" t="str">
        <f t="shared" si="17"/>
        <v>(e)</v>
      </c>
      <c r="L51" s="15" t="str">
        <f t="shared" si="17"/>
        <v>(f)</v>
      </c>
      <c r="M51" s="182" t="str">
        <f t="shared" si="17"/>
        <v>(g)</v>
      </c>
      <c r="N51" s="182" t="str">
        <f t="shared" si="17"/>
        <v>(h)</v>
      </c>
      <c r="O51" s="182" t="str">
        <f>O$13</f>
        <v>(i)</v>
      </c>
      <c r="P51" s="182" t="str">
        <f t="shared" si="17"/>
        <v>(j)</v>
      </c>
      <c r="Q51" s="182" t="str">
        <f t="shared" si="17"/>
        <v>(k)</v>
      </c>
      <c r="R51" s="182" t="str">
        <f>R$13</f>
        <v>(l)</v>
      </c>
      <c r="S51" s="15" t="str">
        <f>S$13</f>
        <v>(m)</v>
      </c>
      <c r="T51" s="15"/>
      <c r="U51" s="15" t="s">
        <v>683</v>
      </c>
      <c r="V51" s="64"/>
      <c r="W51" s="64"/>
      <c r="X51" s="305"/>
    </row>
    <row r="52" spans="1:24" x14ac:dyDescent="0.2">
      <c r="A52" s="64"/>
      <c r="B52" s="6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8"/>
      <c r="V52" s="64"/>
      <c r="W52" s="64"/>
      <c r="X52" s="305">
        <f t="shared" si="3"/>
        <v>0</v>
      </c>
    </row>
    <row r="53" spans="1:24" ht="15" x14ac:dyDescent="0.25">
      <c r="A53" s="64"/>
      <c r="B53" s="16">
        <f t="shared" ref="B53:B59" si="18">B52+1</f>
        <v>1</v>
      </c>
      <c r="C53" s="11"/>
      <c r="D53" s="199" t="s">
        <v>596</v>
      </c>
      <c r="E53" s="200" t="s">
        <v>24</v>
      </c>
      <c r="F53" s="98">
        <f>F106</f>
        <v>8645784</v>
      </c>
      <c r="G53" s="11"/>
      <c r="H53" s="11"/>
      <c r="I53" s="11"/>
      <c r="J53" s="98">
        <f t="shared" ref="J53:Q53" ca="1" si="19">J106</f>
        <v>4716986.2720249938</v>
      </c>
      <c r="K53" s="98">
        <f t="shared" ca="1" si="19"/>
        <v>124863.14547934344</v>
      </c>
      <c r="L53" s="98">
        <f t="shared" ca="1" si="19"/>
        <v>3003058.5027828761</v>
      </c>
      <c r="M53" s="98">
        <f t="shared" ca="1" si="19"/>
        <v>904.77929491011491</v>
      </c>
      <c r="N53" s="98">
        <f t="shared" ca="1" si="19"/>
        <v>568732.57415206335</v>
      </c>
      <c r="O53" s="98">
        <f ca="1">O106</f>
        <v>66454.080234515248</v>
      </c>
      <c r="P53" s="98">
        <f t="shared" ca="1" si="19"/>
        <v>11215.81658630428</v>
      </c>
      <c r="Q53" s="98">
        <f t="shared" ca="1" si="19"/>
        <v>127152.85238847458</v>
      </c>
      <c r="R53" s="98">
        <f ca="1">R106</f>
        <v>4593.5656517314037</v>
      </c>
      <c r="S53" s="98">
        <f ca="1">S106</f>
        <v>21822.411404785671</v>
      </c>
      <c r="T53" s="11"/>
      <c r="U53" s="98">
        <f ca="1">SUM(I53:T53)</f>
        <v>8645783.9999999981</v>
      </c>
      <c r="V53" s="64"/>
      <c r="W53" s="64"/>
      <c r="X53" s="305">
        <f t="shared" ca="1" si="3"/>
        <v>0</v>
      </c>
    </row>
    <row r="54" spans="1:24" ht="15" x14ac:dyDescent="0.25">
      <c r="A54" s="64"/>
      <c r="B54" s="16">
        <f t="shared" si="18"/>
        <v>2</v>
      </c>
      <c r="C54" s="11"/>
      <c r="D54" s="199" t="s">
        <v>597</v>
      </c>
      <c r="E54" s="200" t="s">
        <v>24</v>
      </c>
      <c r="F54" s="98">
        <f>F121</f>
        <v>468976125.50999999</v>
      </c>
      <c r="G54" s="11"/>
      <c r="H54" s="11"/>
      <c r="I54" s="11"/>
      <c r="J54" s="98">
        <f t="shared" ref="J54:Q54" ca="1" si="20">J121</f>
        <v>240475249.45735416</v>
      </c>
      <c r="K54" s="98">
        <f t="shared" ca="1" si="20"/>
        <v>4543218.8591096783</v>
      </c>
      <c r="L54" s="98">
        <f t="shared" ca="1" si="20"/>
        <v>154458268.22739372</v>
      </c>
      <c r="M54" s="98">
        <f t="shared" ca="1" si="20"/>
        <v>72277.313400600062</v>
      </c>
      <c r="N54" s="98">
        <f t="shared" ca="1" si="20"/>
        <v>45432585.310434625</v>
      </c>
      <c r="O54" s="98">
        <f ca="1">O121</f>
        <v>19527819.42862438</v>
      </c>
      <c r="P54" s="98">
        <f t="shared" ca="1" si="20"/>
        <v>0</v>
      </c>
      <c r="Q54" s="98">
        <f t="shared" ca="1" si="20"/>
        <v>1373608.0579930763</v>
      </c>
      <c r="R54" s="98">
        <f ca="1">R121</f>
        <v>1349839.1711085949</v>
      </c>
      <c r="S54" s="98">
        <f ca="1">S121</f>
        <v>1743259.6845811061</v>
      </c>
      <c r="T54" s="11"/>
      <c r="U54" s="98">
        <f ca="1">SUM(I54:T54)</f>
        <v>468976125.50999999</v>
      </c>
      <c r="V54" s="64"/>
      <c r="W54" s="64"/>
      <c r="X54" s="305">
        <f t="shared" ca="1" si="3"/>
        <v>0</v>
      </c>
    </row>
    <row r="55" spans="1:24" ht="16.5" x14ac:dyDescent="0.35">
      <c r="A55" s="64"/>
      <c r="B55" s="16">
        <f t="shared" si="18"/>
        <v>3</v>
      </c>
      <c r="C55" s="11"/>
      <c r="D55" s="558" t="s">
        <v>595</v>
      </c>
      <c r="E55" s="200" t="s">
        <v>24</v>
      </c>
      <c r="F55" s="204">
        <f>F159</f>
        <v>19438204192.369999</v>
      </c>
      <c r="G55" s="11"/>
      <c r="H55" s="11"/>
      <c r="I55" s="11"/>
      <c r="J55" s="204">
        <f t="shared" ref="J55:Q55" ca="1" si="21">J159</f>
        <v>10449095359.882446</v>
      </c>
      <c r="K55" s="204">
        <f t="shared" ca="1" si="21"/>
        <v>342901228.44680214</v>
      </c>
      <c r="L55" s="204">
        <f t="shared" ca="1" si="21"/>
        <v>6602902885.0116129</v>
      </c>
      <c r="M55" s="204">
        <f t="shared" ca="1" si="21"/>
        <v>1879656.1129699254</v>
      </c>
      <c r="N55" s="204">
        <f t="shared" ca="1" si="21"/>
        <v>1181527545.6278527</v>
      </c>
      <c r="O55" s="204">
        <f ca="1">O159</f>
        <v>113570738.00292246</v>
      </c>
      <c r="P55" s="204">
        <f t="shared" ca="1" si="21"/>
        <v>23080391.291047122</v>
      </c>
      <c r="Q55" s="204">
        <f t="shared" ca="1" si="21"/>
        <v>670060426.84238207</v>
      </c>
      <c r="R55" s="204">
        <f ca="1">R159</f>
        <v>7850453.1142551377</v>
      </c>
      <c r="S55" s="204">
        <f ca="1">S159</f>
        <v>45335508.037708782</v>
      </c>
      <c r="T55" s="11"/>
      <c r="U55" s="204">
        <f ca="1">SUM(I55:T55)</f>
        <v>19438204192.369995</v>
      </c>
      <c r="V55" s="64"/>
      <c r="W55" s="64"/>
      <c r="X55" s="305">
        <f t="shared" ca="1" si="3"/>
        <v>0</v>
      </c>
    </row>
    <row r="56" spans="1:24" ht="15.75" x14ac:dyDescent="0.25">
      <c r="A56" s="97"/>
      <c r="B56" s="16">
        <f t="shared" si="18"/>
        <v>4</v>
      </c>
      <c r="C56" s="138"/>
      <c r="D56" s="199" t="s">
        <v>467</v>
      </c>
      <c r="E56" s="200"/>
      <c r="F56" s="208">
        <f>SUM(F53:F55)</f>
        <v>19915826101.879997</v>
      </c>
      <c r="G56" s="200"/>
      <c r="H56" s="200"/>
      <c r="I56" s="200"/>
      <c r="J56" s="208">
        <f t="shared" ref="J56:Q56" ca="1" si="22">SUM(J53:J55)</f>
        <v>10694287595.611826</v>
      </c>
      <c r="K56" s="208">
        <f t="shared" ca="1" si="22"/>
        <v>347569310.45139116</v>
      </c>
      <c r="L56" s="208">
        <f t="shared" ca="1" si="22"/>
        <v>6760364211.7417898</v>
      </c>
      <c r="M56" s="208">
        <f t="shared" ca="1" si="22"/>
        <v>1952838.2056654356</v>
      </c>
      <c r="N56" s="208">
        <f t="shared" ca="1" si="22"/>
        <v>1227528863.5124393</v>
      </c>
      <c r="O56" s="208">
        <f ca="1">SUM(O53:O55)</f>
        <v>133165011.51178136</v>
      </c>
      <c r="P56" s="208">
        <f t="shared" ca="1" si="22"/>
        <v>23091607.107633427</v>
      </c>
      <c r="Q56" s="208">
        <f t="shared" ca="1" si="22"/>
        <v>671561187.75276363</v>
      </c>
      <c r="R56" s="208">
        <f ca="1">SUM(R53:R55)</f>
        <v>9204885.8510154635</v>
      </c>
      <c r="S56" s="208">
        <f ca="1">SUM(S53:S55)</f>
        <v>47100590.133694671</v>
      </c>
      <c r="T56" s="201"/>
      <c r="U56" s="190">
        <f ca="1">SUM(I56:T56)</f>
        <v>19915826101.879997</v>
      </c>
      <c r="V56" s="64"/>
      <c r="W56" s="64"/>
      <c r="X56" s="305">
        <f t="shared" ca="1" si="3"/>
        <v>0</v>
      </c>
    </row>
    <row r="57" spans="1:24" ht="15.75" x14ac:dyDescent="0.25">
      <c r="A57" s="97"/>
      <c r="B57" s="16">
        <f t="shared" si="18"/>
        <v>5</v>
      </c>
      <c r="C57" s="138"/>
      <c r="D57" s="199"/>
      <c r="E57" s="200"/>
      <c r="F57" s="201"/>
      <c r="G57" s="200"/>
      <c r="H57" s="200"/>
      <c r="I57" s="200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98"/>
      <c r="V57" s="64"/>
      <c r="W57" s="64"/>
      <c r="X57" s="305">
        <f t="shared" si="3"/>
        <v>0</v>
      </c>
    </row>
    <row r="58" spans="1:24" ht="15.75" x14ac:dyDescent="0.25">
      <c r="A58" s="97"/>
      <c r="B58" s="16">
        <f t="shared" si="18"/>
        <v>6</v>
      </c>
      <c r="C58" s="138"/>
      <c r="D58" s="199" t="s">
        <v>468</v>
      </c>
      <c r="E58" s="200" t="s">
        <v>86</v>
      </c>
      <c r="F58" s="201">
        <f>+F199</f>
        <v>329554332.70999992</v>
      </c>
      <c r="G58" s="200"/>
      <c r="H58" s="200"/>
      <c r="I58" s="200"/>
      <c r="J58" s="201">
        <f t="shared" ref="J58:Q58" ca="1" si="23">+J199</f>
        <v>179798993.73838475</v>
      </c>
      <c r="K58" s="201">
        <f t="shared" ca="1" si="23"/>
        <v>4759451.6111571463</v>
      </c>
      <c r="L58" s="201">
        <f t="shared" ca="1" si="23"/>
        <v>114468617.41788858</v>
      </c>
      <c r="M58" s="201">
        <f t="shared" ca="1" si="23"/>
        <v>34487.784657114629</v>
      </c>
      <c r="N58" s="201">
        <f t="shared" ca="1" si="23"/>
        <v>21678575.819743332</v>
      </c>
      <c r="O58" s="201">
        <f ca="1">+O199</f>
        <v>2533053.1120766457</v>
      </c>
      <c r="P58" s="201">
        <f t="shared" ca="1" si="23"/>
        <v>427517.15181610553</v>
      </c>
      <c r="Q58" s="201">
        <f t="shared" ca="1" si="23"/>
        <v>4846729.159675614</v>
      </c>
      <c r="R58" s="201">
        <f ca="1">+R199</f>
        <v>175094.52735760217</v>
      </c>
      <c r="S58" s="201">
        <f ca="1">+S199</f>
        <v>831812.38724298822</v>
      </c>
      <c r="T58" s="201"/>
      <c r="U58" s="98">
        <f ca="1">SUM(I58:T58)</f>
        <v>329554332.70999986</v>
      </c>
      <c r="V58" s="64"/>
      <c r="W58" s="64"/>
      <c r="X58" s="305">
        <f t="shared" ca="1" si="3"/>
        <v>0</v>
      </c>
    </row>
    <row r="59" spans="1:24" ht="17.25" x14ac:dyDescent="0.35">
      <c r="A59" s="97"/>
      <c r="B59" s="16">
        <f t="shared" si="18"/>
        <v>7</v>
      </c>
      <c r="C59" s="138"/>
      <c r="D59" s="199" t="s">
        <v>469</v>
      </c>
      <c r="E59" s="200" t="s">
        <v>104</v>
      </c>
      <c r="F59" s="203">
        <f>+F219</f>
        <v>314549234.46999985</v>
      </c>
      <c r="G59" s="200"/>
      <c r="H59" s="200"/>
      <c r="I59" s="200"/>
      <c r="J59" s="203">
        <f t="shared" ref="J59:Q59" ca="1" si="24">+J219</f>
        <v>171612478.50639805</v>
      </c>
      <c r="K59" s="203">
        <f t="shared" ca="1" si="24"/>
        <v>4542746.7103091767</v>
      </c>
      <c r="L59" s="203">
        <f t="shared" ca="1" si="24"/>
        <v>109256691.25194174</v>
      </c>
      <c r="M59" s="203">
        <f t="shared" ca="1" si="24"/>
        <v>32917.504598574626</v>
      </c>
      <c r="N59" s="203">
        <f t="shared" ca="1" si="24"/>
        <v>20691518.064490616</v>
      </c>
      <c r="O59" s="203">
        <f ca="1">+O219</f>
        <v>2417719.4416578906</v>
      </c>
      <c r="P59" s="203">
        <f t="shared" ca="1" si="24"/>
        <v>408051.6609225882</v>
      </c>
      <c r="Q59" s="203">
        <f t="shared" ca="1" si="24"/>
        <v>4626050.3824143168</v>
      </c>
      <c r="R59" s="203">
        <f ca="1">+R219</f>
        <v>167122.2134672575</v>
      </c>
      <c r="S59" s="203">
        <f ca="1">+S219</f>
        <v>793938.73379958654</v>
      </c>
      <c r="T59" s="203"/>
      <c r="U59" s="204">
        <f ca="1">SUM(I59:T59)</f>
        <v>314549234.46999979</v>
      </c>
      <c r="V59" s="64"/>
      <c r="W59" s="64"/>
      <c r="X59" s="305">
        <f t="shared" ca="1" si="3"/>
        <v>0</v>
      </c>
    </row>
    <row r="60" spans="1:24" ht="15.75" x14ac:dyDescent="0.25">
      <c r="A60" s="97"/>
      <c r="B60" s="16">
        <f t="shared" ref="B60:B89" si="25">B59+1</f>
        <v>8</v>
      </c>
      <c r="C60" s="188"/>
      <c r="D60" s="207" t="s">
        <v>470</v>
      </c>
      <c r="E60" s="200"/>
      <c r="F60" s="208">
        <f>+F56+F58+F59</f>
        <v>20559929669.059998</v>
      </c>
      <c r="G60" s="200"/>
      <c r="H60" s="200"/>
      <c r="I60" s="200"/>
      <c r="J60" s="208">
        <f t="shared" ref="J60:Q60" ca="1" si="26">+J56+J58+J59</f>
        <v>11045699067.856607</v>
      </c>
      <c r="K60" s="208">
        <f t="shared" ca="1" si="26"/>
        <v>356871508.77285743</v>
      </c>
      <c r="L60" s="208">
        <f t="shared" ca="1" si="26"/>
        <v>6984089520.4116201</v>
      </c>
      <c r="M60" s="208">
        <f t="shared" ca="1" si="26"/>
        <v>2020243.494921125</v>
      </c>
      <c r="N60" s="208">
        <f t="shared" ca="1" si="26"/>
        <v>1269898957.3966732</v>
      </c>
      <c r="O60" s="208">
        <f ca="1">+O56+O58+O59</f>
        <v>138115784.06551591</v>
      </c>
      <c r="P60" s="208">
        <f t="shared" ca="1" si="26"/>
        <v>23927175.920372121</v>
      </c>
      <c r="Q60" s="208">
        <f t="shared" ca="1" si="26"/>
        <v>681033967.29485357</v>
      </c>
      <c r="R60" s="208">
        <f ca="1">+R56+R58+R59</f>
        <v>9547102.5918403231</v>
      </c>
      <c r="S60" s="208">
        <f ca="1">+S56+S58+S59</f>
        <v>48726341.254737243</v>
      </c>
      <c r="T60" s="208"/>
      <c r="U60" s="190">
        <f ca="1">SUM(I60:T60)</f>
        <v>20559929669.059998</v>
      </c>
      <c r="V60" s="104"/>
      <c r="W60" s="104"/>
      <c r="X60" s="305">
        <f t="shared" ca="1" si="3"/>
        <v>0</v>
      </c>
    </row>
    <row r="61" spans="1:24" ht="11.1" customHeight="1" x14ac:dyDescent="0.25">
      <c r="A61" s="97"/>
      <c r="B61" s="16">
        <f t="shared" si="25"/>
        <v>9</v>
      </c>
      <c r="C61" s="138"/>
      <c r="D61" s="199"/>
      <c r="E61" s="200"/>
      <c r="F61" s="201"/>
      <c r="G61" s="200"/>
      <c r="H61" s="200"/>
      <c r="I61" s="200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64"/>
      <c r="W61" s="64"/>
      <c r="X61" s="305">
        <f t="shared" si="3"/>
        <v>0</v>
      </c>
    </row>
    <row r="62" spans="1:24" ht="15.75" x14ac:dyDescent="0.25">
      <c r="A62" s="97"/>
      <c r="B62" s="16">
        <f t="shared" si="25"/>
        <v>10</v>
      </c>
      <c r="C62" s="138"/>
      <c r="D62" s="209" t="s">
        <v>471</v>
      </c>
      <c r="E62" s="200" t="s">
        <v>34</v>
      </c>
      <c r="F62" s="201">
        <f>+F363+F320</f>
        <v>6508839495.7099981</v>
      </c>
      <c r="G62" s="200"/>
      <c r="H62" s="200"/>
      <c r="I62" s="200"/>
      <c r="J62" s="201">
        <f t="shared" ref="J62:Q62" ca="1" si="27">+J363+J320</f>
        <v>3379673701.6576314</v>
      </c>
      <c r="K62" s="201">
        <f t="shared" ca="1" si="27"/>
        <v>153944473.30003348</v>
      </c>
      <c r="L62" s="201">
        <f t="shared" ca="1" si="27"/>
        <v>2103532035.0005057</v>
      </c>
      <c r="M62" s="201">
        <f t="shared" ca="1" si="27"/>
        <v>549800.15979245875</v>
      </c>
      <c r="N62" s="201">
        <f t="shared" ca="1" si="27"/>
        <v>345597276.4927659</v>
      </c>
      <c r="O62" s="201">
        <f ca="1">+O363+O320</f>
        <v>30114904.82053246</v>
      </c>
      <c r="P62" s="201">
        <f t="shared" ca="1" si="27"/>
        <v>5699280.0786629124</v>
      </c>
      <c r="Q62" s="201">
        <f t="shared" ca="1" si="27"/>
        <v>474385710.21265966</v>
      </c>
      <c r="R62" s="201">
        <f ca="1">+R363+R320</f>
        <v>2081659.8755197183</v>
      </c>
      <c r="S62" s="201">
        <f ca="1">+S363+S320</f>
        <v>13260654.111895727</v>
      </c>
      <c r="T62" s="201"/>
      <c r="U62" s="98">
        <f ca="1">SUM(I62:T62)</f>
        <v>6508839495.71</v>
      </c>
      <c r="V62" s="64"/>
      <c r="W62" s="64"/>
      <c r="X62" s="305">
        <f t="shared" ca="1" si="3"/>
        <v>0</v>
      </c>
    </row>
    <row r="63" spans="1:24" ht="10.5" customHeight="1" thickBot="1" x14ac:dyDescent="0.3">
      <c r="A63" s="97"/>
      <c r="B63" s="16">
        <f t="shared" si="25"/>
        <v>11</v>
      </c>
      <c r="C63" s="138"/>
      <c r="D63" s="199"/>
      <c r="E63" s="200"/>
      <c r="F63" s="210"/>
      <c r="G63" s="200"/>
      <c r="H63" s="200"/>
      <c r="I63" s="20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01"/>
      <c r="V63" s="64"/>
      <c r="W63" s="64"/>
      <c r="X63" s="305">
        <f t="shared" si="3"/>
        <v>0</v>
      </c>
    </row>
    <row r="64" spans="1:24" ht="16.5" thickBot="1" x14ac:dyDescent="0.3">
      <c r="A64" s="97"/>
      <c r="B64" s="16">
        <f t="shared" si="25"/>
        <v>12</v>
      </c>
      <c r="C64" s="188"/>
      <c r="D64" s="921" t="s">
        <v>472</v>
      </c>
      <c r="E64" s="916"/>
      <c r="F64" s="922">
        <f>+F60-F62</f>
        <v>14051090173.349998</v>
      </c>
      <c r="G64" s="916"/>
      <c r="H64" s="916"/>
      <c r="I64" s="919"/>
      <c r="J64" s="922">
        <f t="shared" ref="J64:Q64" ca="1" si="28">+J60-J62</f>
        <v>7666025366.1989765</v>
      </c>
      <c r="K64" s="922">
        <f t="shared" ca="1" si="28"/>
        <v>202927035.47282395</v>
      </c>
      <c r="L64" s="922">
        <f t="shared" ca="1" si="28"/>
        <v>4880557485.4111147</v>
      </c>
      <c r="M64" s="922">
        <f t="shared" ca="1" si="28"/>
        <v>1470443.3351286664</v>
      </c>
      <c r="N64" s="922">
        <f t="shared" ca="1" si="28"/>
        <v>924301680.9039073</v>
      </c>
      <c r="O64" s="922">
        <f ca="1">+O60-O62</f>
        <v>108000879.24498345</v>
      </c>
      <c r="P64" s="922">
        <f t="shared" ca="1" si="28"/>
        <v>18227895.841709208</v>
      </c>
      <c r="Q64" s="922">
        <f t="shared" ca="1" si="28"/>
        <v>206648257.08219391</v>
      </c>
      <c r="R64" s="922">
        <f ca="1">+R60-R62</f>
        <v>7465442.716320605</v>
      </c>
      <c r="S64" s="922">
        <f ca="1">+S60-S62</f>
        <v>35465687.142841518</v>
      </c>
      <c r="T64" s="923"/>
      <c r="U64" s="918">
        <f ca="1">SUM(I64:T64)</f>
        <v>14051090173.35</v>
      </c>
      <c r="V64" s="104"/>
      <c r="W64" s="104"/>
      <c r="X64" s="305">
        <f t="shared" ca="1" si="3"/>
        <v>0</v>
      </c>
    </row>
    <row r="65" spans="1:24" ht="11.1" customHeight="1" x14ac:dyDescent="0.25">
      <c r="A65" s="97"/>
      <c r="B65" s="16">
        <f t="shared" si="25"/>
        <v>13</v>
      </c>
      <c r="C65" s="138"/>
      <c r="D65" s="199"/>
      <c r="E65" s="200"/>
      <c r="F65" s="11"/>
      <c r="G65" s="200"/>
      <c r="H65" s="200"/>
      <c r="I65" s="20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64"/>
      <c r="W65" s="64"/>
      <c r="X65" s="305">
        <f t="shared" si="3"/>
        <v>0</v>
      </c>
    </row>
    <row r="66" spans="1:24" ht="15.75" x14ac:dyDescent="0.25">
      <c r="A66" s="97"/>
      <c r="B66" s="16">
        <f t="shared" si="25"/>
        <v>14</v>
      </c>
      <c r="C66" s="138"/>
      <c r="D66" s="213" t="s">
        <v>473</v>
      </c>
      <c r="E66" s="214"/>
      <c r="F66" s="11"/>
      <c r="G66" s="214"/>
      <c r="H66" s="214"/>
      <c r="I66" s="21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64"/>
      <c r="W66" s="64"/>
      <c r="X66" s="305">
        <f t="shared" si="3"/>
        <v>0</v>
      </c>
    </row>
    <row r="67" spans="1:24" ht="15.75" x14ac:dyDescent="0.25">
      <c r="A67" s="97"/>
      <c r="B67" s="16">
        <f t="shared" si="25"/>
        <v>15</v>
      </c>
      <c r="C67" s="138"/>
      <c r="D67" s="39"/>
      <c r="E67" s="200"/>
      <c r="F67" s="11"/>
      <c r="G67" s="200"/>
      <c r="H67" s="200"/>
      <c r="I67" s="20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64"/>
      <c r="W67" s="64"/>
      <c r="X67" s="305">
        <f t="shared" si="3"/>
        <v>0</v>
      </c>
    </row>
    <row r="68" spans="1:24" ht="15.75" x14ac:dyDescent="0.25">
      <c r="A68" s="97"/>
      <c r="B68" s="16">
        <f t="shared" si="25"/>
        <v>16</v>
      </c>
      <c r="C68" s="138"/>
      <c r="D68" s="39" t="s">
        <v>111</v>
      </c>
      <c r="E68" s="200" t="s">
        <v>112</v>
      </c>
      <c r="F68" s="201">
        <f>+F244</f>
        <v>0</v>
      </c>
      <c r="G68" s="200"/>
      <c r="H68" s="200"/>
      <c r="I68" s="200"/>
      <c r="J68" s="201">
        <f t="shared" ref="J68:Q68" si="29">+J244</f>
        <v>0</v>
      </c>
      <c r="K68" s="201">
        <f t="shared" si="29"/>
        <v>0</v>
      </c>
      <c r="L68" s="201">
        <f t="shared" si="29"/>
        <v>0</v>
      </c>
      <c r="M68" s="201">
        <f t="shared" si="29"/>
        <v>0</v>
      </c>
      <c r="N68" s="201">
        <f t="shared" si="29"/>
        <v>0</v>
      </c>
      <c r="O68" s="201">
        <f>+O244</f>
        <v>0</v>
      </c>
      <c r="P68" s="201">
        <f t="shared" si="29"/>
        <v>0</v>
      </c>
      <c r="Q68" s="201">
        <f t="shared" si="29"/>
        <v>0</v>
      </c>
      <c r="R68" s="201">
        <f>+R244</f>
        <v>0</v>
      </c>
      <c r="S68" s="201">
        <f>+S244</f>
        <v>0</v>
      </c>
      <c r="T68" s="201"/>
      <c r="U68" s="98">
        <f t="shared" ref="U68:U77" si="30">SUM(I68:T68)</f>
        <v>0</v>
      </c>
      <c r="V68" s="64"/>
      <c r="W68" s="64"/>
      <c r="X68" s="305">
        <f t="shared" si="3"/>
        <v>0</v>
      </c>
    </row>
    <row r="69" spans="1:24" ht="15.75" x14ac:dyDescent="0.25">
      <c r="A69" s="97"/>
      <c r="B69" s="16">
        <f t="shared" si="25"/>
        <v>17</v>
      </c>
      <c r="C69" s="138"/>
      <c r="D69" s="39" t="s">
        <v>113</v>
      </c>
      <c r="E69" s="200" t="s">
        <v>114</v>
      </c>
      <c r="F69" s="201">
        <f>+F388</f>
        <v>6705448.3699999982</v>
      </c>
      <c r="G69" s="200"/>
      <c r="H69" s="200"/>
      <c r="I69" s="200"/>
      <c r="J69" s="201">
        <f t="shared" ref="J69:Q69" si="31">+J388</f>
        <v>3438329.3344530286</v>
      </c>
      <c r="K69" s="201">
        <f t="shared" si="31"/>
        <v>64959.211858047252</v>
      </c>
      <c r="L69" s="201">
        <f t="shared" si="31"/>
        <v>2208453.4512115913</v>
      </c>
      <c r="M69" s="201">
        <f t="shared" si="31"/>
        <v>1033.425300281514</v>
      </c>
      <c r="N69" s="201">
        <f t="shared" si="31"/>
        <v>649597.79089702026</v>
      </c>
      <c r="O69" s="201">
        <f>+O388</f>
        <v>279209.91674134071</v>
      </c>
      <c r="P69" s="201">
        <f t="shared" si="31"/>
        <v>0</v>
      </c>
      <c r="Q69" s="201">
        <f t="shared" si="31"/>
        <v>19639.929225548898</v>
      </c>
      <c r="R69" s="201">
        <f>+R388</f>
        <v>19300.080275577431</v>
      </c>
      <c r="S69" s="201">
        <f>+S388</f>
        <v>24925.230037561556</v>
      </c>
      <c r="T69" s="201"/>
      <c r="U69" s="98">
        <f t="shared" si="30"/>
        <v>6705448.3699999973</v>
      </c>
      <c r="V69" s="64"/>
      <c r="W69" s="64"/>
      <c r="X69" s="305">
        <f t="shared" si="3"/>
        <v>0</v>
      </c>
    </row>
    <row r="70" spans="1:24" ht="15.75" x14ac:dyDescent="0.25">
      <c r="A70" s="97"/>
      <c r="B70" s="16">
        <f t="shared" si="25"/>
        <v>18</v>
      </c>
      <c r="C70" s="138"/>
      <c r="D70" s="40" t="s">
        <v>474</v>
      </c>
      <c r="E70" s="200" t="s">
        <v>475</v>
      </c>
      <c r="F70" s="98">
        <f>F409</f>
        <v>0</v>
      </c>
      <c r="G70" s="200"/>
      <c r="H70" s="350"/>
      <c r="I70" s="200"/>
      <c r="J70" s="98">
        <f t="shared" ref="J70:Q70" si="32">J409</f>
        <v>0</v>
      </c>
      <c r="K70" s="98">
        <f t="shared" si="32"/>
        <v>0</v>
      </c>
      <c r="L70" s="98">
        <f t="shared" si="32"/>
        <v>0</v>
      </c>
      <c r="M70" s="98">
        <f t="shared" si="32"/>
        <v>0</v>
      </c>
      <c r="N70" s="98">
        <f t="shared" si="32"/>
        <v>0</v>
      </c>
      <c r="O70" s="98">
        <f>O409</f>
        <v>0</v>
      </c>
      <c r="P70" s="98">
        <f t="shared" si="32"/>
        <v>0</v>
      </c>
      <c r="Q70" s="98">
        <f t="shared" si="32"/>
        <v>0</v>
      </c>
      <c r="R70" s="98">
        <f>R409</f>
        <v>0</v>
      </c>
      <c r="S70" s="98">
        <f>S409</f>
        <v>0</v>
      </c>
      <c r="T70" s="98"/>
      <c r="U70" s="98">
        <f t="shared" si="30"/>
        <v>0</v>
      </c>
      <c r="V70" s="64"/>
      <c r="W70" s="64"/>
      <c r="X70" s="305">
        <f t="shared" si="3"/>
        <v>0</v>
      </c>
    </row>
    <row r="71" spans="1:24" ht="15.75" x14ac:dyDescent="0.25">
      <c r="A71" s="97"/>
      <c r="B71" s="16">
        <f t="shared" si="25"/>
        <v>19</v>
      </c>
      <c r="C71" s="138"/>
      <c r="D71" s="39" t="s">
        <v>476</v>
      </c>
      <c r="E71" s="200" t="s">
        <v>116</v>
      </c>
      <c r="F71" s="201">
        <f>+F435</f>
        <v>157958065.75</v>
      </c>
      <c r="G71" s="200"/>
      <c r="H71" s="200"/>
      <c r="I71" s="200"/>
      <c r="J71" s="201">
        <f t="shared" ref="J71:Q71" ca="1" si="33">+J435</f>
        <v>84862024.71017392</v>
      </c>
      <c r="K71" s="201">
        <f t="shared" ca="1" si="33"/>
        <v>2741776.5602513356</v>
      </c>
      <c r="L71" s="201">
        <f t="shared" ca="1" si="33"/>
        <v>53657443.844724119</v>
      </c>
      <c r="M71" s="201">
        <f t="shared" ca="1" si="33"/>
        <v>15521.150117647783</v>
      </c>
      <c r="N71" s="201">
        <f t="shared" ca="1" si="33"/>
        <v>9756394.4155987538</v>
      </c>
      <c r="O71" s="201">
        <f ca="1">+O435</f>
        <v>1061117.5452299593</v>
      </c>
      <c r="P71" s="201">
        <f t="shared" ca="1" si="33"/>
        <v>183827.98424303916</v>
      </c>
      <c r="Q71" s="201">
        <f t="shared" ca="1" si="33"/>
        <v>5232255.6504572965</v>
      </c>
      <c r="R71" s="201">
        <f ca="1">+R435</f>
        <v>73348.590350156403</v>
      </c>
      <c r="S71" s="201">
        <f ca="1">+S435</f>
        <v>374355.29885373457</v>
      </c>
      <c r="T71" s="201"/>
      <c r="U71" s="98">
        <f t="shared" ca="1" si="30"/>
        <v>157958065.74999994</v>
      </c>
      <c r="V71" s="64"/>
      <c r="W71" s="64"/>
      <c r="X71" s="305">
        <f t="shared" ca="1" si="3"/>
        <v>0</v>
      </c>
    </row>
    <row r="72" spans="1:24" ht="15.75" x14ac:dyDescent="0.25">
      <c r="A72" s="97"/>
      <c r="B72" s="16">
        <f t="shared" si="25"/>
        <v>20</v>
      </c>
      <c r="C72" s="138"/>
      <c r="D72" s="39" t="s">
        <v>118</v>
      </c>
      <c r="E72" s="200" t="s">
        <v>119</v>
      </c>
      <c r="F72" s="201">
        <f>+F455</f>
        <v>-25613472.190000005</v>
      </c>
      <c r="G72" s="200"/>
      <c r="H72" s="350"/>
      <c r="I72" s="200"/>
      <c r="J72" s="201">
        <f t="shared" ref="J72:Q72" ca="1" si="34">+J455</f>
        <v>-11557764.117475266</v>
      </c>
      <c r="K72" s="201">
        <f t="shared" ca="1" si="34"/>
        <v>-236615.7679398082</v>
      </c>
      <c r="L72" s="201">
        <f t="shared" ca="1" si="34"/>
        <v>-7933459.1135668885</v>
      </c>
      <c r="M72" s="201">
        <f t="shared" ca="1" si="34"/>
        <v>-3754.1564091006644</v>
      </c>
      <c r="N72" s="201">
        <f t="shared" ca="1" si="34"/>
        <v>-2391700.4613199816</v>
      </c>
      <c r="O72" s="201">
        <f ca="1">+O455</f>
        <v>-783599.54653294117</v>
      </c>
      <c r="P72" s="201">
        <f t="shared" ca="1" si="34"/>
        <v>-2569749.6116282269</v>
      </c>
      <c r="Q72" s="201">
        <f t="shared" ca="1" si="34"/>
        <v>-122717.09996872046</v>
      </c>
      <c r="R72" s="201">
        <f ca="1">+R455</f>
        <v>-2163.1622465273363</v>
      </c>
      <c r="S72" s="201">
        <f ca="1">+S455</f>
        <v>-11949.15291255163</v>
      </c>
      <c r="T72" s="201"/>
      <c r="U72" s="98">
        <f t="shared" ca="1" si="30"/>
        <v>-25613472.190000013</v>
      </c>
      <c r="V72" s="64"/>
      <c r="W72" s="64"/>
      <c r="X72" s="305">
        <f t="shared" ca="1" si="3"/>
        <v>0</v>
      </c>
    </row>
    <row r="73" spans="1:24" ht="15.75" x14ac:dyDescent="0.25">
      <c r="A73" s="97"/>
      <c r="B73" s="16">
        <f t="shared" si="25"/>
        <v>21</v>
      </c>
      <c r="C73" s="138"/>
      <c r="D73" s="39" t="s">
        <v>120</v>
      </c>
      <c r="E73" s="200" t="s">
        <v>121</v>
      </c>
      <c r="F73" s="201">
        <f>+F476</f>
        <v>127742955.85948826</v>
      </c>
      <c r="G73" s="200"/>
      <c r="H73" s="200"/>
      <c r="I73" s="200"/>
      <c r="J73" s="201">
        <f t="shared" ref="J73:Q73" si="35">+J476</f>
        <v>50085293.03006234</v>
      </c>
      <c r="K73" s="201">
        <f t="shared" si="35"/>
        <v>1517383.2307349837</v>
      </c>
      <c r="L73" s="201">
        <f t="shared" si="35"/>
        <v>53329041.478972882</v>
      </c>
      <c r="M73" s="201">
        <f t="shared" si="35"/>
        <v>1026.7885158406534</v>
      </c>
      <c r="N73" s="201">
        <f t="shared" si="35"/>
        <v>8830441.4127380028</v>
      </c>
      <c r="O73" s="201">
        <f>+O476</f>
        <v>1683243.4098378331</v>
      </c>
      <c r="P73" s="201">
        <f t="shared" si="35"/>
        <v>11609227.351483595</v>
      </c>
      <c r="Q73" s="201">
        <f t="shared" si="35"/>
        <v>409815.29132156703</v>
      </c>
      <c r="R73" s="201">
        <f>+R476</f>
        <v>127302.23657515536</v>
      </c>
      <c r="S73" s="201">
        <f>+S476</f>
        <v>150181.62924601117</v>
      </c>
      <c r="T73" s="201"/>
      <c r="U73" s="98">
        <f t="shared" si="30"/>
        <v>127742955.85948819</v>
      </c>
      <c r="V73" s="64"/>
      <c r="W73" s="64"/>
      <c r="X73" s="305">
        <f t="shared" si="3"/>
        <v>0</v>
      </c>
    </row>
    <row r="74" spans="1:24" ht="15.75" x14ac:dyDescent="0.25">
      <c r="A74" s="97"/>
      <c r="B74" s="16">
        <f t="shared" si="25"/>
        <v>22</v>
      </c>
      <c r="C74" s="138"/>
      <c r="D74" s="40" t="s">
        <v>477</v>
      </c>
      <c r="E74" s="200" t="s">
        <v>123</v>
      </c>
      <c r="F74" s="201">
        <f>F499</f>
        <v>-1977961.88</v>
      </c>
      <c r="G74" s="200"/>
      <c r="H74" s="200"/>
      <c r="I74" s="200"/>
      <c r="J74" s="201">
        <f t="shared" ref="J74:Q74" si="36">J499</f>
        <v>-880186.95463385666</v>
      </c>
      <c r="K74" s="201">
        <f t="shared" si="36"/>
        <v>-16629.079212345358</v>
      </c>
      <c r="L74" s="201">
        <f t="shared" si="36"/>
        <v>-565347.79789551196</v>
      </c>
      <c r="M74" s="201">
        <f t="shared" si="36"/>
        <v>-264.54925616980353</v>
      </c>
      <c r="N74" s="201">
        <f t="shared" si="36"/>
        <v>-166292.24419466092</v>
      </c>
      <c r="O74" s="201">
        <f>O499</f>
        <v>-71475.679731310112</v>
      </c>
      <c r="P74" s="201">
        <f t="shared" si="36"/>
        <v>-261416.54471036652</v>
      </c>
      <c r="Q74" s="201">
        <f t="shared" si="36"/>
        <v>-5027.677052643463</v>
      </c>
      <c r="R74" s="201">
        <f>R499</f>
        <v>-4940.6782275706209</v>
      </c>
      <c r="S74" s="201">
        <f>S499</f>
        <v>-6380.6750855643895</v>
      </c>
      <c r="T74" s="201"/>
      <c r="U74" s="98">
        <f t="shared" si="30"/>
        <v>-1977961.8799999994</v>
      </c>
      <c r="V74" s="64"/>
      <c r="W74" s="64"/>
      <c r="X74" s="305">
        <f t="shared" si="3"/>
        <v>0</v>
      </c>
    </row>
    <row r="75" spans="1:24" s="321" customFormat="1" ht="15.75" x14ac:dyDescent="0.25">
      <c r="A75" s="229"/>
      <c r="B75" s="16">
        <f t="shared" si="25"/>
        <v>23</v>
      </c>
      <c r="C75" s="609"/>
      <c r="D75" s="40" t="s">
        <v>478</v>
      </c>
      <c r="E75" s="350" t="s">
        <v>127</v>
      </c>
      <c r="F75" s="202">
        <f>F614</f>
        <v>626025299.63999987</v>
      </c>
      <c r="G75" s="350"/>
      <c r="H75" s="350"/>
      <c r="I75" s="350"/>
      <c r="J75" s="202">
        <f t="shared" ref="J75:Q75" ca="1" si="37">J614</f>
        <v>336190669.46444732</v>
      </c>
      <c r="K75" s="202">
        <f t="shared" ca="1" si="37"/>
        <v>10846281.922786169</v>
      </c>
      <c r="L75" s="202">
        <f t="shared" ca="1" si="37"/>
        <v>212580793.60945839</v>
      </c>
      <c r="M75" s="202">
        <f t="shared" ca="1" si="37"/>
        <v>66295.92329336048</v>
      </c>
      <c r="N75" s="202">
        <f t="shared" ca="1" si="37"/>
        <v>38900487.868911758</v>
      </c>
      <c r="O75" s="202">
        <f ca="1">O614</f>
        <v>4245256.0125274062</v>
      </c>
      <c r="P75" s="202">
        <f t="shared" ca="1" si="37"/>
        <v>717130.51219344733</v>
      </c>
      <c r="Q75" s="202">
        <f t="shared" ca="1" si="37"/>
        <v>20754208.585542493</v>
      </c>
      <c r="R75" s="202">
        <f ca="1">R614</f>
        <v>283460.15960585914</v>
      </c>
      <c r="S75" s="202">
        <f ca="1">S614</f>
        <v>1440715.5812335031</v>
      </c>
      <c r="T75" s="202"/>
      <c r="U75" s="23">
        <f t="shared" ca="1" si="30"/>
        <v>626025299.63999975</v>
      </c>
      <c r="V75" s="45"/>
      <c r="W75" s="45"/>
      <c r="X75" s="751">
        <f t="shared" ca="1" si="3"/>
        <v>0</v>
      </c>
    </row>
    <row r="76" spans="1:24" ht="17.25" x14ac:dyDescent="0.35">
      <c r="A76" s="97"/>
      <c r="B76" s="16">
        <f t="shared" si="25"/>
        <v>24</v>
      </c>
      <c r="C76" s="138"/>
      <c r="D76" s="40" t="s">
        <v>479</v>
      </c>
      <c r="E76" s="200" t="s">
        <v>480</v>
      </c>
      <c r="F76" s="203">
        <f>+F413</f>
        <v>-1434321915.47</v>
      </c>
      <c r="G76" s="200"/>
      <c r="H76" s="200"/>
      <c r="I76" s="200"/>
      <c r="J76" s="203">
        <f t="shared" ref="J76:Q76" ca="1" si="38">+J413</f>
        <v>-770580857.99559188</v>
      </c>
      <c r="K76" s="203">
        <f t="shared" ca="1" si="38"/>
        <v>-24896419.116163075</v>
      </c>
      <c r="L76" s="203">
        <f t="shared" ca="1" si="38"/>
        <v>-487230881.62143224</v>
      </c>
      <c r="M76" s="203">
        <f t="shared" ca="1" si="38"/>
        <v>-140938.20192934328</v>
      </c>
      <c r="N76" s="203">
        <f t="shared" ca="1" si="38"/>
        <v>-88591932.674146563</v>
      </c>
      <c r="O76" s="203">
        <f ca="1">+O413</f>
        <v>-9635368.3668290898</v>
      </c>
      <c r="P76" s="203">
        <f t="shared" ca="1" si="38"/>
        <v>-1669231.0406850176</v>
      </c>
      <c r="Q76" s="203">
        <f t="shared" ca="1" si="38"/>
        <v>-47510957.488365166</v>
      </c>
      <c r="R76" s="203">
        <f ca="1">+R413</f>
        <v>-666034.30542489211</v>
      </c>
      <c r="S76" s="203">
        <f ca="1">+S413</f>
        <v>-3399294.6594323111</v>
      </c>
      <c r="T76" s="203"/>
      <c r="U76" s="204">
        <f t="shared" ca="1" si="30"/>
        <v>-1434321915.4699998</v>
      </c>
      <c r="V76" s="64"/>
      <c r="W76" s="64"/>
      <c r="X76" s="305">
        <f t="shared" ca="1" si="3"/>
        <v>0</v>
      </c>
    </row>
    <row r="77" spans="1:24" ht="15.75" x14ac:dyDescent="0.25">
      <c r="A77" s="97"/>
      <c r="B77" s="16">
        <f t="shared" si="25"/>
        <v>25</v>
      </c>
      <c r="C77" s="188"/>
      <c r="D77" s="153" t="s">
        <v>444</v>
      </c>
      <c r="E77" s="153"/>
      <c r="F77" s="208">
        <f>SUM(F68:F76)</f>
        <v>-543481579.92051196</v>
      </c>
      <c r="G77" s="153"/>
      <c r="H77" s="153"/>
      <c r="I77" s="153"/>
      <c r="J77" s="208">
        <f t="shared" ref="J77:Q77" ca="1" si="39">SUM(J68:J76)</f>
        <v>-308442492.52856439</v>
      </c>
      <c r="K77" s="208">
        <f t="shared" ca="1" si="39"/>
        <v>-9979263.0376846939</v>
      </c>
      <c r="L77" s="208">
        <f t="shared" ca="1" si="39"/>
        <v>-173953956.14852768</v>
      </c>
      <c r="M77" s="208">
        <f t="shared" ca="1" si="39"/>
        <v>-61079.620367483323</v>
      </c>
      <c r="N77" s="208">
        <f t="shared" ca="1" si="39"/>
        <v>-33013003.891515672</v>
      </c>
      <c r="O77" s="208">
        <f ca="1">SUM(O68:O76)</f>
        <v>-3221616.7087568017</v>
      </c>
      <c r="P77" s="208">
        <f t="shared" ca="1" si="39"/>
        <v>8009788.6508964701</v>
      </c>
      <c r="Q77" s="208">
        <f t="shared" ca="1" si="39"/>
        <v>-21222782.808839623</v>
      </c>
      <c r="R77" s="208">
        <f ca="1">SUM(R68:R76)</f>
        <v>-169727.07909224171</v>
      </c>
      <c r="S77" s="208">
        <f ca="1">SUM(S68:S76)</f>
        <v>-1427446.7480596169</v>
      </c>
      <c r="T77" s="208"/>
      <c r="U77" s="190">
        <f t="shared" ca="1" si="30"/>
        <v>-543481579.92051172</v>
      </c>
      <c r="V77" s="104"/>
      <c r="W77" s="104"/>
      <c r="X77" s="305">
        <f t="shared" ca="1" si="3"/>
        <v>0</v>
      </c>
    </row>
    <row r="78" spans="1:24" ht="15.75" thickBot="1" x14ac:dyDescent="0.25">
      <c r="A78" s="97"/>
      <c r="B78" s="16">
        <f t="shared" si="25"/>
        <v>26</v>
      </c>
      <c r="C78" s="138"/>
      <c r="D78" s="39"/>
      <c r="E78" s="39"/>
      <c r="F78" s="11"/>
      <c r="G78" s="39"/>
      <c r="H78" s="39"/>
      <c r="I78" s="3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64"/>
      <c r="W78" s="64"/>
      <c r="X78" s="305">
        <f t="shared" si="3"/>
        <v>0</v>
      </c>
    </row>
    <row r="79" spans="1:24" ht="16.5" thickBot="1" x14ac:dyDescent="0.3">
      <c r="A79" s="97"/>
      <c r="B79" s="16">
        <f t="shared" si="25"/>
        <v>27</v>
      </c>
      <c r="C79" s="188"/>
      <c r="D79" s="215" t="s">
        <v>481</v>
      </c>
      <c r="E79" s="216"/>
      <c r="F79" s="217">
        <f>+F64+F77</f>
        <v>13507608593.429487</v>
      </c>
      <c r="G79" s="216"/>
      <c r="H79" s="216"/>
      <c r="I79" s="905"/>
      <c r="J79" s="291">
        <f t="shared" ref="J79:Q79" ca="1" si="40">+J64+J77</f>
        <v>7357582873.6704121</v>
      </c>
      <c r="K79" s="814">
        <f t="shared" ca="1" si="40"/>
        <v>192947772.43513924</v>
      </c>
      <c r="L79" s="814">
        <f t="shared" ca="1" si="40"/>
        <v>4706603529.2625866</v>
      </c>
      <c r="M79" s="814">
        <f t="shared" ca="1" si="40"/>
        <v>1409363.7147611831</v>
      </c>
      <c r="N79" s="814">
        <f t="shared" ca="1" si="40"/>
        <v>891288677.01239157</v>
      </c>
      <c r="O79" s="814">
        <f ca="1">+O64+O77</f>
        <v>104779262.53622665</v>
      </c>
      <c r="P79" s="814">
        <f t="shared" ca="1" si="40"/>
        <v>26237684.492605679</v>
      </c>
      <c r="Q79" s="814">
        <f t="shared" ca="1" si="40"/>
        <v>185425474.27335429</v>
      </c>
      <c r="R79" s="814">
        <f ca="1">+R64+R77</f>
        <v>7295715.6372283632</v>
      </c>
      <c r="S79" s="218">
        <f ca="1">+S64+S77</f>
        <v>34038240.394781902</v>
      </c>
      <c r="T79" s="907"/>
      <c r="U79" s="218">
        <f ca="1">SUM(I79:T79)</f>
        <v>13507608593.429485</v>
      </c>
      <c r="V79" s="104"/>
      <c r="W79" s="104"/>
      <c r="X79" s="305">
        <f t="shared" ca="1" si="3"/>
        <v>0</v>
      </c>
    </row>
    <row r="80" spans="1:24" ht="15" x14ac:dyDescent="0.2">
      <c r="A80" s="97"/>
      <c r="B80" s="16">
        <f t="shared" si="25"/>
        <v>28</v>
      </c>
      <c r="C80" s="138"/>
      <c r="D80" s="220"/>
      <c r="E80" s="220"/>
      <c r="F80" s="201"/>
      <c r="G80" s="220"/>
      <c r="H80" s="220"/>
      <c r="I80" s="220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64"/>
      <c r="W80" s="64"/>
      <c r="X80" s="305">
        <f>U80-F80</f>
        <v>0</v>
      </c>
    </row>
    <row r="81" spans="1:24" ht="15.75" x14ac:dyDescent="0.25">
      <c r="A81" s="64"/>
      <c r="B81" s="16">
        <f t="shared" si="25"/>
        <v>29</v>
      </c>
      <c r="C81" s="138"/>
      <c r="D81" s="46" t="s">
        <v>482</v>
      </c>
      <c r="E81" s="220"/>
      <c r="F81" s="221">
        <f>F620</f>
        <v>7.4700000000000003E-2</v>
      </c>
      <c r="G81" s="220"/>
      <c r="H81" s="220"/>
      <c r="I81" s="220"/>
      <c r="J81" s="221">
        <f t="shared" ref="J81:Q81" si="41">J620</f>
        <v>7.4700000000000003E-2</v>
      </c>
      <c r="K81" s="221">
        <f t="shared" si="41"/>
        <v>7.4700000000000003E-2</v>
      </c>
      <c r="L81" s="221">
        <f t="shared" si="41"/>
        <v>7.4700000000000003E-2</v>
      </c>
      <c r="M81" s="221">
        <f t="shared" si="41"/>
        <v>7.4700000000000003E-2</v>
      </c>
      <c r="N81" s="221">
        <f t="shared" si="41"/>
        <v>7.4700000000000003E-2</v>
      </c>
      <c r="O81" s="221">
        <f>O620</f>
        <v>7.4700000000000003E-2</v>
      </c>
      <c r="P81" s="221">
        <f t="shared" si="41"/>
        <v>7.4700000000000003E-2</v>
      </c>
      <c r="Q81" s="221">
        <f t="shared" si="41"/>
        <v>7.4700000000000003E-2</v>
      </c>
      <c r="R81" s="221">
        <f>R620</f>
        <v>7.4700000000000003E-2</v>
      </c>
      <c r="S81" s="221">
        <f>S620</f>
        <v>7.4700000000000003E-2</v>
      </c>
      <c r="T81" s="221"/>
      <c r="U81" s="221">
        <f ca="1">U83/U79</f>
        <v>7.4700000000000003E-2</v>
      </c>
      <c r="V81" s="64"/>
      <c r="W81" s="64"/>
      <c r="X81" s="305">
        <f ca="1">U81-F81</f>
        <v>0</v>
      </c>
    </row>
    <row r="82" spans="1:24" ht="15.75" thickBot="1" x14ac:dyDescent="0.25">
      <c r="A82" s="222"/>
      <c r="B82" s="16">
        <f t="shared" si="25"/>
        <v>30</v>
      </c>
      <c r="C82" s="138"/>
      <c r="D82" s="1"/>
      <c r="E82" s="1"/>
      <c r="F82" s="201"/>
      <c r="G82" s="1"/>
      <c r="H82" s="1"/>
      <c r="I82" s="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64"/>
      <c r="W82" s="64"/>
      <c r="X82" s="138"/>
    </row>
    <row r="83" spans="1:24" ht="16.5" thickBot="1" x14ac:dyDescent="0.3">
      <c r="A83" s="104"/>
      <c r="B83" s="16">
        <f t="shared" si="25"/>
        <v>31</v>
      </c>
      <c r="C83" s="188"/>
      <c r="D83" s="223" t="s">
        <v>483</v>
      </c>
      <c r="E83" s="224"/>
      <c r="F83" s="217">
        <f>+F79*F81</f>
        <v>1009018361.9291828</v>
      </c>
      <c r="G83" s="224"/>
      <c r="H83" s="224"/>
      <c r="I83" s="223"/>
      <c r="J83" s="291">
        <f t="shared" ref="J83:Q83" ca="1" si="42">+J79*J81</f>
        <v>549611440.66317976</v>
      </c>
      <c r="K83" s="814">
        <f t="shared" ca="1" si="42"/>
        <v>14413198.600904902</v>
      </c>
      <c r="L83" s="814">
        <f t="shared" ca="1" si="42"/>
        <v>351583283.63591522</v>
      </c>
      <c r="M83" s="814">
        <f t="shared" ca="1" si="42"/>
        <v>105279.46949266038</v>
      </c>
      <c r="N83" s="814">
        <f t="shared" ca="1" si="42"/>
        <v>66579264.172825649</v>
      </c>
      <c r="O83" s="814">
        <f ca="1">+O79*O81</f>
        <v>7827010.9114561304</v>
      </c>
      <c r="P83" s="814">
        <f t="shared" ca="1" si="42"/>
        <v>1959955.0315976443</v>
      </c>
      <c r="Q83" s="814">
        <f t="shared" ca="1" si="42"/>
        <v>13851282.928219566</v>
      </c>
      <c r="R83" s="814">
        <f ca="1">+R79*R81</f>
        <v>544989.95810095873</v>
      </c>
      <c r="S83" s="218">
        <f ca="1">+S79*S81</f>
        <v>2542656.5574902082</v>
      </c>
      <c r="T83" s="218"/>
      <c r="U83" s="218">
        <f ca="1">SUM(I83:T83)</f>
        <v>1009018361.9291826</v>
      </c>
      <c r="V83" s="104"/>
      <c r="W83" s="104"/>
      <c r="X83" s="197" t="b">
        <f ca="1">IF(ROUND(U83-'WP II-I-1.1'!G494,2)=0,TRUE,U83-'WP II-I-1.1'!G494)</f>
        <v>1</v>
      </c>
    </row>
    <row r="84" spans="1:24" ht="16.5" thickBot="1" x14ac:dyDescent="0.3">
      <c r="A84" s="104"/>
      <c r="B84" s="16">
        <f t="shared" si="25"/>
        <v>32</v>
      </c>
      <c r="C84" s="188"/>
      <c r="V84" s="104"/>
      <c r="W84" s="104"/>
      <c r="X84" s="188"/>
    </row>
    <row r="85" spans="1:24" ht="8.4499999999999993" customHeight="1" x14ac:dyDescent="0.25">
      <c r="A85" s="104"/>
      <c r="B85" s="16">
        <f t="shared" si="25"/>
        <v>33</v>
      </c>
      <c r="C85" s="188"/>
      <c r="D85" s="351"/>
      <c r="E85" s="352"/>
      <c r="F85" s="353"/>
      <c r="G85" s="352"/>
      <c r="H85" s="352"/>
      <c r="I85" s="354"/>
      <c r="J85" s="564"/>
      <c r="K85" s="353"/>
      <c r="L85" s="353"/>
      <c r="M85" s="353"/>
      <c r="N85" s="353"/>
      <c r="O85" s="353"/>
      <c r="P85" s="353"/>
      <c r="Q85" s="353"/>
      <c r="R85" s="353"/>
      <c r="S85" s="355"/>
      <c r="T85" s="908"/>
      <c r="U85" s="355"/>
      <c r="V85" s="104"/>
      <c r="W85" s="104"/>
      <c r="X85" s="305">
        <f t="shared" ref="X85:X153" si="43">U85-F85</f>
        <v>0</v>
      </c>
    </row>
    <row r="86" spans="1:24" ht="9.9499999999999993" customHeight="1" x14ac:dyDescent="0.25">
      <c r="A86" s="104"/>
      <c r="B86" s="16">
        <f t="shared" si="25"/>
        <v>34</v>
      </c>
      <c r="C86" s="188"/>
      <c r="D86" s="356"/>
      <c r="E86" s="357"/>
      <c r="F86" s="357"/>
      <c r="G86" s="357"/>
      <c r="H86" s="357"/>
      <c r="I86" s="358"/>
      <c r="J86" s="358"/>
      <c r="K86" s="357"/>
      <c r="L86" s="357"/>
      <c r="M86" s="357"/>
      <c r="N86" s="357"/>
      <c r="O86" s="357"/>
      <c r="P86" s="357"/>
      <c r="Q86" s="357"/>
      <c r="R86" s="357"/>
      <c r="S86" s="359"/>
      <c r="T86" s="909"/>
      <c r="U86" s="359"/>
      <c r="V86" s="104"/>
      <c r="W86" s="104"/>
      <c r="X86" s="305">
        <f t="shared" si="43"/>
        <v>0</v>
      </c>
    </row>
    <row r="87" spans="1:24" ht="15.75" x14ac:dyDescent="0.25">
      <c r="A87" s="104"/>
      <c r="B87" s="16">
        <f t="shared" si="25"/>
        <v>35</v>
      </c>
      <c r="C87" s="188"/>
      <c r="D87" s="360" t="s">
        <v>686</v>
      </c>
      <c r="E87" s="357"/>
      <c r="F87" s="208">
        <f>F83</f>
        <v>1009018361.9291828</v>
      </c>
      <c r="G87" s="357"/>
      <c r="H87" s="357"/>
      <c r="I87" s="358"/>
      <c r="J87" s="1364">
        <f t="shared" ref="J87:S87" ca="1" si="44">J83</f>
        <v>549611440.66317976</v>
      </c>
      <c r="K87" s="208">
        <f t="shared" ca="1" si="44"/>
        <v>14413198.600904902</v>
      </c>
      <c r="L87" s="208">
        <f t="shared" ca="1" si="44"/>
        <v>351583283.63591522</v>
      </c>
      <c r="M87" s="208">
        <f t="shared" ca="1" si="44"/>
        <v>105279.46949266038</v>
      </c>
      <c r="N87" s="208">
        <f t="shared" ca="1" si="44"/>
        <v>66579264.172825649</v>
      </c>
      <c r="O87" s="208">
        <f t="shared" ca="1" si="44"/>
        <v>7827010.9114561304</v>
      </c>
      <c r="P87" s="208">
        <f t="shared" ca="1" si="44"/>
        <v>1959955.0315976443</v>
      </c>
      <c r="Q87" s="208">
        <f t="shared" ca="1" si="44"/>
        <v>13851282.928219566</v>
      </c>
      <c r="R87" s="208">
        <f t="shared" ca="1" si="44"/>
        <v>544989.95810095873</v>
      </c>
      <c r="S87" s="208">
        <f t="shared" ca="1" si="44"/>
        <v>2542656.5574902082</v>
      </c>
      <c r="T87" s="909"/>
      <c r="U87" s="361">
        <f ca="1">SUM(I87:T87)</f>
        <v>1009018361.9291826</v>
      </c>
      <c r="V87" s="104"/>
      <c r="W87" s="104"/>
      <c r="X87" s="305">
        <f t="shared" ca="1" si="43"/>
        <v>0</v>
      </c>
    </row>
    <row r="88" spans="1:24" ht="15.75" x14ac:dyDescent="0.25">
      <c r="A88" s="104"/>
      <c r="B88" s="16">
        <f t="shared" si="25"/>
        <v>36</v>
      </c>
      <c r="C88" s="188"/>
      <c r="D88" s="360"/>
      <c r="E88" s="357"/>
      <c r="F88" s="357"/>
      <c r="G88" s="357"/>
      <c r="H88" s="357"/>
      <c r="I88" s="358"/>
      <c r="J88" s="358"/>
      <c r="K88" s="357"/>
      <c r="L88" s="357"/>
      <c r="M88" s="357"/>
      <c r="N88" s="357"/>
      <c r="O88" s="357"/>
      <c r="P88" s="357"/>
      <c r="Q88" s="357"/>
      <c r="R88" s="357"/>
      <c r="S88" s="359"/>
      <c r="T88" s="909"/>
      <c r="U88" s="359"/>
      <c r="V88" s="104"/>
      <c r="W88" s="104"/>
      <c r="X88" s="305">
        <f t="shared" si="43"/>
        <v>0</v>
      </c>
    </row>
    <row r="89" spans="1:24" ht="16.5" thickBot="1" x14ac:dyDescent="0.3">
      <c r="A89" s="104"/>
      <c r="B89" s="16">
        <f t="shared" si="25"/>
        <v>37</v>
      </c>
      <c r="C89" s="188"/>
      <c r="D89" s="362" t="s">
        <v>687</v>
      </c>
      <c r="E89" s="363"/>
      <c r="F89" s="364">
        <f>F87/F79</f>
        <v>7.4700000000000003E-2</v>
      </c>
      <c r="G89" s="365"/>
      <c r="H89" s="365"/>
      <c r="I89" s="366"/>
      <c r="J89" s="565">
        <f t="shared" ref="J89:U89" ca="1" si="45">J87/J79</f>
        <v>7.4700000000000003E-2</v>
      </c>
      <c r="K89" s="364">
        <f t="shared" ca="1" si="45"/>
        <v>7.4700000000000003E-2</v>
      </c>
      <c r="L89" s="364">
        <f t="shared" ca="1" si="45"/>
        <v>7.4700000000000003E-2</v>
      </c>
      <c r="M89" s="364">
        <f t="shared" ca="1" si="45"/>
        <v>7.4700000000000003E-2</v>
      </c>
      <c r="N89" s="364">
        <f t="shared" ca="1" si="45"/>
        <v>7.4700000000000003E-2</v>
      </c>
      <c r="O89" s="364">
        <f ca="1">O87/O79</f>
        <v>7.4700000000000003E-2</v>
      </c>
      <c r="P89" s="364">
        <f t="shared" ca="1" si="45"/>
        <v>7.4700000000000003E-2</v>
      </c>
      <c r="Q89" s="364">
        <f t="shared" ca="1" si="45"/>
        <v>7.4700000000000003E-2</v>
      </c>
      <c r="R89" s="364">
        <f ca="1">R87/R79</f>
        <v>7.4700000000000003E-2</v>
      </c>
      <c r="S89" s="367">
        <f ca="1">S87/S79</f>
        <v>7.4700000000000003E-2</v>
      </c>
      <c r="T89" s="910"/>
      <c r="U89" s="367">
        <f t="shared" ca="1" si="45"/>
        <v>7.4700000000000003E-2</v>
      </c>
      <c r="V89" s="104"/>
      <c r="W89" s="104"/>
      <c r="X89" s="305">
        <f t="shared" ca="1" si="43"/>
        <v>0</v>
      </c>
    </row>
    <row r="90" spans="1:24" ht="15.75" thickBot="1" x14ac:dyDescent="0.3">
      <c r="A90" s="104"/>
      <c r="B90" s="104"/>
      <c r="C90" s="16"/>
      <c r="V90" s="104"/>
      <c r="W90" s="104"/>
      <c r="X90" s="305">
        <f t="shared" si="43"/>
        <v>0</v>
      </c>
    </row>
    <row r="91" spans="1:24" ht="15" x14ac:dyDescent="0.25">
      <c r="A91" s="64"/>
      <c r="B91" s="829" t="str">
        <f>+$B$4</f>
        <v>2025 RATE CASE</v>
      </c>
      <c r="C91" s="844"/>
      <c r="D91" s="336"/>
      <c r="V91" s="105">
        <f>$H$2</f>
        <v>0</v>
      </c>
      <c r="W91" s="105"/>
      <c r="X91" s="305"/>
    </row>
    <row r="92" spans="1:24" ht="15" x14ac:dyDescent="0.25">
      <c r="A92" s="97"/>
      <c r="B92" s="826" t="str">
        <f>+$B$5</f>
        <v>ONCOR ELECTRIC DELIVERY COMPANY LLC</v>
      </c>
      <c r="C92" s="8"/>
      <c r="D92" s="340"/>
      <c r="V92" s="64"/>
      <c r="W92" s="64"/>
      <c r="X92" s="305">
        <f t="shared" si="43"/>
        <v>0</v>
      </c>
    </row>
    <row r="93" spans="1:24" ht="15" x14ac:dyDescent="0.25">
      <c r="A93" s="64"/>
      <c r="B93" s="826" t="str">
        <f>+$B$6</f>
        <v>II-I-1-DIST:  CLASS REVENUE REQUIREMENT</v>
      </c>
      <c r="C93" s="82"/>
      <c r="D93" s="340"/>
      <c r="V93" s="64"/>
      <c r="W93" s="64"/>
      <c r="X93" s="305">
        <f t="shared" si="43"/>
        <v>0</v>
      </c>
    </row>
    <row r="94" spans="1:24" ht="15" x14ac:dyDescent="0.25">
      <c r="A94" s="64"/>
      <c r="B94" s="341" t="str">
        <f>+$B$7</f>
        <v>TEST YEAR ENDING 12/31/2024</v>
      </c>
      <c r="C94" s="82"/>
      <c r="D94" s="340"/>
      <c r="V94" s="64"/>
      <c r="W94" s="64"/>
      <c r="X94" s="305">
        <f t="shared" si="43"/>
        <v>0</v>
      </c>
    </row>
    <row r="95" spans="1:24" ht="15" x14ac:dyDescent="0.25">
      <c r="A95" s="64"/>
      <c r="B95" s="341" t="str">
        <f>+$B$8</f>
        <v>SPONSOR:  MATTHEW A. TROXLE</v>
      </c>
      <c r="C95" s="82"/>
      <c r="D95" s="340"/>
      <c r="V95" s="64"/>
      <c r="W95" s="64"/>
      <c r="X95" s="305">
        <f t="shared" si="43"/>
        <v>0</v>
      </c>
    </row>
    <row r="96" spans="1:24" ht="15.75" thickBot="1" x14ac:dyDescent="0.3">
      <c r="A96" s="64"/>
      <c r="B96" s="345"/>
      <c r="C96" s="843"/>
      <c r="D96" s="839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11"/>
      <c r="V96" s="64"/>
      <c r="W96" s="64"/>
      <c r="X96" s="305">
        <f t="shared" si="43"/>
        <v>0</v>
      </c>
    </row>
    <row r="97" spans="1:24" ht="15" thickBot="1" x14ac:dyDescent="0.25">
      <c r="A97" s="64"/>
      <c r="B97" s="12"/>
      <c r="C97" s="13"/>
      <c r="D97" s="13"/>
      <c r="E97" s="13"/>
      <c r="F97" s="13"/>
      <c r="G97" s="13"/>
      <c r="H97" s="13"/>
      <c r="I97" s="13"/>
      <c r="J97" s="177"/>
      <c r="K97" s="177"/>
      <c r="L97" s="13"/>
      <c r="M97" s="177"/>
      <c r="N97" s="177"/>
      <c r="O97" s="177"/>
      <c r="P97" s="177"/>
      <c r="Q97" s="13"/>
      <c r="R97" s="328" t="str">
        <f>R$10</f>
        <v xml:space="preserve"> </v>
      </c>
      <c r="S97" s="329"/>
      <c r="T97" s="177"/>
      <c r="U97" s="12"/>
      <c r="V97" s="64"/>
      <c r="W97" s="64"/>
      <c r="X97" s="305">
        <f t="shared" si="43"/>
        <v>0</v>
      </c>
    </row>
    <row r="98" spans="1:24" ht="15" x14ac:dyDescent="0.25">
      <c r="A98" s="64"/>
      <c r="B98" s="14" t="s">
        <v>2</v>
      </c>
      <c r="C98" s="14" t="s">
        <v>349</v>
      </c>
      <c r="D98" s="226" t="s">
        <v>484</v>
      </c>
      <c r="E98" s="14" t="s">
        <v>350</v>
      </c>
      <c r="F98" s="226" t="str">
        <f>F$11</f>
        <v>DIST</v>
      </c>
      <c r="G98" s="181" t="s">
        <v>688</v>
      </c>
      <c r="H98" s="181" t="s">
        <v>355</v>
      </c>
      <c r="I98" s="14"/>
      <c r="J98" s="181" t="s">
        <v>679</v>
      </c>
      <c r="K98" s="181" t="s">
        <v>388</v>
      </c>
      <c r="L98" s="14" t="s">
        <v>388</v>
      </c>
      <c r="M98" s="181" t="s">
        <v>389</v>
      </c>
      <c r="N98" s="181" t="s">
        <v>389</v>
      </c>
      <c r="O98" s="181" t="s">
        <v>389</v>
      </c>
      <c r="P98" s="181" t="s">
        <v>390</v>
      </c>
      <c r="Q98" s="14" t="s">
        <v>391</v>
      </c>
      <c r="R98" s="331" t="str">
        <f>R$11</f>
        <v>Wholesale</v>
      </c>
      <c r="S98" s="12" t="str">
        <f>S$11</f>
        <v>Wholesale</v>
      </c>
      <c r="T98" s="181"/>
      <c r="U98" s="14" t="s">
        <v>10</v>
      </c>
      <c r="V98" s="64"/>
      <c r="W98" s="64"/>
      <c r="X98" s="305"/>
    </row>
    <row r="99" spans="1:24" x14ac:dyDescent="0.2">
      <c r="A99" s="64"/>
      <c r="B99" s="14"/>
      <c r="C99" s="14"/>
      <c r="D99" s="14"/>
      <c r="E99" s="14"/>
      <c r="F99" s="14"/>
      <c r="G99" s="181" t="s">
        <v>689</v>
      </c>
      <c r="H99" s="181" t="s">
        <v>690</v>
      </c>
      <c r="I99" s="14"/>
      <c r="J99" s="181"/>
      <c r="K99" s="181" t="s">
        <v>680</v>
      </c>
      <c r="L99" s="14" t="s">
        <v>681</v>
      </c>
      <c r="M99" s="181" t="s">
        <v>680</v>
      </c>
      <c r="N99" s="181" t="s">
        <v>681</v>
      </c>
      <c r="O99" s="181" t="s">
        <v>393</v>
      </c>
      <c r="P99" s="181"/>
      <c r="Q99" s="14"/>
      <c r="R99" s="174" t="str">
        <f>R$12</f>
        <v>XFMR</v>
      </c>
      <c r="S99" s="14" t="str">
        <f>S$12</f>
        <v>DLS</v>
      </c>
      <c r="T99" s="181"/>
      <c r="U99" s="14"/>
      <c r="V99" s="64"/>
      <c r="W99" s="64"/>
      <c r="X99" s="305">
        <f t="shared" si="43"/>
        <v>0</v>
      </c>
    </row>
    <row r="100" spans="1:24" ht="15" thickBot="1" x14ac:dyDescent="0.25">
      <c r="A100" s="64"/>
      <c r="B100" s="15"/>
      <c r="C100" s="15"/>
      <c r="D100" s="15"/>
      <c r="E100" s="15"/>
      <c r="F100" s="15" t="s">
        <v>13</v>
      </c>
      <c r="G100" s="15" t="s">
        <v>14</v>
      </c>
      <c r="H100" s="15" t="s">
        <v>15</v>
      </c>
      <c r="I100" s="15"/>
      <c r="J100" s="182" t="str">
        <f t="shared" ref="J100:Q100" si="46">J$13</f>
        <v>(d)</v>
      </c>
      <c r="K100" s="182" t="str">
        <f t="shared" si="46"/>
        <v>(e)</v>
      </c>
      <c r="L100" s="15" t="str">
        <f t="shared" si="46"/>
        <v>(f)</v>
      </c>
      <c r="M100" s="182" t="str">
        <f t="shared" si="46"/>
        <v>(g)</v>
      </c>
      <c r="N100" s="182" t="str">
        <f t="shared" si="46"/>
        <v>(h)</v>
      </c>
      <c r="O100" s="182" t="str">
        <f>O$13</f>
        <v>(i)</v>
      </c>
      <c r="P100" s="182" t="str">
        <f t="shared" si="46"/>
        <v>(j)</v>
      </c>
      <c r="Q100" s="182" t="str">
        <f t="shared" si="46"/>
        <v>(k)</v>
      </c>
      <c r="R100" s="182" t="str">
        <f>R$13</f>
        <v>(l)</v>
      </c>
      <c r="S100" s="15" t="str">
        <f>S$13</f>
        <v>(m)</v>
      </c>
      <c r="T100" s="15"/>
      <c r="U100" s="15" t="s">
        <v>683</v>
      </c>
      <c r="V100" s="64"/>
      <c r="W100" s="64"/>
      <c r="X100" s="305"/>
    </row>
    <row r="101" spans="1:24" x14ac:dyDescent="0.2">
      <c r="A101" s="64"/>
      <c r="B101" s="64"/>
      <c r="C101" s="6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6"/>
      <c r="U101" s="96"/>
      <c r="V101" s="64"/>
      <c r="W101" s="64"/>
      <c r="X101" s="305">
        <f t="shared" si="43"/>
        <v>0</v>
      </c>
    </row>
    <row r="102" spans="1:24" ht="15" x14ac:dyDescent="0.25">
      <c r="A102" s="64"/>
      <c r="B102" s="16">
        <f t="shared" ref="B102:B121" si="47">B101+1</f>
        <v>1</v>
      </c>
      <c r="C102" s="8" t="s">
        <v>485</v>
      </c>
      <c r="D102" s="8"/>
      <c r="E102" s="961" t="s">
        <v>24</v>
      </c>
      <c r="F102" s="961"/>
      <c r="G102" s="961"/>
      <c r="H102" s="961"/>
      <c r="I102" s="961"/>
      <c r="J102" s="961"/>
      <c r="K102" s="961"/>
      <c r="L102" s="961"/>
      <c r="M102" s="961"/>
      <c r="N102" s="961"/>
      <c r="O102" s="961"/>
      <c r="P102" s="961"/>
      <c r="Q102" s="961"/>
      <c r="R102" s="961"/>
      <c r="S102" s="961"/>
      <c r="T102" s="19"/>
      <c r="U102" s="8"/>
      <c r="V102" s="64"/>
      <c r="W102" s="64"/>
      <c r="X102" s="305">
        <f t="shared" si="43"/>
        <v>0</v>
      </c>
    </row>
    <row r="103" spans="1:24" x14ac:dyDescent="0.2">
      <c r="A103" s="64"/>
      <c r="B103" s="16">
        <f t="shared" si="47"/>
        <v>2</v>
      </c>
      <c r="C103" s="1" t="s">
        <v>25</v>
      </c>
      <c r="D103" s="1" t="s">
        <v>26</v>
      </c>
      <c r="E103" s="16"/>
      <c r="F103" s="98">
        <f>' WP II-I-1.4'!G103</f>
        <v>0</v>
      </c>
      <c r="G103" s="16">
        <v>65</v>
      </c>
      <c r="H103" s="1" t="str">
        <f>VLOOKUP(G103,FactorTable,2)</f>
        <v>PLT_N XINT</v>
      </c>
      <c r="I103" s="16"/>
      <c r="J103" s="369">
        <f t="shared" ref="J103:S105" ca="1" si="48">$F103*HLOOKUP(J$1354,FactorTable,$G103+1)</f>
        <v>0</v>
      </c>
      <c r="K103" s="369">
        <f t="shared" ca="1" si="48"/>
        <v>0</v>
      </c>
      <c r="L103" s="369">
        <f t="shared" ca="1" si="48"/>
        <v>0</v>
      </c>
      <c r="M103" s="369">
        <f t="shared" ca="1" si="48"/>
        <v>0</v>
      </c>
      <c r="N103" s="369">
        <f t="shared" ca="1" si="48"/>
        <v>0</v>
      </c>
      <c r="O103" s="369">
        <f t="shared" ca="1" si="48"/>
        <v>0</v>
      </c>
      <c r="P103" s="369">
        <f t="shared" ca="1" si="48"/>
        <v>0</v>
      </c>
      <c r="Q103" s="369">
        <f t="shared" ca="1" si="48"/>
        <v>0</v>
      </c>
      <c r="R103" s="369">
        <f t="shared" ca="1" si="48"/>
        <v>0</v>
      </c>
      <c r="S103" s="369">
        <f t="shared" ca="1" si="48"/>
        <v>0</v>
      </c>
      <c r="T103" s="16"/>
      <c r="U103" s="97">
        <f ca="1">SUM(I103:T103)</f>
        <v>0</v>
      </c>
      <c r="V103" s="64"/>
      <c r="W103" s="64"/>
      <c r="X103" s="305">
        <f t="shared" ca="1" si="43"/>
        <v>0</v>
      </c>
    </row>
    <row r="104" spans="1:24" x14ac:dyDescent="0.2">
      <c r="A104" s="64"/>
      <c r="B104" s="16">
        <f t="shared" si="47"/>
        <v>3</v>
      </c>
      <c r="C104" s="1" t="s">
        <v>27</v>
      </c>
      <c r="D104" s="1" t="s">
        <v>28</v>
      </c>
      <c r="E104" s="16"/>
      <c r="F104" s="98">
        <f>' WP II-I-1.4'!G104</f>
        <v>0</v>
      </c>
      <c r="G104" s="16">
        <v>65</v>
      </c>
      <c r="H104" s="1" t="str">
        <f>VLOOKUP(G104,FactorTable,2)</f>
        <v>PLT_N XINT</v>
      </c>
      <c r="I104" s="16"/>
      <c r="J104" s="369">
        <f t="shared" ca="1" si="48"/>
        <v>0</v>
      </c>
      <c r="K104" s="369">
        <f t="shared" ca="1" si="48"/>
        <v>0</v>
      </c>
      <c r="L104" s="369">
        <f t="shared" ca="1" si="48"/>
        <v>0</v>
      </c>
      <c r="M104" s="369">
        <f t="shared" ca="1" si="48"/>
        <v>0</v>
      </c>
      <c r="N104" s="369">
        <f t="shared" ca="1" si="48"/>
        <v>0</v>
      </c>
      <c r="O104" s="369">
        <f t="shared" ca="1" si="48"/>
        <v>0</v>
      </c>
      <c r="P104" s="369">
        <f t="shared" ca="1" si="48"/>
        <v>0</v>
      </c>
      <c r="Q104" s="369">
        <f t="shared" ca="1" si="48"/>
        <v>0</v>
      </c>
      <c r="R104" s="369">
        <f t="shared" ca="1" si="48"/>
        <v>0</v>
      </c>
      <c r="S104" s="369">
        <f t="shared" ca="1" si="48"/>
        <v>0</v>
      </c>
      <c r="T104" s="16"/>
      <c r="U104" s="97">
        <f ca="1">SUM(I104:T104)</f>
        <v>0</v>
      </c>
      <c r="V104" s="64"/>
      <c r="W104" s="64"/>
      <c r="X104" s="305">
        <f t="shared" ca="1" si="43"/>
        <v>0</v>
      </c>
    </row>
    <row r="105" spans="1:24" x14ac:dyDescent="0.2">
      <c r="A105" s="64"/>
      <c r="B105" s="16">
        <f t="shared" si="47"/>
        <v>4</v>
      </c>
      <c r="C105" s="1" t="s">
        <v>29</v>
      </c>
      <c r="D105" s="1" t="s">
        <v>32</v>
      </c>
      <c r="E105" s="16"/>
      <c r="F105" s="98">
        <f>' WP II-I-1.4'!G105</f>
        <v>8645784</v>
      </c>
      <c r="G105" s="16">
        <v>65</v>
      </c>
      <c r="H105" s="1" t="str">
        <f>VLOOKUP(G105,FactorTable,2)</f>
        <v>PLT_N XINT</v>
      </c>
      <c r="I105" s="16"/>
      <c r="J105" s="370">
        <f t="shared" ca="1" si="48"/>
        <v>4716986.2720249938</v>
      </c>
      <c r="K105" s="370">
        <f t="shared" ca="1" si="48"/>
        <v>124863.14547934344</v>
      </c>
      <c r="L105" s="370">
        <f t="shared" ca="1" si="48"/>
        <v>3003058.5027828761</v>
      </c>
      <c r="M105" s="370">
        <f t="shared" ca="1" si="48"/>
        <v>904.77929491011491</v>
      </c>
      <c r="N105" s="370">
        <f t="shared" ca="1" si="48"/>
        <v>568732.57415206335</v>
      </c>
      <c r="O105" s="370">
        <f t="shared" ca="1" si="48"/>
        <v>66454.080234515248</v>
      </c>
      <c r="P105" s="370">
        <f t="shared" ca="1" si="48"/>
        <v>11215.81658630428</v>
      </c>
      <c r="Q105" s="370">
        <f t="shared" ca="1" si="48"/>
        <v>127152.85238847458</v>
      </c>
      <c r="R105" s="370">
        <f t="shared" ca="1" si="48"/>
        <v>4593.5656517314037</v>
      </c>
      <c r="S105" s="370">
        <f t="shared" ca="1" si="48"/>
        <v>21822.411404785671</v>
      </c>
      <c r="T105" s="16"/>
      <c r="U105" s="97">
        <f ca="1">SUM(I105:T105)</f>
        <v>8645783.9999999981</v>
      </c>
      <c r="V105" s="64"/>
      <c r="W105" s="64"/>
      <c r="X105" s="305">
        <f t="shared" ca="1" si="43"/>
        <v>0</v>
      </c>
    </row>
    <row r="106" spans="1:24" ht="15" x14ac:dyDescent="0.25">
      <c r="A106" s="64"/>
      <c r="B106" s="16">
        <f t="shared" si="47"/>
        <v>5</v>
      </c>
      <c r="C106" s="8"/>
      <c r="D106" s="233" t="s">
        <v>444</v>
      </c>
      <c r="E106" s="961"/>
      <c r="F106" s="816">
        <f>SUM(F103:F105)</f>
        <v>8645784</v>
      </c>
      <c r="G106" s="16"/>
      <c r="H106" s="961"/>
      <c r="I106" s="961"/>
      <c r="J106" s="816">
        <f t="shared" ref="J106:Q106" ca="1" si="49">SUM(J103:J105)</f>
        <v>4716986.2720249938</v>
      </c>
      <c r="K106" s="816">
        <f t="shared" ca="1" si="49"/>
        <v>124863.14547934344</v>
      </c>
      <c r="L106" s="816">
        <f t="shared" ca="1" si="49"/>
        <v>3003058.5027828761</v>
      </c>
      <c r="M106" s="816">
        <f t="shared" ca="1" si="49"/>
        <v>904.77929491011491</v>
      </c>
      <c r="N106" s="816">
        <f t="shared" ca="1" si="49"/>
        <v>568732.57415206335</v>
      </c>
      <c r="O106" s="816">
        <f ca="1">SUM(O103:O105)</f>
        <v>66454.080234515248</v>
      </c>
      <c r="P106" s="816">
        <f t="shared" ca="1" si="49"/>
        <v>11215.81658630428</v>
      </c>
      <c r="Q106" s="816">
        <f t="shared" ca="1" si="49"/>
        <v>127152.85238847458</v>
      </c>
      <c r="R106" s="816">
        <f ca="1">SUM(R103:R105)</f>
        <v>4593.5656517314037</v>
      </c>
      <c r="S106" s="816">
        <f ca="1">SUM(S103:S105)</f>
        <v>21822.411404785671</v>
      </c>
      <c r="T106" s="913"/>
      <c r="U106" s="235">
        <f ca="1">SUM(I106:T106)</f>
        <v>8645783.9999999981</v>
      </c>
      <c r="V106" s="64"/>
      <c r="W106" s="64"/>
      <c r="X106" s="305">
        <f t="shared" ca="1" si="43"/>
        <v>0</v>
      </c>
    </row>
    <row r="107" spans="1:24" ht="15" x14ac:dyDescent="0.25">
      <c r="A107" s="64"/>
      <c r="B107" s="16">
        <f t="shared" si="47"/>
        <v>6</v>
      </c>
      <c r="C107" s="8" t="s">
        <v>517</v>
      </c>
      <c r="D107" s="8"/>
      <c r="E107" s="961" t="s">
        <v>24</v>
      </c>
      <c r="F107" s="961"/>
      <c r="G107" s="16"/>
      <c r="H107" s="16"/>
      <c r="I107" s="961"/>
      <c r="J107" s="961"/>
      <c r="K107" s="961"/>
      <c r="L107" s="961"/>
      <c r="M107" s="961"/>
      <c r="N107" s="961"/>
      <c r="O107" s="961"/>
      <c r="P107" s="961"/>
      <c r="Q107" s="961"/>
      <c r="R107" s="961"/>
      <c r="S107" s="961"/>
      <c r="T107" s="913"/>
      <c r="U107" s="8"/>
      <c r="V107" s="64"/>
      <c r="W107" s="64"/>
      <c r="X107" s="305">
        <f t="shared" si="43"/>
        <v>0</v>
      </c>
    </row>
    <row r="108" spans="1:24" ht="15" x14ac:dyDescent="0.25">
      <c r="A108" s="64"/>
      <c r="B108" s="16">
        <f t="shared" si="47"/>
        <v>7</v>
      </c>
      <c r="C108" s="1" t="s">
        <v>37</v>
      </c>
      <c r="D108" s="1" t="s">
        <v>38</v>
      </c>
      <c r="E108" s="961"/>
      <c r="F108" s="98">
        <f>' WP II-I-1.4'!G108</f>
        <v>0</v>
      </c>
      <c r="G108" s="16">
        <v>28</v>
      </c>
      <c r="H108" s="26" t="str">
        <f t="shared" ref="H108:H120" si="50">VLOOKUP(G108,FactorTable,2)</f>
        <v>NCP XHV</v>
      </c>
      <c r="I108" s="961"/>
      <c r="J108" s="18">
        <f t="shared" ref="J108:S120" si="51">$F108*HLOOKUP(J$1354,FactorTable,$G108+1)</f>
        <v>0</v>
      </c>
      <c r="K108" s="18">
        <f t="shared" si="51"/>
        <v>0</v>
      </c>
      <c r="L108" s="18">
        <f t="shared" si="51"/>
        <v>0</v>
      </c>
      <c r="M108" s="18">
        <f t="shared" si="51"/>
        <v>0</v>
      </c>
      <c r="N108" s="18">
        <f t="shared" si="51"/>
        <v>0</v>
      </c>
      <c r="O108" s="18">
        <f t="shared" si="51"/>
        <v>0</v>
      </c>
      <c r="P108" s="18">
        <f t="shared" si="51"/>
        <v>0</v>
      </c>
      <c r="Q108" s="18">
        <f t="shared" si="51"/>
        <v>0</v>
      </c>
      <c r="R108" s="18">
        <f t="shared" si="51"/>
        <v>0</v>
      </c>
      <c r="S108" s="18">
        <f t="shared" si="51"/>
        <v>0</v>
      </c>
      <c r="T108" s="913"/>
      <c r="U108" s="97">
        <f t="shared" ref="U108:U121" si="52">SUM(I108:T108)</f>
        <v>0</v>
      </c>
      <c r="V108" s="64"/>
      <c r="W108" s="64"/>
      <c r="X108" s="305">
        <f t="shared" si="43"/>
        <v>0</v>
      </c>
    </row>
    <row r="109" spans="1:24" x14ac:dyDescent="0.2">
      <c r="A109" s="64"/>
      <c r="B109" s="16">
        <f t="shared" si="47"/>
        <v>8</v>
      </c>
      <c r="C109" s="1" t="s">
        <v>39</v>
      </c>
      <c r="D109" s="1" t="s">
        <v>40</v>
      </c>
      <c r="E109" s="16"/>
      <c r="F109" s="98">
        <f>' WP II-I-1.4'!G109</f>
        <v>0</v>
      </c>
      <c r="G109" s="16">
        <v>28</v>
      </c>
      <c r="H109" s="26" t="str">
        <f t="shared" si="50"/>
        <v>NCP XHV</v>
      </c>
      <c r="I109" s="16"/>
      <c r="J109" s="18">
        <f t="shared" si="51"/>
        <v>0</v>
      </c>
      <c r="K109" s="18">
        <f t="shared" si="51"/>
        <v>0</v>
      </c>
      <c r="L109" s="18">
        <f t="shared" si="51"/>
        <v>0</v>
      </c>
      <c r="M109" s="18">
        <f t="shared" si="51"/>
        <v>0</v>
      </c>
      <c r="N109" s="18">
        <f t="shared" si="51"/>
        <v>0</v>
      </c>
      <c r="O109" s="18">
        <f t="shared" si="51"/>
        <v>0</v>
      </c>
      <c r="P109" s="18">
        <f t="shared" si="51"/>
        <v>0</v>
      </c>
      <c r="Q109" s="18">
        <f t="shared" si="51"/>
        <v>0</v>
      </c>
      <c r="R109" s="18">
        <f t="shared" si="51"/>
        <v>0</v>
      </c>
      <c r="S109" s="18">
        <f t="shared" si="51"/>
        <v>0</v>
      </c>
      <c r="T109" s="16"/>
      <c r="U109" s="97">
        <f t="shared" si="52"/>
        <v>0</v>
      </c>
      <c r="V109" s="64"/>
      <c r="W109" s="64"/>
      <c r="X109" s="305">
        <f t="shared" si="43"/>
        <v>0</v>
      </c>
    </row>
    <row r="110" spans="1:24" x14ac:dyDescent="0.2">
      <c r="A110" s="64"/>
      <c r="B110" s="16">
        <f t="shared" si="47"/>
        <v>9</v>
      </c>
      <c r="C110" s="1" t="s">
        <v>1229</v>
      </c>
      <c r="D110" s="1" t="s">
        <v>1230</v>
      </c>
      <c r="E110" s="16"/>
      <c r="F110" s="23">
        <f>' WP II-I-1.4'!G110</f>
        <v>0</v>
      </c>
      <c r="G110" s="16">
        <v>67</v>
      </c>
      <c r="H110" s="26" t="str">
        <f t="shared" si="50"/>
        <v>PLTTRAN_N</v>
      </c>
      <c r="I110" s="16"/>
      <c r="J110" s="18">
        <f t="shared" ca="1" si="51"/>
        <v>0</v>
      </c>
      <c r="K110" s="18">
        <f t="shared" ca="1" si="51"/>
        <v>0</v>
      </c>
      <c r="L110" s="18">
        <f t="shared" ca="1" si="51"/>
        <v>0</v>
      </c>
      <c r="M110" s="18">
        <f t="shared" ca="1" si="51"/>
        <v>0</v>
      </c>
      <c r="N110" s="18">
        <f t="shared" ca="1" si="51"/>
        <v>0</v>
      </c>
      <c r="O110" s="18">
        <f t="shared" ca="1" si="51"/>
        <v>0</v>
      </c>
      <c r="P110" s="18">
        <f t="shared" ca="1" si="51"/>
        <v>0</v>
      </c>
      <c r="Q110" s="18">
        <f t="shared" ca="1" si="51"/>
        <v>0</v>
      </c>
      <c r="R110" s="18">
        <f t="shared" ca="1" si="51"/>
        <v>0</v>
      </c>
      <c r="S110" s="18">
        <f t="shared" ca="1" si="51"/>
        <v>0</v>
      </c>
      <c r="T110" s="16"/>
      <c r="U110" s="97">
        <f t="shared" ca="1" si="52"/>
        <v>0</v>
      </c>
      <c r="V110" s="64"/>
      <c r="W110" s="64"/>
      <c r="X110" s="305">
        <f t="shared" ca="1" si="43"/>
        <v>0</v>
      </c>
    </row>
    <row r="111" spans="1:24" x14ac:dyDescent="0.2">
      <c r="A111" s="64"/>
      <c r="B111" s="16">
        <f t="shared" si="47"/>
        <v>10</v>
      </c>
      <c r="C111" s="1" t="s">
        <v>1231</v>
      </c>
      <c r="D111" s="1" t="s">
        <v>1232</v>
      </c>
      <c r="E111" s="16"/>
      <c r="F111" s="23">
        <f>' WP II-I-1.4'!G111</f>
        <v>0</v>
      </c>
      <c r="G111" s="16">
        <v>67</v>
      </c>
      <c r="H111" s="26" t="str">
        <f t="shared" si="50"/>
        <v>PLTTRAN_N</v>
      </c>
      <c r="I111" s="16"/>
      <c r="J111" s="18">
        <f t="shared" ca="1" si="51"/>
        <v>0</v>
      </c>
      <c r="K111" s="18">
        <f t="shared" ca="1" si="51"/>
        <v>0</v>
      </c>
      <c r="L111" s="18">
        <f t="shared" ca="1" si="51"/>
        <v>0</v>
      </c>
      <c r="M111" s="18">
        <f t="shared" ca="1" si="51"/>
        <v>0</v>
      </c>
      <c r="N111" s="18">
        <f t="shared" ca="1" si="51"/>
        <v>0</v>
      </c>
      <c r="O111" s="18">
        <f t="shared" ca="1" si="51"/>
        <v>0</v>
      </c>
      <c r="P111" s="18">
        <f t="shared" ca="1" si="51"/>
        <v>0</v>
      </c>
      <c r="Q111" s="18">
        <f t="shared" ca="1" si="51"/>
        <v>0</v>
      </c>
      <c r="R111" s="18">
        <f t="shared" ca="1" si="51"/>
        <v>0</v>
      </c>
      <c r="S111" s="18">
        <f t="shared" ca="1" si="51"/>
        <v>0</v>
      </c>
      <c r="T111" s="16"/>
      <c r="U111" s="97">
        <f t="shared" ca="1" si="52"/>
        <v>0</v>
      </c>
      <c r="V111" s="64"/>
      <c r="W111" s="64"/>
      <c r="X111" s="305">
        <f t="shared" ca="1" si="43"/>
        <v>0</v>
      </c>
    </row>
    <row r="112" spans="1:24" x14ac:dyDescent="0.2">
      <c r="A112" s="64"/>
      <c r="B112" s="16">
        <f t="shared" si="47"/>
        <v>11</v>
      </c>
      <c r="C112" s="1" t="s">
        <v>1233</v>
      </c>
      <c r="D112" s="1" t="s">
        <v>103</v>
      </c>
      <c r="E112" s="16"/>
      <c r="F112" s="23">
        <f>' WP II-I-1.4'!G112</f>
        <v>0</v>
      </c>
      <c r="G112" s="16">
        <v>67</v>
      </c>
      <c r="H112" s="26" t="str">
        <f t="shared" si="50"/>
        <v>PLTTRAN_N</v>
      </c>
      <c r="I112" s="16"/>
      <c r="J112" s="18">
        <f t="shared" ca="1" si="51"/>
        <v>0</v>
      </c>
      <c r="K112" s="18">
        <f t="shared" ca="1" si="51"/>
        <v>0</v>
      </c>
      <c r="L112" s="18">
        <f t="shared" ca="1" si="51"/>
        <v>0</v>
      </c>
      <c r="M112" s="18">
        <f t="shared" ca="1" si="51"/>
        <v>0</v>
      </c>
      <c r="N112" s="18">
        <f t="shared" ca="1" si="51"/>
        <v>0</v>
      </c>
      <c r="O112" s="18">
        <f t="shared" ca="1" si="51"/>
        <v>0</v>
      </c>
      <c r="P112" s="18">
        <f t="shared" ca="1" si="51"/>
        <v>0</v>
      </c>
      <c r="Q112" s="18">
        <f t="shared" ca="1" si="51"/>
        <v>0</v>
      </c>
      <c r="R112" s="18">
        <f t="shared" ca="1" si="51"/>
        <v>0</v>
      </c>
      <c r="S112" s="18">
        <f t="shared" ca="1" si="51"/>
        <v>0</v>
      </c>
      <c r="T112" s="16"/>
      <c r="U112" s="97">
        <f t="shared" ca="1" si="52"/>
        <v>0</v>
      </c>
      <c r="V112" s="64"/>
      <c r="W112" s="64"/>
      <c r="X112" s="305">
        <f t="shared" ca="1" si="43"/>
        <v>0</v>
      </c>
    </row>
    <row r="113" spans="1:24" x14ac:dyDescent="0.2">
      <c r="A113" s="64"/>
      <c r="B113" s="16">
        <f t="shared" si="47"/>
        <v>12</v>
      </c>
      <c r="C113" s="1" t="s">
        <v>41</v>
      </c>
      <c r="D113" s="1" t="s">
        <v>42</v>
      </c>
      <c r="E113" s="16"/>
      <c r="F113" s="98">
        <f>' WP II-I-1.4'!G113</f>
        <v>0</v>
      </c>
      <c r="G113" s="16">
        <v>28</v>
      </c>
      <c r="H113" s="26" t="str">
        <f t="shared" si="50"/>
        <v>NCP XHV</v>
      </c>
      <c r="I113" s="16"/>
      <c r="J113" s="18">
        <f t="shared" si="51"/>
        <v>0</v>
      </c>
      <c r="K113" s="18">
        <f t="shared" si="51"/>
        <v>0</v>
      </c>
      <c r="L113" s="18">
        <f t="shared" si="51"/>
        <v>0</v>
      </c>
      <c r="M113" s="18">
        <f t="shared" si="51"/>
        <v>0</v>
      </c>
      <c r="N113" s="18">
        <f t="shared" si="51"/>
        <v>0</v>
      </c>
      <c r="O113" s="18">
        <f t="shared" si="51"/>
        <v>0</v>
      </c>
      <c r="P113" s="18">
        <f t="shared" si="51"/>
        <v>0</v>
      </c>
      <c r="Q113" s="18">
        <f t="shared" si="51"/>
        <v>0</v>
      </c>
      <c r="R113" s="18">
        <f t="shared" si="51"/>
        <v>0</v>
      </c>
      <c r="S113" s="18">
        <f t="shared" si="51"/>
        <v>0</v>
      </c>
      <c r="T113" s="16"/>
      <c r="U113" s="97">
        <f t="shared" si="52"/>
        <v>0</v>
      </c>
      <c r="V113" s="64"/>
      <c r="W113" s="64"/>
      <c r="X113" s="305">
        <f t="shared" si="43"/>
        <v>0</v>
      </c>
    </row>
    <row r="114" spans="1:24" x14ac:dyDescent="0.2">
      <c r="A114" s="64"/>
      <c r="B114" s="16">
        <f t="shared" si="47"/>
        <v>13</v>
      </c>
      <c r="C114" s="1" t="s">
        <v>43</v>
      </c>
      <c r="D114" s="1" t="s">
        <v>44</v>
      </c>
      <c r="E114" s="16"/>
      <c r="F114" s="98">
        <f>' WP II-I-1.4'!G114</f>
        <v>468976125.50999999</v>
      </c>
      <c r="G114" s="16">
        <v>28</v>
      </c>
      <c r="H114" s="26" t="str">
        <f t="shared" si="50"/>
        <v>NCP XHV</v>
      </c>
      <c r="I114" s="16"/>
      <c r="J114" s="18">
        <f t="shared" si="51"/>
        <v>240475249.45735416</v>
      </c>
      <c r="K114" s="18">
        <f t="shared" si="51"/>
        <v>4543218.8591096783</v>
      </c>
      <c r="L114" s="18">
        <f t="shared" si="51"/>
        <v>154458268.22739372</v>
      </c>
      <c r="M114" s="18">
        <f t="shared" si="51"/>
        <v>72277.313400600062</v>
      </c>
      <c r="N114" s="18">
        <f t="shared" si="51"/>
        <v>45432585.310434625</v>
      </c>
      <c r="O114" s="18">
        <f t="shared" si="51"/>
        <v>19527819.42862438</v>
      </c>
      <c r="P114" s="18">
        <f t="shared" si="51"/>
        <v>0</v>
      </c>
      <c r="Q114" s="18">
        <f t="shared" si="51"/>
        <v>1373608.0579930763</v>
      </c>
      <c r="R114" s="18">
        <f t="shared" si="51"/>
        <v>1349839.1711085949</v>
      </c>
      <c r="S114" s="18">
        <f t="shared" si="51"/>
        <v>1743259.6845811061</v>
      </c>
      <c r="T114" s="16"/>
      <c r="U114" s="97">
        <f t="shared" si="52"/>
        <v>468976125.50999999</v>
      </c>
      <c r="V114" s="64"/>
      <c r="W114" s="64"/>
      <c r="X114" s="305">
        <f t="shared" si="43"/>
        <v>0</v>
      </c>
    </row>
    <row r="115" spans="1:24" x14ac:dyDescent="0.2">
      <c r="A115" s="64"/>
      <c r="B115" s="16">
        <f t="shared" si="47"/>
        <v>14</v>
      </c>
      <c r="C115" s="1" t="s">
        <v>45</v>
      </c>
      <c r="D115" s="1" t="s">
        <v>46</v>
      </c>
      <c r="E115" s="16"/>
      <c r="F115" s="98">
        <f>' WP II-I-1.4'!G115</f>
        <v>0</v>
      </c>
      <c r="G115" s="16">
        <v>28</v>
      </c>
      <c r="H115" s="26" t="str">
        <f t="shared" si="50"/>
        <v>NCP XHV</v>
      </c>
      <c r="I115" s="16"/>
      <c r="J115" s="18">
        <f t="shared" si="51"/>
        <v>0</v>
      </c>
      <c r="K115" s="18">
        <f t="shared" si="51"/>
        <v>0</v>
      </c>
      <c r="L115" s="18">
        <f t="shared" si="51"/>
        <v>0</v>
      </c>
      <c r="M115" s="18">
        <f t="shared" si="51"/>
        <v>0</v>
      </c>
      <c r="N115" s="18">
        <f t="shared" si="51"/>
        <v>0</v>
      </c>
      <c r="O115" s="18">
        <f t="shared" si="51"/>
        <v>0</v>
      </c>
      <c r="P115" s="18">
        <f t="shared" si="51"/>
        <v>0</v>
      </c>
      <c r="Q115" s="18">
        <f t="shared" si="51"/>
        <v>0</v>
      </c>
      <c r="R115" s="18">
        <f t="shared" si="51"/>
        <v>0</v>
      </c>
      <c r="S115" s="18">
        <f t="shared" si="51"/>
        <v>0</v>
      </c>
      <c r="T115" s="16"/>
      <c r="U115" s="97">
        <f t="shared" si="52"/>
        <v>0</v>
      </c>
      <c r="V115" s="64"/>
      <c r="W115" s="64"/>
      <c r="X115" s="305">
        <f t="shared" si="43"/>
        <v>0</v>
      </c>
    </row>
    <row r="116" spans="1:24" x14ac:dyDescent="0.2">
      <c r="A116" s="64"/>
      <c r="B116" s="16">
        <f t="shared" si="47"/>
        <v>15</v>
      </c>
      <c r="C116" s="1" t="s">
        <v>47</v>
      </c>
      <c r="D116" s="1" t="s">
        <v>48</v>
      </c>
      <c r="E116" s="16"/>
      <c r="F116" s="98">
        <f>' WP II-I-1.4'!G116</f>
        <v>0</v>
      </c>
      <c r="G116" s="16">
        <v>28</v>
      </c>
      <c r="H116" s="26" t="str">
        <f t="shared" si="50"/>
        <v>NCP XHV</v>
      </c>
      <c r="I116" s="16"/>
      <c r="J116" s="18">
        <f t="shared" si="51"/>
        <v>0</v>
      </c>
      <c r="K116" s="18">
        <f t="shared" si="51"/>
        <v>0</v>
      </c>
      <c r="L116" s="18">
        <f t="shared" si="51"/>
        <v>0</v>
      </c>
      <c r="M116" s="18">
        <f t="shared" si="51"/>
        <v>0</v>
      </c>
      <c r="N116" s="18">
        <f t="shared" si="51"/>
        <v>0</v>
      </c>
      <c r="O116" s="18">
        <f t="shared" si="51"/>
        <v>0</v>
      </c>
      <c r="P116" s="18">
        <f t="shared" si="51"/>
        <v>0</v>
      </c>
      <c r="Q116" s="18">
        <f t="shared" si="51"/>
        <v>0</v>
      </c>
      <c r="R116" s="18">
        <f t="shared" si="51"/>
        <v>0</v>
      </c>
      <c r="S116" s="18">
        <f t="shared" si="51"/>
        <v>0</v>
      </c>
      <c r="T116" s="16"/>
      <c r="U116" s="97">
        <f t="shared" si="52"/>
        <v>0</v>
      </c>
      <c r="V116" s="64"/>
      <c r="W116" s="64"/>
      <c r="X116" s="305">
        <f t="shared" si="43"/>
        <v>0</v>
      </c>
    </row>
    <row r="117" spans="1:24" x14ac:dyDescent="0.2">
      <c r="A117" s="64"/>
      <c r="B117" s="16">
        <f t="shared" si="47"/>
        <v>16</v>
      </c>
      <c r="C117" s="1" t="s">
        <v>49</v>
      </c>
      <c r="D117" s="1" t="s">
        <v>486</v>
      </c>
      <c r="E117" s="16"/>
      <c r="F117" s="98">
        <f>' WP II-I-1.4'!G117</f>
        <v>0</v>
      </c>
      <c r="G117" s="16">
        <v>28</v>
      </c>
      <c r="H117" s="26" t="str">
        <f t="shared" si="50"/>
        <v>NCP XHV</v>
      </c>
      <c r="I117" s="16"/>
      <c r="J117" s="18">
        <f t="shared" si="51"/>
        <v>0</v>
      </c>
      <c r="K117" s="18">
        <f t="shared" si="51"/>
        <v>0</v>
      </c>
      <c r="L117" s="18">
        <f t="shared" si="51"/>
        <v>0</v>
      </c>
      <c r="M117" s="18">
        <f t="shared" si="51"/>
        <v>0</v>
      </c>
      <c r="N117" s="18">
        <f t="shared" si="51"/>
        <v>0</v>
      </c>
      <c r="O117" s="18">
        <f t="shared" si="51"/>
        <v>0</v>
      </c>
      <c r="P117" s="18">
        <f t="shared" si="51"/>
        <v>0</v>
      </c>
      <c r="Q117" s="18">
        <f t="shared" si="51"/>
        <v>0</v>
      </c>
      <c r="R117" s="18">
        <f t="shared" si="51"/>
        <v>0</v>
      </c>
      <c r="S117" s="18">
        <f t="shared" si="51"/>
        <v>0</v>
      </c>
      <c r="T117" s="16"/>
      <c r="U117" s="97">
        <f t="shared" si="52"/>
        <v>0</v>
      </c>
      <c r="V117" s="64"/>
      <c r="W117" s="64"/>
      <c r="X117" s="305">
        <f t="shared" si="43"/>
        <v>0</v>
      </c>
    </row>
    <row r="118" spans="1:24" x14ac:dyDescent="0.2">
      <c r="A118" s="64"/>
      <c r="B118" s="16">
        <f t="shared" si="47"/>
        <v>17</v>
      </c>
      <c r="C118" s="1" t="s">
        <v>51</v>
      </c>
      <c r="D118" s="1" t="s">
        <v>52</v>
      </c>
      <c r="E118" s="16"/>
      <c r="F118" s="98">
        <f>' WP II-I-1.4'!G118</f>
        <v>0</v>
      </c>
      <c r="G118" s="16">
        <v>28</v>
      </c>
      <c r="H118" s="26" t="str">
        <f t="shared" si="50"/>
        <v>NCP XHV</v>
      </c>
      <c r="I118" s="16"/>
      <c r="J118" s="18">
        <f t="shared" si="51"/>
        <v>0</v>
      </c>
      <c r="K118" s="18">
        <f t="shared" si="51"/>
        <v>0</v>
      </c>
      <c r="L118" s="18">
        <f t="shared" si="51"/>
        <v>0</v>
      </c>
      <c r="M118" s="18">
        <f t="shared" si="51"/>
        <v>0</v>
      </c>
      <c r="N118" s="18">
        <f t="shared" si="51"/>
        <v>0</v>
      </c>
      <c r="O118" s="18">
        <f t="shared" si="51"/>
        <v>0</v>
      </c>
      <c r="P118" s="18">
        <f t="shared" si="51"/>
        <v>0</v>
      </c>
      <c r="Q118" s="18">
        <f t="shared" si="51"/>
        <v>0</v>
      </c>
      <c r="R118" s="18">
        <f t="shared" si="51"/>
        <v>0</v>
      </c>
      <c r="S118" s="18">
        <f t="shared" si="51"/>
        <v>0</v>
      </c>
      <c r="T118" s="16"/>
      <c r="U118" s="97">
        <f t="shared" si="52"/>
        <v>0</v>
      </c>
      <c r="V118" s="64"/>
      <c r="W118" s="64"/>
      <c r="X118" s="305">
        <f t="shared" si="43"/>
        <v>0</v>
      </c>
    </row>
    <row r="119" spans="1:24" x14ac:dyDescent="0.2">
      <c r="A119" s="64"/>
      <c r="B119" s="16">
        <f t="shared" si="47"/>
        <v>18</v>
      </c>
      <c r="C119" s="1" t="s">
        <v>53</v>
      </c>
      <c r="D119" s="29" t="s">
        <v>487</v>
      </c>
      <c r="E119" s="16"/>
      <c r="F119" s="98">
        <f>' WP II-I-1.4'!G119</f>
        <v>0</v>
      </c>
      <c r="G119" s="16">
        <v>28</v>
      </c>
      <c r="H119" s="26" t="str">
        <f t="shared" si="50"/>
        <v>NCP XHV</v>
      </c>
      <c r="I119" s="16"/>
      <c r="J119" s="18">
        <f t="shared" si="51"/>
        <v>0</v>
      </c>
      <c r="K119" s="18">
        <f t="shared" si="51"/>
        <v>0</v>
      </c>
      <c r="L119" s="18">
        <f t="shared" si="51"/>
        <v>0</v>
      </c>
      <c r="M119" s="18">
        <f t="shared" si="51"/>
        <v>0</v>
      </c>
      <c r="N119" s="18">
        <f t="shared" si="51"/>
        <v>0</v>
      </c>
      <c r="O119" s="18">
        <f t="shared" si="51"/>
        <v>0</v>
      </c>
      <c r="P119" s="18">
        <f t="shared" si="51"/>
        <v>0</v>
      </c>
      <c r="Q119" s="18">
        <f t="shared" si="51"/>
        <v>0</v>
      </c>
      <c r="R119" s="18">
        <f t="shared" si="51"/>
        <v>0</v>
      </c>
      <c r="S119" s="18">
        <f t="shared" si="51"/>
        <v>0</v>
      </c>
      <c r="T119" s="16"/>
      <c r="U119" s="97">
        <f t="shared" si="52"/>
        <v>0</v>
      </c>
      <c r="V119" s="64"/>
      <c r="W119" s="64"/>
      <c r="X119" s="305">
        <f t="shared" si="43"/>
        <v>0</v>
      </c>
    </row>
    <row r="120" spans="1:24" x14ac:dyDescent="0.2">
      <c r="A120" s="64"/>
      <c r="B120" s="16">
        <f t="shared" si="47"/>
        <v>19</v>
      </c>
      <c r="C120" s="1" t="s">
        <v>55</v>
      </c>
      <c r="D120" s="1" t="s">
        <v>56</v>
      </c>
      <c r="E120" s="16"/>
      <c r="F120" s="98">
        <f>' WP II-I-1.4'!G120</f>
        <v>0</v>
      </c>
      <c r="G120" s="16">
        <v>28</v>
      </c>
      <c r="H120" s="26" t="str">
        <f t="shared" si="50"/>
        <v>NCP XHV</v>
      </c>
      <c r="I120" s="16"/>
      <c r="J120" s="80">
        <f t="shared" si="51"/>
        <v>0</v>
      </c>
      <c r="K120" s="80">
        <f t="shared" si="51"/>
        <v>0</v>
      </c>
      <c r="L120" s="80">
        <f t="shared" si="51"/>
        <v>0</v>
      </c>
      <c r="M120" s="80">
        <f t="shared" si="51"/>
        <v>0</v>
      </c>
      <c r="N120" s="80">
        <f t="shared" si="51"/>
        <v>0</v>
      </c>
      <c r="O120" s="80">
        <f t="shared" si="51"/>
        <v>0</v>
      </c>
      <c r="P120" s="80">
        <f t="shared" si="51"/>
        <v>0</v>
      </c>
      <c r="Q120" s="80">
        <f t="shared" si="51"/>
        <v>0</v>
      </c>
      <c r="R120" s="80">
        <f t="shared" si="51"/>
        <v>0</v>
      </c>
      <c r="S120" s="80">
        <f t="shared" si="51"/>
        <v>0</v>
      </c>
      <c r="T120" s="16"/>
      <c r="U120" s="97">
        <f t="shared" si="52"/>
        <v>0</v>
      </c>
      <c r="V120" s="64"/>
      <c r="W120" s="64"/>
      <c r="X120" s="305">
        <f t="shared" si="43"/>
        <v>0</v>
      </c>
    </row>
    <row r="121" spans="1:24" ht="15" x14ac:dyDescent="0.25">
      <c r="A121" s="64"/>
      <c r="B121" s="16">
        <f t="shared" si="47"/>
        <v>20</v>
      </c>
      <c r="C121" s="8"/>
      <c r="D121" s="233" t="s">
        <v>444</v>
      </c>
      <c r="E121" s="961"/>
      <c r="F121" s="805">
        <f>SUM(F108:F120)</f>
        <v>468976125.50999999</v>
      </c>
      <c r="G121" s="16"/>
      <c r="H121" s="961"/>
      <c r="I121" s="961"/>
      <c r="J121" s="805">
        <f t="shared" ref="J121:Q121" ca="1" si="53">SUM(J108:J120)</f>
        <v>240475249.45735416</v>
      </c>
      <c r="K121" s="805">
        <f t="shared" ca="1" si="53"/>
        <v>4543218.8591096783</v>
      </c>
      <c r="L121" s="805">
        <f t="shared" ca="1" si="53"/>
        <v>154458268.22739372</v>
      </c>
      <c r="M121" s="805">
        <f t="shared" ca="1" si="53"/>
        <v>72277.313400600062</v>
      </c>
      <c r="N121" s="805">
        <f t="shared" ca="1" si="53"/>
        <v>45432585.310434625</v>
      </c>
      <c r="O121" s="805">
        <f ca="1">SUM(O108:O120)</f>
        <v>19527819.42862438</v>
      </c>
      <c r="P121" s="805">
        <f t="shared" ca="1" si="53"/>
        <v>0</v>
      </c>
      <c r="Q121" s="805">
        <f t="shared" ca="1" si="53"/>
        <v>1373608.0579930763</v>
      </c>
      <c r="R121" s="805">
        <f ca="1">SUM(R108:R120)</f>
        <v>1349839.1711085949</v>
      </c>
      <c r="S121" s="805">
        <f ca="1">SUM(S108:S120)</f>
        <v>1743259.6845811061</v>
      </c>
      <c r="T121" s="19"/>
      <c r="U121" s="235">
        <f t="shared" ca="1" si="52"/>
        <v>468976125.50999999</v>
      </c>
      <c r="V121" s="64"/>
      <c r="W121" s="64"/>
      <c r="X121" s="305">
        <f t="shared" ca="1" si="43"/>
        <v>0</v>
      </c>
    </row>
    <row r="122" spans="1:24" x14ac:dyDescent="0.2">
      <c r="A122" s="64"/>
      <c r="B122" s="16"/>
      <c r="C122" s="1"/>
      <c r="D122" s="1"/>
      <c r="E122" s="16"/>
      <c r="F122" s="18"/>
      <c r="G122" s="16"/>
      <c r="H122" s="10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05"/>
      <c r="V122" s="105">
        <f>$H$2</f>
        <v>0</v>
      </c>
      <c r="W122" s="105"/>
      <c r="X122" s="305"/>
    </row>
    <row r="123" spans="1:24" ht="15" thickBot="1" x14ac:dyDescent="0.25">
      <c r="A123" s="64"/>
      <c r="B123" s="16"/>
      <c r="C123" s="1"/>
      <c r="D123" s="1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"/>
      <c r="V123" s="105"/>
      <c r="W123" s="105"/>
      <c r="X123" s="305">
        <f t="shared" si="43"/>
        <v>0</v>
      </c>
    </row>
    <row r="124" spans="1:24" ht="15" x14ac:dyDescent="0.25">
      <c r="A124" s="64"/>
      <c r="B124" s="829" t="str">
        <f>+$B$4</f>
        <v>2025 RATE CASE</v>
      </c>
      <c r="C124" s="844"/>
      <c r="D124" s="551"/>
      <c r="F124" s="64"/>
      <c r="U124" s="105"/>
      <c r="X124" s="305">
        <f t="shared" si="43"/>
        <v>0</v>
      </c>
    </row>
    <row r="125" spans="1:24" ht="15" x14ac:dyDescent="0.25">
      <c r="A125" s="97"/>
      <c r="B125" s="826" t="str">
        <f>+$B$5</f>
        <v>ONCOR ELECTRIC DELIVERY COMPANY LLC</v>
      </c>
      <c r="C125" s="8"/>
      <c r="D125" s="870"/>
      <c r="F125" s="64"/>
      <c r="U125" s="105"/>
      <c r="V125" s="64"/>
      <c r="W125" s="64"/>
      <c r="X125" s="305">
        <f t="shared" si="43"/>
        <v>0</v>
      </c>
    </row>
    <row r="126" spans="1:24" ht="15" x14ac:dyDescent="0.25">
      <c r="A126" s="64"/>
      <c r="B126" s="826" t="str">
        <f>+$B$6</f>
        <v>II-I-1-DIST:  CLASS REVENUE REQUIREMENT</v>
      </c>
      <c r="C126" s="82"/>
      <c r="D126" s="870"/>
      <c r="F126" s="11"/>
      <c r="U126" s="11"/>
      <c r="V126" s="64"/>
      <c r="W126" s="64"/>
      <c r="X126" s="305">
        <f t="shared" si="43"/>
        <v>0</v>
      </c>
    </row>
    <row r="127" spans="1:24" ht="15" x14ac:dyDescent="0.25">
      <c r="A127" s="64"/>
      <c r="B127" s="341" t="str">
        <f>+$B$7</f>
        <v>TEST YEAR ENDING 12/31/2024</v>
      </c>
      <c r="C127" s="82"/>
      <c r="D127" s="870"/>
      <c r="F127" s="11"/>
      <c r="K127" s="101" t="s">
        <v>0</v>
      </c>
      <c r="U127" s="11"/>
      <c r="V127" s="64"/>
      <c r="W127" s="64"/>
      <c r="X127" s="305">
        <f t="shared" si="43"/>
        <v>0</v>
      </c>
    </row>
    <row r="128" spans="1:24" ht="15" x14ac:dyDescent="0.25">
      <c r="A128" s="64"/>
      <c r="B128" s="341" t="str">
        <f>+$B$8</f>
        <v>SPONSOR:  MATTHEW A. TROXLE</v>
      </c>
      <c r="C128" s="82"/>
      <c r="D128" s="870"/>
      <c r="F128" s="11"/>
      <c r="U128" s="11"/>
      <c r="V128" s="64"/>
      <c r="W128" s="64"/>
      <c r="X128" s="305">
        <f t="shared" si="43"/>
        <v>0</v>
      </c>
    </row>
    <row r="129" spans="1:24" ht="15.75" thickBot="1" x14ac:dyDescent="0.3">
      <c r="A129" s="64"/>
      <c r="B129" s="345"/>
      <c r="C129" s="843"/>
      <c r="D129" s="871"/>
      <c r="F129" s="11"/>
      <c r="U129" s="11"/>
      <c r="V129" s="64"/>
      <c r="W129" s="64"/>
      <c r="X129" s="305">
        <f t="shared" si="43"/>
        <v>0</v>
      </c>
    </row>
    <row r="130" spans="1:24" ht="15" thickBot="1" x14ac:dyDescent="0.25">
      <c r="A130" s="64"/>
      <c r="B130" s="12"/>
      <c r="C130" s="13"/>
      <c r="D130" s="13"/>
      <c r="E130" s="13"/>
      <c r="F130" s="12"/>
      <c r="G130" s="13"/>
      <c r="H130" s="13"/>
      <c r="I130" s="13"/>
      <c r="J130" s="177"/>
      <c r="K130" s="177"/>
      <c r="L130" s="13"/>
      <c r="M130" s="177"/>
      <c r="N130" s="177"/>
      <c r="O130" s="177"/>
      <c r="P130" s="177"/>
      <c r="Q130" s="13"/>
      <c r="R130" s="328" t="str">
        <f>R$10</f>
        <v xml:space="preserve"> </v>
      </c>
      <c r="S130" s="329"/>
      <c r="T130" s="177"/>
      <c r="U130" s="12"/>
      <c r="V130" s="64"/>
      <c r="W130" s="64"/>
      <c r="X130" s="305">
        <f t="shared" si="43"/>
        <v>0</v>
      </c>
    </row>
    <row r="131" spans="1:24" ht="15" x14ac:dyDescent="0.25">
      <c r="A131" s="64"/>
      <c r="B131" s="14" t="s">
        <v>2</v>
      </c>
      <c r="C131" s="14" t="s">
        <v>349</v>
      </c>
      <c r="D131" s="226" t="s">
        <v>518</v>
      </c>
      <c r="E131" s="14" t="s">
        <v>350</v>
      </c>
      <c r="F131" s="226" t="str">
        <f>F$11</f>
        <v>DIST</v>
      </c>
      <c r="G131" s="181" t="s">
        <v>688</v>
      </c>
      <c r="H131" s="181" t="s">
        <v>355</v>
      </c>
      <c r="I131" s="14"/>
      <c r="J131" s="181" t="s">
        <v>679</v>
      </c>
      <c r="K131" s="181" t="s">
        <v>388</v>
      </c>
      <c r="L131" s="14" t="s">
        <v>388</v>
      </c>
      <c r="M131" s="181" t="s">
        <v>389</v>
      </c>
      <c r="N131" s="181" t="s">
        <v>389</v>
      </c>
      <c r="O131" s="181" t="s">
        <v>389</v>
      </c>
      <c r="P131" s="181" t="s">
        <v>390</v>
      </c>
      <c r="Q131" s="14" t="s">
        <v>391</v>
      </c>
      <c r="R131" s="331" t="str">
        <f>R$11</f>
        <v>Wholesale</v>
      </c>
      <c r="S131" s="12" t="str">
        <f>S$11</f>
        <v>Wholesale</v>
      </c>
      <c r="T131" s="181"/>
      <c r="U131" s="14" t="s">
        <v>10</v>
      </c>
      <c r="V131" s="64"/>
      <c r="W131" s="64"/>
      <c r="X131" s="305"/>
    </row>
    <row r="132" spans="1:24" x14ac:dyDescent="0.2">
      <c r="A132" s="64"/>
      <c r="B132" s="14"/>
      <c r="C132" s="14"/>
      <c r="D132" s="14"/>
      <c r="E132" s="14"/>
      <c r="F132" s="14"/>
      <c r="G132" s="181" t="s">
        <v>689</v>
      </c>
      <c r="H132" s="181" t="s">
        <v>690</v>
      </c>
      <c r="I132" s="14"/>
      <c r="J132" s="181"/>
      <c r="K132" s="181" t="s">
        <v>680</v>
      </c>
      <c r="L132" s="14" t="s">
        <v>681</v>
      </c>
      <c r="M132" s="181" t="s">
        <v>680</v>
      </c>
      <c r="N132" s="181" t="s">
        <v>681</v>
      </c>
      <c r="O132" s="181" t="s">
        <v>393</v>
      </c>
      <c r="P132" s="181"/>
      <c r="Q132" s="14"/>
      <c r="R132" s="174" t="str">
        <f>R$12</f>
        <v>XFMR</v>
      </c>
      <c r="S132" s="14" t="str">
        <f>S$12</f>
        <v>DLS</v>
      </c>
      <c r="T132" s="181"/>
      <c r="U132" s="14"/>
      <c r="V132" s="64"/>
      <c r="W132" s="64"/>
      <c r="X132" s="305">
        <f t="shared" si="43"/>
        <v>0</v>
      </c>
    </row>
    <row r="133" spans="1:24" ht="15" thickBot="1" x14ac:dyDescent="0.25">
      <c r="A133" s="64"/>
      <c r="B133" s="15"/>
      <c r="C133" s="15"/>
      <c r="D133" s="15"/>
      <c r="E133" s="15"/>
      <c r="F133" s="15" t="s">
        <v>13</v>
      </c>
      <c r="G133" s="15" t="s">
        <v>14</v>
      </c>
      <c r="H133" s="15" t="s">
        <v>15</v>
      </c>
      <c r="I133" s="15"/>
      <c r="J133" s="182" t="str">
        <f t="shared" ref="J133:Q133" si="54">J$13</f>
        <v>(d)</v>
      </c>
      <c r="K133" s="182" t="str">
        <f t="shared" si="54"/>
        <v>(e)</v>
      </c>
      <c r="L133" s="15" t="str">
        <f t="shared" si="54"/>
        <v>(f)</v>
      </c>
      <c r="M133" s="182" t="str">
        <f t="shared" si="54"/>
        <v>(g)</v>
      </c>
      <c r="N133" s="182" t="str">
        <f t="shared" si="54"/>
        <v>(h)</v>
      </c>
      <c r="O133" s="182" t="str">
        <f>O$13</f>
        <v>(i)</v>
      </c>
      <c r="P133" s="182" t="str">
        <f t="shared" si="54"/>
        <v>(j)</v>
      </c>
      <c r="Q133" s="182" t="str">
        <f t="shared" si="54"/>
        <v>(k)</v>
      </c>
      <c r="R133" s="182" t="str">
        <f>R$13</f>
        <v>(l)</v>
      </c>
      <c r="S133" s="15" t="str">
        <f>S$13</f>
        <v>(m)</v>
      </c>
      <c r="T133" s="15"/>
      <c r="U133" s="15" t="s">
        <v>683</v>
      </c>
      <c r="V133" s="64"/>
      <c r="W133" s="64"/>
      <c r="X133" s="305"/>
    </row>
    <row r="134" spans="1:24" x14ac:dyDescent="0.2">
      <c r="A134" s="64"/>
      <c r="B134" s="64"/>
      <c r="C134" s="64"/>
      <c r="D134" s="96"/>
      <c r="E134" s="96"/>
      <c r="F134" s="227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64"/>
      <c r="W134" s="64"/>
      <c r="X134" s="305">
        <f t="shared" si="43"/>
        <v>0</v>
      </c>
    </row>
    <row r="135" spans="1:24" ht="15" x14ac:dyDescent="0.25">
      <c r="A135" s="64"/>
      <c r="B135" s="16">
        <v>1</v>
      </c>
      <c r="C135" s="8" t="s">
        <v>518</v>
      </c>
      <c r="D135" s="8"/>
      <c r="E135" s="961" t="s">
        <v>24</v>
      </c>
      <c r="F135" s="805"/>
      <c r="G135" s="961"/>
      <c r="H135" s="961"/>
      <c r="I135" s="961"/>
      <c r="J135" s="961"/>
      <c r="K135" s="961"/>
      <c r="L135" s="961"/>
      <c r="M135" s="961"/>
      <c r="N135" s="961"/>
      <c r="O135" s="961"/>
      <c r="P135" s="961"/>
      <c r="Q135" s="961"/>
      <c r="R135" s="961"/>
      <c r="S135" s="961"/>
      <c r="T135" s="961"/>
      <c r="U135" s="8"/>
      <c r="V135" s="64"/>
      <c r="W135" s="64"/>
      <c r="X135" s="305">
        <f t="shared" si="43"/>
        <v>0</v>
      </c>
    </row>
    <row r="136" spans="1:24" x14ac:dyDescent="0.2">
      <c r="A136" s="64"/>
      <c r="B136" s="16">
        <f t="shared" ref="B136:B168" si="55">B135+1</f>
        <v>2</v>
      </c>
      <c r="C136" s="1" t="s">
        <v>59</v>
      </c>
      <c r="D136" s="1" t="s">
        <v>40</v>
      </c>
      <c r="E136" s="16"/>
      <c r="F136" s="97">
        <f>' WP II-I-1.4'!G136</f>
        <v>26320548.329999998</v>
      </c>
      <c r="G136" s="16">
        <v>54</v>
      </c>
      <c r="H136" s="26" t="str">
        <f t="shared" ref="H136:H158" si="56">VLOOKUP(G136,FactorTable,2)</f>
        <v>PLT 362-373</v>
      </c>
      <c r="I136" s="16"/>
      <c r="J136" s="98">
        <f t="shared" ref="J136:S145" ca="1" si="57">$F136*HLOOKUP(J$1354,FactorTable,$G136+1)</f>
        <v>14148730.855112607</v>
      </c>
      <c r="K136" s="98">
        <f t="shared" ca="1" si="57"/>
        <v>464309.78224280145</v>
      </c>
      <c r="L136" s="98">
        <f t="shared" ca="1" si="57"/>
        <v>8940744.8745426014</v>
      </c>
      <c r="M136" s="98">
        <f t="shared" ca="1" si="57"/>
        <v>2545.172335653544</v>
      </c>
      <c r="N136" s="98">
        <f t="shared" ca="1" si="57"/>
        <v>1599862.4440899296</v>
      </c>
      <c r="O136" s="98">
        <f t="shared" ca="1" si="57"/>
        <v>153781.90644036161</v>
      </c>
      <c r="P136" s="98">
        <f t="shared" ca="1" si="57"/>
        <v>31252.298228751599</v>
      </c>
      <c r="Q136" s="98">
        <f t="shared" ca="1" si="57"/>
        <v>907303.86789784185</v>
      </c>
      <c r="R136" s="98">
        <f t="shared" ca="1" si="57"/>
        <v>10630.006175532322</v>
      </c>
      <c r="S136" s="98">
        <f t="shared" ca="1" si="57"/>
        <v>61387.122933917999</v>
      </c>
      <c r="T136" s="16"/>
      <c r="U136" s="97">
        <f t="shared" ref="U136:U159" ca="1" si="58">SUM(I136:T136)</f>
        <v>26320548.330000002</v>
      </c>
      <c r="V136" s="64"/>
      <c r="W136" s="64"/>
      <c r="X136" s="305">
        <f t="shared" ca="1" si="43"/>
        <v>0</v>
      </c>
    </row>
    <row r="137" spans="1:24" x14ac:dyDescent="0.2">
      <c r="A137" s="64"/>
      <c r="B137" s="16">
        <f t="shared" si="55"/>
        <v>3</v>
      </c>
      <c r="C137" s="1" t="s">
        <v>60</v>
      </c>
      <c r="D137" s="29" t="s">
        <v>42</v>
      </c>
      <c r="E137" s="16"/>
      <c r="F137" s="97">
        <f>' WP II-I-1.4'!G137</f>
        <v>262616639.71000001</v>
      </c>
      <c r="G137" s="16">
        <v>54</v>
      </c>
      <c r="H137" s="26" t="str">
        <f t="shared" si="56"/>
        <v>PLT 362-373</v>
      </c>
      <c r="I137" s="16"/>
      <c r="J137" s="98">
        <f t="shared" ca="1" si="57"/>
        <v>141170772.9924359</v>
      </c>
      <c r="K137" s="98">
        <f t="shared" ca="1" si="57"/>
        <v>4632710.2789916061</v>
      </c>
      <c r="L137" s="98">
        <f t="shared" ca="1" si="57"/>
        <v>89207426.305042475</v>
      </c>
      <c r="M137" s="98">
        <f t="shared" ca="1" si="57"/>
        <v>25394.782733699456</v>
      </c>
      <c r="N137" s="98">
        <f t="shared" ca="1" si="57"/>
        <v>15962832.301112819</v>
      </c>
      <c r="O137" s="98">
        <f t="shared" ca="1" si="57"/>
        <v>1534378.653940656</v>
      </c>
      <c r="P137" s="98">
        <f t="shared" ca="1" si="57"/>
        <v>311823.80553579942</v>
      </c>
      <c r="Q137" s="98">
        <f t="shared" ca="1" si="57"/>
        <v>9052740.467098657</v>
      </c>
      <c r="R137" s="98">
        <f t="shared" ca="1" si="57"/>
        <v>106062.24714296623</v>
      </c>
      <c r="S137" s="98">
        <f t="shared" ca="1" si="57"/>
        <v>612497.87596542155</v>
      </c>
      <c r="T137" s="16"/>
      <c r="U137" s="97">
        <f t="shared" ca="1" si="58"/>
        <v>262616639.71000001</v>
      </c>
      <c r="V137" s="64"/>
      <c r="W137" s="64"/>
      <c r="X137" s="305">
        <f t="shared" ca="1" si="43"/>
        <v>0</v>
      </c>
    </row>
    <row r="138" spans="1:24" s="321" customFormat="1" x14ac:dyDescent="0.2">
      <c r="A138" s="45"/>
      <c r="B138" s="16">
        <f t="shared" si="55"/>
        <v>4</v>
      </c>
      <c r="C138" s="1" t="s">
        <v>61</v>
      </c>
      <c r="D138" s="647" t="s">
        <v>44</v>
      </c>
      <c r="E138" s="16"/>
      <c r="F138" s="229">
        <f>' WP II-I-1.4'!G138</f>
        <v>2475128207.190002</v>
      </c>
      <c r="G138" s="16">
        <v>28</v>
      </c>
      <c r="H138" s="26" t="str">
        <f t="shared" si="56"/>
        <v>NCP XHV</v>
      </c>
      <c r="I138" s="16"/>
      <c r="J138" s="23">
        <f t="shared" si="57"/>
        <v>1269162843.664326</v>
      </c>
      <c r="K138" s="23">
        <f t="shared" si="57"/>
        <v>23977871.234684348</v>
      </c>
      <c r="L138" s="23">
        <f t="shared" si="57"/>
        <v>815188654.02283597</v>
      </c>
      <c r="M138" s="23">
        <f t="shared" si="57"/>
        <v>381459.96652429277</v>
      </c>
      <c r="N138" s="23">
        <f t="shared" si="57"/>
        <v>239780806.12341335</v>
      </c>
      <c r="O138" s="23">
        <f t="shared" si="57"/>
        <v>103062510.14407028</v>
      </c>
      <c r="P138" s="23">
        <f t="shared" si="57"/>
        <v>0</v>
      </c>
      <c r="Q138" s="23">
        <f t="shared" si="57"/>
        <v>7249529.0592135871</v>
      </c>
      <c r="R138" s="23">
        <f t="shared" si="57"/>
        <v>7124083.3506131517</v>
      </c>
      <c r="S138" s="23">
        <f t="shared" si="57"/>
        <v>9200449.6243206672</v>
      </c>
      <c r="T138" s="16"/>
      <c r="U138" s="229">
        <f t="shared" si="58"/>
        <v>2475128207.1900015</v>
      </c>
      <c r="V138" s="45"/>
      <c r="W138" s="45"/>
      <c r="X138" s="751">
        <f t="shared" si="43"/>
        <v>0</v>
      </c>
    </row>
    <row r="139" spans="1:24" s="321" customFormat="1" x14ac:dyDescent="0.2">
      <c r="A139" s="45"/>
      <c r="B139" s="16">
        <f t="shared" si="55"/>
        <v>5</v>
      </c>
      <c r="C139" s="1" t="s">
        <v>1234</v>
      </c>
      <c r="D139" s="647" t="s">
        <v>1230</v>
      </c>
      <c r="E139" s="645"/>
      <c r="F139" s="229">
        <f>' WP II-I-1.4'!G139</f>
        <v>0</v>
      </c>
      <c r="G139" s="16">
        <v>58</v>
      </c>
      <c r="H139" s="26" t="str">
        <f t="shared" ref="H139:H141" si="59">VLOOKUP(G139,FactorTable,2)</f>
        <v>PLTDIST_N</v>
      </c>
      <c r="I139" s="16"/>
      <c r="J139" s="23">
        <f t="shared" ca="1" si="57"/>
        <v>0</v>
      </c>
      <c r="K139" s="23">
        <f t="shared" ca="1" si="57"/>
        <v>0</v>
      </c>
      <c r="L139" s="23">
        <f t="shared" ca="1" si="57"/>
        <v>0</v>
      </c>
      <c r="M139" s="23">
        <f t="shared" ca="1" si="57"/>
        <v>0</v>
      </c>
      <c r="N139" s="23">
        <f t="shared" ca="1" si="57"/>
        <v>0</v>
      </c>
      <c r="O139" s="23">
        <f t="shared" ca="1" si="57"/>
        <v>0</v>
      </c>
      <c r="P139" s="23">
        <f t="shared" ca="1" si="57"/>
        <v>0</v>
      </c>
      <c r="Q139" s="23">
        <f t="shared" ca="1" si="57"/>
        <v>0</v>
      </c>
      <c r="R139" s="23">
        <f t="shared" ca="1" si="57"/>
        <v>0</v>
      </c>
      <c r="S139" s="23">
        <f t="shared" ca="1" si="57"/>
        <v>0</v>
      </c>
      <c r="T139" s="16"/>
      <c r="U139" s="229">
        <f t="shared" ref="U139:U141" ca="1" si="60">SUM(I139:T139)</f>
        <v>0</v>
      </c>
      <c r="V139" s="45"/>
      <c r="W139" s="45"/>
      <c r="X139" s="751">
        <f t="shared" ca="1" si="43"/>
        <v>0</v>
      </c>
    </row>
    <row r="140" spans="1:24" s="321" customFormat="1" x14ac:dyDescent="0.2">
      <c r="A140" s="45"/>
      <c r="B140" s="16">
        <f t="shared" si="55"/>
        <v>6</v>
      </c>
      <c r="C140" s="1" t="s">
        <v>1235</v>
      </c>
      <c r="D140" s="647" t="s">
        <v>1232</v>
      </c>
      <c r="E140" s="645"/>
      <c r="F140" s="229">
        <f>' WP II-I-1.4'!G140</f>
        <v>327580421.52000022</v>
      </c>
      <c r="G140" s="16">
        <v>58</v>
      </c>
      <c r="H140" s="26" t="str">
        <f t="shared" si="59"/>
        <v>PLTDIST_N</v>
      </c>
      <c r="I140" s="16"/>
      <c r="J140" s="23">
        <f t="shared" ca="1" si="57"/>
        <v>178994592.50287566</v>
      </c>
      <c r="K140" s="23">
        <f t="shared" ca="1" si="57"/>
        <v>4770430.0870294683</v>
      </c>
      <c r="L140" s="23">
        <f t="shared" ca="1" si="57"/>
        <v>113932409.25093353</v>
      </c>
      <c r="M140" s="23">
        <f t="shared" ca="1" si="57"/>
        <v>33870.395465546419</v>
      </c>
      <c r="N140" s="23">
        <f t="shared" ca="1" si="57"/>
        <v>21290492.951192353</v>
      </c>
      <c r="O140" s="23">
        <f t="shared" ca="1" si="57"/>
        <v>2235906.9300927264</v>
      </c>
      <c r="P140" s="23">
        <f t="shared" ca="1" si="57"/>
        <v>435730.01016372442</v>
      </c>
      <c r="Q140" s="23">
        <f t="shared" ca="1" si="57"/>
        <v>4915513.2195768999</v>
      </c>
      <c r="R140" s="23">
        <f t="shared" ca="1" si="57"/>
        <v>154554.62235421423</v>
      </c>
      <c r="S140" s="23">
        <f t="shared" ca="1" si="57"/>
        <v>816921.55031616846</v>
      </c>
      <c r="T140" s="16"/>
      <c r="U140" s="229">
        <f t="shared" ca="1" si="60"/>
        <v>327580421.52000034</v>
      </c>
      <c r="V140" s="45"/>
      <c r="W140" s="45"/>
      <c r="X140" s="751">
        <f t="shared" ca="1" si="43"/>
        <v>0</v>
      </c>
    </row>
    <row r="141" spans="1:24" x14ac:dyDescent="0.2">
      <c r="A141" s="64"/>
      <c r="B141" s="16">
        <f t="shared" si="55"/>
        <v>7</v>
      </c>
      <c r="C141" s="1" t="s">
        <v>1236</v>
      </c>
      <c r="D141" s="647" t="s">
        <v>103</v>
      </c>
      <c r="E141" s="645"/>
      <c r="F141" s="229">
        <f>' WP II-I-1.4'!G141</f>
        <v>0</v>
      </c>
      <c r="G141" s="16">
        <v>58</v>
      </c>
      <c r="H141" s="26" t="str">
        <f t="shared" si="59"/>
        <v>PLTDIST_N</v>
      </c>
      <c r="I141" s="16"/>
      <c r="J141" s="23">
        <f t="shared" ca="1" si="57"/>
        <v>0</v>
      </c>
      <c r="K141" s="23">
        <f t="shared" ca="1" si="57"/>
        <v>0</v>
      </c>
      <c r="L141" s="23">
        <f t="shared" ca="1" si="57"/>
        <v>0</v>
      </c>
      <c r="M141" s="23">
        <f t="shared" ca="1" si="57"/>
        <v>0</v>
      </c>
      <c r="N141" s="23">
        <f t="shared" ca="1" si="57"/>
        <v>0</v>
      </c>
      <c r="O141" s="23">
        <f t="shared" ca="1" si="57"/>
        <v>0</v>
      </c>
      <c r="P141" s="23">
        <f t="shared" ca="1" si="57"/>
        <v>0</v>
      </c>
      <c r="Q141" s="23">
        <f t="shared" ca="1" si="57"/>
        <v>0</v>
      </c>
      <c r="R141" s="23">
        <f t="shared" ca="1" si="57"/>
        <v>0</v>
      </c>
      <c r="S141" s="23">
        <f t="shared" ca="1" si="57"/>
        <v>0</v>
      </c>
      <c r="T141" s="16"/>
      <c r="U141" s="229">
        <f t="shared" ca="1" si="60"/>
        <v>0</v>
      </c>
      <c r="V141" s="64"/>
      <c r="W141" s="64"/>
      <c r="X141" s="305">
        <f t="shared" ca="1" si="43"/>
        <v>0</v>
      </c>
    </row>
    <row r="142" spans="1:24" x14ac:dyDescent="0.2">
      <c r="A142" s="64"/>
      <c r="B142" s="16">
        <f t="shared" si="55"/>
        <v>8</v>
      </c>
      <c r="C142" s="1" t="s">
        <v>359</v>
      </c>
      <c r="D142" s="29" t="s">
        <v>489</v>
      </c>
      <c r="E142" s="16"/>
      <c r="F142" s="229">
        <f>' WP II-I-1.4'!G142</f>
        <v>2972866230.1907825</v>
      </c>
      <c r="G142" s="16">
        <v>30</v>
      </c>
      <c r="H142" s="650" t="str">
        <f t="shared" si="56"/>
        <v>NCP XSS</v>
      </c>
      <c r="I142" s="16"/>
      <c r="J142" s="23">
        <f t="shared" si="57"/>
        <v>1595409940.2255564</v>
      </c>
      <c r="K142" s="98">
        <f t="shared" si="57"/>
        <v>30141549.056711566</v>
      </c>
      <c r="L142" s="98">
        <f t="shared" si="57"/>
        <v>1024738541.8502704</v>
      </c>
      <c r="M142" s="98">
        <f t="shared" si="57"/>
        <v>479516.89212225785</v>
      </c>
      <c r="N142" s="98">
        <f t="shared" si="57"/>
        <v>301418122.56345004</v>
      </c>
      <c r="O142" s="98">
        <f t="shared" si="57"/>
        <v>0</v>
      </c>
      <c r="P142" s="98">
        <f t="shared" si="57"/>
        <v>0</v>
      </c>
      <c r="Q142" s="98">
        <f t="shared" si="57"/>
        <v>9113070.6991311852</v>
      </c>
      <c r="R142" s="98">
        <f t="shared" si="57"/>
        <v>0</v>
      </c>
      <c r="S142" s="98">
        <f t="shared" si="57"/>
        <v>11565488.903540507</v>
      </c>
      <c r="T142" s="16"/>
      <c r="U142" s="97">
        <f t="shared" si="58"/>
        <v>2972866230.1907821</v>
      </c>
      <c r="V142" s="64"/>
      <c r="W142" s="64"/>
      <c r="X142" s="305">
        <f t="shared" si="43"/>
        <v>0</v>
      </c>
    </row>
    <row r="143" spans="1:24" x14ac:dyDescent="0.2">
      <c r="A143" s="64"/>
      <c r="B143" s="16">
        <f t="shared" si="55"/>
        <v>9</v>
      </c>
      <c r="C143" s="1" t="s">
        <v>361</v>
      </c>
      <c r="D143" s="29" t="s">
        <v>490</v>
      </c>
      <c r="E143" s="16"/>
      <c r="F143" s="229">
        <f>' WP II-I-1.4'!G143</f>
        <v>550545026.16921711</v>
      </c>
      <c r="G143" s="16">
        <v>32</v>
      </c>
      <c r="H143" s="650" t="str">
        <f t="shared" si="56"/>
        <v>NCP SEC</v>
      </c>
      <c r="I143" s="16"/>
      <c r="J143" s="23">
        <f t="shared" si="57"/>
        <v>330279003.84381217</v>
      </c>
      <c r="K143" s="98">
        <f t="shared" si="57"/>
        <v>6239851.3045196729</v>
      </c>
      <c r="L143" s="98">
        <f t="shared" si="57"/>
        <v>212139598.90134478</v>
      </c>
      <c r="M143" s="98">
        <f t="shared" si="57"/>
        <v>0</v>
      </c>
      <c r="N143" s="98">
        <f t="shared" si="57"/>
        <v>0</v>
      </c>
      <c r="O143" s="98">
        <f t="shared" si="57"/>
        <v>0</v>
      </c>
      <c r="P143" s="98">
        <f t="shared" si="57"/>
        <v>0</v>
      </c>
      <c r="Q143" s="98">
        <f t="shared" si="57"/>
        <v>1886572.1195404814</v>
      </c>
      <c r="R143" s="98">
        <f t="shared" si="57"/>
        <v>0</v>
      </c>
      <c r="S143" s="98">
        <f t="shared" si="57"/>
        <v>0</v>
      </c>
      <c r="T143" s="16"/>
      <c r="U143" s="97">
        <f t="shared" si="58"/>
        <v>550545026.16921711</v>
      </c>
      <c r="V143" s="64"/>
      <c r="W143" s="64"/>
      <c r="X143" s="305">
        <f t="shared" si="43"/>
        <v>0</v>
      </c>
    </row>
    <row r="144" spans="1:24" x14ac:dyDescent="0.2">
      <c r="A144" s="64"/>
      <c r="B144" s="16">
        <f t="shared" si="55"/>
        <v>10</v>
      </c>
      <c r="C144" s="1" t="s">
        <v>364</v>
      </c>
      <c r="D144" s="1" t="s">
        <v>491</v>
      </c>
      <c r="E144" s="16"/>
      <c r="F144" s="229">
        <f>' WP II-I-1.4'!G144</f>
        <v>1905927086.1466675</v>
      </c>
      <c r="G144" s="16">
        <v>30</v>
      </c>
      <c r="H144" s="26" t="str">
        <f t="shared" si="56"/>
        <v>NCP XSS</v>
      </c>
      <c r="I144" s="16"/>
      <c r="J144" s="23">
        <f t="shared" si="57"/>
        <v>1022829412.1355019</v>
      </c>
      <c r="K144" s="98">
        <f t="shared" si="57"/>
        <v>19323975.691270318</v>
      </c>
      <c r="L144" s="98">
        <f t="shared" si="57"/>
        <v>656967650.71246839</v>
      </c>
      <c r="M144" s="98">
        <f t="shared" si="57"/>
        <v>307421.91615598864</v>
      </c>
      <c r="N144" s="98">
        <f t="shared" si="57"/>
        <v>193241444.30551398</v>
      </c>
      <c r="O144" s="98">
        <f t="shared" si="57"/>
        <v>0</v>
      </c>
      <c r="P144" s="98">
        <f t="shared" si="57"/>
        <v>0</v>
      </c>
      <c r="Q144" s="98">
        <f t="shared" si="57"/>
        <v>5842458.7379866848</v>
      </c>
      <c r="R144" s="98">
        <f t="shared" si="57"/>
        <v>0</v>
      </c>
      <c r="S144" s="98">
        <f t="shared" si="57"/>
        <v>7414722.6477701198</v>
      </c>
      <c r="T144" s="16"/>
      <c r="U144" s="97">
        <f t="shared" si="58"/>
        <v>1905927086.1466675</v>
      </c>
      <c r="V144" s="64"/>
      <c r="W144" s="64"/>
      <c r="X144" s="305">
        <f t="shared" si="43"/>
        <v>0</v>
      </c>
    </row>
    <row r="145" spans="1:24" x14ac:dyDescent="0.2">
      <c r="A145" s="64"/>
      <c r="B145" s="16">
        <f t="shared" si="55"/>
        <v>11</v>
      </c>
      <c r="C145" s="1" t="s">
        <v>366</v>
      </c>
      <c r="D145" s="1" t="s">
        <v>492</v>
      </c>
      <c r="E145" s="16"/>
      <c r="F145" s="229">
        <f>' WP II-I-1.4'!G145</f>
        <v>276691306.83333248</v>
      </c>
      <c r="G145" s="16">
        <v>32</v>
      </c>
      <c r="H145" s="26" t="str">
        <f t="shared" si="56"/>
        <v>NCP SEC</v>
      </c>
      <c r="I145" s="16"/>
      <c r="J145" s="23">
        <f t="shared" si="57"/>
        <v>165990654.44116312</v>
      </c>
      <c r="K145" s="98">
        <f t="shared" si="57"/>
        <v>3136006.1935471138</v>
      </c>
      <c r="L145" s="98">
        <f t="shared" si="57"/>
        <v>106616498.30811609</v>
      </c>
      <c r="M145" s="98">
        <f t="shared" si="57"/>
        <v>0</v>
      </c>
      <c r="N145" s="98">
        <f t="shared" si="57"/>
        <v>0</v>
      </c>
      <c r="O145" s="98">
        <f t="shared" si="57"/>
        <v>0</v>
      </c>
      <c r="P145" s="98">
        <f t="shared" si="57"/>
        <v>0</v>
      </c>
      <c r="Q145" s="98">
        <f t="shared" si="57"/>
        <v>948147.89050613064</v>
      </c>
      <c r="R145" s="98">
        <f t="shared" si="57"/>
        <v>0</v>
      </c>
      <c r="S145" s="98">
        <f t="shared" si="57"/>
        <v>0</v>
      </c>
      <c r="T145" s="16"/>
      <c r="U145" s="97">
        <f t="shared" si="58"/>
        <v>276691306.83333248</v>
      </c>
      <c r="V145" s="64"/>
      <c r="W145" s="64"/>
      <c r="X145" s="305">
        <f t="shared" si="43"/>
        <v>0</v>
      </c>
    </row>
    <row r="146" spans="1:24" x14ac:dyDescent="0.2">
      <c r="A146" s="64"/>
      <c r="B146" s="16">
        <f t="shared" si="55"/>
        <v>12</v>
      </c>
      <c r="C146" s="1" t="s">
        <v>369</v>
      </c>
      <c r="D146" s="1" t="s">
        <v>370</v>
      </c>
      <c r="E146" s="16"/>
      <c r="F146" s="229">
        <f>' WP II-I-1.4'!G146</f>
        <v>1079935972.4845948</v>
      </c>
      <c r="G146" s="16">
        <v>30</v>
      </c>
      <c r="H146" s="26" t="str">
        <f t="shared" si="56"/>
        <v>NCP XSS</v>
      </c>
      <c r="I146" s="16"/>
      <c r="J146" s="23">
        <f t="shared" ref="J146:S158" si="61">$F146*HLOOKUP(J$1354,FactorTable,$G146+1)</f>
        <v>579555369.09526753</v>
      </c>
      <c r="K146" s="98">
        <f t="shared" si="61"/>
        <v>10949346.715362629</v>
      </c>
      <c r="L146" s="98">
        <f t="shared" si="61"/>
        <v>372250860.96944851</v>
      </c>
      <c r="M146" s="98">
        <f t="shared" si="61"/>
        <v>174191.33627940214</v>
      </c>
      <c r="N146" s="98">
        <f t="shared" si="61"/>
        <v>109494423.26375733</v>
      </c>
      <c r="O146" s="98">
        <f t="shared" si="61"/>
        <v>0</v>
      </c>
      <c r="P146" s="98">
        <f t="shared" si="61"/>
        <v>0</v>
      </c>
      <c r="Q146" s="98">
        <f t="shared" si="61"/>
        <v>3310452.6425851071</v>
      </c>
      <c r="R146" s="98">
        <f t="shared" si="61"/>
        <v>0</v>
      </c>
      <c r="S146" s="98">
        <f t="shared" si="61"/>
        <v>4201328.4618942533</v>
      </c>
      <c r="T146" s="16"/>
      <c r="U146" s="97">
        <f t="shared" si="58"/>
        <v>1079935972.4845948</v>
      </c>
      <c r="V146" s="64"/>
      <c r="W146" s="64"/>
      <c r="X146" s="305">
        <f t="shared" si="43"/>
        <v>0</v>
      </c>
    </row>
    <row r="147" spans="1:24" x14ac:dyDescent="0.2">
      <c r="A147" s="64"/>
      <c r="B147" s="16">
        <f t="shared" si="55"/>
        <v>13</v>
      </c>
      <c r="C147" s="1" t="s">
        <v>371</v>
      </c>
      <c r="D147" s="1" t="s">
        <v>372</v>
      </c>
      <c r="E147" s="16"/>
      <c r="F147" s="229">
        <f>' WP II-I-1.4'!G147</f>
        <v>557386865.60540497</v>
      </c>
      <c r="G147" s="16">
        <v>32</v>
      </c>
      <c r="H147" s="26" t="str">
        <f t="shared" si="56"/>
        <v>NCP SEC</v>
      </c>
      <c r="I147" s="16"/>
      <c r="J147" s="23">
        <f t="shared" si="61"/>
        <v>334383510.8432976</v>
      </c>
      <c r="K147" s="98">
        <f t="shared" si="61"/>
        <v>6317396.3893027827</v>
      </c>
      <c r="L147" s="98">
        <f t="shared" si="61"/>
        <v>214775941.08000281</v>
      </c>
      <c r="M147" s="98">
        <f t="shared" si="61"/>
        <v>0</v>
      </c>
      <c r="N147" s="98">
        <f t="shared" si="61"/>
        <v>0</v>
      </c>
      <c r="O147" s="98">
        <f t="shared" si="61"/>
        <v>0</v>
      </c>
      <c r="P147" s="98">
        <f t="shared" si="61"/>
        <v>0</v>
      </c>
      <c r="Q147" s="98">
        <f t="shared" si="61"/>
        <v>1910017.292801782</v>
      </c>
      <c r="R147" s="98">
        <f t="shared" si="61"/>
        <v>0</v>
      </c>
      <c r="S147" s="98">
        <f t="shared" si="61"/>
        <v>0</v>
      </c>
      <c r="T147" s="16"/>
      <c r="U147" s="97">
        <f t="shared" si="58"/>
        <v>557386865.60540497</v>
      </c>
      <c r="V147" s="64"/>
      <c r="W147" s="64"/>
      <c r="X147" s="305">
        <f t="shared" si="43"/>
        <v>0</v>
      </c>
    </row>
    <row r="148" spans="1:24" x14ac:dyDescent="0.2">
      <c r="A148" s="64"/>
      <c r="B148" s="16">
        <f t="shared" si="55"/>
        <v>14</v>
      </c>
      <c r="C148" s="1" t="s">
        <v>374</v>
      </c>
      <c r="D148" s="29" t="s">
        <v>493</v>
      </c>
      <c r="E148" s="28"/>
      <c r="F148" s="229">
        <f>' WP II-I-1.4'!G148</f>
        <v>2535747234.0759034</v>
      </c>
      <c r="G148" s="16">
        <v>30</v>
      </c>
      <c r="H148" s="26" t="str">
        <f t="shared" si="56"/>
        <v>NCP XSS</v>
      </c>
      <c r="I148" s="28"/>
      <c r="J148" s="23">
        <f t="shared" si="61"/>
        <v>1360826902.3542762</v>
      </c>
      <c r="K148" s="98">
        <f t="shared" si="61"/>
        <v>25709649.790200807</v>
      </c>
      <c r="L148" s="98">
        <f t="shared" si="61"/>
        <v>874064866.00678337</v>
      </c>
      <c r="M148" s="98">
        <f t="shared" si="61"/>
        <v>409010.54361051985</v>
      </c>
      <c r="N148" s="98">
        <f t="shared" si="61"/>
        <v>257098742.89956534</v>
      </c>
      <c r="O148" s="98">
        <f t="shared" si="61"/>
        <v>0</v>
      </c>
      <c r="P148" s="98">
        <f t="shared" si="61"/>
        <v>0</v>
      </c>
      <c r="Q148" s="98">
        <f t="shared" si="61"/>
        <v>7773119.2828602605</v>
      </c>
      <c r="R148" s="98">
        <f t="shared" si="61"/>
        <v>0</v>
      </c>
      <c r="S148" s="98">
        <f t="shared" si="61"/>
        <v>9864943.1986067984</v>
      </c>
      <c r="T148" s="28"/>
      <c r="U148" s="97">
        <f t="shared" si="58"/>
        <v>2535747234.0759034</v>
      </c>
      <c r="V148" s="64"/>
      <c r="W148" s="64"/>
      <c r="X148" s="305">
        <f t="shared" si="43"/>
        <v>0</v>
      </c>
    </row>
    <row r="149" spans="1:24" x14ac:dyDescent="0.2">
      <c r="A149" s="64"/>
      <c r="B149" s="16">
        <f t="shared" si="55"/>
        <v>15</v>
      </c>
      <c r="C149" s="1" t="s">
        <v>376</v>
      </c>
      <c r="D149" s="29" t="s">
        <v>494</v>
      </c>
      <c r="E149" s="28"/>
      <c r="F149" s="229">
        <f>' WP II-I-1.4'!G149</f>
        <v>641176084.73409665</v>
      </c>
      <c r="G149" s="16">
        <v>32</v>
      </c>
      <c r="H149" s="26" t="str">
        <f t="shared" si="56"/>
        <v>NCP SEC</v>
      </c>
      <c r="I149" s="28"/>
      <c r="J149" s="23">
        <f t="shared" si="61"/>
        <v>384649735.24138939</v>
      </c>
      <c r="K149" s="98">
        <f t="shared" si="61"/>
        <v>7267059.4385229424</v>
      </c>
      <c r="L149" s="98">
        <f t="shared" si="61"/>
        <v>247062149.279719</v>
      </c>
      <c r="M149" s="98">
        <f t="shared" si="61"/>
        <v>0</v>
      </c>
      <c r="N149" s="98">
        <f t="shared" si="61"/>
        <v>0</v>
      </c>
      <c r="O149" s="98">
        <f t="shared" si="61"/>
        <v>0</v>
      </c>
      <c r="P149" s="98">
        <f t="shared" si="61"/>
        <v>0</v>
      </c>
      <c r="Q149" s="98">
        <f t="shared" si="61"/>
        <v>2197140.7744653351</v>
      </c>
      <c r="R149" s="98">
        <f t="shared" si="61"/>
        <v>0</v>
      </c>
      <c r="S149" s="98">
        <f t="shared" si="61"/>
        <v>0</v>
      </c>
      <c r="T149" s="28"/>
      <c r="U149" s="97">
        <f t="shared" si="58"/>
        <v>641176084.73409665</v>
      </c>
      <c r="V149" s="64"/>
      <c r="W149" s="64"/>
      <c r="X149" s="305">
        <f t="shared" si="43"/>
        <v>0</v>
      </c>
    </row>
    <row r="150" spans="1:24" x14ac:dyDescent="0.2">
      <c r="A150" s="64"/>
      <c r="B150" s="16">
        <f t="shared" si="55"/>
        <v>16</v>
      </c>
      <c r="C150" s="647" t="s">
        <v>379</v>
      </c>
      <c r="D150" s="647" t="str">
        <f>'WP II-I-1.2'!D39</f>
        <v>Regulators, Protectors, Primary Transformers</v>
      </c>
      <c r="E150" s="16"/>
      <c r="F150" s="229">
        <f>' WP II-I-1.4'!G150</f>
        <v>218577637.44999996</v>
      </c>
      <c r="G150" s="16">
        <v>30</v>
      </c>
      <c r="H150" s="26" t="str">
        <f t="shared" si="56"/>
        <v>NCP XSS</v>
      </c>
      <c r="I150" s="16"/>
      <c r="J150" s="23">
        <f t="shared" si="61"/>
        <v>117301253.57048735</v>
      </c>
      <c r="K150" s="98">
        <f t="shared" si="61"/>
        <v>2216133.5464719143</v>
      </c>
      <c r="L150" s="98">
        <f t="shared" si="61"/>
        <v>75343090.518814191</v>
      </c>
      <c r="M150" s="98">
        <f t="shared" si="61"/>
        <v>35256.100100650467</v>
      </c>
      <c r="N150" s="98">
        <f t="shared" si="61"/>
        <v>22161528.980167195</v>
      </c>
      <c r="O150" s="98">
        <f t="shared" si="61"/>
        <v>0</v>
      </c>
      <c r="P150" s="98">
        <f t="shared" si="61"/>
        <v>0</v>
      </c>
      <c r="Q150" s="98">
        <f t="shared" si="61"/>
        <v>670031.31291349209</v>
      </c>
      <c r="R150" s="98">
        <f t="shared" si="61"/>
        <v>0</v>
      </c>
      <c r="S150" s="98">
        <f t="shared" si="61"/>
        <v>850343.42104516551</v>
      </c>
      <c r="T150" s="16"/>
      <c r="U150" s="97">
        <f t="shared" si="58"/>
        <v>218577637.4499999</v>
      </c>
      <c r="V150" s="64"/>
      <c r="W150" s="64"/>
      <c r="X150" s="305">
        <f t="shared" si="43"/>
        <v>0</v>
      </c>
    </row>
    <row r="151" spans="1:24" x14ac:dyDescent="0.2">
      <c r="A151" s="64"/>
      <c r="B151" s="16">
        <f t="shared" si="55"/>
        <v>17</v>
      </c>
      <c r="C151" s="647" t="s">
        <v>381</v>
      </c>
      <c r="D151" s="647" t="str">
        <f>'WP II-I-1.2'!D40</f>
        <v>Secondary Transformers</v>
      </c>
      <c r="E151" s="16"/>
      <c r="F151" s="229">
        <f>' WP II-I-1.4'!G151</f>
        <v>2781139440.8000002</v>
      </c>
      <c r="G151" s="16">
        <v>32</v>
      </c>
      <c r="H151" s="26" t="str">
        <f t="shared" si="56"/>
        <v>NCP SEC</v>
      </c>
      <c r="I151" s="16"/>
      <c r="J151" s="23">
        <f t="shared" si="61"/>
        <v>1668441127.240031</v>
      </c>
      <c r="K151" s="98">
        <f t="shared" si="61"/>
        <v>31521302.968584176</v>
      </c>
      <c r="L151" s="98">
        <f t="shared" si="61"/>
        <v>1071646781.672461</v>
      </c>
      <c r="M151" s="98">
        <f t="shared" si="61"/>
        <v>0</v>
      </c>
      <c r="N151" s="98">
        <f t="shared" si="61"/>
        <v>0</v>
      </c>
      <c r="O151" s="98">
        <f t="shared" si="61"/>
        <v>0</v>
      </c>
      <c r="P151" s="98">
        <f t="shared" si="61"/>
        <v>0</v>
      </c>
      <c r="Q151" s="98">
        <f t="shared" si="61"/>
        <v>9530228.9189240765</v>
      </c>
      <c r="R151" s="98">
        <f t="shared" si="61"/>
        <v>0</v>
      </c>
      <c r="S151" s="98">
        <f t="shared" si="61"/>
        <v>0</v>
      </c>
      <c r="T151" s="16"/>
      <c r="U151" s="97">
        <f t="shared" si="58"/>
        <v>2781139440.7999997</v>
      </c>
      <c r="V151" s="64"/>
      <c r="W151" s="64"/>
      <c r="X151" s="305">
        <f t="shared" si="43"/>
        <v>0</v>
      </c>
    </row>
    <row r="152" spans="1:24" x14ac:dyDescent="0.2">
      <c r="A152" s="64"/>
      <c r="B152" s="16">
        <f t="shared" si="55"/>
        <v>18</v>
      </c>
      <c r="C152" s="647" t="s">
        <v>383</v>
      </c>
      <c r="D152" s="647" t="str">
        <f>'WP II-I-1.2'!D41</f>
        <v>Capacitors</v>
      </c>
      <c r="E152" s="16"/>
      <c r="F152" s="229">
        <f>' WP II-I-1.4'!G152</f>
        <v>167948847.31999999</v>
      </c>
      <c r="G152" s="16">
        <v>26</v>
      </c>
      <c r="H152" s="26" t="str">
        <f t="shared" si="56"/>
        <v>NCP ALL</v>
      </c>
      <c r="I152" s="16"/>
      <c r="J152" s="23">
        <f t="shared" si="61"/>
        <v>74736720.637334704</v>
      </c>
      <c r="K152" s="98">
        <f t="shared" si="61"/>
        <v>1411975.9910167612</v>
      </c>
      <c r="L152" s="98">
        <f t="shared" si="61"/>
        <v>48003711.270437397</v>
      </c>
      <c r="M152" s="98">
        <f t="shared" si="61"/>
        <v>22462.891263142999</v>
      </c>
      <c r="N152" s="98">
        <f t="shared" si="61"/>
        <v>14119883.205610244</v>
      </c>
      <c r="O152" s="98">
        <f t="shared" si="61"/>
        <v>6069003.7273554644</v>
      </c>
      <c r="P152" s="98">
        <f t="shared" si="61"/>
        <v>22196892.568264917</v>
      </c>
      <c r="Q152" s="98">
        <f t="shared" si="61"/>
        <v>426900.32311880781</v>
      </c>
      <c r="R152" s="98">
        <f t="shared" si="61"/>
        <v>419513.24830360548</v>
      </c>
      <c r="S152" s="98">
        <f t="shared" si="61"/>
        <v>541783.45729493105</v>
      </c>
      <c r="T152" s="16"/>
      <c r="U152" s="97">
        <f t="shared" si="58"/>
        <v>167948847.31999993</v>
      </c>
      <c r="V152" s="64"/>
      <c r="W152" s="64"/>
      <c r="X152" s="305">
        <f t="shared" si="43"/>
        <v>0</v>
      </c>
    </row>
    <row r="153" spans="1:24" x14ac:dyDescent="0.2">
      <c r="A153" s="64"/>
      <c r="B153" s="16">
        <f t="shared" si="55"/>
        <v>19</v>
      </c>
      <c r="C153" s="1" t="s">
        <v>72</v>
      </c>
      <c r="D153" s="29" t="s">
        <v>73</v>
      </c>
      <c r="E153" s="28"/>
      <c r="F153" s="97">
        <f>' WP II-I-1.4'!G153</f>
        <v>1970343942.5799999</v>
      </c>
      <c r="G153" s="16">
        <v>7</v>
      </c>
      <c r="H153" s="26" t="str">
        <f t="shared" si="56"/>
        <v>CUS W SEC</v>
      </c>
      <c r="I153" s="28"/>
      <c r="J153" s="98">
        <f t="shared" si="61"/>
        <v>1163817714.5316858</v>
      </c>
      <c r="K153" s="98">
        <f t="shared" si="61"/>
        <v>163266260.69015011</v>
      </c>
      <c r="L153" s="98">
        <f t="shared" si="61"/>
        <v>642073205.67387891</v>
      </c>
      <c r="M153" s="98">
        <f t="shared" si="61"/>
        <v>0</v>
      </c>
      <c r="N153" s="98">
        <f t="shared" si="61"/>
        <v>0</v>
      </c>
      <c r="O153" s="98">
        <f t="shared" si="61"/>
        <v>0</v>
      </c>
      <c r="P153" s="98">
        <f t="shared" si="61"/>
        <v>0</v>
      </c>
      <c r="Q153" s="98">
        <f t="shared" si="61"/>
        <v>1186761.6842846575</v>
      </c>
      <c r="R153" s="98">
        <f t="shared" si="61"/>
        <v>0</v>
      </c>
      <c r="S153" s="98">
        <f t="shared" si="61"/>
        <v>0</v>
      </c>
      <c r="T153" s="28"/>
      <c r="U153" s="97">
        <f t="shared" si="58"/>
        <v>1970343942.5799994</v>
      </c>
      <c r="V153" s="64"/>
      <c r="W153" s="64"/>
      <c r="X153" s="305">
        <f t="shared" si="43"/>
        <v>0</v>
      </c>
    </row>
    <row r="154" spans="1:24" x14ac:dyDescent="0.2">
      <c r="A154" s="64"/>
      <c r="B154" s="16">
        <f t="shared" si="55"/>
        <v>20</v>
      </c>
      <c r="C154" s="1" t="s">
        <v>74</v>
      </c>
      <c r="D154" s="1" t="s">
        <v>75</v>
      </c>
      <c r="E154" s="16"/>
      <c r="F154" s="97">
        <f>' WP II-I-1.4'!G154</f>
        <v>0</v>
      </c>
      <c r="G154" s="16">
        <v>6</v>
      </c>
      <c r="H154" s="26" t="str">
        <f t="shared" si="56"/>
        <v>CUS W ALL</v>
      </c>
      <c r="I154" s="16"/>
      <c r="J154" s="98">
        <f t="shared" si="61"/>
        <v>0</v>
      </c>
      <c r="K154" s="98">
        <f t="shared" si="61"/>
        <v>0</v>
      </c>
      <c r="L154" s="98">
        <f t="shared" si="61"/>
        <v>0</v>
      </c>
      <c r="M154" s="98">
        <f t="shared" si="61"/>
        <v>0</v>
      </c>
      <c r="N154" s="98">
        <f t="shared" si="61"/>
        <v>0</v>
      </c>
      <c r="O154" s="98">
        <f t="shared" si="61"/>
        <v>0</v>
      </c>
      <c r="P154" s="98">
        <f t="shared" si="61"/>
        <v>0</v>
      </c>
      <c r="Q154" s="98">
        <f t="shared" si="61"/>
        <v>0</v>
      </c>
      <c r="R154" s="98">
        <f t="shared" si="61"/>
        <v>0</v>
      </c>
      <c r="S154" s="98">
        <f t="shared" si="61"/>
        <v>0</v>
      </c>
      <c r="T154" s="16"/>
      <c r="U154" s="97">
        <f t="shared" si="58"/>
        <v>0</v>
      </c>
      <c r="V154" s="64"/>
      <c r="W154" s="64"/>
      <c r="X154" s="305">
        <f t="shared" ref="X154:X219" si="62">U154-F154</f>
        <v>0</v>
      </c>
    </row>
    <row r="155" spans="1:24" x14ac:dyDescent="0.2">
      <c r="A155" s="64"/>
      <c r="B155" s="16">
        <f t="shared" si="55"/>
        <v>21</v>
      </c>
      <c r="C155" s="1" t="s">
        <v>76</v>
      </c>
      <c r="D155" s="1" t="s">
        <v>495</v>
      </c>
      <c r="E155" s="16"/>
      <c r="F155" s="97">
        <f>' WP II-I-1.4'!G155</f>
        <v>56332960.560000002</v>
      </c>
      <c r="G155" s="16">
        <v>33</v>
      </c>
      <c r="H155" s="26" t="str">
        <f t="shared" si="56"/>
        <v>NCP LGT</v>
      </c>
      <c r="I155" s="16"/>
      <c r="J155" s="98">
        <f t="shared" si="61"/>
        <v>0</v>
      </c>
      <c r="K155" s="98">
        <f t="shared" si="61"/>
        <v>0</v>
      </c>
      <c r="L155" s="98">
        <f t="shared" si="61"/>
        <v>0</v>
      </c>
      <c r="M155" s="98">
        <f t="shared" si="61"/>
        <v>0</v>
      </c>
      <c r="N155" s="98">
        <f t="shared" si="61"/>
        <v>0</v>
      </c>
      <c r="O155" s="98">
        <f t="shared" si="61"/>
        <v>0</v>
      </c>
      <c r="P155" s="98">
        <f t="shared" si="61"/>
        <v>0</v>
      </c>
      <c r="Q155" s="98">
        <f t="shared" si="61"/>
        <v>56332960.560000002</v>
      </c>
      <c r="R155" s="98">
        <f t="shared" si="61"/>
        <v>0</v>
      </c>
      <c r="S155" s="98">
        <f t="shared" si="61"/>
        <v>0</v>
      </c>
      <c r="T155" s="16"/>
      <c r="U155" s="97">
        <f t="shared" si="58"/>
        <v>56332960.560000002</v>
      </c>
      <c r="V155" s="64"/>
      <c r="W155" s="64"/>
      <c r="X155" s="305">
        <f t="shared" si="62"/>
        <v>0</v>
      </c>
    </row>
    <row r="156" spans="1:24" x14ac:dyDescent="0.2">
      <c r="A156" s="64"/>
      <c r="B156" s="16">
        <f t="shared" si="55"/>
        <v>22</v>
      </c>
      <c r="C156" s="1" t="s">
        <v>78</v>
      </c>
      <c r="D156" s="1" t="s">
        <v>496</v>
      </c>
      <c r="E156" s="16"/>
      <c r="F156" s="97">
        <f>' WP II-I-1.4'!G156</f>
        <v>0</v>
      </c>
      <c r="G156" s="16">
        <v>6</v>
      </c>
      <c r="H156" s="26" t="str">
        <f t="shared" si="56"/>
        <v>CUS W ALL</v>
      </c>
      <c r="I156" s="16"/>
      <c r="J156" s="98">
        <f t="shared" si="61"/>
        <v>0</v>
      </c>
      <c r="K156" s="98">
        <f t="shared" si="61"/>
        <v>0</v>
      </c>
      <c r="L156" s="98">
        <f t="shared" si="61"/>
        <v>0</v>
      </c>
      <c r="M156" s="98">
        <f t="shared" si="61"/>
        <v>0</v>
      </c>
      <c r="N156" s="98">
        <f t="shared" si="61"/>
        <v>0</v>
      </c>
      <c r="O156" s="98">
        <f t="shared" si="61"/>
        <v>0</v>
      </c>
      <c r="P156" s="98">
        <f t="shared" si="61"/>
        <v>0</v>
      </c>
      <c r="Q156" s="98">
        <f t="shared" si="61"/>
        <v>0</v>
      </c>
      <c r="R156" s="98">
        <f t="shared" si="61"/>
        <v>0</v>
      </c>
      <c r="S156" s="98">
        <f t="shared" si="61"/>
        <v>0</v>
      </c>
      <c r="T156" s="16"/>
      <c r="U156" s="97">
        <f t="shared" si="58"/>
        <v>0</v>
      </c>
      <c r="V156" s="64"/>
      <c r="W156" s="64"/>
      <c r="X156" s="305">
        <f t="shared" si="62"/>
        <v>0</v>
      </c>
    </row>
    <row r="157" spans="1:24" x14ac:dyDescent="0.2">
      <c r="A157" s="64"/>
      <c r="B157" s="16">
        <f t="shared" si="55"/>
        <v>23</v>
      </c>
      <c r="C157" s="1" t="s">
        <v>80</v>
      </c>
      <c r="D157" s="1" t="s">
        <v>84</v>
      </c>
      <c r="E157" s="16"/>
      <c r="F157" s="97">
        <f>' WP II-I-1.4'!G157</f>
        <v>543768085.23000002</v>
      </c>
      <c r="G157" s="16">
        <v>33</v>
      </c>
      <c r="H157" s="26" t="str">
        <f t="shared" si="56"/>
        <v>NCP LGT</v>
      </c>
      <c r="I157" s="16"/>
      <c r="J157" s="98">
        <f t="shared" si="61"/>
        <v>0</v>
      </c>
      <c r="K157" s="98">
        <f t="shared" si="61"/>
        <v>0</v>
      </c>
      <c r="L157" s="98">
        <f t="shared" si="61"/>
        <v>0</v>
      </c>
      <c r="M157" s="98">
        <f t="shared" si="61"/>
        <v>0</v>
      </c>
      <c r="N157" s="98">
        <f t="shared" si="61"/>
        <v>0</v>
      </c>
      <c r="O157" s="98">
        <f t="shared" si="61"/>
        <v>0</v>
      </c>
      <c r="P157" s="98">
        <f t="shared" si="61"/>
        <v>0</v>
      </c>
      <c r="Q157" s="98">
        <f t="shared" si="61"/>
        <v>543768085.23000002</v>
      </c>
      <c r="R157" s="98">
        <f t="shared" si="61"/>
        <v>0</v>
      </c>
      <c r="S157" s="98">
        <f t="shared" si="61"/>
        <v>0</v>
      </c>
      <c r="T157" s="16"/>
      <c r="U157" s="97">
        <f t="shared" si="58"/>
        <v>543768085.23000002</v>
      </c>
      <c r="V157" s="64"/>
      <c r="W157" s="64"/>
      <c r="X157" s="305">
        <f t="shared" si="62"/>
        <v>0</v>
      </c>
    </row>
    <row r="158" spans="1:24" x14ac:dyDescent="0.2">
      <c r="A158" s="64"/>
      <c r="B158" s="16">
        <f t="shared" si="55"/>
        <v>24</v>
      </c>
      <c r="C158" s="1" t="s">
        <v>82</v>
      </c>
      <c r="D158" s="1" t="s">
        <v>38</v>
      </c>
      <c r="E158" s="16"/>
      <c r="F158" s="97">
        <f>' WP II-I-1.4'!G158</f>
        <v>88171655.439999998</v>
      </c>
      <c r="G158" s="16">
        <v>54</v>
      </c>
      <c r="H158" s="26" t="str">
        <f t="shared" si="56"/>
        <v>PLT 362-373</v>
      </c>
      <c r="I158" s="16"/>
      <c r="J158" s="145">
        <f t="shared" ca="1" si="61"/>
        <v>47397075.707893707</v>
      </c>
      <c r="K158" s="145">
        <f t="shared" ca="1" si="61"/>
        <v>1555399.2881930862</v>
      </c>
      <c r="L158" s="145">
        <f t="shared" ca="1" si="61"/>
        <v>29950754.314513795</v>
      </c>
      <c r="M158" s="145">
        <f t="shared" ca="1" si="61"/>
        <v>8526.1163787716705</v>
      </c>
      <c r="N158" s="145">
        <f t="shared" ca="1" si="61"/>
        <v>5359406.5899801692</v>
      </c>
      <c r="O158" s="145">
        <f t="shared" ca="1" si="61"/>
        <v>515156.64102298289</v>
      </c>
      <c r="P158" s="145">
        <f t="shared" ca="1" si="61"/>
        <v>104692.6088539284</v>
      </c>
      <c r="Q158" s="145">
        <f t="shared" ca="1" si="61"/>
        <v>3039392.759477051</v>
      </c>
      <c r="R158" s="145">
        <f t="shared" ca="1" si="61"/>
        <v>35609.639665668321</v>
      </c>
      <c r="S158" s="145">
        <f t="shared" ca="1" si="61"/>
        <v>205641.77402083552</v>
      </c>
      <c r="T158" s="16"/>
      <c r="U158" s="97">
        <f t="shared" ca="1" si="58"/>
        <v>88171655.439999968</v>
      </c>
      <c r="V158" s="64"/>
      <c r="W158" s="64"/>
      <c r="X158" s="305">
        <f t="shared" ca="1" si="62"/>
        <v>0</v>
      </c>
    </row>
    <row r="159" spans="1:24" ht="15" x14ac:dyDescent="0.25">
      <c r="A159" s="64"/>
      <c r="B159" s="16">
        <f t="shared" si="55"/>
        <v>25</v>
      </c>
      <c r="C159" s="64"/>
      <c r="D159" s="233" t="s">
        <v>444</v>
      </c>
      <c r="E159" s="121"/>
      <c r="F159" s="21">
        <f>SUM(F136:F158)</f>
        <v>19438204192.369999</v>
      </c>
      <c r="G159" s="121"/>
      <c r="H159" s="121"/>
      <c r="I159" s="121"/>
      <c r="J159" s="21">
        <f t="shared" ref="J159:Q159" ca="1" si="63">SUM(J136:J158)</f>
        <v>10449095359.882446</v>
      </c>
      <c r="K159" s="21">
        <f t="shared" ca="1" si="63"/>
        <v>342901228.44680214</v>
      </c>
      <c r="L159" s="21">
        <f t="shared" ca="1" si="63"/>
        <v>6602902885.0116129</v>
      </c>
      <c r="M159" s="21">
        <f t="shared" ca="1" si="63"/>
        <v>1879656.1129699254</v>
      </c>
      <c r="N159" s="21">
        <f t="shared" ca="1" si="63"/>
        <v>1181527545.6278527</v>
      </c>
      <c r="O159" s="21">
        <f ca="1">SUM(O136:O158)</f>
        <v>113570738.00292246</v>
      </c>
      <c r="P159" s="21">
        <f t="shared" ca="1" si="63"/>
        <v>23080391.291047122</v>
      </c>
      <c r="Q159" s="21">
        <f t="shared" ca="1" si="63"/>
        <v>670060426.84238207</v>
      </c>
      <c r="R159" s="21">
        <f ca="1">SUM(R136:R158)</f>
        <v>7850453.1142551377</v>
      </c>
      <c r="S159" s="21">
        <f ca="1">SUM(S136:S158)</f>
        <v>45335508.037708782</v>
      </c>
      <c r="T159" s="121"/>
      <c r="U159" s="235">
        <f t="shared" ca="1" si="58"/>
        <v>19438204192.369995</v>
      </c>
      <c r="V159" s="64"/>
      <c r="W159" s="64"/>
      <c r="X159" s="305">
        <f t="shared" ca="1" si="62"/>
        <v>0</v>
      </c>
    </row>
    <row r="160" spans="1:24" x14ac:dyDescent="0.2">
      <c r="A160" s="64"/>
      <c r="B160" s="16">
        <f t="shared" si="55"/>
        <v>26</v>
      </c>
      <c r="C160" s="64"/>
      <c r="D160" s="1"/>
      <c r="E160" s="16"/>
      <c r="F160" s="18"/>
      <c r="G160" s="16"/>
      <c r="H160" s="16"/>
      <c r="I160" s="1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6"/>
      <c r="U160" s="1"/>
      <c r="V160" s="64"/>
      <c r="W160" s="64"/>
      <c r="X160" s="305">
        <f t="shared" si="62"/>
        <v>0</v>
      </c>
    </row>
    <row r="161" spans="1:24" ht="15" x14ac:dyDescent="0.25">
      <c r="A161" s="64"/>
      <c r="B161" s="16">
        <f t="shared" si="55"/>
        <v>27</v>
      </c>
      <c r="C161" s="64"/>
      <c r="D161" s="233" t="s">
        <v>519</v>
      </c>
      <c r="E161" s="16"/>
      <c r="F161" s="21">
        <f>SUM(F142:F143)</f>
        <v>3523411256.3599997</v>
      </c>
      <c r="G161" s="16"/>
      <c r="H161" s="16"/>
      <c r="I161" s="16"/>
      <c r="J161" s="21">
        <f t="shared" ref="J161:Q161" si="64">SUM(J142:J143)</f>
        <v>1925688944.0693686</v>
      </c>
      <c r="K161" s="21">
        <f t="shared" si="64"/>
        <v>36381400.361231238</v>
      </c>
      <c r="L161" s="21">
        <f t="shared" si="64"/>
        <v>1236878140.751615</v>
      </c>
      <c r="M161" s="21">
        <f t="shared" si="64"/>
        <v>479516.89212225785</v>
      </c>
      <c r="N161" s="21">
        <f t="shared" si="64"/>
        <v>301418122.56345004</v>
      </c>
      <c r="O161" s="21">
        <f>SUM(O142:O143)</f>
        <v>0</v>
      </c>
      <c r="P161" s="21">
        <f t="shared" si="64"/>
        <v>0</v>
      </c>
      <c r="Q161" s="21">
        <f t="shared" si="64"/>
        <v>10999642.818671666</v>
      </c>
      <c r="R161" s="21">
        <f>SUM(R142:R143)</f>
        <v>0</v>
      </c>
      <c r="S161" s="21">
        <f>SUM(S142:S143)</f>
        <v>11565488.903540507</v>
      </c>
      <c r="T161" s="16"/>
      <c r="U161" s="235">
        <f>SUM(I161:T161)</f>
        <v>3523411256.3599992</v>
      </c>
      <c r="V161" s="64"/>
      <c r="W161" s="64"/>
      <c r="X161" s="305">
        <f t="shared" si="62"/>
        <v>0</v>
      </c>
    </row>
    <row r="162" spans="1:24" ht="15" x14ac:dyDescent="0.25">
      <c r="A162" s="64"/>
      <c r="B162" s="16">
        <f t="shared" si="55"/>
        <v>28</v>
      </c>
      <c r="C162" s="64"/>
      <c r="D162" s="233" t="s">
        <v>520</v>
      </c>
      <c r="E162" s="16"/>
      <c r="F162" s="21">
        <f>SUM(F144:F145)</f>
        <v>2182618392.98</v>
      </c>
      <c r="G162" s="16"/>
      <c r="H162" s="16"/>
      <c r="I162" s="16"/>
      <c r="J162" s="21">
        <f t="shared" ref="J162:Q162" si="65">SUM(J144:J145)</f>
        <v>1188820066.5766649</v>
      </c>
      <c r="K162" s="21">
        <f t="shared" si="65"/>
        <v>22459981.884817433</v>
      </c>
      <c r="L162" s="21">
        <f t="shared" si="65"/>
        <v>763584149.02058446</v>
      </c>
      <c r="M162" s="21">
        <f t="shared" si="65"/>
        <v>307421.91615598864</v>
      </c>
      <c r="N162" s="21">
        <f t="shared" si="65"/>
        <v>193241444.30551398</v>
      </c>
      <c r="O162" s="21">
        <f>SUM(O144:O145)</f>
        <v>0</v>
      </c>
      <c r="P162" s="21">
        <f t="shared" si="65"/>
        <v>0</v>
      </c>
      <c r="Q162" s="21">
        <f t="shared" si="65"/>
        <v>6790606.6284928154</v>
      </c>
      <c r="R162" s="21">
        <f>SUM(R144:R145)</f>
        <v>0</v>
      </c>
      <c r="S162" s="21">
        <f>SUM(S144:S145)</f>
        <v>7414722.6477701198</v>
      </c>
      <c r="T162" s="16"/>
      <c r="U162" s="235">
        <f>SUM(I162:T162)</f>
        <v>2182618392.9799995</v>
      </c>
      <c r="V162" s="64"/>
      <c r="W162" s="64"/>
      <c r="X162" s="305">
        <f t="shared" si="62"/>
        <v>0</v>
      </c>
    </row>
    <row r="163" spans="1:24" ht="15" x14ac:dyDescent="0.25">
      <c r="A163" s="64"/>
      <c r="B163" s="16">
        <f t="shared" si="55"/>
        <v>29</v>
      </c>
      <c r="C163" s="64"/>
      <c r="D163" s="233" t="s">
        <v>521</v>
      </c>
      <c r="E163" s="16"/>
      <c r="F163" s="21">
        <f>SUM(F146:F147)</f>
        <v>1637322838.0899997</v>
      </c>
      <c r="G163" s="16"/>
      <c r="H163" s="16"/>
      <c r="I163" s="16"/>
      <c r="J163" s="21">
        <f t="shared" ref="J163:Q163" si="66">SUM(J146:J147)</f>
        <v>913938879.93856514</v>
      </c>
      <c r="K163" s="21">
        <f t="shared" si="66"/>
        <v>17266743.104665413</v>
      </c>
      <c r="L163" s="21">
        <f t="shared" si="66"/>
        <v>587026802.04945135</v>
      </c>
      <c r="M163" s="21">
        <f t="shared" si="66"/>
        <v>174191.33627940214</v>
      </c>
      <c r="N163" s="21">
        <f t="shared" si="66"/>
        <v>109494423.26375733</v>
      </c>
      <c r="O163" s="21">
        <f>SUM(O146:O147)</f>
        <v>0</v>
      </c>
      <c r="P163" s="21">
        <f t="shared" si="66"/>
        <v>0</v>
      </c>
      <c r="Q163" s="21">
        <f t="shared" si="66"/>
        <v>5220469.9353868887</v>
      </c>
      <c r="R163" s="21">
        <f>SUM(R146:R147)</f>
        <v>0</v>
      </c>
      <c r="S163" s="21">
        <f>SUM(S146:S147)</f>
        <v>4201328.4618942533</v>
      </c>
      <c r="T163" s="16"/>
      <c r="U163" s="235">
        <f>SUM(I163:T163)</f>
        <v>1637322838.0899997</v>
      </c>
      <c r="V163" s="64"/>
      <c r="W163" s="64"/>
      <c r="X163" s="305">
        <f t="shared" si="62"/>
        <v>0</v>
      </c>
    </row>
    <row r="164" spans="1:24" ht="15" x14ac:dyDescent="0.25">
      <c r="A164" s="64"/>
      <c r="B164" s="16">
        <f t="shared" si="55"/>
        <v>30</v>
      </c>
      <c r="C164" s="64"/>
      <c r="D164" s="233" t="s">
        <v>522</v>
      </c>
      <c r="E164" s="16"/>
      <c r="F164" s="21">
        <f>SUM(F148:F149)</f>
        <v>3176923318.8099999</v>
      </c>
      <c r="G164" s="16"/>
      <c r="H164" s="16"/>
      <c r="I164" s="16"/>
      <c r="J164" s="21">
        <f t="shared" ref="J164:Q164" si="67">SUM(J148:J149)</f>
        <v>1745476637.5956655</v>
      </c>
      <c r="K164" s="21">
        <f t="shared" si="67"/>
        <v>32976709.22872375</v>
      </c>
      <c r="L164" s="21">
        <f t="shared" si="67"/>
        <v>1121127015.2865024</v>
      </c>
      <c r="M164" s="21">
        <f t="shared" si="67"/>
        <v>409010.54361051985</v>
      </c>
      <c r="N164" s="21">
        <f t="shared" si="67"/>
        <v>257098742.89956534</v>
      </c>
      <c r="O164" s="21">
        <f>SUM(O148:O149)</f>
        <v>0</v>
      </c>
      <c r="P164" s="21">
        <f t="shared" si="67"/>
        <v>0</v>
      </c>
      <c r="Q164" s="21">
        <f t="shared" si="67"/>
        <v>9970260.057325596</v>
      </c>
      <c r="R164" s="21">
        <f>SUM(R148:R149)</f>
        <v>0</v>
      </c>
      <c r="S164" s="21">
        <f>SUM(S148:S149)</f>
        <v>9864943.1986067984</v>
      </c>
      <c r="T164" s="16"/>
      <c r="U164" s="235">
        <f>SUM(I164:T164)</f>
        <v>3176923318.8099995</v>
      </c>
      <c r="V164" s="64"/>
      <c r="W164" s="64"/>
      <c r="X164" s="305">
        <f t="shared" si="62"/>
        <v>0</v>
      </c>
    </row>
    <row r="165" spans="1:24" ht="15" x14ac:dyDescent="0.25">
      <c r="A165" s="64"/>
      <c r="B165" s="16">
        <f t="shared" si="55"/>
        <v>31</v>
      </c>
      <c r="C165" s="64"/>
      <c r="D165" s="233" t="s">
        <v>523</v>
      </c>
      <c r="E165" s="16"/>
      <c r="F165" s="21">
        <f>SUM(F150:F152)</f>
        <v>3167665925.5700002</v>
      </c>
      <c r="G165" s="16"/>
      <c r="H165" s="16"/>
      <c r="I165" s="16"/>
      <c r="J165" s="21">
        <f t="shared" ref="J165:Q165" si="68">SUM(J150:J152)</f>
        <v>1860479101.4478531</v>
      </c>
      <c r="K165" s="21">
        <f t="shared" si="68"/>
        <v>35149412.506072849</v>
      </c>
      <c r="L165" s="21">
        <f t="shared" si="68"/>
        <v>1194993583.4617126</v>
      </c>
      <c r="M165" s="21">
        <f t="shared" si="68"/>
        <v>57718.991363793466</v>
      </c>
      <c r="N165" s="21">
        <f t="shared" si="68"/>
        <v>36281412.185777441</v>
      </c>
      <c r="O165" s="21">
        <f>SUM(O150:O152)</f>
        <v>6069003.7273554644</v>
      </c>
      <c r="P165" s="21">
        <f t="shared" si="68"/>
        <v>22196892.568264917</v>
      </c>
      <c r="Q165" s="21">
        <f t="shared" si="68"/>
        <v>10627160.554956377</v>
      </c>
      <c r="R165" s="21">
        <f>SUM(R150:R152)</f>
        <v>419513.24830360548</v>
      </c>
      <c r="S165" s="21">
        <f>SUM(S150:S152)</f>
        <v>1392126.8783400967</v>
      </c>
      <c r="T165" s="16"/>
      <c r="U165" s="235">
        <f>SUM(I165:T165)</f>
        <v>3167665925.5700006</v>
      </c>
      <c r="V165" s="64"/>
      <c r="W165" s="64"/>
      <c r="X165" s="305">
        <f t="shared" si="62"/>
        <v>0</v>
      </c>
    </row>
    <row r="166" spans="1:24" ht="15" thickBot="1" x14ac:dyDescent="0.25">
      <c r="A166" s="64"/>
      <c r="B166" s="16">
        <f t="shared" si="55"/>
        <v>32</v>
      </c>
      <c r="C166" s="64"/>
      <c r="D166" s="1"/>
      <c r="E166" s="16"/>
      <c r="F166" s="18"/>
      <c r="G166" s="16"/>
      <c r="H166" s="16"/>
      <c r="I166" s="1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6"/>
      <c r="U166" s="1"/>
      <c r="V166" s="64"/>
      <c r="W166" s="64"/>
      <c r="X166" s="305">
        <f t="shared" si="62"/>
        <v>0</v>
      </c>
    </row>
    <row r="167" spans="1:24" ht="15" x14ac:dyDescent="0.25">
      <c r="A167" s="64"/>
      <c r="B167" s="16">
        <f t="shared" si="55"/>
        <v>33</v>
      </c>
      <c r="C167" s="239" t="s">
        <v>497</v>
      </c>
      <c r="D167" s="240"/>
      <c r="E167" s="241" t="s">
        <v>24</v>
      </c>
      <c r="F167" s="242">
        <f>F106+F121+F159</f>
        <v>19915826101.879997</v>
      </c>
      <c r="G167" s="241"/>
      <c r="H167" s="372"/>
      <c r="I167" s="373"/>
      <c r="J167" s="374">
        <f t="shared" ref="J167:Q167" ca="1" si="69">J106+J121+J159</f>
        <v>10694287595.611826</v>
      </c>
      <c r="K167" s="817">
        <f t="shared" ca="1" si="69"/>
        <v>347569310.45139116</v>
      </c>
      <c r="L167" s="817">
        <f t="shared" ca="1" si="69"/>
        <v>6760364211.7417898</v>
      </c>
      <c r="M167" s="817">
        <f t="shared" ca="1" si="69"/>
        <v>1952838.2056654356</v>
      </c>
      <c r="N167" s="817">
        <f t="shared" ca="1" si="69"/>
        <v>1227528863.5124393</v>
      </c>
      <c r="O167" s="817">
        <f ca="1">O106+O121+O159</f>
        <v>133165011.51178136</v>
      </c>
      <c r="P167" s="817">
        <f t="shared" ca="1" si="69"/>
        <v>23091607.107633427</v>
      </c>
      <c r="Q167" s="817">
        <f t="shared" ca="1" si="69"/>
        <v>671561187.75276363</v>
      </c>
      <c r="R167" s="817">
        <f ca="1">R106+R121+R159</f>
        <v>9204885.8510154635</v>
      </c>
      <c r="S167" s="566">
        <f ca="1">S106+S121+S159</f>
        <v>47100590.133694671</v>
      </c>
      <c r="T167" s="373"/>
      <c r="U167" s="243">
        <f ca="1">SUM(I167:T167)</f>
        <v>19915826101.879997</v>
      </c>
      <c r="V167" s="64"/>
      <c r="W167" s="64"/>
      <c r="X167" s="305">
        <f t="shared" ca="1" si="62"/>
        <v>0</v>
      </c>
    </row>
    <row r="168" spans="1:24" ht="15.75" thickBot="1" x14ac:dyDescent="0.3">
      <c r="A168" s="64"/>
      <c r="B168" s="16">
        <f t="shared" si="55"/>
        <v>34</v>
      </c>
      <c r="C168" s="245" t="s">
        <v>498</v>
      </c>
      <c r="D168" s="246"/>
      <c r="E168" s="247" t="s">
        <v>24</v>
      </c>
      <c r="F168" s="248">
        <f>F121+F159</f>
        <v>19907180317.879997</v>
      </c>
      <c r="G168" s="247"/>
      <c r="H168" s="375"/>
      <c r="I168" s="376"/>
      <c r="J168" s="377">
        <f t="shared" ref="J168:Q168" ca="1" si="70">J121+J159</f>
        <v>10689570609.3398</v>
      </c>
      <c r="K168" s="248">
        <f t="shared" ca="1" si="70"/>
        <v>347444447.30591184</v>
      </c>
      <c r="L168" s="248">
        <f t="shared" ca="1" si="70"/>
        <v>6757361153.239007</v>
      </c>
      <c r="M168" s="248">
        <f t="shared" ca="1" si="70"/>
        <v>1951933.4263705255</v>
      </c>
      <c r="N168" s="248">
        <f t="shared" ca="1" si="70"/>
        <v>1226960130.9382873</v>
      </c>
      <c r="O168" s="248">
        <f ca="1">O121+O159</f>
        <v>133098557.43154684</v>
      </c>
      <c r="P168" s="248">
        <f t="shared" ca="1" si="70"/>
        <v>23080391.291047122</v>
      </c>
      <c r="Q168" s="248">
        <f t="shared" ca="1" si="70"/>
        <v>671434034.90037513</v>
      </c>
      <c r="R168" s="248">
        <f ca="1">R121+R159</f>
        <v>9200292.2853637319</v>
      </c>
      <c r="S168" s="378">
        <f ca="1">S121+S159</f>
        <v>47078767.72228989</v>
      </c>
      <c r="T168" s="376"/>
      <c r="U168" s="249">
        <f ca="1">SUM(I168:T168)</f>
        <v>19907180317.879993</v>
      </c>
      <c r="V168" s="64"/>
      <c r="W168" s="64"/>
      <c r="X168" s="305">
        <f t="shared" ca="1" si="62"/>
        <v>0</v>
      </c>
    </row>
    <row r="169" spans="1:24" x14ac:dyDescent="0.2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X169" s="305">
        <f t="shared" si="62"/>
        <v>0</v>
      </c>
    </row>
    <row r="170" spans="1:24" x14ac:dyDescent="0.2">
      <c r="A170" s="64"/>
      <c r="B170" s="64"/>
      <c r="C170" s="64"/>
      <c r="D170" s="64"/>
      <c r="E170" s="64"/>
      <c r="F170" s="64"/>
      <c r="G170" s="64"/>
      <c r="H170" s="105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105"/>
      <c r="V170" s="105">
        <f>$H$2</f>
        <v>0</v>
      </c>
      <c r="W170" s="105"/>
      <c r="X170" s="305"/>
    </row>
    <row r="171" spans="1:24" ht="15" thickBo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105"/>
      <c r="W171" s="105"/>
      <c r="X171" s="305">
        <f t="shared" si="62"/>
        <v>0</v>
      </c>
    </row>
    <row r="172" spans="1:24" ht="15" x14ac:dyDescent="0.25">
      <c r="A172" s="64"/>
      <c r="B172" s="829" t="str">
        <f>+$B$4</f>
        <v>2025 RATE CASE</v>
      </c>
      <c r="C172" s="844"/>
      <c r="D172" s="551"/>
      <c r="F172" s="11"/>
      <c r="U172" s="105"/>
      <c r="X172" s="305">
        <f t="shared" si="62"/>
        <v>0</v>
      </c>
    </row>
    <row r="173" spans="1:24" ht="15" x14ac:dyDescent="0.25">
      <c r="A173" s="97"/>
      <c r="B173" s="826" t="str">
        <f>+$B$5</f>
        <v>ONCOR ELECTRIC DELIVERY COMPANY LLC</v>
      </c>
      <c r="C173" s="8"/>
      <c r="D173" s="870"/>
      <c r="F173" s="11"/>
      <c r="U173" s="105"/>
      <c r="V173" s="64"/>
      <c r="W173" s="64"/>
      <c r="X173" s="305">
        <f t="shared" si="62"/>
        <v>0</v>
      </c>
    </row>
    <row r="174" spans="1:24" ht="15" x14ac:dyDescent="0.25">
      <c r="A174" s="64"/>
      <c r="B174" s="826" t="str">
        <f>+$B$6</f>
        <v>II-I-1-DIST:  CLASS REVENUE REQUIREMENT</v>
      </c>
      <c r="C174" s="82"/>
      <c r="D174" s="870"/>
      <c r="F174" s="11"/>
      <c r="U174" s="11"/>
      <c r="V174" s="64"/>
      <c r="W174" s="64"/>
      <c r="X174" s="305">
        <f t="shared" si="62"/>
        <v>0</v>
      </c>
    </row>
    <row r="175" spans="1:24" ht="15" x14ac:dyDescent="0.25">
      <c r="A175" s="64"/>
      <c r="B175" s="341" t="str">
        <f>+$B$7</f>
        <v>TEST YEAR ENDING 12/31/2024</v>
      </c>
      <c r="C175" s="82"/>
      <c r="D175" s="870"/>
      <c r="F175" s="11"/>
      <c r="U175" s="11"/>
      <c r="V175" s="64"/>
      <c r="W175" s="64"/>
      <c r="X175" s="305">
        <f t="shared" si="62"/>
        <v>0</v>
      </c>
    </row>
    <row r="176" spans="1:24" ht="15" x14ac:dyDescent="0.25">
      <c r="A176" s="64"/>
      <c r="B176" s="341" t="str">
        <f>+$B$8</f>
        <v>SPONSOR:  MATTHEW A. TROXLE</v>
      </c>
      <c r="C176" s="82"/>
      <c r="D176" s="870"/>
      <c r="F176" s="11"/>
      <c r="U176" s="11"/>
      <c r="V176" s="64"/>
      <c r="W176" s="64"/>
      <c r="X176" s="305">
        <f t="shared" si="62"/>
        <v>0</v>
      </c>
    </row>
    <row r="177" spans="1:24" ht="15.75" thickBot="1" x14ac:dyDescent="0.3">
      <c r="A177" s="64"/>
      <c r="B177" s="345"/>
      <c r="C177" s="843"/>
      <c r="D177" s="871"/>
      <c r="F177" s="11"/>
      <c r="U177" s="11"/>
      <c r="V177" s="64"/>
      <c r="W177" s="64"/>
      <c r="X177" s="305">
        <f t="shared" si="62"/>
        <v>0</v>
      </c>
    </row>
    <row r="178" spans="1:24" ht="15" thickBot="1" x14ac:dyDescent="0.25">
      <c r="A178" s="64"/>
      <c r="B178" s="12"/>
      <c r="C178" s="13"/>
      <c r="D178" s="13"/>
      <c r="E178" s="13"/>
      <c r="F178" s="12"/>
      <c r="G178" s="13"/>
      <c r="H178" s="13"/>
      <c r="I178" s="13"/>
      <c r="J178" s="177"/>
      <c r="K178" s="177"/>
      <c r="L178" s="13"/>
      <c r="M178" s="177"/>
      <c r="N178" s="177"/>
      <c r="O178" s="177"/>
      <c r="P178" s="177"/>
      <c r="Q178" s="13"/>
      <c r="R178" s="328" t="str">
        <f>R$10</f>
        <v xml:space="preserve"> </v>
      </c>
      <c r="S178" s="329"/>
      <c r="T178" s="177"/>
      <c r="U178" s="12"/>
      <c r="V178" s="64"/>
      <c r="W178" s="64"/>
      <c r="X178" s="305">
        <f t="shared" si="62"/>
        <v>0</v>
      </c>
    </row>
    <row r="179" spans="1:24" ht="15" x14ac:dyDescent="0.25">
      <c r="A179" s="64"/>
      <c r="B179" s="14" t="s">
        <v>2</v>
      </c>
      <c r="C179" s="14" t="s">
        <v>349</v>
      </c>
      <c r="D179" s="226" t="s">
        <v>499</v>
      </c>
      <c r="E179" s="14" t="s">
        <v>350</v>
      </c>
      <c r="F179" s="226" t="str">
        <f>F$11</f>
        <v>DIST</v>
      </c>
      <c r="G179" s="181" t="s">
        <v>688</v>
      </c>
      <c r="H179" s="181" t="s">
        <v>355</v>
      </c>
      <c r="I179" s="14"/>
      <c r="J179" s="181" t="s">
        <v>679</v>
      </c>
      <c r="K179" s="181" t="s">
        <v>388</v>
      </c>
      <c r="L179" s="14" t="s">
        <v>388</v>
      </c>
      <c r="M179" s="181" t="s">
        <v>389</v>
      </c>
      <c r="N179" s="181" t="s">
        <v>389</v>
      </c>
      <c r="O179" s="181" t="s">
        <v>389</v>
      </c>
      <c r="P179" s="181" t="s">
        <v>390</v>
      </c>
      <c r="Q179" s="14" t="s">
        <v>391</v>
      </c>
      <c r="R179" s="331" t="str">
        <f>R$11</f>
        <v>Wholesale</v>
      </c>
      <c r="S179" s="12" t="str">
        <f>S$11</f>
        <v>Wholesale</v>
      </c>
      <c r="T179" s="181"/>
      <c r="U179" s="14" t="s">
        <v>10</v>
      </c>
      <c r="V179" s="64"/>
      <c r="W179" s="64"/>
      <c r="X179" s="305"/>
    </row>
    <row r="180" spans="1:24" x14ac:dyDescent="0.2">
      <c r="A180" s="64"/>
      <c r="B180" s="14"/>
      <c r="C180" s="14"/>
      <c r="D180" s="14"/>
      <c r="E180" s="14"/>
      <c r="F180" s="14"/>
      <c r="G180" s="181" t="s">
        <v>689</v>
      </c>
      <c r="H180" s="181" t="s">
        <v>690</v>
      </c>
      <c r="I180" s="14"/>
      <c r="J180" s="181"/>
      <c r="K180" s="181" t="s">
        <v>680</v>
      </c>
      <c r="L180" s="14" t="s">
        <v>681</v>
      </c>
      <c r="M180" s="181" t="s">
        <v>680</v>
      </c>
      <c r="N180" s="181" t="s">
        <v>681</v>
      </c>
      <c r="O180" s="181" t="s">
        <v>393</v>
      </c>
      <c r="P180" s="181"/>
      <c r="Q180" s="14"/>
      <c r="R180" s="174" t="str">
        <f>R$12</f>
        <v>XFMR</v>
      </c>
      <c r="S180" s="14" t="str">
        <f>S$12</f>
        <v>DLS</v>
      </c>
      <c r="T180" s="181"/>
      <c r="U180" s="14"/>
      <c r="V180" s="64"/>
      <c r="W180" s="64"/>
      <c r="X180" s="305">
        <f t="shared" si="62"/>
        <v>0</v>
      </c>
    </row>
    <row r="181" spans="1:24" ht="15" thickBot="1" x14ac:dyDescent="0.25">
      <c r="A181" s="64"/>
      <c r="B181" s="15"/>
      <c r="C181" s="15"/>
      <c r="D181" s="15"/>
      <c r="E181" s="15"/>
      <c r="F181" s="15" t="s">
        <v>13</v>
      </c>
      <c r="G181" s="15" t="s">
        <v>14</v>
      </c>
      <c r="H181" s="15" t="s">
        <v>15</v>
      </c>
      <c r="I181" s="15"/>
      <c r="J181" s="182" t="str">
        <f t="shared" ref="J181:Q181" si="71">J$13</f>
        <v>(d)</v>
      </c>
      <c r="K181" s="182" t="str">
        <f t="shared" si="71"/>
        <v>(e)</v>
      </c>
      <c r="L181" s="15" t="str">
        <f t="shared" si="71"/>
        <v>(f)</v>
      </c>
      <c r="M181" s="182" t="str">
        <f t="shared" si="71"/>
        <v>(g)</v>
      </c>
      <c r="N181" s="182" t="str">
        <f t="shared" si="71"/>
        <v>(h)</v>
      </c>
      <c r="O181" s="182" t="str">
        <f>O$13</f>
        <v>(i)</v>
      </c>
      <c r="P181" s="182" t="str">
        <f t="shared" si="71"/>
        <v>(j)</v>
      </c>
      <c r="Q181" s="182" t="str">
        <f t="shared" si="71"/>
        <v>(k)</v>
      </c>
      <c r="R181" s="182" t="str">
        <f>R$13</f>
        <v>(l)</v>
      </c>
      <c r="S181" s="15" t="str">
        <f>S$13</f>
        <v>(m)</v>
      </c>
      <c r="T181" s="15"/>
      <c r="U181" s="15" t="s">
        <v>683</v>
      </c>
      <c r="V181" s="64"/>
      <c r="W181" s="64"/>
      <c r="X181" s="305"/>
    </row>
    <row r="182" spans="1:24" x14ac:dyDescent="0.2">
      <c r="A182" s="64"/>
      <c r="B182" s="64"/>
      <c r="C182" s="96"/>
      <c r="D182" s="96"/>
      <c r="E182" s="251"/>
      <c r="F182" s="96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1"/>
      <c r="V182" s="64"/>
      <c r="W182" s="64"/>
      <c r="X182" s="305">
        <f t="shared" si="62"/>
        <v>0</v>
      </c>
    </row>
    <row r="183" spans="1:24" ht="15" x14ac:dyDescent="0.25">
      <c r="A183" s="64"/>
      <c r="B183" s="16">
        <f t="shared" ref="B183:B199" si="72">B182+1</f>
        <v>1</v>
      </c>
      <c r="C183" s="47" t="s">
        <v>499</v>
      </c>
      <c r="D183" s="47"/>
      <c r="E183" s="55" t="s">
        <v>86</v>
      </c>
      <c r="F183" s="47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47"/>
      <c r="V183" s="64"/>
      <c r="W183" s="64"/>
      <c r="X183" s="305">
        <f t="shared" si="62"/>
        <v>0</v>
      </c>
    </row>
    <row r="184" spans="1:24" x14ac:dyDescent="0.2">
      <c r="A184" s="64"/>
      <c r="B184" s="16">
        <f t="shared" si="72"/>
        <v>2</v>
      </c>
      <c r="C184" s="11" t="s">
        <v>87</v>
      </c>
      <c r="D184" s="11" t="s">
        <v>38</v>
      </c>
      <c r="E184" s="10"/>
      <c r="F184" s="98">
        <f>' WP II-I-1.4'!G184</f>
        <v>25309317.540000007</v>
      </c>
      <c r="G184" s="10">
        <v>61</v>
      </c>
      <c r="H184" s="1" t="str">
        <f t="shared" ref="H184:H192" si="73">VLOOKUP(G184,FactorTable,2)</f>
        <v>PLTOPER_N</v>
      </c>
      <c r="I184" s="10"/>
      <c r="J184" s="369">
        <f t="shared" ref="J184:S192" ca="1" si="74">$F184*HLOOKUP(J$1354,FactorTable,$G184+1)</f>
        <v>13808314.363451764</v>
      </c>
      <c r="K184" s="369">
        <f t="shared" ca="1" si="74"/>
        <v>365519.30952472554</v>
      </c>
      <c r="L184" s="369">
        <f t="shared" ca="1" si="74"/>
        <v>8791031.7026343495</v>
      </c>
      <c r="M184" s="369">
        <f t="shared" ca="1" si="74"/>
        <v>2648.6142238225489</v>
      </c>
      <c r="N184" s="369">
        <f t="shared" ca="1" si="74"/>
        <v>1664884.6784231679</v>
      </c>
      <c r="O184" s="369">
        <f t="shared" ca="1" si="74"/>
        <v>194534.98011099797</v>
      </c>
      <c r="P184" s="369">
        <f t="shared" ca="1" si="74"/>
        <v>32832.726731684932</v>
      </c>
      <c r="Q184" s="369">
        <f t="shared" ca="1" si="74"/>
        <v>372222.1046948029</v>
      </c>
      <c r="R184" s="369">
        <f t="shared" ca="1" si="74"/>
        <v>13447.017843668913</v>
      </c>
      <c r="S184" s="369">
        <f t="shared" ca="1" si="74"/>
        <v>63882.042361021064</v>
      </c>
      <c r="T184" s="10"/>
      <c r="U184" s="97">
        <f t="shared" ref="U184:U193" ca="1" si="75">SUM(I184:T184)</f>
        <v>25309317.540000003</v>
      </c>
      <c r="V184" s="64"/>
      <c r="W184" s="64"/>
      <c r="X184" s="305">
        <f t="shared" ca="1" si="62"/>
        <v>0</v>
      </c>
    </row>
    <row r="185" spans="1:24" x14ac:dyDescent="0.2">
      <c r="A185" s="64"/>
      <c r="B185" s="16">
        <f t="shared" si="72"/>
        <v>3</v>
      </c>
      <c r="C185" s="11" t="s">
        <v>88</v>
      </c>
      <c r="D185" s="11" t="s">
        <v>40</v>
      </c>
      <c r="E185" s="10"/>
      <c r="F185" s="97">
        <f>' WP II-I-1.4'!G185</f>
        <v>77649.91</v>
      </c>
      <c r="G185" s="10">
        <v>61</v>
      </c>
      <c r="H185" s="45" t="str">
        <f t="shared" si="73"/>
        <v>PLTOPER_N</v>
      </c>
      <c r="I185" s="10"/>
      <c r="J185" s="369">
        <f t="shared" ca="1" si="74"/>
        <v>42364.412469011069</v>
      </c>
      <c r="K185" s="369">
        <f t="shared" ca="1" si="74"/>
        <v>1121.42658303607</v>
      </c>
      <c r="L185" s="369">
        <f t="shared" ca="1" si="74"/>
        <v>26971.206135363216</v>
      </c>
      <c r="M185" s="369">
        <f t="shared" ca="1" si="74"/>
        <v>8.1260451128126601</v>
      </c>
      <c r="N185" s="369">
        <f t="shared" ca="1" si="74"/>
        <v>5107.9269615081812</v>
      </c>
      <c r="O185" s="369">
        <f t="shared" ca="1" si="74"/>
        <v>596.84041948571564</v>
      </c>
      <c r="P185" s="369">
        <f t="shared" ca="1" si="74"/>
        <v>100.7320040036895</v>
      </c>
      <c r="Q185" s="369">
        <f t="shared" ca="1" si="74"/>
        <v>1141.9910032691469</v>
      </c>
      <c r="R185" s="369">
        <f t="shared" ca="1" si="74"/>
        <v>41.255941559034426</v>
      </c>
      <c r="S185" s="369">
        <f t="shared" ca="1" si="74"/>
        <v>195.99243765106564</v>
      </c>
      <c r="T185" s="10"/>
      <c r="U185" s="97">
        <f t="shared" ca="1" si="75"/>
        <v>77649.909999999989</v>
      </c>
      <c r="V185" s="64"/>
      <c r="W185" s="64"/>
      <c r="X185" s="305">
        <f t="shared" ca="1" si="62"/>
        <v>0</v>
      </c>
    </row>
    <row r="186" spans="1:24" x14ac:dyDescent="0.2">
      <c r="A186" s="64"/>
      <c r="B186" s="16">
        <f t="shared" si="72"/>
        <v>4</v>
      </c>
      <c r="C186" s="11" t="s">
        <v>89</v>
      </c>
      <c r="D186" s="11" t="s">
        <v>42</v>
      </c>
      <c r="E186" s="10"/>
      <c r="F186" s="97">
        <f>' WP II-I-1.4'!G186</f>
        <v>212329938.52999988</v>
      </c>
      <c r="G186" s="10">
        <v>61</v>
      </c>
      <c r="H186" s="45" t="str">
        <f t="shared" si="73"/>
        <v>PLTOPER_N</v>
      </c>
      <c r="I186" s="10"/>
      <c r="J186" s="369">
        <f t="shared" ca="1" si="74"/>
        <v>115843445.21976496</v>
      </c>
      <c r="K186" s="369">
        <f t="shared" ca="1" si="74"/>
        <v>3066486.9726437097</v>
      </c>
      <c r="L186" s="369">
        <f t="shared" ca="1" si="74"/>
        <v>73751463.984975994</v>
      </c>
      <c r="M186" s="369">
        <f t="shared" ca="1" si="74"/>
        <v>22220.278932654499</v>
      </c>
      <c r="N186" s="369">
        <f t="shared" ca="1" si="74"/>
        <v>13967380.229452437</v>
      </c>
      <c r="O186" s="369">
        <f t="shared" ca="1" si="74"/>
        <v>1632031.3775202229</v>
      </c>
      <c r="P186" s="369">
        <f t="shared" ca="1" si="74"/>
        <v>275446.81272788456</v>
      </c>
      <c r="Q186" s="369">
        <f t="shared" ca="1" si="74"/>
        <v>3122719.3891911898</v>
      </c>
      <c r="R186" s="369">
        <f t="shared" ca="1" si="74"/>
        <v>112812.3849110327</v>
      </c>
      <c r="S186" s="369">
        <f t="shared" ca="1" si="74"/>
        <v>535931.87987977837</v>
      </c>
      <c r="T186" s="10"/>
      <c r="U186" s="97">
        <f t="shared" ca="1" si="75"/>
        <v>212329938.52999988</v>
      </c>
      <c r="V186" s="64"/>
      <c r="W186" s="64"/>
      <c r="X186" s="305">
        <f t="shared" ca="1" si="62"/>
        <v>0</v>
      </c>
    </row>
    <row r="187" spans="1:24" x14ac:dyDescent="0.2">
      <c r="A187" s="64"/>
      <c r="B187" s="16">
        <f t="shared" si="72"/>
        <v>5</v>
      </c>
      <c r="C187" s="11" t="s">
        <v>90</v>
      </c>
      <c r="D187" s="11" t="s">
        <v>91</v>
      </c>
      <c r="E187" s="10"/>
      <c r="F187" s="97">
        <f>' WP II-I-1.4'!G187</f>
        <v>13217077.590000005</v>
      </c>
      <c r="G187" s="10">
        <v>61</v>
      </c>
      <c r="H187" s="45" t="str">
        <f t="shared" si="73"/>
        <v>PLTOPER_N</v>
      </c>
      <c r="I187" s="10"/>
      <c r="J187" s="369">
        <f t="shared" ca="1" si="74"/>
        <v>7211002.9059619382</v>
      </c>
      <c r="K187" s="369">
        <f t="shared" ca="1" si="74"/>
        <v>190882.15504018383</v>
      </c>
      <c r="L187" s="369">
        <f t="shared" ca="1" si="74"/>
        <v>4590868.4786238614</v>
      </c>
      <c r="M187" s="369">
        <f t="shared" ca="1" si="74"/>
        <v>1383.1641112769514</v>
      </c>
      <c r="N187" s="369">
        <f t="shared" ca="1" si="74"/>
        <v>869439.08852317533</v>
      </c>
      <c r="O187" s="369">
        <f t="shared" ca="1" si="74"/>
        <v>101590.40922508287</v>
      </c>
      <c r="P187" s="369">
        <f t="shared" ca="1" si="74"/>
        <v>17145.965947841472</v>
      </c>
      <c r="Q187" s="369">
        <f t="shared" ca="1" si="74"/>
        <v>194382.50085918017</v>
      </c>
      <c r="R187" s="369">
        <f t="shared" ca="1" si="74"/>
        <v>7022.3259838197337</v>
      </c>
      <c r="S187" s="369">
        <f t="shared" ca="1" si="74"/>
        <v>33360.595723644401</v>
      </c>
      <c r="T187" s="10"/>
      <c r="U187" s="97">
        <f t="shared" ca="1" si="75"/>
        <v>13217077.590000005</v>
      </c>
      <c r="V187" s="64"/>
      <c r="W187" s="64"/>
      <c r="X187" s="305">
        <f t="shared" ca="1" si="62"/>
        <v>0</v>
      </c>
    </row>
    <row r="188" spans="1:24" x14ac:dyDescent="0.2">
      <c r="A188" s="64"/>
      <c r="B188" s="16">
        <f t="shared" si="72"/>
        <v>6</v>
      </c>
      <c r="C188" s="11" t="s">
        <v>92</v>
      </c>
      <c r="D188" s="11" t="s">
        <v>94</v>
      </c>
      <c r="E188" s="10"/>
      <c r="F188" s="97">
        <f>' WP II-I-1.4'!G188</f>
        <v>10180663.920000006</v>
      </c>
      <c r="G188" s="10">
        <v>61</v>
      </c>
      <c r="H188" s="45" t="str">
        <f t="shared" si="73"/>
        <v>PLTOPER_N</v>
      </c>
      <c r="I188" s="10"/>
      <c r="J188" s="369">
        <f t="shared" ca="1" si="74"/>
        <v>5554389.5094696097</v>
      </c>
      <c r="K188" s="369">
        <f t="shared" ca="1" si="74"/>
        <v>147030.01140431725</v>
      </c>
      <c r="L188" s="369">
        <f t="shared" ca="1" si="74"/>
        <v>3536189.3552893372</v>
      </c>
      <c r="M188" s="369">
        <f t="shared" ca="1" si="74"/>
        <v>1065.4041233570549</v>
      </c>
      <c r="N188" s="369">
        <f t="shared" ca="1" si="74"/>
        <v>669699.26588481036</v>
      </c>
      <c r="O188" s="369">
        <f t="shared" ca="1" si="74"/>
        <v>78251.626108206605</v>
      </c>
      <c r="P188" s="369">
        <f t="shared" ca="1" si="74"/>
        <v>13206.95257405524</v>
      </c>
      <c r="Q188" s="369">
        <f t="shared" ca="1" si="74"/>
        <v>149726.2083619519</v>
      </c>
      <c r="R188" s="369">
        <f t="shared" ca="1" si="74"/>
        <v>5409.0581137272475</v>
      </c>
      <c r="S188" s="369">
        <f t="shared" ca="1" si="74"/>
        <v>25696.528670632772</v>
      </c>
      <c r="T188" s="10"/>
      <c r="U188" s="97">
        <f t="shared" ca="1" si="75"/>
        <v>10180663.920000006</v>
      </c>
      <c r="V188" s="64"/>
      <c r="W188" s="64"/>
      <c r="X188" s="305">
        <f t="shared" ca="1" si="62"/>
        <v>0</v>
      </c>
    </row>
    <row r="189" spans="1:24" x14ac:dyDescent="0.2">
      <c r="A189" s="64"/>
      <c r="B189" s="16">
        <f t="shared" si="72"/>
        <v>7</v>
      </c>
      <c r="C189" s="11" t="s">
        <v>95</v>
      </c>
      <c r="D189" s="11" t="s">
        <v>500</v>
      </c>
      <c r="E189" s="10"/>
      <c r="F189" s="97">
        <f>' WP II-I-1.4'!G189</f>
        <v>5998112.8099999931</v>
      </c>
      <c r="G189" s="10">
        <v>61</v>
      </c>
      <c r="H189" s="45" t="str">
        <f t="shared" si="73"/>
        <v>PLTOPER_N</v>
      </c>
      <c r="I189" s="10"/>
      <c r="J189" s="369">
        <f t="shared" ca="1" si="74"/>
        <v>3272463.8717353144</v>
      </c>
      <c r="K189" s="369">
        <f t="shared" ca="1" si="74"/>
        <v>86625.25369550554</v>
      </c>
      <c r="L189" s="369">
        <f t="shared" ca="1" si="74"/>
        <v>2083406.6262494379</v>
      </c>
      <c r="M189" s="369">
        <f t="shared" ca="1" si="74"/>
        <v>627.70111756471385</v>
      </c>
      <c r="N189" s="369">
        <f t="shared" ca="1" si="74"/>
        <v>394564.81199226837</v>
      </c>
      <c r="O189" s="369">
        <f t="shared" ca="1" si="74"/>
        <v>46103.288022394874</v>
      </c>
      <c r="P189" s="369">
        <f t="shared" ca="1" si="74"/>
        <v>7781.1026901576643</v>
      </c>
      <c r="Q189" s="369">
        <f t="shared" ca="1" si="74"/>
        <v>88213.764389597025</v>
      </c>
      <c r="R189" s="369">
        <f t="shared" ca="1" si="74"/>
        <v>3186.8393865988446</v>
      </c>
      <c r="S189" s="369">
        <f t="shared" ca="1" si="74"/>
        <v>15139.550721153208</v>
      </c>
      <c r="T189" s="10"/>
      <c r="U189" s="97">
        <f t="shared" ca="1" si="75"/>
        <v>5998112.8099999931</v>
      </c>
      <c r="V189" s="64"/>
      <c r="W189" s="64"/>
      <c r="X189" s="305">
        <f t="shared" ca="1" si="62"/>
        <v>0</v>
      </c>
    </row>
    <row r="190" spans="1:24" x14ac:dyDescent="0.2">
      <c r="A190" s="64"/>
      <c r="B190" s="16">
        <f t="shared" si="72"/>
        <v>8</v>
      </c>
      <c r="C190" s="11" t="s">
        <v>97</v>
      </c>
      <c r="D190" s="11" t="s">
        <v>501</v>
      </c>
      <c r="E190" s="10"/>
      <c r="F190" s="97">
        <f>' WP II-I-1.4'!G190</f>
        <v>21790023.310000058</v>
      </c>
      <c r="G190" s="10">
        <v>61</v>
      </c>
      <c r="H190" s="45" t="str">
        <f t="shared" si="73"/>
        <v>PLTOPER_N</v>
      </c>
      <c r="I190" s="10"/>
      <c r="J190" s="369">
        <f t="shared" ca="1" si="74"/>
        <v>11888249.905430775</v>
      </c>
      <c r="K190" s="369">
        <f t="shared" ca="1" si="74"/>
        <v>314693.36390486069</v>
      </c>
      <c r="L190" s="369">
        <f t="shared" ca="1" si="74"/>
        <v>7568627.0645823153</v>
      </c>
      <c r="M190" s="369">
        <f t="shared" ca="1" si="74"/>
        <v>2280.3208970403175</v>
      </c>
      <c r="N190" s="369">
        <f t="shared" ca="1" si="74"/>
        <v>1433380.2519158237</v>
      </c>
      <c r="O190" s="369">
        <f t="shared" ca="1" si="74"/>
        <v>167484.63266659234</v>
      </c>
      <c r="P190" s="369">
        <f t="shared" ca="1" si="74"/>
        <v>28267.29245794893</v>
      </c>
      <c r="Q190" s="369">
        <f t="shared" ca="1" si="74"/>
        <v>320464.12650117773</v>
      </c>
      <c r="R190" s="369">
        <f t="shared" ca="1" si="74"/>
        <v>11577.192146743768</v>
      </c>
      <c r="S190" s="369">
        <f t="shared" ca="1" si="74"/>
        <v>54999.159496777953</v>
      </c>
      <c r="T190" s="10"/>
      <c r="U190" s="97">
        <f t="shared" ca="1" si="75"/>
        <v>21790023.310000051</v>
      </c>
      <c r="V190" s="64"/>
      <c r="W190" s="64"/>
      <c r="X190" s="305">
        <f t="shared" ca="1" si="62"/>
        <v>0</v>
      </c>
    </row>
    <row r="191" spans="1:24" x14ac:dyDescent="0.2">
      <c r="A191" s="64"/>
      <c r="B191" s="16">
        <f t="shared" si="72"/>
        <v>9</v>
      </c>
      <c r="C191" s="11" t="s">
        <v>99</v>
      </c>
      <c r="D191" s="11" t="s">
        <v>100</v>
      </c>
      <c r="E191" s="10"/>
      <c r="F191" s="97">
        <f>' WP II-I-1.4'!G191</f>
        <v>22852989.259999957</v>
      </c>
      <c r="G191" s="10">
        <v>61</v>
      </c>
      <c r="H191" s="45" t="str">
        <f t="shared" si="73"/>
        <v>PLTOPER_N</v>
      </c>
      <c r="I191" s="10"/>
      <c r="J191" s="369">
        <f t="shared" ca="1" si="74"/>
        <v>12468185.258173747</v>
      </c>
      <c r="K191" s="369">
        <f t="shared" ca="1" si="74"/>
        <v>330044.80826831295</v>
      </c>
      <c r="L191" s="369">
        <f t="shared" ca="1" si="74"/>
        <v>7937841.5781898582</v>
      </c>
      <c r="M191" s="369">
        <f t="shared" ca="1" si="74"/>
        <v>2391.5600377306664</v>
      </c>
      <c r="N191" s="369">
        <f t="shared" ca="1" si="74"/>
        <v>1503303.7384358936</v>
      </c>
      <c r="O191" s="369">
        <f t="shared" ca="1" si="74"/>
        <v>175654.90670164238</v>
      </c>
      <c r="P191" s="369">
        <f t="shared" ca="1" si="74"/>
        <v>29646.234047593724</v>
      </c>
      <c r="Q191" s="369">
        <f t="shared" ca="1" si="74"/>
        <v>336097.08153848973</v>
      </c>
      <c r="R191" s="369">
        <f t="shared" ca="1" si="74"/>
        <v>12141.953408056746</v>
      </c>
      <c r="S191" s="369">
        <f t="shared" ca="1" si="74"/>
        <v>57682.141198631318</v>
      </c>
      <c r="T191" s="10"/>
      <c r="U191" s="97">
        <f t="shared" ca="1" si="75"/>
        <v>22852989.259999961</v>
      </c>
      <c r="V191" s="64"/>
      <c r="W191" s="64"/>
      <c r="X191" s="305">
        <f t="shared" ca="1" si="62"/>
        <v>0</v>
      </c>
    </row>
    <row r="192" spans="1:24" x14ac:dyDescent="0.2">
      <c r="A192" s="64"/>
      <c r="B192" s="16">
        <f t="shared" si="72"/>
        <v>10</v>
      </c>
      <c r="C192" s="11" t="s">
        <v>101</v>
      </c>
      <c r="D192" s="11" t="s">
        <v>102</v>
      </c>
      <c r="E192" s="10"/>
      <c r="F192" s="97">
        <f>' WP II-I-1.4'!G192</f>
        <v>8159482.280000004</v>
      </c>
      <c r="G192" s="10">
        <v>61</v>
      </c>
      <c r="H192" s="45" t="str">
        <f t="shared" si="73"/>
        <v>PLTOPER_N</v>
      </c>
      <c r="I192" s="10"/>
      <c r="J192" s="370">
        <f t="shared" ca="1" si="74"/>
        <v>4451668.6863321159</v>
      </c>
      <c r="K192" s="370">
        <f t="shared" ca="1" si="74"/>
        <v>117839.93481259368</v>
      </c>
      <c r="L192" s="370">
        <f t="shared" ca="1" si="74"/>
        <v>2834144.6697326954</v>
      </c>
      <c r="M192" s="370">
        <f t="shared" ca="1" si="74"/>
        <v>853.88793244545332</v>
      </c>
      <c r="N192" s="370">
        <f t="shared" ca="1" si="74"/>
        <v>536742.92127267458</v>
      </c>
      <c r="O192" s="370">
        <f t="shared" ca="1" si="74"/>
        <v>62716.219848567314</v>
      </c>
      <c r="P192" s="370">
        <f t="shared" ca="1" si="74"/>
        <v>10584.957557542486</v>
      </c>
      <c r="Q192" s="370">
        <f t="shared" ca="1" si="74"/>
        <v>120000.85196613919</v>
      </c>
      <c r="R192" s="370">
        <f t="shared" ca="1" si="74"/>
        <v>4335.1901386061763</v>
      </c>
      <c r="S192" s="370">
        <f t="shared" ca="1" si="74"/>
        <v>20594.960406623468</v>
      </c>
      <c r="T192" s="10"/>
      <c r="U192" s="97">
        <f t="shared" ca="1" si="75"/>
        <v>8159482.280000004</v>
      </c>
      <c r="V192" s="64"/>
      <c r="W192" s="64"/>
      <c r="X192" s="305">
        <f t="shared" ca="1" si="62"/>
        <v>0</v>
      </c>
    </row>
    <row r="193" spans="1:24" ht="15" x14ac:dyDescent="0.25">
      <c r="A193" s="64"/>
      <c r="B193" s="16">
        <f t="shared" si="72"/>
        <v>11</v>
      </c>
      <c r="C193" s="1"/>
      <c r="D193" s="233" t="s">
        <v>444</v>
      </c>
      <c r="E193" s="19"/>
      <c r="F193" s="20">
        <f>SUM(F184:F192)</f>
        <v>319915255.14999992</v>
      </c>
      <c r="G193" s="19"/>
      <c r="H193" s="1307"/>
      <c r="I193" s="913"/>
      <c r="J193" s="804">
        <f t="shared" ref="J193:Q193" ca="1" si="76">SUM(J184:J192)</f>
        <v>174540084.13278919</v>
      </c>
      <c r="K193" s="804">
        <f t="shared" ca="1" si="76"/>
        <v>4620243.2358772457</v>
      </c>
      <c r="L193" s="804">
        <f t="shared" ca="1" si="76"/>
        <v>111120544.66641322</v>
      </c>
      <c r="M193" s="804">
        <f t="shared" ca="1" si="76"/>
        <v>33479.057421005011</v>
      </c>
      <c r="N193" s="804">
        <f t="shared" ca="1" si="76"/>
        <v>21044502.912861757</v>
      </c>
      <c r="O193" s="804">
        <f ca="1">SUM(O184:O192)</f>
        <v>2458964.2806231934</v>
      </c>
      <c r="P193" s="804">
        <f t="shared" ca="1" si="76"/>
        <v>415012.77673871268</v>
      </c>
      <c r="Q193" s="804">
        <f t="shared" ca="1" si="76"/>
        <v>4704968.0185057977</v>
      </c>
      <c r="R193" s="804">
        <f ca="1">SUM(R184:R192)</f>
        <v>169973.21787381318</v>
      </c>
      <c r="S193" s="804">
        <f ca="1">SUM(S184:S192)</f>
        <v>807482.85089591343</v>
      </c>
      <c r="T193" s="913"/>
      <c r="U193" s="235">
        <f t="shared" ca="1" si="75"/>
        <v>319915255.14999992</v>
      </c>
      <c r="V193" s="64"/>
      <c r="W193" s="64"/>
      <c r="X193" s="305">
        <f t="shared" ca="1" si="62"/>
        <v>0</v>
      </c>
    </row>
    <row r="194" spans="1:24" ht="15" x14ac:dyDescent="0.25">
      <c r="A194" s="64"/>
      <c r="B194" s="16">
        <f t="shared" si="72"/>
        <v>12</v>
      </c>
      <c r="C194" s="8"/>
      <c r="D194" s="233"/>
      <c r="E194" s="961"/>
      <c r="F194" s="17"/>
      <c r="G194" s="961"/>
      <c r="H194" s="1307"/>
      <c r="I194" s="961"/>
      <c r="J194" s="961"/>
      <c r="K194" s="961"/>
      <c r="L194" s="961"/>
      <c r="M194" s="961"/>
      <c r="N194" s="961"/>
      <c r="O194" s="961"/>
      <c r="P194" s="961"/>
      <c r="Q194" s="961"/>
      <c r="R194" s="961"/>
      <c r="S194" s="961"/>
      <c r="T194" s="913"/>
      <c r="U194" s="98"/>
      <c r="V194" s="64"/>
      <c r="W194" s="64"/>
      <c r="X194" s="305">
        <f t="shared" si="62"/>
        <v>0</v>
      </c>
    </row>
    <row r="195" spans="1:24" x14ac:dyDescent="0.2">
      <c r="A195" s="64"/>
      <c r="B195" s="16">
        <f t="shared" si="72"/>
        <v>13</v>
      </c>
      <c r="C195" s="1" t="s">
        <v>105</v>
      </c>
      <c r="D195" s="1" t="s">
        <v>502</v>
      </c>
      <c r="E195" s="16"/>
      <c r="F195" s="98">
        <f>' WP II-I-1.4'!G195</f>
        <v>9639077.560000021</v>
      </c>
      <c r="G195" s="10">
        <v>61</v>
      </c>
      <c r="H195" s="1" t="str">
        <f>VLOOKUP(G195,FactorTable,2)</f>
        <v>PLTOPER_N</v>
      </c>
      <c r="I195" s="16"/>
      <c r="J195" s="369">
        <f t="shared" ref="J195:S196" ca="1" si="77">$F195*HLOOKUP(J$1354,FactorTable,$G195+1)</f>
        <v>5258909.6055955458</v>
      </c>
      <c r="K195" s="369">
        <f t="shared" ca="1" si="77"/>
        <v>139208.3752799003</v>
      </c>
      <c r="L195" s="369">
        <f t="shared" ca="1" si="77"/>
        <v>3348072.7514753649</v>
      </c>
      <c r="M195" s="369">
        <f t="shared" ca="1" si="77"/>
        <v>1008.7272361096149</v>
      </c>
      <c r="N195" s="369">
        <f t="shared" ca="1" si="77"/>
        <v>634072.90688157396</v>
      </c>
      <c r="O195" s="369">
        <f t="shared" ca="1" si="77"/>
        <v>74088.831453452556</v>
      </c>
      <c r="P195" s="369">
        <f t="shared" ca="1" si="77"/>
        <v>12504.37507739282</v>
      </c>
      <c r="Q195" s="369">
        <f t="shared" ca="1" si="77"/>
        <v>141761.14116981649</v>
      </c>
      <c r="R195" s="369">
        <f t="shared" ca="1" si="77"/>
        <v>5121.309483788983</v>
      </c>
      <c r="S195" s="369">
        <f t="shared" ca="1" si="77"/>
        <v>24329.536347074838</v>
      </c>
      <c r="T195" s="16"/>
      <c r="U195" s="97">
        <f ca="1">SUM(I195:T195)</f>
        <v>9639077.5600000191</v>
      </c>
      <c r="V195" s="64"/>
      <c r="W195" s="64"/>
      <c r="X195" s="305">
        <f t="shared" ca="1" si="62"/>
        <v>0</v>
      </c>
    </row>
    <row r="196" spans="1:24" x14ac:dyDescent="0.2">
      <c r="A196" s="64"/>
      <c r="B196" s="16">
        <f t="shared" si="72"/>
        <v>14</v>
      </c>
      <c r="C196" s="1" t="s">
        <v>107</v>
      </c>
      <c r="D196" s="1" t="s">
        <v>503</v>
      </c>
      <c r="E196" s="16"/>
      <c r="F196" s="97">
        <f>' WP II-I-1.4'!G196</f>
        <v>0</v>
      </c>
      <c r="G196" s="10">
        <v>61</v>
      </c>
      <c r="H196" s="45" t="str">
        <f>VLOOKUP(G196,FactorTable,2)</f>
        <v>PLTOPER_N</v>
      </c>
      <c r="I196" s="16"/>
      <c r="J196" s="370">
        <f t="shared" ca="1" si="77"/>
        <v>0</v>
      </c>
      <c r="K196" s="370">
        <f t="shared" ca="1" si="77"/>
        <v>0</v>
      </c>
      <c r="L196" s="370">
        <f t="shared" ca="1" si="77"/>
        <v>0</v>
      </c>
      <c r="M196" s="370">
        <f t="shared" ca="1" si="77"/>
        <v>0</v>
      </c>
      <c r="N196" s="370">
        <f t="shared" ca="1" si="77"/>
        <v>0</v>
      </c>
      <c r="O196" s="370">
        <f t="shared" ca="1" si="77"/>
        <v>0</v>
      </c>
      <c r="P196" s="370">
        <f t="shared" ca="1" si="77"/>
        <v>0</v>
      </c>
      <c r="Q196" s="370">
        <f t="shared" ca="1" si="77"/>
        <v>0</v>
      </c>
      <c r="R196" s="370">
        <f t="shared" ca="1" si="77"/>
        <v>0</v>
      </c>
      <c r="S196" s="370">
        <f t="shared" ca="1" si="77"/>
        <v>0</v>
      </c>
      <c r="T196" s="16"/>
      <c r="U196" s="97">
        <f ca="1">SUM(I196:T196)</f>
        <v>0</v>
      </c>
      <c r="V196" s="64"/>
      <c r="W196" s="64"/>
      <c r="X196" s="305">
        <f t="shared" ca="1" si="62"/>
        <v>0</v>
      </c>
    </row>
    <row r="197" spans="1:24" ht="15" x14ac:dyDescent="0.25">
      <c r="A197" s="64"/>
      <c r="B197" s="16">
        <f t="shared" si="72"/>
        <v>15</v>
      </c>
      <c r="C197" s="8"/>
      <c r="D197" s="233" t="s">
        <v>444</v>
      </c>
      <c r="E197" s="19"/>
      <c r="F197" s="20">
        <f>+F196+F195</f>
        <v>9639077.560000021</v>
      </c>
      <c r="G197" s="19"/>
      <c r="H197" s="19"/>
      <c r="I197" s="19"/>
      <c r="J197" s="804">
        <f t="shared" ref="J197:Q197" ca="1" si="78">+J196+J195</f>
        <v>5258909.6055955458</v>
      </c>
      <c r="K197" s="804">
        <f t="shared" ca="1" si="78"/>
        <v>139208.3752799003</v>
      </c>
      <c r="L197" s="804">
        <f t="shared" ca="1" si="78"/>
        <v>3348072.7514753649</v>
      </c>
      <c r="M197" s="804">
        <f t="shared" ca="1" si="78"/>
        <v>1008.7272361096149</v>
      </c>
      <c r="N197" s="804">
        <f t="shared" ca="1" si="78"/>
        <v>634072.90688157396</v>
      </c>
      <c r="O197" s="804">
        <f ca="1">+O196+O195</f>
        <v>74088.831453452556</v>
      </c>
      <c r="P197" s="804">
        <f t="shared" ca="1" si="78"/>
        <v>12504.37507739282</v>
      </c>
      <c r="Q197" s="804">
        <f t="shared" ca="1" si="78"/>
        <v>141761.14116981649</v>
      </c>
      <c r="R197" s="804">
        <f ca="1">+R196+R195</f>
        <v>5121.309483788983</v>
      </c>
      <c r="S197" s="804">
        <f ca="1">+S196+S195</f>
        <v>24329.536347074838</v>
      </c>
      <c r="T197" s="19"/>
      <c r="U197" s="20">
        <f ca="1">SUM(I197:T197)</f>
        <v>9639077.5600000191</v>
      </c>
      <c r="V197" s="64"/>
      <c r="W197" s="64"/>
      <c r="X197" s="305">
        <f t="shared" ca="1" si="62"/>
        <v>0</v>
      </c>
    </row>
    <row r="198" spans="1:24" ht="15.75" thickBot="1" x14ac:dyDescent="0.3">
      <c r="A198" s="64"/>
      <c r="B198" s="16">
        <f t="shared" si="72"/>
        <v>16</v>
      </c>
      <c r="C198" s="8"/>
      <c r="D198" s="233"/>
      <c r="E198" s="19"/>
      <c r="F198" s="21"/>
      <c r="G198" s="19"/>
      <c r="H198" s="19"/>
      <c r="I198" s="19"/>
      <c r="J198" s="805"/>
      <c r="K198" s="805"/>
      <c r="L198" s="805"/>
      <c r="M198" s="805"/>
      <c r="N198" s="805"/>
      <c r="O198" s="805"/>
      <c r="P198" s="805"/>
      <c r="Q198" s="805"/>
      <c r="R198" s="805"/>
      <c r="S198" s="805"/>
      <c r="T198" s="19"/>
      <c r="U198" s="8"/>
      <c r="V198" s="64"/>
      <c r="W198" s="64"/>
      <c r="X198" s="305">
        <f t="shared" si="62"/>
        <v>0</v>
      </c>
    </row>
    <row r="199" spans="1:24" ht="15.75" thickBot="1" x14ac:dyDescent="0.3">
      <c r="A199" s="64"/>
      <c r="B199" s="16">
        <f t="shared" si="72"/>
        <v>17</v>
      </c>
      <c r="C199" s="223" t="s">
        <v>504</v>
      </c>
      <c r="D199" s="224"/>
      <c r="E199" s="252" t="s">
        <v>86</v>
      </c>
      <c r="F199" s="194">
        <f>+F197+F193</f>
        <v>329554332.70999992</v>
      </c>
      <c r="G199" s="252"/>
      <c r="H199" s="379"/>
      <c r="I199" s="963"/>
      <c r="J199" s="381">
        <f t="shared" ref="J199:Q199" ca="1" si="79">+J197+J193</f>
        <v>179798993.73838475</v>
      </c>
      <c r="K199" s="812">
        <f t="shared" ca="1" si="79"/>
        <v>4759451.6111571463</v>
      </c>
      <c r="L199" s="812">
        <f t="shared" ca="1" si="79"/>
        <v>114468617.41788858</v>
      </c>
      <c r="M199" s="812">
        <f t="shared" ca="1" si="79"/>
        <v>34487.784657114629</v>
      </c>
      <c r="N199" s="812">
        <f t="shared" ca="1" si="79"/>
        <v>21678575.819743332</v>
      </c>
      <c r="O199" s="812">
        <f ca="1">+O197+O193</f>
        <v>2533053.1120766457</v>
      </c>
      <c r="P199" s="812">
        <f t="shared" ca="1" si="79"/>
        <v>427517.15181610553</v>
      </c>
      <c r="Q199" s="812">
        <f t="shared" ca="1" si="79"/>
        <v>4846729.159675614</v>
      </c>
      <c r="R199" s="812">
        <f ca="1">+R197+R193</f>
        <v>175094.52735760217</v>
      </c>
      <c r="S199" s="315">
        <f ca="1">+S197+S193</f>
        <v>831812.38724298822</v>
      </c>
      <c r="T199" s="379"/>
      <c r="U199" s="195">
        <f ca="1">SUM(I199:T199)</f>
        <v>329554332.70999986</v>
      </c>
      <c r="V199" s="64"/>
      <c r="W199" s="64"/>
      <c r="X199" s="305">
        <f t="shared" ca="1" si="62"/>
        <v>0</v>
      </c>
    </row>
    <row r="200" spans="1:24" x14ac:dyDescent="0.2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305"/>
    </row>
    <row r="201" spans="1:24" x14ac:dyDescent="0.2">
      <c r="A201" s="64"/>
      <c r="B201" s="64"/>
      <c r="C201" s="64"/>
      <c r="D201" s="64"/>
      <c r="E201" s="64"/>
      <c r="F201" s="64"/>
      <c r="G201" s="64"/>
      <c r="H201" s="105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105"/>
      <c r="V201" s="105">
        <f>$H$2</f>
        <v>0</v>
      </c>
      <c r="W201" s="105"/>
      <c r="X201" s="305"/>
    </row>
    <row r="202" spans="1:24" ht="15" thickBo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305">
        <f t="shared" si="62"/>
        <v>0</v>
      </c>
    </row>
    <row r="203" spans="1:24" ht="15" x14ac:dyDescent="0.25">
      <c r="A203" s="64"/>
      <c r="B203" s="829" t="str">
        <f>+$B$4</f>
        <v>2025 RATE CASE</v>
      </c>
      <c r="C203" s="844"/>
      <c r="D203" s="547"/>
      <c r="F203" s="11"/>
      <c r="U203" s="105"/>
      <c r="X203" s="305">
        <f t="shared" si="62"/>
        <v>0</v>
      </c>
    </row>
    <row r="204" spans="1:24" ht="15" x14ac:dyDescent="0.25">
      <c r="A204" s="97"/>
      <c r="B204" s="826" t="str">
        <f>+$B$5</f>
        <v>ONCOR ELECTRIC DELIVERY COMPANY LLC</v>
      </c>
      <c r="C204" s="8"/>
      <c r="D204" s="548"/>
      <c r="F204" s="11"/>
      <c r="U204" s="105"/>
      <c r="V204" s="64"/>
      <c r="W204" s="64"/>
      <c r="X204" s="305">
        <f t="shared" si="62"/>
        <v>0</v>
      </c>
    </row>
    <row r="205" spans="1:24" ht="15" x14ac:dyDescent="0.25">
      <c r="A205" s="64"/>
      <c r="B205" s="826" t="str">
        <f>+$B$6</f>
        <v>II-I-1-DIST:  CLASS REVENUE REQUIREMENT</v>
      </c>
      <c r="C205" s="82"/>
      <c r="D205" s="548"/>
      <c r="F205" s="11"/>
      <c r="U205" s="11"/>
      <c r="V205" s="64"/>
      <c r="W205" s="64"/>
      <c r="X205" s="305">
        <f t="shared" si="62"/>
        <v>0</v>
      </c>
    </row>
    <row r="206" spans="1:24" ht="15" x14ac:dyDescent="0.25">
      <c r="A206" s="64"/>
      <c r="B206" s="341" t="str">
        <f>+$B$7</f>
        <v>TEST YEAR ENDING 12/31/2024</v>
      </c>
      <c r="C206" s="82"/>
      <c r="D206" s="548"/>
      <c r="F206" s="11"/>
      <c r="U206" s="11"/>
      <c r="V206" s="64"/>
      <c r="W206" s="64"/>
      <c r="X206" s="305">
        <f t="shared" si="62"/>
        <v>0</v>
      </c>
    </row>
    <row r="207" spans="1:24" ht="15" x14ac:dyDescent="0.25">
      <c r="A207" s="64"/>
      <c r="B207" s="341" t="str">
        <f>+$B$8</f>
        <v>SPONSOR:  MATTHEW A. TROXLE</v>
      </c>
      <c r="C207" s="82"/>
      <c r="D207" s="548"/>
      <c r="F207" s="11"/>
      <c r="U207" s="11"/>
      <c r="V207" s="64"/>
      <c r="W207" s="64"/>
      <c r="X207" s="305">
        <f t="shared" si="62"/>
        <v>0</v>
      </c>
    </row>
    <row r="208" spans="1:24" ht="15.75" thickBot="1" x14ac:dyDescent="0.3">
      <c r="A208" s="64"/>
      <c r="B208" s="345"/>
      <c r="C208" s="843"/>
      <c r="D208" s="549"/>
      <c r="F208" s="11"/>
      <c r="U208" s="11"/>
      <c r="V208" s="64"/>
      <c r="W208" s="64"/>
      <c r="X208" s="305">
        <f t="shared" si="62"/>
        <v>0</v>
      </c>
    </row>
    <row r="209" spans="1:24" ht="15" thickBot="1" x14ac:dyDescent="0.25">
      <c r="A209" s="64"/>
      <c r="B209" s="12"/>
      <c r="C209" s="13"/>
      <c r="D209" s="13"/>
      <c r="E209" s="13"/>
      <c r="F209" s="12"/>
      <c r="G209" s="13"/>
      <c r="H209" s="13"/>
      <c r="I209" s="13"/>
      <c r="J209" s="177"/>
      <c r="K209" s="177"/>
      <c r="L209" s="13"/>
      <c r="M209" s="177"/>
      <c r="N209" s="177"/>
      <c r="O209" s="177"/>
      <c r="P209" s="177"/>
      <c r="Q209" s="13"/>
      <c r="R209" s="328" t="str">
        <f>R$10</f>
        <v xml:space="preserve"> </v>
      </c>
      <c r="S209" s="329"/>
      <c r="T209" s="177"/>
      <c r="U209" s="12"/>
      <c r="V209" s="64"/>
      <c r="W209" s="64"/>
      <c r="X209" s="305">
        <f t="shared" si="62"/>
        <v>0</v>
      </c>
    </row>
    <row r="210" spans="1:24" ht="15" x14ac:dyDescent="0.25">
      <c r="A210" s="64"/>
      <c r="B210" s="14" t="s">
        <v>2</v>
      </c>
      <c r="C210" s="14" t="s">
        <v>349</v>
      </c>
      <c r="D210" s="226" t="s">
        <v>103</v>
      </c>
      <c r="E210" s="14" t="s">
        <v>350</v>
      </c>
      <c r="F210" s="226" t="str">
        <f>F$11</f>
        <v>DIST</v>
      </c>
      <c r="G210" s="181" t="s">
        <v>688</v>
      </c>
      <c r="H210" s="181" t="s">
        <v>355</v>
      </c>
      <c r="I210" s="14"/>
      <c r="J210" s="181" t="s">
        <v>679</v>
      </c>
      <c r="K210" s="181" t="s">
        <v>388</v>
      </c>
      <c r="L210" s="14" t="s">
        <v>388</v>
      </c>
      <c r="M210" s="181" t="s">
        <v>389</v>
      </c>
      <c r="N210" s="181" t="s">
        <v>389</v>
      </c>
      <c r="O210" s="181" t="s">
        <v>389</v>
      </c>
      <c r="P210" s="181" t="s">
        <v>390</v>
      </c>
      <c r="Q210" s="14" t="s">
        <v>391</v>
      </c>
      <c r="R210" s="331" t="str">
        <f>R$11</f>
        <v>Wholesale</v>
      </c>
      <c r="S210" s="12" t="str">
        <f>S$11</f>
        <v>Wholesale</v>
      </c>
      <c r="T210" s="181"/>
      <c r="U210" s="14" t="s">
        <v>10</v>
      </c>
      <c r="V210" s="64"/>
      <c r="W210" s="64"/>
      <c r="X210" s="305"/>
    </row>
    <row r="211" spans="1:24" x14ac:dyDescent="0.2">
      <c r="A211" s="64"/>
      <c r="B211" s="14"/>
      <c r="C211" s="14"/>
      <c r="D211" s="14"/>
      <c r="E211" s="14"/>
      <c r="F211" s="14"/>
      <c r="G211" s="181" t="s">
        <v>689</v>
      </c>
      <c r="H211" s="181" t="s">
        <v>690</v>
      </c>
      <c r="I211" s="14"/>
      <c r="J211" s="181"/>
      <c r="K211" s="181" t="s">
        <v>680</v>
      </c>
      <c r="L211" s="14" t="s">
        <v>681</v>
      </c>
      <c r="M211" s="181" t="s">
        <v>680</v>
      </c>
      <c r="N211" s="181" t="s">
        <v>681</v>
      </c>
      <c r="O211" s="181" t="s">
        <v>393</v>
      </c>
      <c r="P211" s="181"/>
      <c r="Q211" s="14"/>
      <c r="R211" s="174" t="str">
        <f>R$12</f>
        <v>XFMR</v>
      </c>
      <c r="S211" s="14" t="str">
        <f>S$12</f>
        <v>DLS</v>
      </c>
      <c r="T211" s="181"/>
      <c r="U211" s="14"/>
      <c r="V211" s="64"/>
      <c r="W211" s="64"/>
      <c r="X211" s="305">
        <f t="shared" si="62"/>
        <v>0</v>
      </c>
    </row>
    <row r="212" spans="1:24" ht="15" thickBot="1" x14ac:dyDescent="0.25">
      <c r="A212" s="64"/>
      <c r="B212" s="15"/>
      <c r="C212" s="15"/>
      <c r="D212" s="15"/>
      <c r="E212" s="15"/>
      <c r="F212" s="15" t="s">
        <v>13</v>
      </c>
      <c r="G212" s="15" t="s">
        <v>14</v>
      </c>
      <c r="H212" s="15" t="s">
        <v>15</v>
      </c>
      <c r="I212" s="15"/>
      <c r="J212" s="182" t="str">
        <f t="shared" ref="J212:Q212" si="80">J$13</f>
        <v>(d)</v>
      </c>
      <c r="K212" s="182" t="str">
        <f t="shared" si="80"/>
        <v>(e)</v>
      </c>
      <c r="L212" s="15" t="str">
        <f t="shared" si="80"/>
        <v>(f)</v>
      </c>
      <c r="M212" s="182" t="str">
        <f t="shared" si="80"/>
        <v>(g)</v>
      </c>
      <c r="N212" s="182" t="str">
        <f t="shared" si="80"/>
        <v>(h)</v>
      </c>
      <c r="O212" s="182" t="str">
        <f>O$13</f>
        <v>(i)</v>
      </c>
      <c r="P212" s="182" t="str">
        <f t="shared" si="80"/>
        <v>(j)</v>
      </c>
      <c r="Q212" s="182" t="str">
        <f t="shared" si="80"/>
        <v>(k)</v>
      </c>
      <c r="R212" s="182" t="str">
        <f>R$13</f>
        <v>(l)</v>
      </c>
      <c r="S212" s="15" t="str">
        <f>S$13</f>
        <v>(m)</v>
      </c>
      <c r="T212" s="15"/>
      <c r="U212" s="15" t="s">
        <v>683</v>
      </c>
      <c r="V212" s="64"/>
      <c r="W212" s="64"/>
      <c r="X212" s="305"/>
    </row>
    <row r="213" spans="1:24" x14ac:dyDescent="0.2">
      <c r="A213" s="64"/>
      <c r="B213" s="64"/>
      <c r="C213" s="96"/>
      <c r="D213" s="96"/>
      <c r="E213" s="251"/>
      <c r="F213" s="96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1"/>
      <c r="V213" s="64"/>
      <c r="W213" s="64"/>
      <c r="X213" s="305">
        <f t="shared" si="62"/>
        <v>0</v>
      </c>
    </row>
    <row r="214" spans="1:24" x14ac:dyDescent="0.2">
      <c r="A214" s="64"/>
      <c r="B214" s="645">
        <f>B211+1</f>
        <v>1</v>
      </c>
      <c r="C214" s="1" t="s">
        <v>1237</v>
      </c>
      <c r="D214" s="1" t="s">
        <v>1230</v>
      </c>
      <c r="E214" s="16"/>
      <c r="F214" s="1">
        <f>' WP II-I-1.4'!$G$214</f>
        <v>68043568.759999901</v>
      </c>
      <c r="G214" s="16">
        <v>63</v>
      </c>
      <c r="H214" s="647" t="str">
        <f>VLOOKUP(G214,FactorTable,2)</f>
        <v>PLTGEN_N</v>
      </c>
      <c r="I214" s="16"/>
      <c r="J214" s="648">
        <f t="shared" ref="J214:S216" ca="1" si="81">$F214*HLOOKUP(J$1354,FactorTable,$G214+1)</f>
        <v>37123363.218478307</v>
      </c>
      <c r="K214" s="648">
        <f t="shared" ca="1" si="81"/>
        <v>982690.98846484942</v>
      </c>
      <c r="L214" s="648">
        <f t="shared" ca="1" si="81"/>
        <v>23634504.138017911</v>
      </c>
      <c r="M214" s="648">
        <f t="shared" ca="1" si="81"/>
        <v>7120.7437250156408</v>
      </c>
      <c r="N214" s="648">
        <f t="shared" ca="1" si="81"/>
        <v>4476007.4986106139</v>
      </c>
      <c r="O214" s="648">
        <f t="shared" ca="1" si="81"/>
        <v>523003.20917337167</v>
      </c>
      <c r="P214" s="648">
        <f t="shared" ca="1" si="81"/>
        <v>88270.096394929904</v>
      </c>
      <c r="Q214" s="648">
        <f t="shared" ca="1" si="81"/>
        <v>1000711.3125339807</v>
      </c>
      <c r="R214" s="648">
        <f t="shared" ca="1" si="81"/>
        <v>36152.025111564159</v>
      </c>
      <c r="S214" s="648">
        <f t="shared" ca="1" si="81"/>
        <v>171745.52948934873</v>
      </c>
      <c r="T214" s="16"/>
      <c r="U214" s="646">
        <f t="shared" ref="U214:U215" ca="1" si="82">SUM(I214:T214)</f>
        <v>68043568.759999901</v>
      </c>
      <c r="V214" s="64"/>
      <c r="W214" s="64"/>
      <c r="X214" s="305"/>
    </row>
    <row r="215" spans="1:24" x14ac:dyDescent="0.2">
      <c r="A215" s="64"/>
      <c r="B215" s="401">
        <f>B214+1</f>
        <v>2</v>
      </c>
      <c r="C215" s="1" t="s">
        <v>1238</v>
      </c>
      <c r="D215" s="1" t="s">
        <v>1232</v>
      </c>
      <c r="E215" s="16"/>
      <c r="F215" s="1">
        <f>' WP II-I-1.4'!$G$215</f>
        <v>188210803.86999995</v>
      </c>
      <c r="G215" s="16">
        <v>63</v>
      </c>
      <c r="H215" s="647" t="str">
        <f>VLOOKUP(G215,FactorTable,2)</f>
        <v>PLTGEN_N</v>
      </c>
      <c r="I215" s="16"/>
      <c r="J215" s="648">
        <f t="shared" ca="1" si="81"/>
        <v>102684473.5077326</v>
      </c>
      <c r="K215" s="648">
        <f t="shared" ca="1" si="81"/>
        <v>2718156.385170389</v>
      </c>
      <c r="L215" s="648">
        <f t="shared" ca="1" si="81"/>
        <v>65373834.793629326</v>
      </c>
      <c r="M215" s="648">
        <f t="shared" ca="1" si="81"/>
        <v>19696.217071808001</v>
      </c>
      <c r="N215" s="648">
        <f t="shared" ca="1" si="81"/>
        <v>12380787.557058353</v>
      </c>
      <c r="O215" s="648">
        <f t="shared" ca="1" si="81"/>
        <v>1446644.4987961291</v>
      </c>
      <c r="P215" s="648">
        <f t="shared" ca="1" si="81"/>
        <v>244158.06082673444</v>
      </c>
      <c r="Q215" s="648">
        <f t="shared" ca="1" si="81"/>
        <v>2768001.2087276587</v>
      </c>
      <c r="R215" s="648">
        <f t="shared" ca="1" si="81"/>
        <v>99997.719575458745</v>
      </c>
      <c r="S215" s="648">
        <f t="shared" ca="1" si="81"/>
        <v>475053.92141147231</v>
      </c>
      <c r="T215" s="16"/>
      <c r="U215" s="646">
        <f t="shared" ca="1" si="82"/>
        <v>188210803.86999997</v>
      </c>
      <c r="V215" s="64"/>
      <c r="W215" s="64"/>
      <c r="X215" s="305"/>
    </row>
    <row r="216" spans="1:24" s="589" customFormat="1" ht="15" x14ac:dyDescent="0.25">
      <c r="B216" s="401">
        <f t="shared" ref="B216:B225" si="83">B215+1</f>
        <v>3</v>
      </c>
      <c r="C216" s="647" t="s">
        <v>1239</v>
      </c>
      <c r="D216" s="647" t="s">
        <v>103</v>
      </c>
      <c r="E216" s="1291" t="s">
        <v>104</v>
      </c>
      <c r="F216" s="1">
        <f>' WP II-I-1.4'!$G$216</f>
        <v>58294861.840000004</v>
      </c>
      <c r="G216" s="645">
        <v>63</v>
      </c>
      <c r="H216" s="647" t="str">
        <f>VLOOKUP(G216,FactorTable,2)</f>
        <v>PLTGEN_N</v>
      </c>
      <c r="I216" s="1291"/>
      <c r="J216" s="651">
        <f t="shared" ca="1" si="81"/>
        <v>31804641.780187164</v>
      </c>
      <c r="K216" s="651">
        <f t="shared" ca="1" si="81"/>
        <v>841899.33667393832</v>
      </c>
      <c r="L216" s="651">
        <f t="shared" ca="1" si="81"/>
        <v>20248352.320294503</v>
      </c>
      <c r="M216" s="651">
        <f t="shared" ca="1" si="81"/>
        <v>6100.5438017509769</v>
      </c>
      <c r="N216" s="651">
        <f t="shared" ca="1" si="81"/>
        <v>3834723.0088216509</v>
      </c>
      <c r="O216" s="651">
        <f t="shared" ca="1" si="81"/>
        <v>448071.73368838994</v>
      </c>
      <c r="P216" s="651">
        <f t="shared" ca="1" si="81"/>
        <v>75623.503700923888</v>
      </c>
      <c r="Q216" s="651">
        <f t="shared" ca="1" si="81"/>
        <v>857337.86115267768</v>
      </c>
      <c r="R216" s="651">
        <f t="shared" ca="1" si="81"/>
        <v>30972.468780234605</v>
      </c>
      <c r="S216" s="651">
        <f t="shared" ca="1" si="81"/>
        <v>147139.28289876555</v>
      </c>
      <c r="T216" s="1291"/>
      <c r="U216" s="646">
        <f ca="1">SUM(I216:T216)</f>
        <v>58294861.840000004</v>
      </c>
      <c r="X216" s="646">
        <f t="shared" ca="1" si="62"/>
        <v>0</v>
      </c>
    </row>
    <row r="217" spans="1:24" ht="15" x14ac:dyDescent="0.25">
      <c r="A217" s="64"/>
      <c r="B217" s="65">
        <f t="shared" si="83"/>
        <v>4</v>
      </c>
      <c r="C217" s="8"/>
      <c r="D217" s="233" t="s">
        <v>444</v>
      </c>
      <c r="E217" s="19"/>
      <c r="F217" s="21">
        <f>SUM(F214:F216)</f>
        <v>314549234.46999985</v>
      </c>
      <c r="G217" s="19"/>
      <c r="H217" s="19"/>
      <c r="I217" s="19"/>
      <c r="J217" s="805">
        <f t="shared" ref="J217:S217" ca="1" si="84">SUM(J214:J216)</f>
        <v>171612478.50639805</v>
      </c>
      <c r="K217" s="805">
        <f t="shared" ca="1" si="84"/>
        <v>4542746.7103091767</v>
      </c>
      <c r="L217" s="805">
        <f t="shared" ca="1" si="84"/>
        <v>109256691.25194174</v>
      </c>
      <c r="M217" s="805">
        <f t="shared" ca="1" si="84"/>
        <v>32917.504598574618</v>
      </c>
      <c r="N217" s="805">
        <f t="shared" ca="1" si="84"/>
        <v>20691518.064490616</v>
      </c>
      <c r="O217" s="805">
        <f t="shared" ca="1" si="84"/>
        <v>2417719.4416578906</v>
      </c>
      <c r="P217" s="805">
        <f t="shared" ca="1" si="84"/>
        <v>408051.6609225882</v>
      </c>
      <c r="Q217" s="805">
        <f t="shared" ca="1" si="84"/>
        <v>4626050.3824143168</v>
      </c>
      <c r="R217" s="805">
        <f t="shared" ca="1" si="84"/>
        <v>167122.2134672575</v>
      </c>
      <c r="S217" s="805">
        <f t="shared" ca="1" si="84"/>
        <v>793938.73379958654</v>
      </c>
      <c r="T217" s="19"/>
      <c r="U217" s="235">
        <f ca="1">SUM(I217:T217)</f>
        <v>314549234.46999979</v>
      </c>
      <c r="V217" s="64"/>
      <c r="W217" s="64"/>
      <c r="X217" s="305">
        <f t="shared" ca="1" si="62"/>
        <v>0</v>
      </c>
    </row>
    <row r="218" spans="1:24" ht="15.75" thickBot="1" x14ac:dyDescent="0.3">
      <c r="A218" s="64"/>
      <c r="B218" s="65">
        <f t="shared" si="83"/>
        <v>5</v>
      </c>
      <c r="C218" s="1"/>
      <c r="D218" s="233"/>
      <c r="E218" s="16"/>
      <c r="F218" s="18"/>
      <c r="G218" s="16"/>
      <c r="H218" s="16"/>
      <c r="I218" s="1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6"/>
      <c r="U218" s="1"/>
      <c r="V218" s="64"/>
      <c r="W218" s="64"/>
      <c r="X218" s="305">
        <f t="shared" si="62"/>
        <v>0</v>
      </c>
    </row>
    <row r="219" spans="1:24" ht="15.75" thickBot="1" x14ac:dyDescent="0.3">
      <c r="A219" s="64"/>
      <c r="B219" s="65">
        <f t="shared" si="83"/>
        <v>6</v>
      </c>
      <c r="C219" s="223" t="s">
        <v>505</v>
      </c>
      <c r="D219" s="224"/>
      <c r="E219" s="252"/>
      <c r="F219" s="253">
        <f>+F217</f>
        <v>314549234.46999985</v>
      </c>
      <c r="G219" s="252"/>
      <c r="H219" s="379"/>
      <c r="I219" s="963"/>
      <c r="J219" s="382">
        <f t="shared" ref="J219:Q219" ca="1" si="85">+J217</f>
        <v>171612478.50639805</v>
      </c>
      <c r="K219" s="253">
        <f t="shared" ca="1" si="85"/>
        <v>4542746.7103091767</v>
      </c>
      <c r="L219" s="253">
        <f t="shared" ca="1" si="85"/>
        <v>109256691.25194174</v>
      </c>
      <c r="M219" s="253">
        <f t="shared" ca="1" si="85"/>
        <v>32917.504598574618</v>
      </c>
      <c r="N219" s="253">
        <f t="shared" ca="1" si="85"/>
        <v>20691518.064490616</v>
      </c>
      <c r="O219" s="253">
        <f ca="1">+O217</f>
        <v>2417719.4416578906</v>
      </c>
      <c r="P219" s="253">
        <f t="shared" ca="1" si="85"/>
        <v>408051.6609225882</v>
      </c>
      <c r="Q219" s="253">
        <f t="shared" ca="1" si="85"/>
        <v>4626050.3824143168</v>
      </c>
      <c r="R219" s="253">
        <f ca="1">+R217</f>
        <v>167122.2134672575</v>
      </c>
      <c r="S219" s="195">
        <f ca="1">+S217</f>
        <v>793938.73379958654</v>
      </c>
      <c r="T219" s="379"/>
      <c r="U219" s="195">
        <f ca="1">SUM(I219:T219)</f>
        <v>314549234.46999979</v>
      </c>
      <c r="V219" s="64"/>
      <c r="W219" s="64"/>
      <c r="X219" s="305">
        <f t="shared" ca="1" si="62"/>
        <v>0</v>
      </c>
    </row>
    <row r="220" spans="1:24" ht="15" thickBot="1" x14ac:dyDescent="0.25">
      <c r="A220" s="64"/>
      <c r="B220" s="65">
        <f t="shared" si="83"/>
        <v>7</v>
      </c>
      <c r="C220" s="11"/>
      <c r="D220" s="11"/>
      <c r="E220" s="10"/>
      <c r="F220" s="11"/>
      <c r="G220" s="10"/>
      <c r="H220" s="10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0"/>
      <c r="U220" s="11"/>
      <c r="V220" s="64"/>
      <c r="W220" s="64"/>
      <c r="X220" s="305">
        <f t="shared" ref="X220:X286" si="86">U220-F220</f>
        <v>0</v>
      </c>
    </row>
    <row r="221" spans="1:24" ht="15.75" thickBot="1" x14ac:dyDescent="0.3">
      <c r="A221" s="64"/>
      <c r="B221" s="65">
        <f t="shared" si="83"/>
        <v>8</v>
      </c>
      <c r="C221" s="223" t="s">
        <v>506</v>
      </c>
      <c r="D221" s="224"/>
      <c r="E221" s="252" t="s">
        <v>507</v>
      </c>
      <c r="F221" s="253">
        <f>+F199+F219</f>
        <v>644103567.17999983</v>
      </c>
      <c r="G221" s="252"/>
      <c r="H221" s="379"/>
      <c r="I221" s="963"/>
      <c r="J221" s="382">
        <f t="shared" ref="J221:Q221" ca="1" si="87">+J199+J219</f>
        <v>351411472.24478281</v>
      </c>
      <c r="K221" s="253">
        <f t="shared" ca="1" si="87"/>
        <v>9302198.321466323</v>
      </c>
      <c r="L221" s="253">
        <f t="shared" ca="1" si="87"/>
        <v>223725308.66983032</v>
      </c>
      <c r="M221" s="253">
        <f t="shared" ca="1" si="87"/>
        <v>67405.289255689248</v>
      </c>
      <c r="N221" s="253">
        <f t="shared" ca="1" si="87"/>
        <v>42370093.884233952</v>
      </c>
      <c r="O221" s="253">
        <f ca="1">+O199+O219</f>
        <v>4950772.5537345363</v>
      </c>
      <c r="P221" s="253">
        <f t="shared" ca="1" si="87"/>
        <v>835568.81273869378</v>
      </c>
      <c r="Q221" s="253">
        <f t="shared" ca="1" si="87"/>
        <v>9472779.5420899317</v>
      </c>
      <c r="R221" s="253">
        <f ca="1">+R199+R219</f>
        <v>342216.74082485971</v>
      </c>
      <c r="S221" s="195">
        <f ca="1">+S199+S219</f>
        <v>1625751.1210425748</v>
      </c>
      <c r="T221" s="379"/>
      <c r="U221" s="195">
        <f ca="1">SUM(I221:T221)</f>
        <v>644103567.17999971</v>
      </c>
      <c r="V221" s="64"/>
      <c r="W221" s="64"/>
      <c r="X221" s="305">
        <f t="shared" ca="1" si="86"/>
        <v>0</v>
      </c>
    </row>
    <row r="222" spans="1:24" ht="15" thickBot="1" x14ac:dyDescent="0.25">
      <c r="A222" s="64"/>
      <c r="B222" s="65">
        <f t="shared" si="83"/>
        <v>9</v>
      </c>
      <c r="C222" s="11"/>
      <c r="D222" s="11"/>
      <c r="E222" s="10"/>
      <c r="F222" s="11"/>
      <c r="G222" s="10"/>
      <c r="H222" s="10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0"/>
      <c r="U222" s="11"/>
      <c r="V222" s="64"/>
      <c r="W222" s="64"/>
      <c r="X222" s="305">
        <f t="shared" si="86"/>
        <v>0</v>
      </c>
    </row>
    <row r="223" spans="1:24" ht="15.75" thickBot="1" x14ac:dyDescent="0.3">
      <c r="A223" s="64"/>
      <c r="B223" s="65">
        <f t="shared" si="83"/>
        <v>10</v>
      </c>
      <c r="C223" s="223" t="s">
        <v>508</v>
      </c>
      <c r="D223" s="224"/>
      <c r="E223" s="252" t="s">
        <v>509</v>
      </c>
      <c r="F223" s="194">
        <f>+F221+F167</f>
        <v>20559929669.059998</v>
      </c>
      <c r="G223" s="252"/>
      <c r="H223" s="379"/>
      <c r="I223" s="963"/>
      <c r="J223" s="381">
        <f t="shared" ref="J223:Q223" ca="1" si="88">+J221+J167</f>
        <v>11045699067.856609</v>
      </c>
      <c r="K223" s="812">
        <f t="shared" ca="1" si="88"/>
        <v>356871508.77285749</v>
      </c>
      <c r="L223" s="812">
        <f t="shared" ca="1" si="88"/>
        <v>6984089520.4116201</v>
      </c>
      <c r="M223" s="812">
        <f t="shared" ca="1" si="88"/>
        <v>2020243.494921125</v>
      </c>
      <c r="N223" s="812">
        <f t="shared" ca="1" si="88"/>
        <v>1269898957.3966732</v>
      </c>
      <c r="O223" s="812">
        <f ca="1">+O221+O167</f>
        <v>138115784.06551591</v>
      </c>
      <c r="P223" s="812">
        <f t="shared" ca="1" si="88"/>
        <v>23927175.920372121</v>
      </c>
      <c r="Q223" s="812">
        <f t="shared" ca="1" si="88"/>
        <v>681033967.29485357</v>
      </c>
      <c r="R223" s="812">
        <f ca="1">+R221+R167</f>
        <v>9547102.5918403231</v>
      </c>
      <c r="S223" s="315">
        <f ca="1">+S221+S167</f>
        <v>48726341.254737243</v>
      </c>
      <c r="T223" s="379"/>
      <c r="U223" s="195">
        <f ca="1">SUM(I223:T223)</f>
        <v>20559929669.060005</v>
      </c>
      <c r="V223" s="64"/>
      <c r="W223" s="64"/>
      <c r="X223" s="305">
        <f t="shared" ca="1" si="86"/>
        <v>0</v>
      </c>
    </row>
    <row r="224" spans="1:24" ht="15.75" thickBot="1" x14ac:dyDescent="0.3">
      <c r="A224" s="64"/>
      <c r="B224" s="65">
        <f t="shared" si="83"/>
        <v>11</v>
      </c>
      <c r="C224" s="8"/>
      <c r="D224" s="1"/>
      <c r="E224" s="16"/>
      <c r="F224" s="1"/>
      <c r="G224" s="16"/>
      <c r="H224" s="16"/>
      <c r="I224" s="1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64"/>
      <c r="W224" s="64"/>
      <c r="X224" s="305">
        <f t="shared" si="86"/>
        <v>0</v>
      </c>
    </row>
    <row r="225" spans="1:24" ht="15.75" thickBot="1" x14ac:dyDescent="0.3">
      <c r="A225" s="64"/>
      <c r="B225" s="65">
        <f t="shared" si="83"/>
        <v>12</v>
      </c>
      <c r="C225" s="223" t="s">
        <v>510</v>
      </c>
      <c r="D225" s="224"/>
      <c r="E225" s="252" t="s">
        <v>509</v>
      </c>
      <c r="F225" s="194">
        <f>+F221+F168</f>
        <v>20551283885.059998</v>
      </c>
      <c r="G225" s="252"/>
      <c r="H225" s="379"/>
      <c r="I225" s="963"/>
      <c r="J225" s="381">
        <f t="shared" ref="J225:Q225" ca="1" si="89">+J221+J168</f>
        <v>11040982081.584583</v>
      </c>
      <c r="K225" s="812">
        <f t="shared" ca="1" si="89"/>
        <v>356746645.62737817</v>
      </c>
      <c r="L225" s="812">
        <f t="shared" ca="1" si="89"/>
        <v>6981086461.9088373</v>
      </c>
      <c r="M225" s="812">
        <f t="shared" ca="1" si="89"/>
        <v>2019338.7156262146</v>
      </c>
      <c r="N225" s="812">
        <f t="shared" ca="1" si="89"/>
        <v>1269330224.8225212</v>
      </c>
      <c r="O225" s="812">
        <f ca="1">+O221+O168</f>
        <v>138049329.98528138</v>
      </c>
      <c r="P225" s="812">
        <f t="shared" ca="1" si="89"/>
        <v>23915960.103785817</v>
      </c>
      <c r="Q225" s="812">
        <f t="shared" ca="1" si="89"/>
        <v>680906814.44246507</v>
      </c>
      <c r="R225" s="812">
        <f ca="1">+R221+R168</f>
        <v>9542509.0261885915</v>
      </c>
      <c r="S225" s="315">
        <f ca="1">+S221+S168</f>
        <v>48704518.843332462</v>
      </c>
      <c r="T225" s="379"/>
      <c r="U225" s="195">
        <f ca="1">SUM(I225:T225)</f>
        <v>20551283885.060005</v>
      </c>
      <c r="V225" s="64"/>
      <c r="W225" s="64"/>
      <c r="X225" s="305">
        <f t="shared" ca="1" si="86"/>
        <v>0</v>
      </c>
    </row>
    <row r="226" spans="1:24" x14ac:dyDescent="0.2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305">
        <f t="shared" si="86"/>
        <v>0</v>
      </c>
    </row>
    <row r="227" spans="1:24" x14ac:dyDescent="0.2">
      <c r="A227" s="64"/>
      <c r="B227" s="64"/>
      <c r="C227" s="64"/>
      <c r="D227" s="64"/>
      <c r="E227" s="64"/>
      <c r="F227" s="64"/>
      <c r="G227" s="64"/>
      <c r="H227" s="105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105"/>
      <c r="V227" s="105">
        <f>$H$2</f>
        <v>0</v>
      </c>
      <c r="W227" s="105"/>
      <c r="X227" s="305"/>
    </row>
    <row r="228" spans="1:24" ht="15" thickBo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305">
        <f t="shared" si="86"/>
        <v>0</v>
      </c>
    </row>
    <row r="229" spans="1:24" ht="15" x14ac:dyDescent="0.25">
      <c r="A229" s="64"/>
      <c r="B229" s="829" t="str">
        <f>+$B$4</f>
        <v>2025 RATE CASE</v>
      </c>
      <c r="C229" s="844"/>
      <c r="D229" s="547"/>
      <c r="F229" s="11"/>
      <c r="U229" s="105"/>
      <c r="X229" s="305">
        <f t="shared" si="86"/>
        <v>0</v>
      </c>
    </row>
    <row r="230" spans="1:24" ht="15" x14ac:dyDescent="0.25">
      <c r="A230" s="64"/>
      <c r="B230" s="826" t="str">
        <f>+$B$5</f>
        <v>ONCOR ELECTRIC DELIVERY COMPANY LLC</v>
      </c>
      <c r="C230" s="8"/>
      <c r="D230" s="548"/>
      <c r="F230" s="11"/>
      <c r="U230" s="105"/>
      <c r="V230" s="64"/>
      <c r="W230" s="64"/>
      <c r="X230" s="305">
        <f t="shared" si="86"/>
        <v>0</v>
      </c>
    </row>
    <row r="231" spans="1:24" ht="15" x14ac:dyDescent="0.25">
      <c r="A231" s="64"/>
      <c r="B231" s="826" t="str">
        <f>+$B$6</f>
        <v>II-I-1-DIST:  CLASS REVENUE REQUIREMENT</v>
      </c>
      <c r="C231" s="82"/>
      <c r="D231" s="548"/>
      <c r="F231" s="11"/>
      <c r="U231" s="11"/>
      <c r="V231" s="64"/>
      <c r="W231" s="64"/>
      <c r="X231" s="305">
        <f t="shared" si="86"/>
        <v>0</v>
      </c>
    </row>
    <row r="232" spans="1:24" ht="15" x14ac:dyDescent="0.25">
      <c r="A232" s="64"/>
      <c r="B232" s="341" t="str">
        <f>+$B$7</f>
        <v>TEST YEAR ENDING 12/31/2024</v>
      </c>
      <c r="C232" s="82"/>
      <c r="D232" s="548"/>
      <c r="F232" s="11"/>
      <c r="U232" s="11"/>
      <c r="V232" s="64"/>
      <c r="W232" s="64"/>
      <c r="X232" s="305">
        <f t="shared" si="86"/>
        <v>0</v>
      </c>
    </row>
    <row r="233" spans="1:24" ht="15" x14ac:dyDescent="0.25">
      <c r="A233" s="64"/>
      <c r="B233" s="341" t="str">
        <f>+$B$8</f>
        <v>SPONSOR:  MATTHEW A. TROXLE</v>
      </c>
      <c r="C233" s="82"/>
      <c r="D233" s="548"/>
      <c r="F233" s="11"/>
      <c r="U233" s="11"/>
      <c r="V233" s="64"/>
      <c r="W233" s="64"/>
      <c r="X233" s="305">
        <f t="shared" si="86"/>
        <v>0</v>
      </c>
    </row>
    <row r="234" spans="1:24" ht="15.75" thickBot="1" x14ac:dyDescent="0.3">
      <c r="A234" s="64"/>
      <c r="B234" s="345"/>
      <c r="C234" s="843"/>
      <c r="D234" s="549"/>
      <c r="F234" s="11"/>
      <c r="U234" s="11"/>
      <c r="V234" s="64"/>
      <c r="W234" s="64"/>
      <c r="X234" s="305">
        <f t="shared" si="86"/>
        <v>0</v>
      </c>
    </row>
    <row r="235" spans="1:24" ht="15" thickBot="1" x14ac:dyDescent="0.25">
      <c r="A235" s="64"/>
      <c r="B235" s="12"/>
      <c r="C235" s="13"/>
      <c r="D235" s="13"/>
      <c r="E235" s="13"/>
      <c r="F235" s="12"/>
      <c r="G235" s="13"/>
      <c r="H235" s="13"/>
      <c r="I235" s="13"/>
      <c r="J235" s="177"/>
      <c r="K235" s="177"/>
      <c r="L235" s="13"/>
      <c r="M235" s="177"/>
      <c r="N235" s="177"/>
      <c r="O235" s="177"/>
      <c r="P235" s="177"/>
      <c r="Q235" s="13"/>
      <c r="R235" s="328" t="str">
        <f>R$10</f>
        <v xml:space="preserve"> </v>
      </c>
      <c r="S235" s="329"/>
      <c r="T235" s="177"/>
      <c r="U235" s="12"/>
      <c r="V235" s="64"/>
      <c r="W235" s="64"/>
      <c r="X235" s="305">
        <f t="shared" si="86"/>
        <v>0</v>
      </c>
    </row>
    <row r="236" spans="1:24" ht="15" x14ac:dyDescent="0.25">
      <c r="A236" s="64"/>
      <c r="B236" s="14" t="s">
        <v>2</v>
      </c>
      <c r="C236" s="14" t="s">
        <v>349</v>
      </c>
      <c r="D236" s="226" t="s">
        <v>511</v>
      </c>
      <c r="E236" s="14" t="s">
        <v>350</v>
      </c>
      <c r="F236" s="226" t="str">
        <f>F$11</f>
        <v>DIST</v>
      </c>
      <c r="G236" s="181" t="s">
        <v>688</v>
      </c>
      <c r="H236" s="181" t="s">
        <v>355</v>
      </c>
      <c r="I236" s="14"/>
      <c r="J236" s="181" t="s">
        <v>679</v>
      </c>
      <c r="K236" s="181" t="s">
        <v>388</v>
      </c>
      <c r="L236" s="14" t="s">
        <v>388</v>
      </c>
      <c r="M236" s="181" t="s">
        <v>389</v>
      </c>
      <c r="N236" s="181" t="s">
        <v>389</v>
      </c>
      <c r="O236" s="181" t="s">
        <v>389</v>
      </c>
      <c r="P236" s="181" t="s">
        <v>390</v>
      </c>
      <c r="Q236" s="14" t="s">
        <v>391</v>
      </c>
      <c r="R236" s="331" t="str">
        <f>R$11</f>
        <v>Wholesale</v>
      </c>
      <c r="S236" s="12" t="str">
        <f>S$11</f>
        <v>Wholesale</v>
      </c>
      <c r="T236" s="181"/>
      <c r="U236" s="14" t="s">
        <v>10</v>
      </c>
      <c r="V236" s="64"/>
      <c r="W236" s="64"/>
      <c r="X236" s="305"/>
    </row>
    <row r="237" spans="1:24" x14ac:dyDescent="0.2">
      <c r="A237" s="64"/>
      <c r="B237" s="14"/>
      <c r="C237" s="14"/>
      <c r="D237" s="14"/>
      <c r="E237" s="14"/>
      <c r="F237" s="14"/>
      <c r="G237" s="181" t="s">
        <v>689</v>
      </c>
      <c r="H237" s="181" t="s">
        <v>690</v>
      </c>
      <c r="I237" s="14"/>
      <c r="J237" s="181"/>
      <c r="K237" s="181" t="s">
        <v>680</v>
      </c>
      <c r="L237" s="14" t="s">
        <v>681</v>
      </c>
      <c r="M237" s="181" t="s">
        <v>680</v>
      </c>
      <c r="N237" s="181" t="s">
        <v>681</v>
      </c>
      <c r="O237" s="181" t="s">
        <v>393</v>
      </c>
      <c r="P237" s="181"/>
      <c r="Q237" s="14"/>
      <c r="R237" s="174" t="str">
        <f>R$12</f>
        <v>XFMR</v>
      </c>
      <c r="S237" s="14" t="str">
        <f>S$12</f>
        <v>DLS</v>
      </c>
      <c r="T237" s="181"/>
      <c r="U237" s="14"/>
      <c r="V237" s="64"/>
      <c r="W237" s="64"/>
      <c r="X237" s="305">
        <f t="shared" si="86"/>
        <v>0</v>
      </c>
    </row>
    <row r="238" spans="1:24" ht="15" thickBot="1" x14ac:dyDescent="0.25">
      <c r="A238" s="64"/>
      <c r="B238" s="15"/>
      <c r="C238" s="15"/>
      <c r="D238" s="15"/>
      <c r="E238" s="15"/>
      <c r="F238" s="15" t="s">
        <v>13</v>
      </c>
      <c r="G238" s="15" t="s">
        <v>14</v>
      </c>
      <c r="H238" s="15" t="s">
        <v>15</v>
      </c>
      <c r="I238" s="15"/>
      <c r="J238" s="182" t="str">
        <f t="shared" ref="J238:Q238" si="90">J$13</f>
        <v>(d)</v>
      </c>
      <c r="K238" s="182" t="str">
        <f t="shared" si="90"/>
        <v>(e)</v>
      </c>
      <c r="L238" s="15" t="str">
        <f t="shared" si="90"/>
        <v>(f)</v>
      </c>
      <c r="M238" s="182" t="str">
        <f t="shared" si="90"/>
        <v>(g)</v>
      </c>
      <c r="N238" s="182" t="str">
        <f t="shared" si="90"/>
        <v>(h)</v>
      </c>
      <c r="O238" s="182" t="str">
        <f>O$13</f>
        <v>(i)</v>
      </c>
      <c r="P238" s="182" t="str">
        <f t="shared" si="90"/>
        <v>(j)</v>
      </c>
      <c r="Q238" s="182" t="str">
        <f t="shared" si="90"/>
        <v>(k)</v>
      </c>
      <c r="R238" s="182" t="str">
        <f>R$13</f>
        <v>(l)</v>
      </c>
      <c r="S238" s="15" t="str">
        <f>S$13</f>
        <v>(m)</v>
      </c>
      <c r="T238" s="15"/>
      <c r="U238" s="15" t="s">
        <v>683</v>
      </c>
      <c r="V238" s="64"/>
      <c r="W238" s="64"/>
      <c r="X238" s="305"/>
    </row>
    <row r="239" spans="1:24" x14ac:dyDescent="0.2">
      <c r="A239" s="64"/>
      <c r="B239" s="64"/>
      <c r="C239" s="96"/>
      <c r="D239" s="96"/>
      <c r="E239" s="251"/>
      <c r="F239" s="96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1"/>
      <c r="V239" s="64"/>
      <c r="W239" s="64"/>
      <c r="X239" s="305">
        <f t="shared" si="86"/>
        <v>0</v>
      </c>
    </row>
    <row r="240" spans="1:24" ht="15" x14ac:dyDescent="0.25">
      <c r="A240" s="64"/>
      <c r="B240" s="16">
        <f>B239+1</f>
        <v>1</v>
      </c>
      <c r="C240" s="8"/>
      <c r="D240" s="8" t="s">
        <v>511</v>
      </c>
      <c r="E240" s="19"/>
      <c r="F240" s="8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913"/>
      <c r="U240" s="8"/>
      <c r="V240" s="64"/>
      <c r="W240" s="64"/>
      <c r="X240" s="305">
        <f t="shared" si="86"/>
        <v>0</v>
      </c>
    </row>
    <row r="241" spans="1:24" ht="15" x14ac:dyDescent="0.25">
      <c r="A241" s="64"/>
      <c r="B241" s="16">
        <f>B240+1</f>
        <v>2</v>
      </c>
      <c r="C241" s="1" t="s">
        <v>512</v>
      </c>
      <c r="D241" s="8" t="s">
        <v>111</v>
      </c>
      <c r="E241" s="16"/>
      <c r="F241" s="229">
        <f>' WP II-I-1.4'!G241</f>
        <v>0</v>
      </c>
      <c r="G241" s="38">
        <v>28</v>
      </c>
      <c r="H241" s="45" t="str">
        <f>VLOOKUP(G241,FactorTable,2)</f>
        <v>NCP XHV</v>
      </c>
      <c r="I241" s="16"/>
      <c r="J241" s="370">
        <f t="shared" ref="J241:S241" si="91">$F241*HLOOKUP(J$1354,FactorTable,$G241+1)</f>
        <v>0</v>
      </c>
      <c r="K241" s="370">
        <f t="shared" si="91"/>
        <v>0</v>
      </c>
      <c r="L241" s="370">
        <f t="shared" si="91"/>
        <v>0</v>
      </c>
      <c r="M241" s="370">
        <f t="shared" si="91"/>
        <v>0</v>
      </c>
      <c r="N241" s="370">
        <f t="shared" si="91"/>
        <v>0</v>
      </c>
      <c r="O241" s="370">
        <f t="shared" si="91"/>
        <v>0</v>
      </c>
      <c r="P241" s="370">
        <f t="shared" si="91"/>
        <v>0</v>
      </c>
      <c r="Q241" s="370">
        <f t="shared" si="91"/>
        <v>0</v>
      </c>
      <c r="R241" s="370">
        <f t="shared" si="91"/>
        <v>0</v>
      </c>
      <c r="S241" s="370">
        <f t="shared" si="91"/>
        <v>0</v>
      </c>
      <c r="T241" s="16"/>
      <c r="U241" s="97">
        <f>SUM(I241:T241)</f>
        <v>0</v>
      </c>
      <c r="V241" s="64"/>
      <c r="W241" s="64"/>
      <c r="X241" s="305">
        <f t="shared" si="86"/>
        <v>0</v>
      </c>
    </row>
    <row r="242" spans="1:24" ht="15" x14ac:dyDescent="0.25">
      <c r="A242" s="64"/>
      <c r="B242" s="16">
        <f>B241+1</f>
        <v>3</v>
      </c>
      <c r="C242" s="1"/>
      <c r="D242" s="233" t="s">
        <v>444</v>
      </c>
      <c r="E242" s="19"/>
      <c r="F242" s="21">
        <f>+F241</f>
        <v>0</v>
      </c>
      <c r="G242" s="19"/>
      <c r="H242" s="19"/>
      <c r="I242" s="19"/>
      <c r="J242" s="805">
        <f t="shared" ref="J242:Q242" si="92">+J241</f>
        <v>0</v>
      </c>
      <c r="K242" s="805">
        <f t="shared" si="92"/>
        <v>0</v>
      </c>
      <c r="L242" s="805">
        <f t="shared" si="92"/>
        <v>0</v>
      </c>
      <c r="M242" s="805">
        <f t="shared" si="92"/>
        <v>0</v>
      </c>
      <c r="N242" s="805">
        <f t="shared" si="92"/>
        <v>0</v>
      </c>
      <c r="O242" s="805">
        <f>+O241</f>
        <v>0</v>
      </c>
      <c r="P242" s="805">
        <f t="shared" si="92"/>
        <v>0</v>
      </c>
      <c r="Q242" s="805">
        <f t="shared" si="92"/>
        <v>0</v>
      </c>
      <c r="R242" s="805">
        <f>+R241</f>
        <v>0</v>
      </c>
      <c r="S242" s="805">
        <f>+S241</f>
        <v>0</v>
      </c>
      <c r="T242" s="913"/>
      <c r="U242" s="235">
        <f>SUM(I242:T242)</f>
        <v>0</v>
      </c>
      <c r="V242" s="64"/>
      <c r="W242" s="64"/>
      <c r="X242" s="305">
        <f t="shared" si="86"/>
        <v>0</v>
      </c>
    </row>
    <row r="243" spans="1:24" ht="15.75" thickBot="1" x14ac:dyDescent="0.3">
      <c r="A243" s="64"/>
      <c r="B243" s="16">
        <f>B242+1</f>
        <v>4</v>
      </c>
      <c r="C243" s="1"/>
      <c r="D243" s="1"/>
      <c r="E243" s="19"/>
      <c r="F243" s="18"/>
      <c r="G243" s="19"/>
      <c r="H243" s="19"/>
      <c r="I243" s="19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9"/>
      <c r="U243" s="8"/>
      <c r="V243" s="64"/>
      <c r="W243" s="64"/>
      <c r="X243" s="305">
        <f t="shared" si="86"/>
        <v>0</v>
      </c>
    </row>
    <row r="244" spans="1:24" ht="15.75" thickBot="1" x14ac:dyDescent="0.3">
      <c r="A244" s="64"/>
      <c r="B244" s="16">
        <f>B243+1</f>
        <v>5</v>
      </c>
      <c r="C244" s="223" t="s">
        <v>513</v>
      </c>
      <c r="D244" s="224"/>
      <c r="E244" s="252" t="s">
        <v>112</v>
      </c>
      <c r="F244" s="194"/>
      <c r="G244" s="252"/>
      <c r="H244" s="379"/>
      <c r="I244" s="380"/>
      <c r="J244" s="381"/>
      <c r="K244" s="812"/>
      <c r="L244" s="812"/>
      <c r="M244" s="812"/>
      <c r="N244" s="812"/>
      <c r="O244" s="812"/>
      <c r="P244" s="812"/>
      <c r="Q244" s="812"/>
      <c r="R244" s="812"/>
      <c r="S244" s="315"/>
      <c r="T244" s="380"/>
      <c r="U244" s="195"/>
      <c r="V244" s="64"/>
      <c r="W244" s="64"/>
      <c r="X244" s="305">
        <f t="shared" si="86"/>
        <v>0</v>
      </c>
    </row>
    <row r="245" spans="1:24" ht="15" thickBo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305">
        <f t="shared" si="86"/>
        <v>0</v>
      </c>
    </row>
    <row r="246" spans="1:24" ht="15" x14ac:dyDescent="0.25">
      <c r="A246" s="64"/>
      <c r="B246" s="829" t="str">
        <f>+$B$4</f>
        <v>2025 RATE CASE</v>
      </c>
      <c r="C246" s="844"/>
      <c r="D246" s="868"/>
      <c r="E246" s="64"/>
      <c r="F246" s="64"/>
      <c r="G246" s="64"/>
      <c r="H246" s="105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105"/>
      <c r="V246" s="105">
        <f>$H$2</f>
        <v>0</v>
      </c>
      <c r="W246" s="105"/>
      <c r="X246" s="305"/>
    </row>
    <row r="247" spans="1:24" ht="15" x14ac:dyDescent="0.25">
      <c r="A247" s="97"/>
      <c r="B247" s="826" t="str">
        <f>+$B$5</f>
        <v>ONCOR ELECTRIC DELIVERY COMPANY LLC</v>
      </c>
      <c r="C247" s="8"/>
      <c r="D247" s="869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105"/>
      <c r="V247" s="64"/>
      <c r="W247" s="64"/>
      <c r="X247" s="305">
        <f t="shared" si="86"/>
        <v>0</v>
      </c>
    </row>
    <row r="248" spans="1:24" ht="15" x14ac:dyDescent="0.25">
      <c r="A248" s="64"/>
      <c r="B248" s="826" t="str">
        <f>+$B$6</f>
        <v>II-I-1-DIST:  CLASS REVENUE REQUIREMENT</v>
      </c>
      <c r="C248" s="82"/>
      <c r="D248" s="830"/>
      <c r="E248" s="64"/>
      <c r="F248" s="11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11"/>
      <c r="V248" s="64"/>
      <c r="W248" s="64"/>
      <c r="X248" s="305">
        <f t="shared" si="86"/>
        <v>0</v>
      </c>
    </row>
    <row r="249" spans="1:24" ht="15" x14ac:dyDescent="0.25">
      <c r="A249" s="64"/>
      <c r="B249" s="341" t="str">
        <f>+$B$7</f>
        <v>TEST YEAR ENDING 12/31/2024</v>
      </c>
      <c r="C249" s="82"/>
      <c r="D249" s="830"/>
      <c r="E249" s="64"/>
      <c r="F249" s="11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11"/>
      <c r="V249" s="64"/>
      <c r="W249" s="64"/>
      <c r="X249" s="305">
        <f t="shared" si="86"/>
        <v>0</v>
      </c>
    </row>
    <row r="250" spans="1:24" ht="15" x14ac:dyDescent="0.25">
      <c r="A250" s="64"/>
      <c r="B250" s="341" t="str">
        <f>+$B$8</f>
        <v>SPONSOR:  MATTHEW A. TROXLE</v>
      </c>
      <c r="C250" s="82"/>
      <c r="D250" s="830"/>
      <c r="E250" s="64"/>
      <c r="F250" s="11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11"/>
      <c r="V250" s="64"/>
      <c r="W250" s="64"/>
      <c r="X250" s="305">
        <f t="shared" si="86"/>
        <v>0</v>
      </c>
    </row>
    <row r="251" spans="1:24" ht="15.75" thickBot="1" x14ac:dyDescent="0.3">
      <c r="A251" s="64"/>
      <c r="B251" s="345"/>
      <c r="C251" s="843"/>
      <c r="D251" s="839"/>
      <c r="E251" s="64"/>
      <c r="F251" s="11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11"/>
      <c r="V251" s="64"/>
      <c r="W251" s="64"/>
      <c r="X251" s="305">
        <f t="shared" si="86"/>
        <v>0</v>
      </c>
    </row>
    <row r="252" spans="1:24" ht="15" thickBot="1" x14ac:dyDescent="0.25">
      <c r="A252" s="64"/>
      <c r="B252" s="12"/>
      <c r="C252" s="13"/>
      <c r="D252" s="13"/>
      <c r="E252" s="13"/>
      <c r="F252" s="12"/>
      <c r="G252" s="13"/>
      <c r="H252" s="13"/>
      <c r="I252" s="13"/>
      <c r="J252" s="177"/>
      <c r="K252" s="177"/>
      <c r="L252" s="13"/>
      <c r="M252" s="177"/>
      <c r="N252" s="177"/>
      <c r="O252" s="177"/>
      <c r="P252" s="177"/>
      <c r="Q252" s="13"/>
      <c r="R252" s="328" t="str">
        <f>R$10</f>
        <v xml:space="preserve"> </v>
      </c>
      <c r="S252" s="329"/>
      <c r="T252" s="177"/>
      <c r="U252" s="12"/>
      <c r="V252" s="64"/>
      <c r="W252" s="64"/>
      <c r="X252" s="305">
        <f t="shared" si="86"/>
        <v>0</v>
      </c>
    </row>
    <row r="253" spans="1:24" ht="15" x14ac:dyDescent="0.25">
      <c r="A253" s="64"/>
      <c r="B253" s="14" t="s">
        <v>2</v>
      </c>
      <c r="C253" s="14" t="s">
        <v>349</v>
      </c>
      <c r="D253" s="226" t="s">
        <v>514</v>
      </c>
      <c r="E253" s="14" t="s">
        <v>350</v>
      </c>
      <c r="F253" s="226" t="str">
        <f>F$11</f>
        <v>DIST</v>
      </c>
      <c r="G253" s="181" t="s">
        <v>688</v>
      </c>
      <c r="H253" s="181" t="s">
        <v>355</v>
      </c>
      <c r="I253" s="14"/>
      <c r="J253" s="181" t="s">
        <v>679</v>
      </c>
      <c r="K253" s="181" t="s">
        <v>388</v>
      </c>
      <c r="L253" s="14" t="s">
        <v>388</v>
      </c>
      <c r="M253" s="181" t="s">
        <v>389</v>
      </c>
      <c r="N253" s="181" t="s">
        <v>389</v>
      </c>
      <c r="O253" s="181" t="s">
        <v>389</v>
      </c>
      <c r="P253" s="181" t="s">
        <v>390</v>
      </c>
      <c r="Q253" s="14" t="s">
        <v>391</v>
      </c>
      <c r="R253" s="331" t="str">
        <f>R$11</f>
        <v>Wholesale</v>
      </c>
      <c r="S253" s="12" t="str">
        <f>S$11</f>
        <v>Wholesale</v>
      </c>
      <c r="T253" s="181"/>
      <c r="U253" s="14" t="s">
        <v>10</v>
      </c>
      <c r="V253" s="64"/>
      <c r="W253" s="64"/>
      <c r="X253" s="305"/>
    </row>
    <row r="254" spans="1:24" x14ac:dyDescent="0.2">
      <c r="A254" s="64"/>
      <c r="B254" s="14"/>
      <c r="C254" s="14"/>
      <c r="D254" s="14"/>
      <c r="E254" s="14"/>
      <c r="F254" s="14"/>
      <c r="G254" s="181" t="s">
        <v>689</v>
      </c>
      <c r="H254" s="181" t="s">
        <v>690</v>
      </c>
      <c r="I254" s="14"/>
      <c r="J254" s="181"/>
      <c r="K254" s="181" t="s">
        <v>680</v>
      </c>
      <c r="L254" s="14" t="s">
        <v>681</v>
      </c>
      <c r="M254" s="181" t="s">
        <v>680</v>
      </c>
      <c r="N254" s="181" t="s">
        <v>681</v>
      </c>
      <c r="O254" s="181" t="s">
        <v>393</v>
      </c>
      <c r="P254" s="181"/>
      <c r="Q254" s="14"/>
      <c r="R254" s="174" t="str">
        <f>R$12</f>
        <v>XFMR</v>
      </c>
      <c r="S254" s="14" t="str">
        <f>S$12</f>
        <v>DLS</v>
      </c>
      <c r="T254" s="181"/>
      <c r="U254" s="14"/>
      <c r="V254" s="64"/>
      <c r="W254" s="64"/>
      <c r="X254" s="305">
        <f t="shared" si="86"/>
        <v>0</v>
      </c>
    </row>
    <row r="255" spans="1:24" ht="15" thickBot="1" x14ac:dyDescent="0.25">
      <c r="A255" s="64"/>
      <c r="B255" s="15"/>
      <c r="C255" s="15"/>
      <c r="D255" s="15"/>
      <c r="E255" s="15"/>
      <c r="F255" s="15" t="s">
        <v>13</v>
      </c>
      <c r="G255" s="15" t="s">
        <v>14</v>
      </c>
      <c r="H255" s="15" t="s">
        <v>15</v>
      </c>
      <c r="I255" s="15"/>
      <c r="J255" s="182" t="str">
        <f t="shared" ref="J255:Q255" si="93">J$13</f>
        <v>(d)</v>
      </c>
      <c r="K255" s="182" t="str">
        <f t="shared" si="93"/>
        <v>(e)</v>
      </c>
      <c r="L255" s="15" t="str">
        <f t="shared" si="93"/>
        <v>(f)</v>
      </c>
      <c r="M255" s="182" t="str">
        <f t="shared" si="93"/>
        <v>(g)</v>
      </c>
      <c r="N255" s="182" t="str">
        <f t="shared" si="93"/>
        <v>(h)</v>
      </c>
      <c r="O255" s="182" t="str">
        <f>O$13</f>
        <v>(i)</v>
      </c>
      <c r="P255" s="182" t="str">
        <f t="shared" si="93"/>
        <v>(j)</v>
      </c>
      <c r="Q255" s="182" t="str">
        <f t="shared" si="93"/>
        <v>(k)</v>
      </c>
      <c r="R255" s="182" t="str">
        <f>R$13</f>
        <v>(l)</v>
      </c>
      <c r="S255" s="15" t="str">
        <f>S$13</f>
        <v>(m)</v>
      </c>
      <c r="T255" s="15"/>
      <c r="U255" s="15" t="s">
        <v>683</v>
      </c>
      <c r="V255" s="64"/>
      <c r="W255" s="64"/>
      <c r="X255" s="305"/>
    </row>
    <row r="256" spans="1:24" x14ac:dyDescent="0.2">
      <c r="A256" s="64"/>
      <c r="B256" s="64"/>
      <c r="C256" s="64"/>
      <c r="D256" s="96"/>
      <c r="E256" s="96"/>
      <c r="F256" s="227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64"/>
      <c r="W256" s="64"/>
      <c r="X256" s="305">
        <f t="shared" si="86"/>
        <v>0</v>
      </c>
    </row>
    <row r="257" spans="1:24" ht="15" x14ac:dyDescent="0.25">
      <c r="A257" s="64"/>
      <c r="B257" s="16">
        <f t="shared" ref="B257:B276" si="94">B256+1</f>
        <v>1</v>
      </c>
      <c r="C257" s="8" t="s">
        <v>515</v>
      </c>
      <c r="D257" s="8"/>
      <c r="E257" s="19" t="s">
        <v>24</v>
      </c>
      <c r="F257" s="804"/>
      <c r="G257" s="961"/>
      <c r="H257" s="961"/>
      <c r="I257" s="961"/>
      <c r="J257" s="961"/>
      <c r="K257" s="961"/>
      <c r="L257" s="961"/>
      <c r="M257" s="961"/>
      <c r="N257" s="961"/>
      <c r="O257" s="961"/>
      <c r="P257" s="961"/>
      <c r="Q257" s="961"/>
      <c r="R257" s="961"/>
      <c r="S257" s="961"/>
      <c r="T257" s="913"/>
      <c r="U257" s="8"/>
      <c r="V257" s="64"/>
      <c r="W257" s="64"/>
      <c r="X257" s="305">
        <f t="shared" si="86"/>
        <v>0</v>
      </c>
    </row>
    <row r="258" spans="1:24" x14ac:dyDescent="0.2">
      <c r="A258" s="64"/>
      <c r="B258" s="16">
        <f t="shared" si="94"/>
        <v>2</v>
      </c>
      <c r="C258" s="1" t="s">
        <v>25</v>
      </c>
      <c r="D258" s="1" t="s">
        <v>26</v>
      </c>
      <c r="E258" s="16"/>
      <c r="F258" s="98">
        <f>' WP II-I-1.4'!G258</f>
        <v>0</v>
      </c>
      <c r="G258" s="16">
        <v>65</v>
      </c>
      <c r="H258" s="1" t="str">
        <f>VLOOKUP(G258,FactorTable,2)</f>
        <v>PLT_N XINT</v>
      </c>
      <c r="I258" s="16"/>
      <c r="J258" s="369">
        <f t="shared" ref="J258:S260" ca="1" si="95">$F258*HLOOKUP(J$1354,FactorTable,$G258+1)</f>
        <v>0</v>
      </c>
      <c r="K258" s="369">
        <f t="shared" ca="1" si="95"/>
        <v>0</v>
      </c>
      <c r="L258" s="369">
        <f t="shared" ca="1" si="95"/>
        <v>0</v>
      </c>
      <c r="M258" s="369">
        <f t="shared" ca="1" si="95"/>
        <v>0</v>
      </c>
      <c r="N258" s="369">
        <f t="shared" ca="1" si="95"/>
        <v>0</v>
      </c>
      <c r="O258" s="369">
        <f t="shared" ca="1" si="95"/>
        <v>0</v>
      </c>
      <c r="P258" s="369">
        <f t="shared" ca="1" si="95"/>
        <v>0</v>
      </c>
      <c r="Q258" s="369">
        <f t="shared" ca="1" si="95"/>
        <v>0</v>
      </c>
      <c r="R258" s="369">
        <f t="shared" ca="1" si="95"/>
        <v>0</v>
      </c>
      <c r="S258" s="369">
        <f t="shared" ca="1" si="95"/>
        <v>0</v>
      </c>
      <c r="T258" s="16"/>
      <c r="U258" s="97">
        <f ca="1">SUM(I258:T258)</f>
        <v>0</v>
      </c>
      <c r="V258" s="64"/>
      <c r="W258" s="64"/>
      <c r="X258" s="305">
        <f t="shared" ca="1" si="86"/>
        <v>0</v>
      </c>
    </row>
    <row r="259" spans="1:24" x14ac:dyDescent="0.2">
      <c r="A259" s="64"/>
      <c r="B259" s="16">
        <f t="shared" si="94"/>
        <v>3</v>
      </c>
      <c r="C259" s="1" t="s">
        <v>27</v>
      </c>
      <c r="D259" s="1" t="s">
        <v>28</v>
      </c>
      <c r="E259" s="16"/>
      <c r="F259" s="97">
        <f>' WP II-I-1.4'!G259</f>
        <v>0</v>
      </c>
      <c r="G259" s="16">
        <v>65</v>
      </c>
      <c r="H259" s="45" t="str">
        <f>VLOOKUP(G259,FactorTable,2)</f>
        <v>PLT_N XINT</v>
      </c>
      <c r="I259" s="16"/>
      <c r="J259" s="369">
        <f t="shared" ca="1" si="95"/>
        <v>0</v>
      </c>
      <c r="K259" s="369">
        <f t="shared" ca="1" si="95"/>
        <v>0</v>
      </c>
      <c r="L259" s="369">
        <f t="shared" ca="1" si="95"/>
        <v>0</v>
      </c>
      <c r="M259" s="369">
        <f t="shared" ca="1" si="95"/>
        <v>0</v>
      </c>
      <c r="N259" s="369">
        <f t="shared" ca="1" si="95"/>
        <v>0</v>
      </c>
      <c r="O259" s="369">
        <f t="shared" ca="1" si="95"/>
        <v>0</v>
      </c>
      <c r="P259" s="369">
        <f t="shared" ca="1" si="95"/>
        <v>0</v>
      </c>
      <c r="Q259" s="369">
        <f t="shared" ca="1" si="95"/>
        <v>0</v>
      </c>
      <c r="R259" s="369">
        <f t="shared" ca="1" si="95"/>
        <v>0</v>
      </c>
      <c r="S259" s="369">
        <f t="shared" ca="1" si="95"/>
        <v>0</v>
      </c>
      <c r="T259" s="16"/>
      <c r="U259" s="97">
        <f ca="1">SUM(I259:T259)</f>
        <v>0</v>
      </c>
      <c r="V259" s="64"/>
      <c r="W259" s="64"/>
      <c r="X259" s="305">
        <f t="shared" ca="1" si="86"/>
        <v>0</v>
      </c>
    </row>
    <row r="260" spans="1:24" x14ac:dyDescent="0.2">
      <c r="A260" s="64"/>
      <c r="B260" s="16">
        <f t="shared" si="94"/>
        <v>4</v>
      </c>
      <c r="C260" s="1" t="s">
        <v>29</v>
      </c>
      <c r="D260" s="1" t="s">
        <v>32</v>
      </c>
      <c r="E260" s="16"/>
      <c r="F260" s="97">
        <f>' WP II-I-1.4'!G260</f>
        <v>3204465.84</v>
      </c>
      <c r="G260" s="16">
        <v>65</v>
      </c>
      <c r="H260" s="45" t="str">
        <f>VLOOKUP(G260,FactorTable,2)</f>
        <v>PLT_N XINT</v>
      </c>
      <c r="I260" s="16"/>
      <c r="J260" s="370">
        <f t="shared" ca="1" si="95"/>
        <v>1748299.6772129675</v>
      </c>
      <c r="K260" s="370">
        <f t="shared" ca="1" si="95"/>
        <v>46279.167321726571</v>
      </c>
      <c r="L260" s="370">
        <f t="shared" ca="1" si="95"/>
        <v>1113050.9838887104</v>
      </c>
      <c r="M260" s="370">
        <f t="shared" ca="1" si="95"/>
        <v>335.34660862204618</v>
      </c>
      <c r="N260" s="370">
        <f t="shared" ca="1" si="95"/>
        <v>210794.54517549291</v>
      </c>
      <c r="O260" s="370">
        <f t="shared" ca="1" si="95"/>
        <v>24630.482329898976</v>
      </c>
      <c r="P260" s="370">
        <f t="shared" ca="1" si="95"/>
        <v>4157.0204759357248</v>
      </c>
      <c r="Q260" s="370">
        <f t="shared" ca="1" si="95"/>
        <v>47127.822293204321</v>
      </c>
      <c r="R260" s="370">
        <f t="shared" ca="1" si="95"/>
        <v>1702.5551661677666</v>
      </c>
      <c r="S260" s="370">
        <f t="shared" ca="1" si="95"/>
        <v>8088.2395272727244</v>
      </c>
      <c r="T260" s="16"/>
      <c r="U260" s="97">
        <f ca="1">SUM(I260:T260)</f>
        <v>3204465.8399999985</v>
      </c>
      <c r="V260" s="64"/>
      <c r="W260" s="64"/>
      <c r="X260" s="305">
        <f t="shared" ca="1" si="86"/>
        <v>0</v>
      </c>
    </row>
    <row r="261" spans="1:24" ht="15" x14ac:dyDescent="0.25">
      <c r="A261" s="64"/>
      <c r="B261" s="16">
        <f t="shared" si="94"/>
        <v>5</v>
      </c>
      <c r="C261" s="8"/>
      <c r="D261" s="233" t="s">
        <v>444</v>
      </c>
      <c r="E261" s="19"/>
      <c r="F261" s="234">
        <f>SUM(F258:F260)</f>
        <v>3204465.84</v>
      </c>
      <c r="G261" s="16"/>
      <c r="H261" s="16"/>
      <c r="I261" s="913"/>
      <c r="J261" s="234">
        <f t="shared" ref="J261:Q261" ca="1" si="96">SUM(J258:J260)</f>
        <v>1748299.6772129675</v>
      </c>
      <c r="K261" s="234">
        <f t="shared" ca="1" si="96"/>
        <v>46279.167321726571</v>
      </c>
      <c r="L261" s="816">
        <f t="shared" ca="1" si="96"/>
        <v>1113050.9838887104</v>
      </c>
      <c r="M261" s="816">
        <f t="shared" ca="1" si="96"/>
        <v>335.34660862204618</v>
      </c>
      <c r="N261" s="234">
        <f t="shared" ca="1" si="96"/>
        <v>210794.54517549291</v>
      </c>
      <c r="O261" s="234">
        <f ca="1">SUM(O258:O260)</f>
        <v>24630.482329898976</v>
      </c>
      <c r="P261" s="234">
        <f t="shared" ca="1" si="96"/>
        <v>4157.0204759357248</v>
      </c>
      <c r="Q261" s="234">
        <f t="shared" ca="1" si="96"/>
        <v>47127.822293204321</v>
      </c>
      <c r="R261" s="234">
        <f ca="1">SUM(R258:R260)</f>
        <v>1702.5551661677666</v>
      </c>
      <c r="S261" s="234">
        <f ca="1">SUM(S258:S260)</f>
        <v>8088.2395272727244</v>
      </c>
      <c r="T261" s="913"/>
      <c r="U261" s="235">
        <f ca="1">SUM(I261:T261)</f>
        <v>3204465.8399999985</v>
      </c>
      <c r="V261" s="64"/>
      <c r="W261" s="64"/>
      <c r="X261" s="305">
        <f t="shared" ca="1" si="86"/>
        <v>0</v>
      </c>
    </row>
    <row r="262" spans="1:24" ht="15" x14ac:dyDescent="0.25">
      <c r="A262" s="64"/>
      <c r="B262" s="16">
        <f t="shared" si="94"/>
        <v>6</v>
      </c>
      <c r="C262" s="8" t="s">
        <v>524</v>
      </c>
      <c r="D262" s="8"/>
      <c r="E262" s="19" t="s">
        <v>24</v>
      </c>
      <c r="F262" s="21"/>
      <c r="G262" s="19"/>
      <c r="H262" s="1307"/>
      <c r="I262" s="961"/>
      <c r="J262" s="961"/>
      <c r="K262" s="961"/>
      <c r="L262" s="961"/>
      <c r="M262" s="961"/>
      <c r="N262" s="961"/>
      <c r="O262" s="961"/>
      <c r="P262" s="961"/>
      <c r="Q262" s="961"/>
      <c r="R262" s="961"/>
      <c r="S262" s="961"/>
      <c r="T262" s="913"/>
      <c r="U262" s="8"/>
      <c r="V262" s="64"/>
      <c r="W262" s="64"/>
      <c r="X262" s="305">
        <f t="shared" si="86"/>
        <v>0</v>
      </c>
    </row>
    <row r="263" spans="1:24" ht="15" x14ac:dyDescent="0.25">
      <c r="A263" s="64"/>
      <c r="B263" s="16">
        <f t="shared" si="94"/>
        <v>7</v>
      </c>
      <c r="C263" s="1" t="s">
        <v>37</v>
      </c>
      <c r="D263" s="1" t="s">
        <v>38</v>
      </c>
      <c r="E263" s="19"/>
      <c r="F263" s="97">
        <f>' WP II-I-1.4'!G263</f>
        <v>0</v>
      </c>
      <c r="G263" s="16">
        <v>28</v>
      </c>
      <c r="H263" s="26" t="str">
        <f t="shared" ref="H263:H275" si="97">VLOOKUP(G263,FactorTable,2)</f>
        <v>NCP XHV</v>
      </c>
      <c r="I263" s="961"/>
      <c r="J263" s="369">
        <f t="shared" ref="J263:S275" si="98">$F263*HLOOKUP(J$1354,FactorTable,$G263+1)</f>
        <v>0</v>
      </c>
      <c r="K263" s="369">
        <f t="shared" si="98"/>
        <v>0</v>
      </c>
      <c r="L263" s="369">
        <f t="shared" si="98"/>
        <v>0</v>
      </c>
      <c r="M263" s="369">
        <f t="shared" si="98"/>
        <v>0</v>
      </c>
      <c r="N263" s="369">
        <f t="shared" si="98"/>
        <v>0</v>
      </c>
      <c r="O263" s="369">
        <f t="shared" si="98"/>
        <v>0</v>
      </c>
      <c r="P263" s="369">
        <f t="shared" si="98"/>
        <v>0</v>
      </c>
      <c r="Q263" s="369">
        <f t="shared" si="98"/>
        <v>0</v>
      </c>
      <c r="R263" s="369">
        <f t="shared" si="98"/>
        <v>0</v>
      </c>
      <c r="S263" s="369">
        <f t="shared" si="98"/>
        <v>0</v>
      </c>
      <c r="T263" s="913"/>
      <c r="U263" s="97">
        <f t="shared" ref="U263:U276" si="99">SUM(I263:T263)</f>
        <v>0</v>
      </c>
      <c r="V263" s="64"/>
      <c r="W263" s="64"/>
      <c r="X263" s="305">
        <f t="shared" si="86"/>
        <v>0</v>
      </c>
    </row>
    <row r="264" spans="1:24" x14ac:dyDescent="0.2">
      <c r="A264" s="64"/>
      <c r="B264" s="16">
        <f t="shared" si="94"/>
        <v>8</v>
      </c>
      <c r="C264" s="1" t="s">
        <v>39</v>
      </c>
      <c r="D264" s="1" t="s">
        <v>40</v>
      </c>
      <c r="E264" s="16"/>
      <c r="F264" s="97">
        <f>' WP II-I-1.4'!G264</f>
        <v>0</v>
      </c>
      <c r="G264" s="16">
        <v>28</v>
      </c>
      <c r="H264" s="26" t="str">
        <f t="shared" si="97"/>
        <v>NCP XHV</v>
      </c>
      <c r="I264" s="16"/>
      <c r="J264" s="369">
        <f t="shared" si="98"/>
        <v>0</v>
      </c>
      <c r="K264" s="369">
        <f t="shared" si="98"/>
        <v>0</v>
      </c>
      <c r="L264" s="369">
        <f t="shared" si="98"/>
        <v>0</v>
      </c>
      <c r="M264" s="369">
        <f t="shared" si="98"/>
        <v>0</v>
      </c>
      <c r="N264" s="369">
        <f t="shared" si="98"/>
        <v>0</v>
      </c>
      <c r="O264" s="369">
        <f t="shared" si="98"/>
        <v>0</v>
      </c>
      <c r="P264" s="369">
        <f t="shared" si="98"/>
        <v>0</v>
      </c>
      <c r="Q264" s="369">
        <f t="shared" si="98"/>
        <v>0</v>
      </c>
      <c r="R264" s="369">
        <f t="shared" si="98"/>
        <v>0</v>
      </c>
      <c r="S264" s="369">
        <f t="shared" si="98"/>
        <v>0</v>
      </c>
      <c r="T264" s="16"/>
      <c r="U264" s="97">
        <f t="shared" si="99"/>
        <v>0</v>
      </c>
      <c r="V264" s="64"/>
      <c r="W264" s="64"/>
      <c r="X264" s="305">
        <f t="shared" si="86"/>
        <v>0</v>
      </c>
    </row>
    <row r="265" spans="1:24" x14ac:dyDescent="0.2">
      <c r="A265" s="64"/>
      <c r="B265" s="16">
        <f t="shared" si="94"/>
        <v>9</v>
      </c>
      <c r="C265" s="1" t="s">
        <v>1229</v>
      </c>
      <c r="D265" s="1" t="s">
        <v>1230</v>
      </c>
      <c r="E265" s="16"/>
      <c r="F265" s="229">
        <f>' WP II-I-1.4'!G265</f>
        <v>0</v>
      </c>
      <c r="G265" s="16">
        <v>67</v>
      </c>
      <c r="H265" s="26" t="str">
        <f t="shared" ref="H265:H267" si="100">VLOOKUP(G265,FactorTable,2)</f>
        <v>PLTTRAN_N</v>
      </c>
      <c r="I265" s="16"/>
      <c r="J265" s="369">
        <f t="shared" ca="1" si="98"/>
        <v>0</v>
      </c>
      <c r="K265" s="369">
        <f t="shared" ca="1" si="98"/>
        <v>0</v>
      </c>
      <c r="L265" s="369">
        <f t="shared" ca="1" si="98"/>
        <v>0</v>
      </c>
      <c r="M265" s="369">
        <f t="shared" ca="1" si="98"/>
        <v>0</v>
      </c>
      <c r="N265" s="369">
        <f t="shared" ca="1" si="98"/>
        <v>0</v>
      </c>
      <c r="O265" s="369">
        <f t="shared" ca="1" si="98"/>
        <v>0</v>
      </c>
      <c r="P265" s="369">
        <f t="shared" ca="1" si="98"/>
        <v>0</v>
      </c>
      <c r="Q265" s="369">
        <f t="shared" ca="1" si="98"/>
        <v>0</v>
      </c>
      <c r="R265" s="369">
        <f t="shared" ca="1" si="98"/>
        <v>0</v>
      </c>
      <c r="S265" s="369">
        <f t="shared" ca="1" si="98"/>
        <v>0</v>
      </c>
      <c r="T265" s="16"/>
      <c r="U265" s="97">
        <f t="shared" ref="U265:U267" ca="1" si="101">SUM(I265:T265)</f>
        <v>0</v>
      </c>
      <c r="V265" s="64"/>
      <c r="W265" s="64"/>
      <c r="X265" s="305"/>
    </row>
    <row r="266" spans="1:24" x14ac:dyDescent="0.2">
      <c r="A266" s="64"/>
      <c r="B266" s="16">
        <f t="shared" si="94"/>
        <v>10</v>
      </c>
      <c r="C266" s="1" t="s">
        <v>1231</v>
      </c>
      <c r="D266" s="1" t="s">
        <v>1232</v>
      </c>
      <c r="E266" s="16"/>
      <c r="F266" s="229">
        <f>' WP II-I-1.4'!G266</f>
        <v>0</v>
      </c>
      <c r="G266" s="16">
        <v>67</v>
      </c>
      <c r="H266" s="26" t="str">
        <f t="shared" si="100"/>
        <v>PLTTRAN_N</v>
      </c>
      <c r="I266" s="16"/>
      <c r="J266" s="369">
        <f t="shared" ca="1" si="98"/>
        <v>0</v>
      </c>
      <c r="K266" s="369">
        <f t="shared" ca="1" si="98"/>
        <v>0</v>
      </c>
      <c r="L266" s="369">
        <f t="shared" ca="1" si="98"/>
        <v>0</v>
      </c>
      <c r="M266" s="369">
        <f t="shared" ca="1" si="98"/>
        <v>0</v>
      </c>
      <c r="N266" s="369">
        <f t="shared" ca="1" si="98"/>
        <v>0</v>
      </c>
      <c r="O266" s="369">
        <f t="shared" ca="1" si="98"/>
        <v>0</v>
      </c>
      <c r="P266" s="369">
        <f t="shared" ca="1" si="98"/>
        <v>0</v>
      </c>
      <c r="Q266" s="369">
        <f t="shared" ca="1" si="98"/>
        <v>0</v>
      </c>
      <c r="R266" s="369">
        <f t="shared" ca="1" si="98"/>
        <v>0</v>
      </c>
      <c r="S266" s="369">
        <f t="shared" ca="1" si="98"/>
        <v>0</v>
      </c>
      <c r="T266" s="16"/>
      <c r="U266" s="97">
        <f t="shared" ca="1" si="101"/>
        <v>0</v>
      </c>
      <c r="V266" s="64"/>
      <c r="W266" s="64"/>
      <c r="X266" s="305"/>
    </row>
    <row r="267" spans="1:24" x14ac:dyDescent="0.2">
      <c r="A267" s="64"/>
      <c r="B267" s="16">
        <f t="shared" si="94"/>
        <v>11</v>
      </c>
      <c r="C267" s="1" t="s">
        <v>1233</v>
      </c>
      <c r="D267" s="1" t="s">
        <v>103</v>
      </c>
      <c r="E267" s="16"/>
      <c r="F267" s="229">
        <f>' WP II-I-1.4'!G267</f>
        <v>0</v>
      </c>
      <c r="G267" s="16">
        <v>67</v>
      </c>
      <c r="H267" s="26" t="str">
        <f t="shared" si="100"/>
        <v>PLTTRAN_N</v>
      </c>
      <c r="I267" s="16"/>
      <c r="J267" s="369">
        <f t="shared" ca="1" si="98"/>
        <v>0</v>
      </c>
      <c r="K267" s="369">
        <f t="shared" ca="1" si="98"/>
        <v>0</v>
      </c>
      <c r="L267" s="369">
        <f t="shared" ca="1" si="98"/>
        <v>0</v>
      </c>
      <c r="M267" s="369">
        <f t="shared" ca="1" si="98"/>
        <v>0</v>
      </c>
      <c r="N267" s="369">
        <f t="shared" ca="1" si="98"/>
        <v>0</v>
      </c>
      <c r="O267" s="369">
        <f t="shared" ca="1" si="98"/>
        <v>0</v>
      </c>
      <c r="P267" s="369">
        <f t="shared" ca="1" si="98"/>
        <v>0</v>
      </c>
      <c r="Q267" s="369">
        <f t="shared" ca="1" si="98"/>
        <v>0</v>
      </c>
      <c r="R267" s="369">
        <f t="shared" ca="1" si="98"/>
        <v>0</v>
      </c>
      <c r="S267" s="369">
        <f t="shared" ca="1" si="98"/>
        <v>0</v>
      </c>
      <c r="T267" s="16"/>
      <c r="U267" s="97">
        <f t="shared" ca="1" si="101"/>
        <v>0</v>
      </c>
      <c r="V267" s="64"/>
      <c r="W267" s="64"/>
      <c r="X267" s="305"/>
    </row>
    <row r="268" spans="1:24" x14ac:dyDescent="0.2">
      <c r="A268" s="64"/>
      <c r="B268" s="16">
        <f t="shared" si="94"/>
        <v>12</v>
      </c>
      <c r="C268" s="1" t="s">
        <v>41</v>
      </c>
      <c r="D268" s="1" t="s">
        <v>42</v>
      </c>
      <c r="E268" s="16"/>
      <c r="F268" s="97">
        <f>' WP II-I-1.4'!G268</f>
        <v>0</v>
      </c>
      <c r="G268" s="16">
        <v>28</v>
      </c>
      <c r="H268" s="26" t="str">
        <f t="shared" si="97"/>
        <v>NCP XHV</v>
      </c>
      <c r="I268" s="16"/>
      <c r="J268" s="369">
        <f t="shared" si="98"/>
        <v>0</v>
      </c>
      <c r="K268" s="369">
        <f t="shared" si="98"/>
        <v>0</v>
      </c>
      <c r="L268" s="369">
        <f t="shared" si="98"/>
        <v>0</v>
      </c>
      <c r="M268" s="369">
        <f t="shared" si="98"/>
        <v>0</v>
      </c>
      <c r="N268" s="369">
        <f t="shared" si="98"/>
        <v>0</v>
      </c>
      <c r="O268" s="369">
        <f t="shared" si="98"/>
        <v>0</v>
      </c>
      <c r="P268" s="369">
        <f t="shared" si="98"/>
        <v>0</v>
      </c>
      <c r="Q268" s="369">
        <f t="shared" si="98"/>
        <v>0</v>
      </c>
      <c r="R268" s="369">
        <f t="shared" si="98"/>
        <v>0</v>
      </c>
      <c r="S268" s="369">
        <f t="shared" si="98"/>
        <v>0</v>
      </c>
      <c r="T268" s="16"/>
      <c r="U268" s="97">
        <f t="shared" si="99"/>
        <v>0</v>
      </c>
      <c r="V268" s="64"/>
      <c r="W268" s="64"/>
      <c r="X268" s="305">
        <f t="shared" si="86"/>
        <v>0</v>
      </c>
    </row>
    <row r="269" spans="1:24" x14ac:dyDescent="0.2">
      <c r="A269" s="64"/>
      <c r="B269" s="16">
        <f t="shared" si="94"/>
        <v>13</v>
      </c>
      <c r="C269" s="1" t="s">
        <v>43</v>
      </c>
      <c r="D269" s="1" t="s">
        <v>44</v>
      </c>
      <c r="E269" s="16"/>
      <c r="F269" s="97">
        <f>' WP II-I-1.4'!G269</f>
        <v>134427843.09999999</v>
      </c>
      <c r="G269" s="16">
        <v>28</v>
      </c>
      <c r="H269" s="26" t="str">
        <f t="shared" si="97"/>
        <v>NCP XHV</v>
      </c>
      <c r="I269" s="16"/>
      <c r="J269" s="369">
        <f t="shared" si="98"/>
        <v>68930095.46772176</v>
      </c>
      <c r="K269" s="369">
        <f t="shared" si="98"/>
        <v>1302273.3541013361</v>
      </c>
      <c r="L269" s="369">
        <f t="shared" si="98"/>
        <v>44274091.403245762</v>
      </c>
      <c r="M269" s="369">
        <f t="shared" si="98"/>
        <v>20717.650253388463</v>
      </c>
      <c r="N269" s="369">
        <f t="shared" si="98"/>
        <v>13022847.257089725</v>
      </c>
      <c r="O269" s="369">
        <f t="shared" si="98"/>
        <v>5597476.0834179716</v>
      </c>
      <c r="P269" s="369">
        <f t="shared" si="98"/>
        <v>0</v>
      </c>
      <c r="Q269" s="369">
        <f t="shared" si="98"/>
        <v>393732.55578838981</v>
      </c>
      <c r="R269" s="369">
        <f t="shared" si="98"/>
        <v>386919.41536830115</v>
      </c>
      <c r="S269" s="369">
        <f t="shared" si="98"/>
        <v>499689.91301333852</v>
      </c>
      <c r="T269" s="16"/>
      <c r="U269" s="97">
        <f t="shared" si="99"/>
        <v>134427843.09999993</v>
      </c>
      <c r="V269" s="64"/>
      <c r="W269" s="64"/>
      <c r="X269" s="305">
        <f t="shared" si="86"/>
        <v>0</v>
      </c>
    </row>
    <row r="270" spans="1:24" x14ac:dyDescent="0.2">
      <c r="A270" s="64"/>
      <c r="B270" s="16">
        <f t="shared" si="94"/>
        <v>14</v>
      </c>
      <c r="C270" s="1" t="s">
        <v>45</v>
      </c>
      <c r="D270" s="1" t="s">
        <v>46</v>
      </c>
      <c r="E270" s="16"/>
      <c r="F270" s="97">
        <f>' WP II-I-1.4'!G270</f>
        <v>0</v>
      </c>
      <c r="G270" s="16">
        <v>28</v>
      </c>
      <c r="H270" s="26" t="str">
        <f t="shared" si="97"/>
        <v>NCP XHV</v>
      </c>
      <c r="I270" s="16"/>
      <c r="J270" s="369">
        <f t="shared" si="98"/>
        <v>0</v>
      </c>
      <c r="K270" s="369">
        <f t="shared" si="98"/>
        <v>0</v>
      </c>
      <c r="L270" s="369">
        <f t="shared" si="98"/>
        <v>0</v>
      </c>
      <c r="M270" s="369">
        <f t="shared" si="98"/>
        <v>0</v>
      </c>
      <c r="N270" s="369">
        <f t="shared" si="98"/>
        <v>0</v>
      </c>
      <c r="O270" s="369">
        <f t="shared" si="98"/>
        <v>0</v>
      </c>
      <c r="P270" s="369">
        <f t="shared" si="98"/>
        <v>0</v>
      </c>
      <c r="Q270" s="369">
        <f t="shared" si="98"/>
        <v>0</v>
      </c>
      <c r="R270" s="369">
        <f t="shared" si="98"/>
        <v>0</v>
      </c>
      <c r="S270" s="369">
        <f t="shared" si="98"/>
        <v>0</v>
      </c>
      <c r="T270" s="16"/>
      <c r="U270" s="97">
        <f t="shared" si="99"/>
        <v>0</v>
      </c>
      <c r="V270" s="64"/>
      <c r="W270" s="64"/>
      <c r="X270" s="305">
        <f t="shared" si="86"/>
        <v>0</v>
      </c>
    </row>
    <row r="271" spans="1:24" x14ac:dyDescent="0.2">
      <c r="A271" s="64"/>
      <c r="B271" s="16">
        <f t="shared" si="94"/>
        <v>15</v>
      </c>
      <c r="C271" s="1" t="s">
        <v>47</v>
      </c>
      <c r="D271" s="1" t="s">
        <v>48</v>
      </c>
      <c r="E271" s="16"/>
      <c r="F271" s="97">
        <f>' WP II-I-1.4'!G271</f>
        <v>0</v>
      </c>
      <c r="G271" s="16">
        <v>28</v>
      </c>
      <c r="H271" s="26" t="str">
        <f t="shared" si="97"/>
        <v>NCP XHV</v>
      </c>
      <c r="I271" s="16"/>
      <c r="J271" s="369">
        <f t="shared" si="98"/>
        <v>0</v>
      </c>
      <c r="K271" s="369">
        <f t="shared" si="98"/>
        <v>0</v>
      </c>
      <c r="L271" s="369">
        <f t="shared" si="98"/>
        <v>0</v>
      </c>
      <c r="M271" s="369">
        <f t="shared" si="98"/>
        <v>0</v>
      </c>
      <c r="N271" s="369">
        <f t="shared" si="98"/>
        <v>0</v>
      </c>
      <c r="O271" s="369">
        <f t="shared" si="98"/>
        <v>0</v>
      </c>
      <c r="P271" s="369">
        <f t="shared" si="98"/>
        <v>0</v>
      </c>
      <c r="Q271" s="369">
        <f t="shared" si="98"/>
        <v>0</v>
      </c>
      <c r="R271" s="369">
        <f t="shared" si="98"/>
        <v>0</v>
      </c>
      <c r="S271" s="369">
        <f t="shared" si="98"/>
        <v>0</v>
      </c>
      <c r="T271" s="16"/>
      <c r="U271" s="97">
        <f t="shared" si="99"/>
        <v>0</v>
      </c>
      <c r="V271" s="64"/>
      <c r="W271" s="64"/>
      <c r="X271" s="305">
        <f t="shared" si="86"/>
        <v>0</v>
      </c>
    </row>
    <row r="272" spans="1:24" x14ac:dyDescent="0.2">
      <c r="A272" s="64"/>
      <c r="B272" s="16">
        <f t="shared" si="94"/>
        <v>16</v>
      </c>
      <c r="C272" s="1" t="s">
        <v>49</v>
      </c>
      <c r="D272" s="1" t="s">
        <v>486</v>
      </c>
      <c r="E272" s="16"/>
      <c r="F272" s="97">
        <f>' WP II-I-1.4'!G272</f>
        <v>0</v>
      </c>
      <c r="G272" s="16">
        <v>28</v>
      </c>
      <c r="H272" s="26" t="str">
        <f t="shared" si="97"/>
        <v>NCP XHV</v>
      </c>
      <c r="I272" s="16"/>
      <c r="J272" s="369">
        <f t="shared" si="98"/>
        <v>0</v>
      </c>
      <c r="K272" s="369">
        <f t="shared" si="98"/>
        <v>0</v>
      </c>
      <c r="L272" s="369">
        <f t="shared" si="98"/>
        <v>0</v>
      </c>
      <c r="M272" s="369">
        <f t="shared" si="98"/>
        <v>0</v>
      </c>
      <c r="N272" s="369">
        <f t="shared" si="98"/>
        <v>0</v>
      </c>
      <c r="O272" s="369">
        <f t="shared" si="98"/>
        <v>0</v>
      </c>
      <c r="P272" s="369">
        <f t="shared" si="98"/>
        <v>0</v>
      </c>
      <c r="Q272" s="369">
        <f t="shared" si="98"/>
        <v>0</v>
      </c>
      <c r="R272" s="369">
        <f t="shared" si="98"/>
        <v>0</v>
      </c>
      <c r="S272" s="369">
        <f t="shared" si="98"/>
        <v>0</v>
      </c>
      <c r="T272" s="16"/>
      <c r="U272" s="97">
        <f t="shared" si="99"/>
        <v>0</v>
      </c>
      <c r="V272" s="64"/>
      <c r="W272" s="64"/>
      <c r="X272" s="305">
        <f t="shared" si="86"/>
        <v>0</v>
      </c>
    </row>
    <row r="273" spans="1:24" x14ac:dyDescent="0.2">
      <c r="A273" s="64"/>
      <c r="B273" s="16">
        <f t="shared" si="94"/>
        <v>17</v>
      </c>
      <c r="C273" s="1" t="s">
        <v>51</v>
      </c>
      <c r="D273" s="647" t="s">
        <v>644</v>
      </c>
      <c r="E273" s="16"/>
      <c r="F273" s="97">
        <f>' WP II-I-1.4'!G273</f>
        <v>0</v>
      </c>
      <c r="G273" s="16">
        <v>28</v>
      </c>
      <c r="H273" s="26" t="str">
        <f t="shared" si="97"/>
        <v>NCP XHV</v>
      </c>
      <c r="I273" s="16"/>
      <c r="J273" s="369">
        <f t="shared" si="98"/>
        <v>0</v>
      </c>
      <c r="K273" s="369">
        <f t="shared" si="98"/>
        <v>0</v>
      </c>
      <c r="L273" s="369">
        <f t="shared" si="98"/>
        <v>0</v>
      </c>
      <c r="M273" s="369">
        <f t="shared" si="98"/>
        <v>0</v>
      </c>
      <c r="N273" s="369">
        <f t="shared" si="98"/>
        <v>0</v>
      </c>
      <c r="O273" s="369">
        <f t="shared" si="98"/>
        <v>0</v>
      </c>
      <c r="P273" s="369">
        <f t="shared" si="98"/>
        <v>0</v>
      </c>
      <c r="Q273" s="369">
        <f t="shared" si="98"/>
        <v>0</v>
      </c>
      <c r="R273" s="369">
        <f t="shared" si="98"/>
        <v>0</v>
      </c>
      <c r="S273" s="369">
        <f t="shared" si="98"/>
        <v>0</v>
      </c>
      <c r="T273" s="16"/>
      <c r="U273" s="97">
        <f t="shared" si="99"/>
        <v>0</v>
      </c>
      <c r="V273" s="64"/>
      <c r="W273" s="64"/>
      <c r="X273" s="305">
        <f t="shared" si="86"/>
        <v>0</v>
      </c>
    </row>
    <row r="274" spans="1:24" x14ac:dyDescent="0.2">
      <c r="A274" s="64"/>
      <c r="B274" s="16">
        <f t="shared" si="94"/>
        <v>18</v>
      </c>
      <c r="C274" s="1" t="s">
        <v>53</v>
      </c>
      <c r="D274" s="29" t="s">
        <v>487</v>
      </c>
      <c r="E274" s="16"/>
      <c r="F274" s="97">
        <f>' WP II-I-1.4'!G274</f>
        <v>0</v>
      </c>
      <c r="G274" s="16">
        <v>28</v>
      </c>
      <c r="H274" s="26" t="str">
        <f t="shared" si="97"/>
        <v>NCP XHV</v>
      </c>
      <c r="I274" s="16"/>
      <c r="J274" s="369">
        <f t="shared" si="98"/>
        <v>0</v>
      </c>
      <c r="K274" s="369">
        <f t="shared" si="98"/>
        <v>0</v>
      </c>
      <c r="L274" s="369">
        <f t="shared" si="98"/>
        <v>0</v>
      </c>
      <c r="M274" s="369">
        <f t="shared" si="98"/>
        <v>0</v>
      </c>
      <c r="N274" s="369">
        <f t="shared" si="98"/>
        <v>0</v>
      </c>
      <c r="O274" s="369">
        <f t="shared" si="98"/>
        <v>0</v>
      </c>
      <c r="P274" s="369">
        <f t="shared" si="98"/>
        <v>0</v>
      </c>
      <c r="Q274" s="369">
        <f t="shared" si="98"/>
        <v>0</v>
      </c>
      <c r="R274" s="369">
        <f t="shared" si="98"/>
        <v>0</v>
      </c>
      <c r="S274" s="369">
        <f t="shared" si="98"/>
        <v>0</v>
      </c>
      <c r="T274" s="16"/>
      <c r="U274" s="97">
        <f t="shared" si="99"/>
        <v>0</v>
      </c>
      <c r="V274" s="64"/>
      <c r="W274" s="64"/>
      <c r="X274" s="305">
        <f t="shared" si="86"/>
        <v>0</v>
      </c>
    </row>
    <row r="275" spans="1:24" x14ac:dyDescent="0.2">
      <c r="A275" s="64"/>
      <c r="B275" s="16">
        <f t="shared" si="94"/>
        <v>19</v>
      </c>
      <c r="C275" s="1" t="s">
        <v>55</v>
      </c>
      <c r="D275" s="1" t="s">
        <v>56</v>
      </c>
      <c r="E275" s="16"/>
      <c r="F275" s="97">
        <f>' WP II-I-1.4'!G275</f>
        <v>0</v>
      </c>
      <c r="G275" s="16">
        <v>28</v>
      </c>
      <c r="H275" s="26" t="str">
        <f t="shared" si="97"/>
        <v>NCP XHV</v>
      </c>
      <c r="I275" s="16"/>
      <c r="J275" s="370">
        <f t="shared" si="98"/>
        <v>0</v>
      </c>
      <c r="K275" s="370">
        <f t="shared" si="98"/>
        <v>0</v>
      </c>
      <c r="L275" s="370">
        <f t="shared" si="98"/>
        <v>0</v>
      </c>
      <c r="M275" s="370">
        <f t="shared" si="98"/>
        <v>0</v>
      </c>
      <c r="N275" s="370">
        <f t="shared" si="98"/>
        <v>0</v>
      </c>
      <c r="O275" s="370">
        <f t="shared" si="98"/>
        <v>0</v>
      </c>
      <c r="P275" s="370">
        <f t="shared" si="98"/>
        <v>0</v>
      </c>
      <c r="Q275" s="370">
        <f t="shared" si="98"/>
        <v>0</v>
      </c>
      <c r="R275" s="370">
        <f t="shared" si="98"/>
        <v>0</v>
      </c>
      <c r="S275" s="370">
        <f t="shared" si="98"/>
        <v>0</v>
      </c>
      <c r="T275" s="16"/>
      <c r="U275" s="97">
        <f t="shared" si="99"/>
        <v>0</v>
      </c>
      <c r="V275" s="64"/>
      <c r="W275" s="64"/>
      <c r="X275" s="305">
        <f t="shared" si="86"/>
        <v>0</v>
      </c>
    </row>
    <row r="276" spans="1:24" ht="15" x14ac:dyDescent="0.25">
      <c r="A276" s="64"/>
      <c r="B276" s="16">
        <f t="shared" si="94"/>
        <v>20</v>
      </c>
      <c r="C276" s="8"/>
      <c r="D276" s="233" t="s">
        <v>444</v>
      </c>
      <c r="E276" s="19"/>
      <c r="F276" s="21">
        <f>SUM(F263:F275)</f>
        <v>134427843.09999999</v>
      </c>
      <c r="G276" s="19"/>
      <c r="H276" s="19"/>
      <c r="I276" s="19"/>
      <c r="J276" s="21">
        <f t="shared" ref="J276:Q276" ca="1" si="102">SUM(J263:J275)</f>
        <v>68930095.46772176</v>
      </c>
      <c r="K276" s="21">
        <f t="shared" ca="1" si="102"/>
        <v>1302273.3541013361</v>
      </c>
      <c r="L276" s="21">
        <f t="shared" ca="1" si="102"/>
        <v>44274091.403245762</v>
      </c>
      <c r="M276" s="21">
        <f t="shared" ca="1" si="102"/>
        <v>20717.650253388463</v>
      </c>
      <c r="N276" s="21">
        <f t="shared" ca="1" si="102"/>
        <v>13022847.257089725</v>
      </c>
      <c r="O276" s="21">
        <f ca="1">SUM(O263:O275)</f>
        <v>5597476.0834179716</v>
      </c>
      <c r="P276" s="21">
        <f t="shared" ca="1" si="102"/>
        <v>0</v>
      </c>
      <c r="Q276" s="21">
        <f t="shared" ca="1" si="102"/>
        <v>393732.55578838981</v>
      </c>
      <c r="R276" s="21">
        <f ca="1">SUM(R263:R275)</f>
        <v>386919.41536830115</v>
      </c>
      <c r="S276" s="21">
        <f ca="1">SUM(S263:S275)</f>
        <v>499689.91301333852</v>
      </c>
      <c r="T276" s="19"/>
      <c r="U276" s="235">
        <f t="shared" ca="1" si="99"/>
        <v>134427843.09999993</v>
      </c>
      <c r="V276" s="64"/>
      <c r="W276" s="64"/>
      <c r="X276" s="305">
        <f t="shared" ca="1" si="86"/>
        <v>0</v>
      </c>
    </row>
    <row r="277" spans="1:24" ht="15.75" thickBot="1" x14ac:dyDescent="0.3">
      <c r="A277" s="64"/>
      <c r="B277" s="16"/>
      <c r="C277" s="8"/>
      <c r="D277" s="233"/>
      <c r="E277" s="19"/>
      <c r="F277" s="21"/>
      <c r="G277" s="19"/>
      <c r="H277" s="105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05"/>
      <c r="V277" s="105">
        <f>$H$2</f>
        <v>0</v>
      </c>
      <c r="W277" s="105"/>
      <c r="X277" s="305"/>
    </row>
    <row r="278" spans="1:24" ht="15" x14ac:dyDescent="0.25">
      <c r="A278" s="64"/>
      <c r="B278" s="829" t="str">
        <f>+$B$4</f>
        <v>2025 RATE CASE</v>
      </c>
      <c r="C278" s="844"/>
      <c r="D278" s="551"/>
      <c r="F278" s="64"/>
      <c r="H278" s="105"/>
      <c r="U278" s="105"/>
      <c r="V278" s="105">
        <f>$H$2</f>
        <v>0</v>
      </c>
      <c r="W278" s="105"/>
      <c r="X278" s="305"/>
    </row>
    <row r="279" spans="1:24" ht="15" x14ac:dyDescent="0.25">
      <c r="A279" s="97"/>
      <c r="B279" s="826" t="str">
        <f>+$B$5</f>
        <v>ONCOR ELECTRIC DELIVERY COMPANY LLC</v>
      </c>
      <c r="C279" s="8"/>
      <c r="D279" s="870"/>
      <c r="F279" s="64"/>
      <c r="U279" s="105"/>
      <c r="V279" s="64"/>
      <c r="W279" s="64"/>
      <c r="X279" s="305">
        <f t="shared" si="86"/>
        <v>0</v>
      </c>
    </row>
    <row r="280" spans="1:24" ht="15" x14ac:dyDescent="0.25">
      <c r="A280" s="64"/>
      <c r="B280" s="826" t="str">
        <f>+$B$6</f>
        <v>II-I-1-DIST:  CLASS REVENUE REQUIREMENT</v>
      </c>
      <c r="C280" s="82"/>
      <c r="D280" s="870"/>
      <c r="F280" s="11"/>
      <c r="U280" s="11"/>
      <c r="V280" s="64"/>
      <c r="W280" s="64"/>
      <c r="X280" s="305">
        <f t="shared" si="86"/>
        <v>0</v>
      </c>
    </row>
    <row r="281" spans="1:24" ht="15" x14ac:dyDescent="0.25">
      <c r="A281" s="64"/>
      <c r="B281" s="341" t="str">
        <f>+$B$7</f>
        <v>TEST YEAR ENDING 12/31/2024</v>
      </c>
      <c r="C281" s="82"/>
      <c r="D281" s="870"/>
      <c r="F281" s="11"/>
      <c r="U281" s="11"/>
      <c r="V281" s="64"/>
      <c r="W281" s="64"/>
      <c r="X281" s="305">
        <f t="shared" si="86"/>
        <v>0</v>
      </c>
    </row>
    <row r="282" spans="1:24" ht="15" x14ac:dyDescent="0.25">
      <c r="A282" s="64"/>
      <c r="B282" s="341" t="str">
        <f>+$B$8</f>
        <v>SPONSOR:  MATTHEW A. TROXLE</v>
      </c>
      <c r="C282" s="82"/>
      <c r="D282" s="870"/>
      <c r="F282" s="11"/>
      <c r="U282" s="11"/>
      <c r="V282" s="64"/>
      <c r="W282" s="64"/>
      <c r="X282" s="305">
        <f t="shared" si="86"/>
        <v>0</v>
      </c>
    </row>
    <row r="283" spans="1:24" ht="15.75" thickBot="1" x14ac:dyDescent="0.3">
      <c r="A283" s="64"/>
      <c r="B283" s="345"/>
      <c r="C283" s="843"/>
      <c r="D283" s="871"/>
      <c r="F283" s="11"/>
      <c r="U283" s="11"/>
      <c r="V283" s="64"/>
      <c r="W283" s="64"/>
      <c r="X283" s="305">
        <f t="shared" si="86"/>
        <v>0</v>
      </c>
    </row>
    <row r="284" spans="1:24" ht="15" thickBot="1" x14ac:dyDescent="0.25">
      <c r="A284" s="64"/>
      <c r="B284" s="12"/>
      <c r="C284" s="13"/>
      <c r="D284" s="13"/>
      <c r="E284" s="13"/>
      <c r="F284" s="12"/>
      <c r="G284" s="13"/>
      <c r="H284" s="13"/>
      <c r="I284" s="13"/>
      <c r="J284" s="177"/>
      <c r="K284" s="177"/>
      <c r="L284" s="13"/>
      <c r="M284" s="177"/>
      <c r="N284" s="177"/>
      <c r="O284" s="177"/>
      <c r="P284" s="177"/>
      <c r="Q284" s="13"/>
      <c r="R284" s="328" t="str">
        <f>R$10</f>
        <v xml:space="preserve"> </v>
      </c>
      <c r="S284" s="329"/>
      <c r="T284" s="177"/>
      <c r="U284" s="12"/>
      <c r="V284" s="64"/>
      <c r="W284" s="64"/>
      <c r="X284" s="305">
        <f t="shared" si="86"/>
        <v>0</v>
      </c>
    </row>
    <row r="285" spans="1:24" ht="15" x14ac:dyDescent="0.25">
      <c r="A285" s="64"/>
      <c r="B285" s="14" t="s">
        <v>2</v>
      </c>
      <c r="C285" s="14" t="s">
        <v>349</v>
      </c>
      <c r="D285" s="226" t="s">
        <v>525</v>
      </c>
      <c r="E285" s="14" t="s">
        <v>350</v>
      </c>
      <c r="F285" s="226" t="str">
        <f>F$11</f>
        <v>DIST</v>
      </c>
      <c r="G285" s="181" t="s">
        <v>688</v>
      </c>
      <c r="H285" s="181" t="s">
        <v>355</v>
      </c>
      <c r="I285" s="14"/>
      <c r="J285" s="181" t="s">
        <v>679</v>
      </c>
      <c r="K285" s="181" t="s">
        <v>388</v>
      </c>
      <c r="L285" s="14" t="s">
        <v>388</v>
      </c>
      <c r="M285" s="181" t="s">
        <v>389</v>
      </c>
      <c r="N285" s="181" t="s">
        <v>389</v>
      </c>
      <c r="O285" s="181" t="s">
        <v>389</v>
      </c>
      <c r="P285" s="181" t="s">
        <v>390</v>
      </c>
      <c r="Q285" s="14" t="s">
        <v>391</v>
      </c>
      <c r="R285" s="331" t="str">
        <f>R$11</f>
        <v>Wholesale</v>
      </c>
      <c r="S285" s="12" t="str">
        <f>S$11</f>
        <v>Wholesale</v>
      </c>
      <c r="T285" s="181"/>
      <c r="U285" s="14" t="s">
        <v>10</v>
      </c>
      <c r="V285" s="64"/>
      <c r="W285" s="64"/>
      <c r="X285" s="305"/>
    </row>
    <row r="286" spans="1:24" x14ac:dyDescent="0.2">
      <c r="A286" s="64"/>
      <c r="B286" s="14"/>
      <c r="C286" s="14"/>
      <c r="D286" s="14"/>
      <c r="E286" s="14"/>
      <c r="F286" s="14"/>
      <c r="G286" s="181" t="s">
        <v>689</v>
      </c>
      <c r="H286" s="181" t="s">
        <v>690</v>
      </c>
      <c r="I286" s="14"/>
      <c r="J286" s="181"/>
      <c r="K286" s="181" t="s">
        <v>680</v>
      </c>
      <c r="L286" s="14" t="s">
        <v>681</v>
      </c>
      <c r="M286" s="181" t="s">
        <v>680</v>
      </c>
      <c r="N286" s="181" t="s">
        <v>681</v>
      </c>
      <c r="O286" s="181" t="s">
        <v>393</v>
      </c>
      <c r="P286" s="181"/>
      <c r="Q286" s="14"/>
      <c r="R286" s="174" t="str">
        <f>R$12</f>
        <v>XFMR</v>
      </c>
      <c r="S286" s="14" t="str">
        <f>S$12</f>
        <v>DLS</v>
      </c>
      <c r="T286" s="181"/>
      <c r="U286" s="14"/>
      <c r="V286" s="64"/>
      <c r="W286" s="64"/>
      <c r="X286" s="305">
        <f t="shared" si="86"/>
        <v>0</v>
      </c>
    </row>
    <row r="287" spans="1:24" ht="15" thickBot="1" x14ac:dyDescent="0.25">
      <c r="A287" s="64"/>
      <c r="B287" s="15"/>
      <c r="C287" s="15"/>
      <c r="D287" s="15"/>
      <c r="E287" s="15"/>
      <c r="F287" s="15" t="s">
        <v>13</v>
      </c>
      <c r="G287" s="15" t="s">
        <v>14</v>
      </c>
      <c r="H287" s="15" t="s">
        <v>15</v>
      </c>
      <c r="I287" s="15"/>
      <c r="J287" s="182" t="str">
        <f t="shared" ref="J287:Q287" si="103">J$13</f>
        <v>(d)</v>
      </c>
      <c r="K287" s="182" t="str">
        <f t="shared" si="103"/>
        <v>(e)</v>
      </c>
      <c r="L287" s="15" t="str">
        <f t="shared" si="103"/>
        <v>(f)</v>
      </c>
      <c r="M287" s="182" t="str">
        <f t="shared" si="103"/>
        <v>(g)</v>
      </c>
      <c r="N287" s="182" t="str">
        <f t="shared" si="103"/>
        <v>(h)</v>
      </c>
      <c r="O287" s="182" t="str">
        <f>O$13</f>
        <v>(i)</v>
      </c>
      <c r="P287" s="182" t="str">
        <f t="shared" si="103"/>
        <v>(j)</v>
      </c>
      <c r="Q287" s="182" t="str">
        <f t="shared" si="103"/>
        <v>(k)</v>
      </c>
      <c r="R287" s="182" t="str">
        <f>R$13</f>
        <v>(l)</v>
      </c>
      <c r="S287" s="15" t="str">
        <f>S$13</f>
        <v>(m)</v>
      </c>
      <c r="T287" s="15"/>
      <c r="U287" s="15" t="s">
        <v>683</v>
      </c>
      <c r="V287" s="64"/>
      <c r="W287" s="64"/>
      <c r="X287" s="305"/>
    </row>
    <row r="288" spans="1:24" x14ac:dyDescent="0.2">
      <c r="A288" s="64"/>
      <c r="B288" s="64"/>
      <c r="C288" s="64"/>
      <c r="D288" s="96"/>
      <c r="E288" s="96"/>
      <c r="F288" s="227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64"/>
      <c r="W288" s="64"/>
      <c r="X288" s="305"/>
    </row>
    <row r="289" spans="1:24" ht="15" x14ac:dyDescent="0.25">
      <c r="A289" s="64"/>
      <c r="B289" s="16">
        <v>1</v>
      </c>
      <c r="C289" s="8" t="s">
        <v>525</v>
      </c>
      <c r="D289" s="8"/>
      <c r="E289" s="19" t="s">
        <v>24</v>
      </c>
      <c r="F289" s="21"/>
      <c r="G289" s="19"/>
      <c r="H289" s="19"/>
      <c r="I289" s="19"/>
      <c r="J289" s="961"/>
      <c r="K289" s="961"/>
      <c r="L289" s="961"/>
      <c r="M289" s="961"/>
      <c r="N289" s="961"/>
      <c r="O289" s="961"/>
      <c r="P289" s="961"/>
      <c r="Q289" s="961"/>
      <c r="R289" s="961"/>
      <c r="S289" s="961"/>
      <c r="T289" s="19"/>
      <c r="U289" s="8"/>
      <c r="V289" s="64"/>
      <c r="W289" s="64"/>
      <c r="X289" s="305">
        <f t="shared" ref="X289:X352" si="104">U289-F289</f>
        <v>0</v>
      </c>
    </row>
    <row r="290" spans="1:24" x14ac:dyDescent="0.2">
      <c r="A290" s="64"/>
      <c r="B290" s="16">
        <f t="shared" ref="B290:B327" si="105">B289+1</f>
        <v>2</v>
      </c>
      <c r="C290" s="1" t="s">
        <v>59</v>
      </c>
      <c r="D290" s="1" t="s">
        <v>40</v>
      </c>
      <c r="E290" s="16"/>
      <c r="F290" s="97">
        <f>' WP II-I-1.4'!G290</f>
        <v>9501839.8499999996</v>
      </c>
      <c r="G290" s="16">
        <v>54</v>
      </c>
      <c r="H290" s="26" t="str">
        <f t="shared" ref="H290:H311" si="106">VLOOKUP(G290,FactorTable,2)</f>
        <v>PLT 362-373</v>
      </c>
      <c r="I290" s="16"/>
      <c r="J290" s="369">
        <f t="shared" ref="J290:S299" ca="1" si="107">$F290*HLOOKUP(J$1354,FactorTable,$G290+1)</f>
        <v>5107757.3681396609</v>
      </c>
      <c r="K290" s="369">
        <f t="shared" ca="1" si="107"/>
        <v>167617.98182718459</v>
      </c>
      <c r="L290" s="369">
        <f t="shared" ca="1" si="107"/>
        <v>3227650.3085151399</v>
      </c>
      <c r="M290" s="369">
        <f t="shared" ca="1" si="107"/>
        <v>918.8190010641174</v>
      </c>
      <c r="N290" s="369">
        <f t="shared" ca="1" si="107"/>
        <v>577557.75203381141</v>
      </c>
      <c r="O290" s="369">
        <f t="shared" ca="1" si="107"/>
        <v>55515.980461490624</v>
      </c>
      <c r="P290" s="369">
        <f t="shared" ca="1" si="107"/>
        <v>11282.22440470853</v>
      </c>
      <c r="Q290" s="369">
        <f t="shared" ca="1" si="107"/>
        <v>327540.89846314571</v>
      </c>
      <c r="R290" s="369">
        <f t="shared" ca="1" si="107"/>
        <v>3837.4814619380354</v>
      </c>
      <c r="S290" s="369">
        <f t="shared" ca="1" si="107"/>
        <v>22161.035691856003</v>
      </c>
      <c r="T290" s="16"/>
      <c r="U290" s="97">
        <f t="shared" ref="U290:U312" ca="1" si="108">SUM(I290:T290)</f>
        <v>9501839.8499999996</v>
      </c>
      <c r="V290" s="64"/>
      <c r="W290" s="64"/>
      <c r="X290" s="305">
        <f t="shared" ca="1" si="104"/>
        <v>0</v>
      </c>
    </row>
    <row r="291" spans="1:24" x14ac:dyDescent="0.2">
      <c r="A291" s="64"/>
      <c r="B291" s="16">
        <f t="shared" si="105"/>
        <v>3</v>
      </c>
      <c r="C291" s="1" t="s">
        <v>60</v>
      </c>
      <c r="D291" s="29" t="s">
        <v>42</v>
      </c>
      <c r="E291" s="16"/>
      <c r="F291" s="97">
        <f>' WP II-I-1.4'!G291</f>
        <v>49998605.829999998</v>
      </c>
      <c r="G291" s="16">
        <v>54</v>
      </c>
      <c r="H291" s="26" t="str">
        <f t="shared" si="106"/>
        <v>PLT 362-373</v>
      </c>
      <c r="I291" s="16"/>
      <c r="J291" s="369">
        <f t="shared" ca="1" si="107"/>
        <v>26876978.706907284</v>
      </c>
      <c r="K291" s="369">
        <f t="shared" ca="1" si="107"/>
        <v>882004.48920400452</v>
      </c>
      <c r="L291" s="369">
        <f t="shared" ca="1" si="107"/>
        <v>16983870.290397115</v>
      </c>
      <c r="M291" s="369">
        <f t="shared" ca="1" si="107"/>
        <v>4834.8182866204752</v>
      </c>
      <c r="N291" s="369">
        <f t="shared" ca="1" si="107"/>
        <v>3039104.3044152572</v>
      </c>
      <c r="O291" s="369">
        <f t="shared" ca="1" si="107"/>
        <v>292124.64829746116</v>
      </c>
      <c r="P291" s="369">
        <f t="shared" ca="1" si="107"/>
        <v>59366.975217607796</v>
      </c>
      <c r="Q291" s="369">
        <f t="shared" ca="1" si="107"/>
        <v>1723517.6064836406</v>
      </c>
      <c r="R291" s="369">
        <f t="shared" ca="1" si="107"/>
        <v>20192.796976616268</v>
      </c>
      <c r="S291" s="369">
        <f t="shared" ca="1" si="107"/>
        <v>116611.19381439267</v>
      </c>
      <c r="T291" s="16"/>
      <c r="U291" s="97">
        <f t="shared" ca="1" si="108"/>
        <v>49998605.829999991</v>
      </c>
      <c r="V291" s="64"/>
      <c r="W291" s="64"/>
      <c r="X291" s="305">
        <f t="shared" ca="1" si="104"/>
        <v>0</v>
      </c>
    </row>
    <row r="292" spans="1:24" x14ac:dyDescent="0.2">
      <c r="A292" s="64"/>
      <c r="B292" s="16">
        <f t="shared" si="105"/>
        <v>4</v>
      </c>
      <c r="C292" s="647" t="s">
        <v>61</v>
      </c>
      <c r="D292" s="647" t="s">
        <v>44</v>
      </c>
      <c r="E292" s="645"/>
      <c r="F292" s="694">
        <f>' WP II-I-1.4'!G292</f>
        <v>506199349.29000002</v>
      </c>
      <c r="G292" s="645">
        <v>28</v>
      </c>
      <c r="H292" s="650" t="str">
        <f t="shared" si="106"/>
        <v>NCP XHV</v>
      </c>
      <c r="I292" s="16"/>
      <c r="J292" s="369">
        <f t="shared" si="107"/>
        <v>259562071.87154025</v>
      </c>
      <c r="K292" s="369">
        <f t="shared" si="107"/>
        <v>4903819.8429875886</v>
      </c>
      <c r="L292" s="369">
        <f t="shared" si="107"/>
        <v>166717814.86560944</v>
      </c>
      <c r="M292" s="369">
        <f t="shared" si="107"/>
        <v>78014.054493767631</v>
      </c>
      <c r="N292" s="369">
        <f t="shared" si="107"/>
        <v>49038626.637325563</v>
      </c>
      <c r="O292" s="369">
        <f t="shared" si="107"/>
        <v>21077766.969635438</v>
      </c>
      <c r="P292" s="369">
        <f t="shared" si="107"/>
        <v>0</v>
      </c>
      <c r="Q292" s="369">
        <f t="shared" si="107"/>
        <v>1482633.0538243349</v>
      </c>
      <c r="R292" s="369">
        <f t="shared" si="107"/>
        <v>1456977.6005511265</v>
      </c>
      <c r="S292" s="369">
        <f t="shared" si="107"/>
        <v>1881624.3940324644</v>
      </c>
      <c r="T292" s="16"/>
      <c r="U292" s="97">
        <f t="shared" si="108"/>
        <v>506199349.28999996</v>
      </c>
      <c r="V292" s="64"/>
      <c r="W292" s="64"/>
      <c r="X292" s="305">
        <f t="shared" si="104"/>
        <v>0</v>
      </c>
    </row>
    <row r="293" spans="1:24" x14ac:dyDescent="0.2">
      <c r="A293" s="64"/>
      <c r="B293" s="16">
        <f t="shared" si="105"/>
        <v>5</v>
      </c>
      <c r="C293" s="647" t="s">
        <v>1234</v>
      </c>
      <c r="D293" s="647" t="s">
        <v>1230</v>
      </c>
      <c r="E293" s="645"/>
      <c r="F293" s="692">
        <f>' WP II-I-1.4'!G293</f>
        <v>0</v>
      </c>
      <c r="G293" s="645">
        <v>58</v>
      </c>
      <c r="H293" s="650" t="str">
        <f t="shared" ref="H293:H294" si="109">VLOOKUP(G293,FactorTable,2)</f>
        <v>PLTDIST_N</v>
      </c>
      <c r="I293" s="16"/>
      <c r="J293" s="369">
        <f t="shared" ca="1" si="107"/>
        <v>0</v>
      </c>
      <c r="K293" s="369">
        <f t="shared" ca="1" si="107"/>
        <v>0</v>
      </c>
      <c r="L293" s="369">
        <f t="shared" ca="1" si="107"/>
        <v>0</v>
      </c>
      <c r="M293" s="369">
        <f t="shared" ca="1" si="107"/>
        <v>0</v>
      </c>
      <c r="N293" s="369">
        <f t="shared" ca="1" si="107"/>
        <v>0</v>
      </c>
      <c r="O293" s="369">
        <f t="shared" ca="1" si="107"/>
        <v>0</v>
      </c>
      <c r="P293" s="369">
        <f t="shared" ca="1" si="107"/>
        <v>0</v>
      </c>
      <c r="Q293" s="369">
        <f t="shared" ca="1" si="107"/>
        <v>0</v>
      </c>
      <c r="R293" s="369">
        <f t="shared" ca="1" si="107"/>
        <v>0</v>
      </c>
      <c r="S293" s="369">
        <f t="shared" ca="1" si="107"/>
        <v>0</v>
      </c>
      <c r="T293" s="16"/>
      <c r="U293" s="97">
        <f t="shared" ref="U293:U294" ca="1" si="110">SUM(I293:T293)</f>
        <v>0</v>
      </c>
      <c r="V293" s="64"/>
      <c r="W293" s="64"/>
      <c r="X293" s="305"/>
    </row>
    <row r="294" spans="1:24" x14ac:dyDescent="0.2">
      <c r="A294" s="64"/>
      <c r="B294" s="16">
        <f t="shared" si="105"/>
        <v>6</v>
      </c>
      <c r="C294" s="647" t="s">
        <v>1235</v>
      </c>
      <c r="D294" s="647" t="s">
        <v>1232</v>
      </c>
      <c r="E294" s="645"/>
      <c r="F294" s="692">
        <f>' WP II-I-1.4'!G294</f>
        <v>90241525.159999996</v>
      </c>
      <c r="G294" s="645">
        <v>58</v>
      </c>
      <c r="H294" s="650" t="str">
        <f t="shared" si="109"/>
        <v>PLTDIST_N</v>
      </c>
      <c r="I294" s="16"/>
      <c r="J294" s="369">
        <f t="shared" ca="1" si="107"/>
        <v>49309250.375532605</v>
      </c>
      <c r="K294" s="369">
        <f t="shared" ca="1" si="107"/>
        <v>1314153.28402466</v>
      </c>
      <c r="L294" s="369">
        <f t="shared" ca="1" si="107"/>
        <v>31385985.548986197</v>
      </c>
      <c r="M294" s="369">
        <f t="shared" ca="1" si="107"/>
        <v>9330.5824884184767</v>
      </c>
      <c r="N294" s="369">
        <f t="shared" ca="1" si="107"/>
        <v>5865083.5920196287</v>
      </c>
      <c r="O294" s="369">
        <f t="shared" ca="1" si="107"/>
        <v>615945.39304621436</v>
      </c>
      <c r="P294" s="369">
        <f t="shared" ca="1" si="107"/>
        <v>120034.46510235373</v>
      </c>
      <c r="Q294" s="369">
        <f t="shared" ca="1" si="107"/>
        <v>1354120.639507385</v>
      </c>
      <c r="R294" s="369">
        <f t="shared" ca="1" si="107"/>
        <v>42576.551971744077</v>
      </c>
      <c r="S294" s="369">
        <f t="shared" ca="1" si="107"/>
        <v>225044.72732080473</v>
      </c>
      <c r="T294" s="16"/>
      <c r="U294" s="97">
        <f t="shared" ca="1" si="110"/>
        <v>90241525.160000026</v>
      </c>
      <c r="V294" s="64"/>
      <c r="W294" s="64"/>
      <c r="X294" s="305"/>
    </row>
    <row r="295" spans="1:24" x14ac:dyDescent="0.2">
      <c r="A295" s="64"/>
      <c r="B295" s="16">
        <f t="shared" si="105"/>
        <v>7</v>
      </c>
      <c r="C295" s="1" t="s">
        <v>1236</v>
      </c>
      <c r="D295" s="647" t="s">
        <v>1241</v>
      </c>
      <c r="E295" s="16"/>
      <c r="F295" s="229">
        <f>' WP II-I-1.4'!G295</f>
        <v>0</v>
      </c>
      <c r="G295" s="16">
        <v>58</v>
      </c>
      <c r="H295" s="26" t="str">
        <f t="shared" si="106"/>
        <v>PLTDIST_N</v>
      </c>
      <c r="I295" s="16"/>
      <c r="J295" s="369">
        <f t="shared" ca="1" si="107"/>
        <v>0</v>
      </c>
      <c r="K295" s="369">
        <f t="shared" ca="1" si="107"/>
        <v>0</v>
      </c>
      <c r="L295" s="369">
        <f t="shared" ca="1" si="107"/>
        <v>0</v>
      </c>
      <c r="M295" s="369">
        <f t="shared" ca="1" si="107"/>
        <v>0</v>
      </c>
      <c r="N295" s="369">
        <f t="shared" ca="1" si="107"/>
        <v>0</v>
      </c>
      <c r="O295" s="369">
        <f t="shared" ca="1" si="107"/>
        <v>0</v>
      </c>
      <c r="P295" s="369">
        <f t="shared" ca="1" si="107"/>
        <v>0</v>
      </c>
      <c r="Q295" s="369">
        <f t="shared" ca="1" si="107"/>
        <v>0</v>
      </c>
      <c r="R295" s="369">
        <f t="shared" ca="1" si="107"/>
        <v>0</v>
      </c>
      <c r="S295" s="369">
        <f t="shared" ca="1" si="107"/>
        <v>0</v>
      </c>
      <c r="T295" s="16"/>
      <c r="U295" s="97">
        <f t="shared" ca="1" si="108"/>
        <v>0</v>
      </c>
      <c r="V295" s="64"/>
      <c r="W295" s="64"/>
      <c r="X295" s="305">
        <f t="shared" ca="1" si="104"/>
        <v>0</v>
      </c>
    </row>
    <row r="296" spans="1:24" x14ac:dyDescent="0.2">
      <c r="A296" s="64"/>
      <c r="B296" s="16">
        <f t="shared" si="105"/>
        <v>8</v>
      </c>
      <c r="C296" s="1" t="s">
        <v>359</v>
      </c>
      <c r="D296" s="29" t="s">
        <v>489</v>
      </c>
      <c r="E296" s="16"/>
      <c r="F296" s="97">
        <f>' WP II-I-1.4'!G296</f>
        <v>1014653070.4718791</v>
      </c>
      <c r="G296" s="16">
        <v>30</v>
      </c>
      <c r="H296" s="26" t="str">
        <f t="shared" si="106"/>
        <v>NCP XSS</v>
      </c>
      <c r="I296" s="16"/>
      <c r="J296" s="369">
        <f t="shared" si="107"/>
        <v>544520832.47867262</v>
      </c>
      <c r="K296" s="369">
        <f t="shared" si="107"/>
        <v>10287450.874373348</v>
      </c>
      <c r="L296" s="369">
        <f t="shared" si="107"/>
        <v>349748030.15355563</v>
      </c>
      <c r="M296" s="369">
        <f t="shared" si="107"/>
        <v>163661.34540260091</v>
      </c>
      <c r="N296" s="369">
        <f t="shared" si="107"/>
        <v>102875407.05632319</v>
      </c>
      <c r="O296" s="369">
        <f t="shared" si="107"/>
        <v>0</v>
      </c>
      <c r="P296" s="369">
        <f t="shared" si="107"/>
        <v>0</v>
      </c>
      <c r="Q296" s="369">
        <f t="shared" si="107"/>
        <v>3110333.4123807424</v>
      </c>
      <c r="R296" s="369">
        <f t="shared" si="107"/>
        <v>0</v>
      </c>
      <c r="S296" s="369">
        <f t="shared" si="107"/>
        <v>3947355.1511709746</v>
      </c>
      <c r="T296" s="16"/>
      <c r="U296" s="97">
        <f t="shared" si="108"/>
        <v>1014653070.471879</v>
      </c>
      <c r="V296" s="64"/>
      <c r="W296" s="64"/>
      <c r="X296" s="305">
        <f t="shared" si="104"/>
        <v>0</v>
      </c>
    </row>
    <row r="297" spans="1:24" x14ac:dyDescent="0.2">
      <c r="A297" s="64"/>
      <c r="B297" s="16">
        <f t="shared" si="105"/>
        <v>9</v>
      </c>
      <c r="C297" s="1" t="s">
        <v>361</v>
      </c>
      <c r="D297" s="29" t="s">
        <v>490</v>
      </c>
      <c r="E297" s="16"/>
      <c r="F297" s="97">
        <f>' WP II-I-1.4'!G297</f>
        <v>187903577.88812062</v>
      </c>
      <c r="G297" s="16">
        <v>32</v>
      </c>
      <c r="H297" s="26" t="str">
        <f t="shared" si="106"/>
        <v>NCP SEC</v>
      </c>
      <c r="I297" s="16"/>
      <c r="J297" s="369">
        <f t="shared" si="107"/>
        <v>112725760.06254123</v>
      </c>
      <c r="K297" s="369">
        <f t="shared" si="107"/>
        <v>2129690.2703262703</v>
      </c>
      <c r="L297" s="369">
        <f t="shared" si="107"/>
        <v>72404231.716846853</v>
      </c>
      <c r="M297" s="369">
        <f t="shared" si="107"/>
        <v>0</v>
      </c>
      <c r="N297" s="369">
        <f t="shared" si="107"/>
        <v>0</v>
      </c>
      <c r="O297" s="369">
        <f t="shared" si="107"/>
        <v>0</v>
      </c>
      <c r="P297" s="369">
        <f t="shared" si="107"/>
        <v>0</v>
      </c>
      <c r="Q297" s="369">
        <f t="shared" si="107"/>
        <v>643895.83840627316</v>
      </c>
      <c r="R297" s="369">
        <f t="shared" si="107"/>
        <v>0</v>
      </c>
      <c r="S297" s="369">
        <f t="shared" si="107"/>
        <v>0</v>
      </c>
      <c r="T297" s="16"/>
      <c r="U297" s="97">
        <f t="shared" si="108"/>
        <v>187903577.88812062</v>
      </c>
      <c r="V297" s="64"/>
      <c r="W297" s="64"/>
      <c r="X297" s="305">
        <f t="shared" si="104"/>
        <v>0</v>
      </c>
    </row>
    <row r="298" spans="1:24" x14ac:dyDescent="0.2">
      <c r="A298" s="64"/>
      <c r="B298" s="16">
        <f t="shared" si="105"/>
        <v>10</v>
      </c>
      <c r="C298" s="1" t="s">
        <v>364</v>
      </c>
      <c r="D298" s="1" t="s">
        <v>491</v>
      </c>
      <c r="E298" s="16"/>
      <c r="F298" s="97">
        <f>' WP II-I-1.4'!G298</f>
        <v>601790975.08809602</v>
      </c>
      <c r="G298" s="16">
        <v>30</v>
      </c>
      <c r="H298" s="26" t="str">
        <f t="shared" si="106"/>
        <v>NCP XSS</v>
      </c>
      <c r="I298" s="16"/>
      <c r="J298" s="369">
        <f t="shared" si="107"/>
        <v>322955433.99945188</v>
      </c>
      <c r="K298" s="369">
        <f t="shared" si="107"/>
        <v>6101489.5366953919</v>
      </c>
      <c r="L298" s="369">
        <f t="shared" si="107"/>
        <v>207435639.06366983</v>
      </c>
      <c r="M298" s="369">
        <f t="shared" si="107"/>
        <v>97067.582507050145</v>
      </c>
      <c r="N298" s="369">
        <f t="shared" si="107"/>
        <v>61015428.156362474</v>
      </c>
      <c r="O298" s="369">
        <f t="shared" si="107"/>
        <v>0</v>
      </c>
      <c r="P298" s="369">
        <f t="shared" si="107"/>
        <v>0</v>
      </c>
      <c r="Q298" s="369">
        <f t="shared" si="107"/>
        <v>1844739.4794904608</v>
      </c>
      <c r="R298" s="369">
        <f t="shared" si="107"/>
        <v>0</v>
      </c>
      <c r="S298" s="369">
        <f t="shared" si="107"/>
        <v>2341177.2699189158</v>
      </c>
      <c r="T298" s="16"/>
      <c r="U298" s="97">
        <f t="shared" si="108"/>
        <v>601790975.08809614</v>
      </c>
      <c r="V298" s="64"/>
      <c r="W298" s="64"/>
      <c r="X298" s="305">
        <f t="shared" si="104"/>
        <v>0</v>
      </c>
    </row>
    <row r="299" spans="1:24" x14ac:dyDescent="0.2">
      <c r="A299" s="64"/>
      <c r="B299" s="16">
        <f t="shared" si="105"/>
        <v>11</v>
      </c>
      <c r="C299" s="1" t="s">
        <v>366</v>
      </c>
      <c r="D299" s="1" t="s">
        <v>492</v>
      </c>
      <c r="E299" s="16"/>
      <c r="F299" s="97">
        <f>' WP II-I-1.4'!G299</f>
        <v>87364481.331903979</v>
      </c>
      <c r="G299" s="16">
        <v>32</v>
      </c>
      <c r="H299" s="26" t="str">
        <f t="shared" si="106"/>
        <v>NCP SEC</v>
      </c>
      <c r="I299" s="16"/>
      <c r="J299" s="369">
        <f t="shared" si="107"/>
        <v>52411069.929026514</v>
      </c>
      <c r="K299" s="369">
        <f t="shared" si="107"/>
        <v>990184.90204288845</v>
      </c>
      <c r="L299" s="369">
        <f t="shared" si="107"/>
        <v>33663851.541685954</v>
      </c>
      <c r="M299" s="369">
        <f t="shared" si="107"/>
        <v>0</v>
      </c>
      <c r="N299" s="369">
        <f t="shared" si="107"/>
        <v>0</v>
      </c>
      <c r="O299" s="369">
        <f t="shared" si="107"/>
        <v>0</v>
      </c>
      <c r="P299" s="369">
        <f t="shared" si="107"/>
        <v>0</v>
      </c>
      <c r="Q299" s="369">
        <f t="shared" si="107"/>
        <v>299374.95914861927</v>
      </c>
      <c r="R299" s="369">
        <f t="shared" si="107"/>
        <v>0</v>
      </c>
      <c r="S299" s="369">
        <f t="shared" si="107"/>
        <v>0</v>
      </c>
      <c r="T299" s="16"/>
      <c r="U299" s="97">
        <f t="shared" si="108"/>
        <v>87364481.331903964</v>
      </c>
      <c r="V299" s="64"/>
      <c r="W299" s="64"/>
      <c r="X299" s="305">
        <f t="shared" si="104"/>
        <v>0</v>
      </c>
    </row>
    <row r="300" spans="1:24" x14ac:dyDescent="0.2">
      <c r="A300" s="64"/>
      <c r="B300" s="16">
        <f t="shared" si="105"/>
        <v>12</v>
      </c>
      <c r="C300" s="1" t="s">
        <v>369</v>
      </c>
      <c r="D300" s="1" t="s">
        <v>370</v>
      </c>
      <c r="E300" s="16"/>
      <c r="F300" s="97">
        <f>' WP II-I-1.4'!G300</f>
        <v>362924857.21233314</v>
      </c>
      <c r="G300" s="16">
        <v>30</v>
      </c>
      <c r="H300" s="26" t="str">
        <f t="shared" si="106"/>
        <v>NCP XSS</v>
      </c>
      <c r="I300" s="16"/>
      <c r="J300" s="369">
        <f t="shared" ref="J300:S311" si="111">$F300*HLOOKUP(J$1354,FactorTable,$G300+1)</f>
        <v>194766222.19706771</v>
      </c>
      <c r="K300" s="369">
        <f t="shared" si="111"/>
        <v>3679653.4188030274</v>
      </c>
      <c r="L300" s="369">
        <f t="shared" si="111"/>
        <v>125099166.99383986</v>
      </c>
      <c r="M300" s="369">
        <f t="shared" si="111"/>
        <v>58538.994401104945</v>
      </c>
      <c r="N300" s="369">
        <f t="shared" si="111"/>
        <v>36796855.499794699</v>
      </c>
      <c r="O300" s="369">
        <f t="shared" si="111"/>
        <v>0</v>
      </c>
      <c r="P300" s="369">
        <f t="shared" si="111"/>
        <v>0</v>
      </c>
      <c r="Q300" s="369">
        <f t="shared" si="111"/>
        <v>1112515.5409484515</v>
      </c>
      <c r="R300" s="369">
        <f t="shared" si="111"/>
        <v>0</v>
      </c>
      <c r="S300" s="369">
        <f t="shared" si="111"/>
        <v>1411904.5674782665</v>
      </c>
      <c r="T300" s="16"/>
      <c r="U300" s="97">
        <f t="shared" si="108"/>
        <v>362924857.21233308</v>
      </c>
      <c r="V300" s="64"/>
      <c r="W300" s="64"/>
      <c r="X300" s="305">
        <f t="shared" si="104"/>
        <v>0</v>
      </c>
    </row>
    <row r="301" spans="1:24" x14ac:dyDescent="0.2">
      <c r="A301" s="64"/>
      <c r="B301" s="16">
        <f t="shared" si="105"/>
        <v>13</v>
      </c>
      <c r="C301" s="1" t="s">
        <v>371</v>
      </c>
      <c r="D301" s="1" t="s">
        <v>372</v>
      </c>
      <c r="E301" s="16"/>
      <c r="F301" s="97">
        <f>' WP II-I-1.4'!G301</f>
        <v>187316242.59766677</v>
      </c>
      <c r="G301" s="16">
        <v>32</v>
      </c>
      <c r="H301" s="26" t="str">
        <f t="shared" si="106"/>
        <v>NCP SEC</v>
      </c>
      <c r="I301" s="16"/>
      <c r="J301" s="369">
        <f t="shared" si="111"/>
        <v>112373410.10852714</v>
      </c>
      <c r="K301" s="369">
        <f t="shared" si="111"/>
        <v>2123033.4399052784</v>
      </c>
      <c r="L301" s="369">
        <f t="shared" si="111"/>
        <v>72177915.853447899</v>
      </c>
      <c r="M301" s="369">
        <f t="shared" si="111"/>
        <v>0</v>
      </c>
      <c r="N301" s="369">
        <f t="shared" si="111"/>
        <v>0</v>
      </c>
      <c r="O301" s="369">
        <f t="shared" si="111"/>
        <v>0</v>
      </c>
      <c r="P301" s="369">
        <f t="shared" si="111"/>
        <v>0</v>
      </c>
      <c r="Q301" s="369">
        <f t="shared" si="111"/>
        <v>641883.19578646333</v>
      </c>
      <c r="R301" s="369">
        <f t="shared" si="111"/>
        <v>0</v>
      </c>
      <c r="S301" s="369">
        <f t="shared" si="111"/>
        <v>0</v>
      </c>
      <c r="T301" s="16"/>
      <c r="U301" s="97">
        <f t="shared" si="108"/>
        <v>187316242.5976668</v>
      </c>
      <c r="V301" s="64"/>
      <c r="W301" s="64"/>
      <c r="X301" s="305">
        <f t="shared" si="104"/>
        <v>0</v>
      </c>
    </row>
    <row r="302" spans="1:24" x14ac:dyDescent="0.2">
      <c r="A302" s="64"/>
      <c r="B302" s="16">
        <f t="shared" si="105"/>
        <v>14</v>
      </c>
      <c r="C302" s="1" t="s">
        <v>374</v>
      </c>
      <c r="D302" s="29" t="s">
        <v>493</v>
      </c>
      <c r="E302" s="28"/>
      <c r="F302" s="97">
        <f>' WP II-I-1.4'!G302</f>
        <v>551736249.74043524</v>
      </c>
      <c r="G302" s="16">
        <v>30</v>
      </c>
      <c r="H302" s="26" t="str">
        <f t="shared" si="106"/>
        <v>NCP XSS</v>
      </c>
      <c r="I302" s="28"/>
      <c r="J302" s="369">
        <f t="shared" si="111"/>
        <v>296093207.38329053</v>
      </c>
      <c r="K302" s="369">
        <f t="shared" si="111"/>
        <v>5593990.4288428603</v>
      </c>
      <c r="L302" s="369">
        <f t="shared" si="111"/>
        <v>190181917.47183555</v>
      </c>
      <c r="M302" s="369">
        <f t="shared" si="111"/>
        <v>88993.863585225947</v>
      </c>
      <c r="N302" s="369">
        <f t="shared" si="111"/>
        <v>55940392.76240436</v>
      </c>
      <c r="O302" s="369">
        <f t="shared" si="111"/>
        <v>0</v>
      </c>
      <c r="P302" s="369">
        <f t="shared" si="111"/>
        <v>0</v>
      </c>
      <c r="Q302" s="369">
        <f t="shared" si="111"/>
        <v>1691300.9405187448</v>
      </c>
      <c r="R302" s="369">
        <f t="shared" si="111"/>
        <v>0</v>
      </c>
      <c r="S302" s="369">
        <f t="shared" si="111"/>
        <v>2146446.8899579626</v>
      </c>
      <c r="T302" s="28"/>
      <c r="U302" s="97">
        <f t="shared" si="108"/>
        <v>551736249.74043512</v>
      </c>
      <c r="V302" s="64"/>
      <c r="W302" s="64"/>
      <c r="X302" s="305">
        <f t="shared" si="104"/>
        <v>0</v>
      </c>
    </row>
    <row r="303" spans="1:24" x14ac:dyDescent="0.2">
      <c r="A303" s="64"/>
      <c r="B303" s="16">
        <f t="shared" si="105"/>
        <v>15</v>
      </c>
      <c r="C303" s="1" t="s">
        <v>376</v>
      </c>
      <c r="D303" s="29" t="s">
        <v>494</v>
      </c>
      <c r="E303" s="28"/>
      <c r="F303" s="97">
        <f>' WP II-I-1.4'!G303</f>
        <v>139509208.03956473</v>
      </c>
      <c r="G303" s="16">
        <v>32</v>
      </c>
      <c r="H303" s="26" t="str">
        <f t="shared" si="106"/>
        <v>NCP SEC</v>
      </c>
      <c r="I303" s="28"/>
      <c r="J303" s="369">
        <f t="shared" si="111"/>
        <v>83693358.523203224</v>
      </c>
      <c r="K303" s="369">
        <f t="shared" si="111"/>
        <v>1581190.7698728712</v>
      </c>
      <c r="L303" s="369">
        <f t="shared" si="111"/>
        <v>53756597.607442535</v>
      </c>
      <c r="M303" s="369">
        <f t="shared" si="111"/>
        <v>0</v>
      </c>
      <c r="N303" s="369">
        <f t="shared" si="111"/>
        <v>0</v>
      </c>
      <c r="O303" s="369">
        <f t="shared" si="111"/>
        <v>0</v>
      </c>
      <c r="P303" s="369">
        <f t="shared" si="111"/>
        <v>0</v>
      </c>
      <c r="Q303" s="369">
        <f t="shared" si="111"/>
        <v>478061.13904609042</v>
      </c>
      <c r="R303" s="369">
        <f t="shared" si="111"/>
        <v>0</v>
      </c>
      <c r="S303" s="369">
        <f t="shared" si="111"/>
        <v>0</v>
      </c>
      <c r="T303" s="28"/>
      <c r="U303" s="97">
        <f t="shared" si="108"/>
        <v>139509208.03956473</v>
      </c>
      <c r="V303" s="64"/>
      <c r="W303" s="64"/>
      <c r="X303" s="305">
        <f t="shared" si="104"/>
        <v>0</v>
      </c>
    </row>
    <row r="304" spans="1:24" x14ac:dyDescent="0.2">
      <c r="A304" s="64"/>
      <c r="B304" s="16">
        <f t="shared" si="105"/>
        <v>16</v>
      </c>
      <c r="C304" s="1" t="s">
        <v>379</v>
      </c>
      <c r="D304" s="1" t="str">
        <f>'WP II-I-1.2'!D39</f>
        <v>Regulators, Protectors, Primary Transformers</v>
      </c>
      <c r="E304" s="16"/>
      <c r="F304" s="97">
        <f>' WP II-I-1.4'!G304</f>
        <v>52554365.188390315</v>
      </c>
      <c r="G304" s="16">
        <v>30</v>
      </c>
      <c r="H304" s="26" t="str">
        <f t="shared" si="106"/>
        <v>NCP XSS</v>
      </c>
      <c r="I304" s="16"/>
      <c r="J304" s="369">
        <f t="shared" si="111"/>
        <v>28203676.227443669</v>
      </c>
      <c r="K304" s="369">
        <f t="shared" si="111"/>
        <v>532842.66893116955</v>
      </c>
      <c r="L304" s="369">
        <f t="shared" si="111"/>
        <v>18115340.341957334</v>
      </c>
      <c r="M304" s="369">
        <f t="shared" si="111"/>
        <v>8476.9054209942897</v>
      </c>
      <c r="N304" s="369">
        <f t="shared" si="111"/>
        <v>5328473.2177747414</v>
      </c>
      <c r="O304" s="369">
        <f t="shared" si="111"/>
        <v>0</v>
      </c>
      <c r="P304" s="369">
        <f t="shared" si="111"/>
        <v>0</v>
      </c>
      <c r="Q304" s="369">
        <f t="shared" si="111"/>
        <v>161100.97408554587</v>
      </c>
      <c r="R304" s="369">
        <f t="shared" si="111"/>
        <v>0</v>
      </c>
      <c r="S304" s="369">
        <f t="shared" si="111"/>
        <v>204454.8527768561</v>
      </c>
      <c r="T304" s="16"/>
      <c r="U304" s="97">
        <f t="shared" si="108"/>
        <v>52554365.188390315</v>
      </c>
      <c r="V304" s="64"/>
      <c r="W304" s="64"/>
      <c r="X304" s="305">
        <f t="shared" si="104"/>
        <v>0</v>
      </c>
    </row>
    <row r="305" spans="1:24" x14ac:dyDescent="0.2">
      <c r="A305" s="64"/>
      <c r="B305" s="16">
        <f t="shared" si="105"/>
        <v>17</v>
      </c>
      <c r="C305" s="1" t="s">
        <v>381</v>
      </c>
      <c r="D305" s="1" t="str">
        <f>'WP II-I-1.2'!D40</f>
        <v>Secondary Transformers</v>
      </c>
      <c r="E305" s="16"/>
      <c r="F305" s="97">
        <f>' WP II-I-1.4'!G305</f>
        <v>668691543.73156512</v>
      </c>
      <c r="G305" s="16">
        <v>32</v>
      </c>
      <c r="H305" s="26" t="str">
        <f t="shared" si="106"/>
        <v>NCP SEC</v>
      </c>
      <c r="I305" s="16"/>
      <c r="J305" s="369">
        <f t="shared" si="111"/>
        <v>401156611.07536685</v>
      </c>
      <c r="K305" s="369">
        <f t="shared" si="111"/>
        <v>7578918.350253514</v>
      </c>
      <c r="L305" s="369">
        <f t="shared" si="111"/>
        <v>257664585.33463168</v>
      </c>
      <c r="M305" s="369">
        <f t="shared" si="111"/>
        <v>0</v>
      </c>
      <c r="N305" s="369">
        <f t="shared" si="111"/>
        <v>0</v>
      </c>
      <c r="O305" s="369">
        <f t="shared" si="111"/>
        <v>0</v>
      </c>
      <c r="P305" s="369">
        <f t="shared" si="111"/>
        <v>0</v>
      </c>
      <c r="Q305" s="369">
        <f t="shared" si="111"/>
        <v>2291428.9713130682</v>
      </c>
      <c r="R305" s="369">
        <f t="shared" si="111"/>
        <v>0</v>
      </c>
      <c r="S305" s="369">
        <f t="shared" si="111"/>
        <v>0</v>
      </c>
      <c r="T305" s="16"/>
      <c r="U305" s="97">
        <f t="shared" si="108"/>
        <v>668691543.73156512</v>
      </c>
      <c r="V305" s="64"/>
      <c r="W305" s="64"/>
      <c r="X305" s="305">
        <f t="shared" si="104"/>
        <v>0</v>
      </c>
    </row>
    <row r="306" spans="1:24" x14ac:dyDescent="0.2">
      <c r="A306" s="64"/>
      <c r="B306" s="16">
        <f t="shared" si="105"/>
        <v>18</v>
      </c>
      <c r="C306" s="647" t="s">
        <v>383</v>
      </c>
      <c r="D306" s="647" t="str">
        <f>'WP II-I-1.2'!D41</f>
        <v>Capacitors</v>
      </c>
      <c r="E306" s="16"/>
      <c r="F306" s="97">
        <f>' WP II-I-1.4'!G306</f>
        <v>40381281.260044515</v>
      </c>
      <c r="G306" s="16">
        <v>26</v>
      </c>
      <c r="H306" s="26" t="str">
        <f t="shared" si="106"/>
        <v>NCP ALL</v>
      </c>
      <c r="I306" s="16"/>
      <c r="J306" s="369">
        <f t="shared" si="111"/>
        <v>17969545.993723504</v>
      </c>
      <c r="K306" s="369">
        <f t="shared" si="111"/>
        <v>339492.65228977887</v>
      </c>
      <c r="L306" s="369">
        <f t="shared" si="111"/>
        <v>11541915.275215248</v>
      </c>
      <c r="M306" s="369">
        <f t="shared" si="111"/>
        <v>5400.9321557442781</v>
      </c>
      <c r="N306" s="369">
        <f t="shared" si="111"/>
        <v>3394956.1678047143</v>
      </c>
      <c r="O306" s="369">
        <f t="shared" si="111"/>
        <v>1459218.9847879661</v>
      </c>
      <c r="P306" s="369">
        <f t="shared" si="111"/>
        <v>5336975.967392412</v>
      </c>
      <c r="Q306" s="369">
        <f t="shared" si="111"/>
        <v>102643.05050584054</v>
      </c>
      <c r="R306" s="369">
        <f t="shared" si="111"/>
        <v>100866.91717380694</v>
      </c>
      <c r="S306" s="369">
        <f t="shared" si="111"/>
        <v>130265.31899549764</v>
      </c>
      <c r="T306" s="16"/>
      <c r="U306" s="97">
        <f t="shared" si="108"/>
        <v>40381281.260044515</v>
      </c>
      <c r="V306" s="64"/>
      <c r="W306" s="64"/>
      <c r="X306" s="305">
        <f t="shared" si="104"/>
        <v>0</v>
      </c>
    </row>
    <row r="307" spans="1:24" x14ac:dyDescent="0.2">
      <c r="A307" s="64"/>
      <c r="B307" s="16">
        <f t="shared" si="105"/>
        <v>19</v>
      </c>
      <c r="C307" s="1" t="s">
        <v>72</v>
      </c>
      <c r="D307" s="29" t="s">
        <v>73</v>
      </c>
      <c r="E307" s="28"/>
      <c r="F307" s="97">
        <f>' WP II-I-1.4'!G307</f>
        <v>1237313769.03</v>
      </c>
      <c r="G307" s="16">
        <v>7</v>
      </c>
      <c r="H307" s="26" t="str">
        <f t="shared" si="106"/>
        <v>CUS W SEC</v>
      </c>
      <c r="I307" s="28"/>
      <c r="J307" s="369">
        <f t="shared" si="111"/>
        <v>730840769.32553804</v>
      </c>
      <c r="K307" s="369">
        <f t="shared" si="111"/>
        <v>102526055.47914997</v>
      </c>
      <c r="L307" s="369">
        <f t="shared" si="111"/>
        <v>403201695.36759204</v>
      </c>
      <c r="M307" s="369">
        <f t="shared" si="111"/>
        <v>0</v>
      </c>
      <c r="N307" s="369">
        <f t="shared" si="111"/>
        <v>0</v>
      </c>
      <c r="O307" s="369">
        <f t="shared" si="111"/>
        <v>0</v>
      </c>
      <c r="P307" s="369">
        <f t="shared" si="111"/>
        <v>0</v>
      </c>
      <c r="Q307" s="369">
        <f t="shared" si="111"/>
        <v>745248.85771968239</v>
      </c>
      <c r="R307" s="369">
        <f t="shared" si="111"/>
        <v>0</v>
      </c>
      <c r="S307" s="369">
        <f t="shared" si="111"/>
        <v>0</v>
      </c>
      <c r="T307" s="28"/>
      <c r="U307" s="97">
        <f t="shared" si="108"/>
        <v>1237313769.0299997</v>
      </c>
      <c r="V307" s="64"/>
      <c r="W307" s="64"/>
      <c r="X307" s="305">
        <f t="shared" si="104"/>
        <v>0</v>
      </c>
    </row>
    <row r="308" spans="1:24" x14ac:dyDescent="0.2">
      <c r="A308" s="64"/>
      <c r="B308" s="16">
        <f t="shared" si="105"/>
        <v>20</v>
      </c>
      <c r="C308" s="1" t="s">
        <v>74</v>
      </c>
      <c r="D308" s="1" t="s">
        <v>75</v>
      </c>
      <c r="E308" s="16"/>
      <c r="F308" s="97">
        <f>' WP II-I-1.4'!G308</f>
        <v>0</v>
      </c>
      <c r="G308" s="16">
        <v>6</v>
      </c>
      <c r="H308" s="26" t="str">
        <f t="shared" si="106"/>
        <v>CUS W ALL</v>
      </c>
      <c r="I308" s="16"/>
      <c r="J308" s="369">
        <f t="shared" si="111"/>
        <v>0</v>
      </c>
      <c r="K308" s="369">
        <f t="shared" si="111"/>
        <v>0</v>
      </c>
      <c r="L308" s="369">
        <f t="shared" si="111"/>
        <v>0</v>
      </c>
      <c r="M308" s="369">
        <f t="shared" si="111"/>
        <v>0</v>
      </c>
      <c r="N308" s="369">
        <f t="shared" si="111"/>
        <v>0</v>
      </c>
      <c r="O308" s="369">
        <f t="shared" si="111"/>
        <v>0</v>
      </c>
      <c r="P308" s="369">
        <f t="shared" si="111"/>
        <v>0</v>
      </c>
      <c r="Q308" s="369">
        <f t="shared" si="111"/>
        <v>0</v>
      </c>
      <c r="R308" s="369">
        <f t="shared" si="111"/>
        <v>0</v>
      </c>
      <c r="S308" s="369">
        <f t="shared" si="111"/>
        <v>0</v>
      </c>
      <c r="T308" s="16"/>
      <c r="U308" s="97">
        <f t="shared" si="108"/>
        <v>0</v>
      </c>
      <c r="V308" s="64"/>
      <c r="W308" s="64"/>
      <c r="X308" s="305">
        <f t="shared" si="104"/>
        <v>0</v>
      </c>
    </row>
    <row r="309" spans="1:24" x14ac:dyDescent="0.2">
      <c r="A309" s="64"/>
      <c r="B309" s="16">
        <f t="shared" si="105"/>
        <v>21</v>
      </c>
      <c r="C309" s="1" t="s">
        <v>76</v>
      </c>
      <c r="D309" s="1" t="s">
        <v>495</v>
      </c>
      <c r="E309" s="16"/>
      <c r="F309" s="97">
        <f>' WP II-I-1.4'!G309</f>
        <v>74784255.819999993</v>
      </c>
      <c r="G309" s="16">
        <v>33</v>
      </c>
      <c r="H309" s="26" t="str">
        <f t="shared" si="106"/>
        <v>NCP LGT</v>
      </c>
      <c r="I309" s="16"/>
      <c r="J309" s="369">
        <f t="shared" si="111"/>
        <v>0</v>
      </c>
      <c r="K309" s="369">
        <f t="shared" si="111"/>
        <v>0</v>
      </c>
      <c r="L309" s="369">
        <f t="shared" si="111"/>
        <v>0</v>
      </c>
      <c r="M309" s="369">
        <f t="shared" si="111"/>
        <v>0</v>
      </c>
      <c r="N309" s="369">
        <f t="shared" si="111"/>
        <v>0</v>
      </c>
      <c r="O309" s="369">
        <f t="shared" si="111"/>
        <v>0</v>
      </c>
      <c r="P309" s="369">
        <f t="shared" si="111"/>
        <v>0</v>
      </c>
      <c r="Q309" s="369">
        <f t="shared" si="111"/>
        <v>74784255.819999993</v>
      </c>
      <c r="R309" s="369">
        <f t="shared" si="111"/>
        <v>0</v>
      </c>
      <c r="S309" s="369">
        <f t="shared" si="111"/>
        <v>0</v>
      </c>
      <c r="T309" s="16"/>
      <c r="U309" s="97">
        <f t="shared" si="108"/>
        <v>74784255.819999993</v>
      </c>
      <c r="V309" s="64"/>
      <c r="W309" s="64"/>
      <c r="X309" s="305">
        <f t="shared" si="104"/>
        <v>0</v>
      </c>
    </row>
    <row r="310" spans="1:24" x14ac:dyDescent="0.2">
      <c r="A310" s="64"/>
      <c r="B310" s="16">
        <f t="shared" si="105"/>
        <v>22</v>
      </c>
      <c r="C310" s="1" t="s">
        <v>78</v>
      </c>
      <c r="D310" s="1" t="s">
        <v>496</v>
      </c>
      <c r="E310" s="16"/>
      <c r="F310" s="97">
        <f>' WP II-I-1.4'!G310</f>
        <v>0</v>
      </c>
      <c r="G310" s="16">
        <v>6</v>
      </c>
      <c r="H310" s="26" t="str">
        <f t="shared" si="106"/>
        <v>CUS W ALL</v>
      </c>
      <c r="I310" s="16"/>
      <c r="J310" s="369">
        <f t="shared" si="111"/>
        <v>0</v>
      </c>
      <c r="K310" s="369">
        <f t="shared" si="111"/>
        <v>0</v>
      </c>
      <c r="L310" s="369">
        <f t="shared" si="111"/>
        <v>0</v>
      </c>
      <c r="M310" s="369">
        <f t="shared" si="111"/>
        <v>0</v>
      </c>
      <c r="N310" s="369">
        <f t="shared" si="111"/>
        <v>0</v>
      </c>
      <c r="O310" s="369">
        <f t="shared" si="111"/>
        <v>0</v>
      </c>
      <c r="P310" s="369">
        <f t="shared" si="111"/>
        <v>0</v>
      </c>
      <c r="Q310" s="369">
        <f t="shared" si="111"/>
        <v>0</v>
      </c>
      <c r="R310" s="369">
        <f t="shared" si="111"/>
        <v>0</v>
      </c>
      <c r="S310" s="369">
        <f t="shared" si="111"/>
        <v>0</v>
      </c>
      <c r="T310" s="16"/>
      <c r="U310" s="97">
        <f t="shared" si="108"/>
        <v>0</v>
      </c>
      <c r="V310" s="64"/>
      <c r="W310" s="64"/>
      <c r="X310" s="305">
        <f t="shared" si="104"/>
        <v>0</v>
      </c>
    </row>
    <row r="311" spans="1:24" x14ac:dyDescent="0.2">
      <c r="A311" s="64"/>
      <c r="B311" s="16">
        <f t="shared" si="105"/>
        <v>23</v>
      </c>
      <c r="C311" s="1" t="s">
        <v>80</v>
      </c>
      <c r="D311" s="1" t="s">
        <v>84</v>
      </c>
      <c r="E311" s="16"/>
      <c r="F311" s="97">
        <f>' WP II-I-1.4'!G311</f>
        <v>379251735.44</v>
      </c>
      <c r="G311" s="16">
        <v>33</v>
      </c>
      <c r="H311" s="26" t="str">
        <f t="shared" si="106"/>
        <v>NCP LGT</v>
      </c>
      <c r="I311" s="16"/>
      <c r="J311" s="370">
        <f t="shared" si="111"/>
        <v>0</v>
      </c>
      <c r="K311" s="370">
        <f t="shared" si="111"/>
        <v>0</v>
      </c>
      <c r="L311" s="370">
        <f t="shared" si="111"/>
        <v>0</v>
      </c>
      <c r="M311" s="370">
        <f t="shared" si="111"/>
        <v>0</v>
      </c>
      <c r="N311" s="370">
        <f t="shared" si="111"/>
        <v>0</v>
      </c>
      <c r="O311" s="370">
        <f t="shared" si="111"/>
        <v>0</v>
      </c>
      <c r="P311" s="370">
        <f t="shared" si="111"/>
        <v>0</v>
      </c>
      <c r="Q311" s="370">
        <f t="shared" si="111"/>
        <v>379251735.44</v>
      </c>
      <c r="R311" s="370">
        <f t="shared" si="111"/>
        <v>0</v>
      </c>
      <c r="S311" s="370">
        <f t="shared" si="111"/>
        <v>0</v>
      </c>
      <c r="T311" s="16"/>
      <c r="U311" s="97">
        <f t="shared" si="108"/>
        <v>379251735.44</v>
      </c>
      <c r="V311" s="64"/>
      <c r="W311" s="64"/>
      <c r="X311" s="305">
        <f t="shared" si="104"/>
        <v>0</v>
      </c>
    </row>
    <row r="312" spans="1:24" ht="15" x14ac:dyDescent="0.25">
      <c r="A312" s="64"/>
      <c r="B312" s="16">
        <f t="shared" si="105"/>
        <v>24</v>
      </c>
      <c r="C312" s="64"/>
      <c r="D312" s="233" t="s">
        <v>444</v>
      </c>
      <c r="E312" s="121"/>
      <c r="F312" s="21">
        <f>SUM(F290:F311)</f>
        <v>6242116932.9699984</v>
      </c>
      <c r="G312" s="121"/>
      <c r="H312" s="121"/>
      <c r="I312" s="121"/>
      <c r="J312" s="21">
        <f t="shared" ref="J312:Q312" ca="1" si="112">SUM(J290:J311)</f>
        <v>3238565955.6259727</v>
      </c>
      <c r="K312" s="21">
        <f t="shared" ca="1" si="112"/>
        <v>150731588.38952982</v>
      </c>
      <c r="L312" s="21">
        <f t="shared" ca="1" si="112"/>
        <v>2013306207.7352283</v>
      </c>
      <c r="M312" s="21">
        <f t="shared" ca="1" si="112"/>
        <v>515237.89774259116</v>
      </c>
      <c r="N312" s="21">
        <f t="shared" ca="1" si="112"/>
        <v>323871885.14625841</v>
      </c>
      <c r="O312" s="21">
        <f ca="1">SUM(O290:O311)</f>
        <v>23500571.976228572</v>
      </c>
      <c r="P312" s="21">
        <f t="shared" ca="1" si="112"/>
        <v>5527659.6321170824</v>
      </c>
      <c r="Q312" s="21">
        <f t="shared" ca="1" si="112"/>
        <v>472046329.8176285</v>
      </c>
      <c r="R312" s="21">
        <f ca="1">SUM(R290:R311)</f>
        <v>1624451.348135232</v>
      </c>
      <c r="S312" s="21">
        <f ca="1">SUM(S290:S311)</f>
        <v>12427045.401157988</v>
      </c>
      <c r="T312" s="121"/>
      <c r="U312" s="235">
        <f t="shared" ca="1" si="108"/>
        <v>6242116932.9699993</v>
      </c>
      <c r="V312" s="64"/>
      <c r="W312" s="64"/>
      <c r="X312" s="305">
        <f t="shared" ca="1" si="104"/>
        <v>0</v>
      </c>
    </row>
    <row r="313" spans="1:24" x14ac:dyDescent="0.2">
      <c r="A313" s="64"/>
      <c r="B313" s="16">
        <f t="shared" si="105"/>
        <v>25</v>
      </c>
      <c r="C313" s="64"/>
      <c r="D313" s="1"/>
      <c r="E313" s="16"/>
      <c r="F313" s="18"/>
      <c r="G313" s="16"/>
      <c r="H313" s="16"/>
      <c r="I313" s="1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6"/>
      <c r="U313" s="1"/>
      <c r="V313" s="64"/>
      <c r="W313" s="64"/>
      <c r="X313" s="305">
        <f t="shared" si="104"/>
        <v>0</v>
      </c>
    </row>
    <row r="314" spans="1:24" ht="15" x14ac:dyDescent="0.25">
      <c r="A314" s="64"/>
      <c r="B314" s="16">
        <f t="shared" si="105"/>
        <v>26</v>
      </c>
      <c r="C314" s="64"/>
      <c r="D314" s="233" t="s">
        <v>519</v>
      </c>
      <c r="E314" s="16"/>
      <c r="F314" s="805">
        <f>SUM(F296:F297)</f>
        <v>1202556648.3599997</v>
      </c>
      <c r="G314" s="16"/>
      <c r="H314" s="16"/>
      <c r="I314" s="16"/>
      <c r="J314" s="21">
        <f t="shared" ref="J314:Q314" si="113">SUM(J296:J297)</f>
        <v>657246592.54121387</v>
      </c>
      <c r="K314" s="21">
        <f t="shared" si="113"/>
        <v>12417141.144699618</v>
      </c>
      <c r="L314" s="21">
        <f t="shared" si="113"/>
        <v>422152261.87040246</v>
      </c>
      <c r="M314" s="21">
        <f t="shared" si="113"/>
        <v>163661.34540260091</v>
      </c>
      <c r="N314" s="21">
        <f t="shared" si="113"/>
        <v>102875407.05632319</v>
      </c>
      <c r="O314" s="21">
        <f>SUM(O296:O297)</f>
        <v>0</v>
      </c>
      <c r="P314" s="21">
        <f t="shared" si="113"/>
        <v>0</v>
      </c>
      <c r="Q314" s="21">
        <f t="shared" si="113"/>
        <v>3754229.2507870155</v>
      </c>
      <c r="R314" s="21">
        <f>SUM(R296:R297)</f>
        <v>0</v>
      </c>
      <c r="S314" s="21">
        <f>SUM(S296:S297)</f>
        <v>3947355.1511709746</v>
      </c>
      <c r="T314" s="16"/>
      <c r="U314" s="235">
        <f>SUM(I314:T314)</f>
        <v>1202556648.3599999</v>
      </c>
      <c r="V314" s="64"/>
      <c r="W314" s="64"/>
      <c r="X314" s="305">
        <f t="shared" si="104"/>
        <v>0</v>
      </c>
    </row>
    <row r="315" spans="1:24" ht="15" x14ac:dyDescent="0.25">
      <c r="A315" s="64"/>
      <c r="B315" s="16">
        <f t="shared" si="105"/>
        <v>27</v>
      </c>
      <c r="C315" s="64"/>
      <c r="D315" s="233" t="s">
        <v>520</v>
      </c>
      <c r="E315" s="16"/>
      <c r="F315" s="805">
        <f>SUM(F298:F299)</f>
        <v>689155456.41999996</v>
      </c>
      <c r="G315" s="16"/>
      <c r="H315" s="16"/>
      <c r="I315" s="16"/>
      <c r="J315" s="21">
        <f t="shared" ref="J315:Q315" si="114">SUM(J298:J299)</f>
        <v>375366503.92847836</v>
      </c>
      <c r="K315" s="21">
        <f t="shared" si="114"/>
        <v>7091674.43873828</v>
      </c>
      <c r="L315" s="21">
        <f t="shared" si="114"/>
        <v>241099490.6053558</v>
      </c>
      <c r="M315" s="21">
        <f t="shared" si="114"/>
        <v>97067.582507050145</v>
      </c>
      <c r="N315" s="21">
        <f t="shared" si="114"/>
        <v>61015428.156362474</v>
      </c>
      <c r="O315" s="21">
        <f>SUM(O298:O299)</f>
        <v>0</v>
      </c>
      <c r="P315" s="21">
        <f t="shared" si="114"/>
        <v>0</v>
      </c>
      <c r="Q315" s="21">
        <f t="shared" si="114"/>
        <v>2144114.4386390802</v>
      </c>
      <c r="R315" s="21">
        <f>SUM(R298:R299)</f>
        <v>0</v>
      </c>
      <c r="S315" s="21">
        <f>SUM(S298:S299)</f>
        <v>2341177.2699189158</v>
      </c>
      <c r="T315" s="16"/>
      <c r="U315" s="235">
        <f>SUM(I315:T315)</f>
        <v>689155456.41999996</v>
      </c>
      <c r="V315" s="64"/>
      <c r="W315" s="64"/>
      <c r="X315" s="305">
        <f t="shared" si="104"/>
        <v>0</v>
      </c>
    </row>
    <row r="316" spans="1:24" ht="15" x14ac:dyDescent="0.25">
      <c r="A316" s="64"/>
      <c r="B316" s="16">
        <f t="shared" si="105"/>
        <v>28</v>
      </c>
      <c r="C316" s="64"/>
      <c r="D316" s="233" t="s">
        <v>521</v>
      </c>
      <c r="E316" s="16"/>
      <c r="F316" s="21">
        <f>SUM(F300:F301)</f>
        <v>550241099.80999994</v>
      </c>
      <c r="G316" s="16"/>
      <c r="H316" s="16"/>
      <c r="I316" s="16"/>
      <c r="J316" s="21">
        <f t="shared" ref="J316:Q316" si="115">SUM(J300:J301)</f>
        <v>307139632.30559486</v>
      </c>
      <c r="K316" s="21">
        <f t="shared" si="115"/>
        <v>5802686.8587083053</v>
      </c>
      <c r="L316" s="21">
        <f t="shared" si="115"/>
        <v>197277082.84728777</v>
      </c>
      <c r="M316" s="21">
        <f t="shared" si="115"/>
        <v>58538.994401104945</v>
      </c>
      <c r="N316" s="21">
        <f t="shared" si="115"/>
        <v>36796855.499794699</v>
      </c>
      <c r="O316" s="21">
        <f>SUM(O300:O301)</f>
        <v>0</v>
      </c>
      <c r="P316" s="21">
        <f t="shared" si="115"/>
        <v>0</v>
      </c>
      <c r="Q316" s="21">
        <f t="shared" si="115"/>
        <v>1754398.7367349148</v>
      </c>
      <c r="R316" s="21">
        <f>SUM(R300:R301)</f>
        <v>0</v>
      </c>
      <c r="S316" s="21">
        <f>SUM(S300:S301)</f>
        <v>1411904.5674782665</v>
      </c>
      <c r="T316" s="16"/>
      <c r="U316" s="235">
        <f>SUM(I316:T316)</f>
        <v>550241099.80999994</v>
      </c>
      <c r="V316" s="64"/>
      <c r="W316" s="64"/>
      <c r="X316" s="305">
        <f t="shared" si="104"/>
        <v>0</v>
      </c>
    </row>
    <row r="317" spans="1:24" ht="15" x14ac:dyDescent="0.25">
      <c r="A317" s="64"/>
      <c r="B317" s="16">
        <f t="shared" si="105"/>
        <v>29</v>
      </c>
      <c r="C317" s="64"/>
      <c r="D317" s="233" t="s">
        <v>522</v>
      </c>
      <c r="E317" s="16"/>
      <c r="F317" s="21">
        <f>SUM(F302:F303)</f>
        <v>691245457.77999997</v>
      </c>
      <c r="G317" s="16"/>
      <c r="H317" s="16"/>
      <c r="I317" s="16"/>
      <c r="J317" s="21">
        <f t="shared" ref="J317:Q317" si="116">SUM(J302:J303)</f>
        <v>379786565.90649378</v>
      </c>
      <c r="K317" s="21">
        <f t="shared" si="116"/>
        <v>7175181.1987157315</v>
      </c>
      <c r="L317" s="21">
        <f t="shared" si="116"/>
        <v>243938515.07927808</v>
      </c>
      <c r="M317" s="21">
        <f t="shared" si="116"/>
        <v>88993.863585225947</v>
      </c>
      <c r="N317" s="21">
        <f t="shared" si="116"/>
        <v>55940392.76240436</v>
      </c>
      <c r="O317" s="21">
        <f>SUM(O302:O303)</f>
        <v>0</v>
      </c>
      <c r="P317" s="21">
        <f t="shared" si="116"/>
        <v>0</v>
      </c>
      <c r="Q317" s="21">
        <f t="shared" si="116"/>
        <v>2169362.0795648349</v>
      </c>
      <c r="R317" s="21">
        <f>SUM(R302:R303)</f>
        <v>0</v>
      </c>
      <c r="S317" s="21">
        <f>SUM(S302:S303)</f>
        <v>2146446.8899579626</v>
      </c>
      <c r="T317" s="16"/>
      <c r="U317" s="235">
        <f>SUM(I317:T317)</f>
        <v>691245457.77999985</v>
      </c>
      <c r="V317" s="64"/>
      <c r="W317" s="64"/>
      <c r="X317" s="305">
        <f t="shared" si="104"/>
        <v>0</v>
      </c>
    </row>
    <row r="318" spans="1:24" ht="15" x14ac:dyDescent="0.25">
      <c r="A318" s="64"/>
      <c r="B318" s="16">
        <f t="shared" si="105"/>
        <v>30</v>
      </c>
      <c r="C318" s="64"/>
      <c r="D318" s="233" t="s">
        <v>523</v>
      </c>
      <c r="E318" s="16"/>
      <c r="F318" s="21">
        <f>SUM(F304:F306)</f>
        <v>761627190.18000007</v>
      </c>
      <c r="G318" s="16"/>
      <c r="H318" s="16"/>
      <c r="I318" s="16"/>
      <c r="J318" s="21">
        <f t="shared" ref="J318:Q318" si="117">SUM(J304:J306)</f>
        <v>447329833.29653406</v>
      </c>
      <c r="K318" s="21">
        <f t="shared" si="117"/>
        <v>8451253.6714744624</v>
      </c>
      <c r="L318" s="21">
        <f t="shared" si="117"/>
        <v>287321840.95180428</v>
      </c>
      <c r="M318" s="21">
        <f t="shared" si="117"/>
        <v>13877.837576738568</v>
      </c>
      <c r="N318" s="21">
        <f t="shared" si="117"/>
        <v>8723429.3855794556</v>
      </c>
      <c r="O318" s="21">
        <f>SUM(O304:O306)</f>
        <v>1459218.9847879661</v>
      </c>
      <c r="P318" s="21">
        <f t="shared" si="117"/>
        <v>5336975.967392412</v>
      </c>
      <c r="Q318" s="21">
        <f t="shared" si="117"/>
        <v>2555172.9959044545</v>
      </c>
      <c r="R318" s="21">
        <f>SUM(R304:R306)</f>
        <v>100866.91717380694</v>
      </c>
      <c r="S318" s="21">
        <f>SUM(S304:S306)</f>
        <v>334720.17177235376</v>
      </c>
      <c r="T318" s="16"/>
      <c r="U318" s="235">
        <f>SUM(I318:T318)</f>
        <v>761627190.18000007</v>
      </c>
      <c r="V318" s="64"/>
      <c r="W318" s="64"/>
      <c r="X318" s="305">
        <f t="shared" si="104"/>
        <v>0</v>
      </c>
    </row>
    <row r="319" spans="1:24" ht="15" thickBot="1" x14ac:dyDescent="0.25">
      <c r="A319" s="64"/>
      <c r="B319" s="16">
        <f t="shared" si="105"/>
        <v>31</v>
      </c>
      <c r="C319" s="64"/>
      <c r="D319" s="1"/>
      <c r="E319" s="16"/>
      <c r="F319" s="18"/>
      <c r="G319" s="16"/>
      <c r="H319" s="16"/>
      <c r="I319" s="1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6"/>
      <c r="U319" s="1"/>
      <c r="V319" s="64"/>
      <c r="W319" s="64"/>
      <c r="X319" s="305">
        <f t="shared" si="104"/>
        <v>0</v>
      </c>
    </row>
    <row r="320" spans="1:24" ht="15" x14ac:dyDescent="0.25">
      <c r="A320" s="64"/>
      <c r="B320" s="16">
        <f t="shared" si="105"/>
        <v>32</v>
      </c>
      <c r="C320" s="239" t="s">
        <v>526</v>
      </c>
      <c r="D320" s="240"/>
      <c r="E320" s="241" t="s">
        <v>24</v>
      </c>
      <c r="F320" s="242">
        <f>F261+F276+F312</f>
        <v>6379749241.9099979</v>
      </c>
      <c r="G320" s="241"/>
      <c r="H320" s="372"/>
      <c r="I320" s="769"/>
      <c r="J320" s="374">
        <f t="shared" ref="J320:Q320" ca="1" si="118">J261+J276+J312</f>
        <v>3309244350.7709074</v>
      </c>
      <c r="K320" s="817">
        <f t="shared" ca="1" si="118"/>
        <v>152080140.9109529</v>
      </c>
      <c r="L320" s="817">
        <f t="shared" ca="1" si="118"/>
        <v>2058693350.1223629</v>
      </c>
      <c r="M320" s="817">
        <f t="shared" ca="1" si="118"/>
        <v>536290.89460460166</v>
      </c>
      <c r="N320" s="817">
        <f t="shared" ca="1" si="118"/>
        <v>337105526.94852364</v>
      </c>
      <c r="O320" s="817">
        <f ca="1">O261+O276+O312</f>
        <v>29122678.541976444</v>
      </c>
      <c r="P320" s="817">
        <f t="shared" ca="1" si="118"/>
        <v>5531816.6525930185</v>
      </c>
      <c r="Q320" s="817">
        <f t="shared" ca="1" si="118"/>
        <v>472487190.19571012</v>
      </c>
      <c r="R320" s="817">
        <f ca="1">R261+R276+R312</f>
        <v>2013073.318669701</v>
      </c>
      <c r="S320" s="817">
        <f ca="1">S261+S276+S312</f>
        <v>12934823.553698599</v>
      </c>
      <c r="T320" s="373"/>
      <c r="U320" s="243">
        <f ca="1">SUM(I320:T320)</f>
        <v>6379749241.9099979</v>
      </c>
      <c r="V320" s="64"/>
      <c r="W320" s="64"/>
      <c r="X320" s="305">
        <f t="shared" ca="1" si="104"/>
        <v>0</v>
      </c>
    </row>
    <row r="321" spans="1:24" ht="15.75" thickBot="1" x14ac:dyDescent="0.3">
      <c r="A321" s="64"/>
      <c r="B321" s="16">
        <f t="shared" si="105"/>
        <v>33</v>
      </c>
      <c r="C321" s="245" t="s">
        <v>527</v>
      </c>
      <c r="D321" s="246"/>
      <c r="E321" s="247" t="s">
        <v>24</v>
      </c>
      <c r="F321" s="248">
        <f>F276+F312</f>
        <v>6376544776.0699987</v>
      </c>
      <c r="G321" s="247"/>
      <c r="H321" s="375"/>
      <c r="I321" s="964"/>
      <c r="J321" s="377">
        <f t="shared" ref="J321:Q321" ca="1" si="119">J276+J312</f>
        <v>3307496051.0936947</v>
      </c>
      <c r="K321" s="248">
        <f t="shared" ca="1" si="119"/>
        <v>152033861.74363115</v>
      </c>
      <c r="L321" s="248">
        <f t="shared" ca="1" si="119"/>
        <v>2057580299.138474</v>
      </c>
      <c r="M321" s="248">
        <f t="shared" ca="1" si="119"/>
        <v>535955.54799597966</v>
      </c>
      <c r="N321" s="248">
        <f t="shared" ca="1" si="119"/>
        <v>336894732.40334815</v>
      </c>
      <c r="O321" s="248">
        <f ca="1">O276+O312</f>
        <v>29098048.059646543</v>
      </c>
      <c r="P321" s="248">
        <f t="shared" ca="1" si="119"/>
        <v>5527659.6321170824</v>
      </c>
      <c r="Q321" s="248">
        <f t="shared" ca="1" si="119"/>
        <v>472440062.3734169</v>
      </c>
      <c r="R321" s="248">
        <f ca="1">R276+R312</f>
        <v>2011370.7635035331</v>
      </c>
      <c r="S321" s="248">
        <f ca="1">S276+S312</f>
        <v>12926735.314171327</v>
      </c>
      <c r="T321" s="376"/>
      <c r="U321" s="249">
        <f ca="1">SUM(I321:T321)</f>
        <v>6376544776.0699987</v>
      </c>
      <c r="V321" s="64"/>
      <c r="W321" s="64"/>
      <c r="X321" s="305">
        <f t="shared" ca="1" si="104"/>
        <v>0</v>
      </c>
    </row>
    <row r="322" spans="1:24" ht="15.75" thickBot="1" x14ac:dyDescent="0.3">
      <c r="A322" s="64"/>
      <c r="B322" s="16">
        <f t="shared" si="105"/>
        <v>34</v>
      </c>
      <c r="C322" s="8"/>
      <c r="D322" s="8"/>
      <c r="E322" s="19"/>
      <c r="F322" s="21"/>
      <c r="G322" s="19"/>
      <c r="H322" s="19"/>
      <c r="I322" s="19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9"/>
      <c r="U322" s="21"/>
      <c r="V322" s="64"/>
      <c r="W322" s="64"/>
      <c r="X322" s="305">
        <f t="shared" si="104"/>
        <v>0</v>
      </c>
    </row>
    <row r="323" spans="1:24" ht="15" x14ac:dyDescent="0.25">
      <c r="A323" s="64"/>
      <c r="B323" s="16">
        <f t="shared" si="105"/>
        <v>35</v>
      </c>
      <c r="C323" s="255" t="s">
        <v>528</v>
      </c>
      <c r="D323" s="240"/>
      <c r="E323" s="256"/>
      <c r="F323" s="242">
        <f>F106-F261</f>
        <v>5441318.1600000001</v>
      </c>
      <c r="G323" s="256"/>
      <c r="H323" s="383"/>
      <c r="I323" s="965"/>
      <c r="J323" s="374">
        <f t="shared" ref="J323:Q323" ca="1" si="120">J106-J261</f>
        <v>2968686.5948120262</v>
      </c>
      <c r="K323" s="817">
        <f t="shared" ca="1" si="120"/>
        <v>78583.978157616861</v>
      </c>
      <c r="L323" s="817">
        <f t="shared" ca="1" si="120"/>
        <v>1890007.5188941658</v>
      </c>
      <c r="M323" s="817">
        <f t="shared" ca="1" si="120"/>
        <v>569.43268628806868</v>
      </c>
      <c r="N323" s="817">
        <f t="shared" ca="1" si="120"/>
        <v>357938.02897657047</v>
      </c>
      <c r="O323" s="817">
        <f ca="1">O106-O261</f>
        <v>41823.597904616268</v>
      </c>
      <c r="P323" s="817">
        <f t="shared" ca="1" si="120"/>
        <v>7058.7961103685548</v>
      </c>
      <c r="Q323" s="817">
        <f t="shared" ca="1" si="120"/>
        <v>80025.030095270253</v>
      </c>
      <c r="R323" s="817">
        <f ca="1">R106-R261</f>
        <v>2891.0104855636373</v>
      </c>
      <c r="S323" s="566">
        <f ca="1">S106-S261</f>
        <v>13734.171877512947</v>
      </c>
      <c r="T323" s="384"/>
      <c r="U323" s="243">
        <f ca="1">SUM(I323:T323)</f>
        <v>5441318.1599999983</v>
      </c>
      <c r="V323" s="64"/>
      <c r="W323" s="64"/>
      <c r="X323" s="305">
        <f t="shared" ca="1" si="104"/>
        <v>0</v>
      </c>
    </row>
    <row r="324" spans="1:24" ht="15" x14ac:dyDescent="0.25">
      <c r="A324" s="64"/>
      <c r="B324" s="16">
        <f t="shared" si="105"/>
        <v>36</v>
      </c>
      <c r="C324" s="173" t="s">
        <v>529</v>
      </c>
      <c r="D324" s="225"/>
      <c r="E324" s="257"/>
      <c r="F324" s="258">
        <f>F121-F276</f>
        <v>334548282.40999997</v>
      </c>
      <c r="G324" s="257"/>
      <c r="H324" s="385"/>
      <c r="I324" s="966"/>
      <c r="J324" s="567">
        <f t="shared" ref="J324:Q324" ca="1" si="121">J121-J276</f>
        <v>171545153.9896324</v>
      </c>
      <c r="K324" s="258">
        <f t="shared" ca="1" si="121"/>
        <v>3240945.5050083422</v>
      </c>
      <c r="L324" s="258">
        <f t="shared" ca="1" si="121"/>
        <v>110184176.82414795</v>
      </c>
      <c r="M324" s="258">
        <f t="shared" ca="1" si="121"/>
        <v>51559.663147211599</v>
      </c>
      <c r="N324" s="258">
        <f t="shared" ca="1" si="121"/>
        <v>32409738.053344898</v>
      </c>
      <c r="O324" s="258">
        <f ca="1">O121-O276</f>
        <v>13930343.34520641</v>
      </c>
      <c r="P324" s="258">
        <f t="shared" ca="1" si="121"/>
        <v>0</v>
      </c>
      <c r="Q324" s="258">
        <f t="shared" ca="1" si="121"/>
        <v>979875.5022046864</v>
      </c>
      <c r="R324" s="258">
        <f ca="1">R121-R276</f>
        <v>962919.75574029377</v>
      </c>
      <c r="S324" s="259">
        <f ca="1">S121-S276</f>
        <v>1243569.7715677675</v>
      </c>
      <c r="T324" s="386"/>
      <c r="U324" s="259">
        <f ca="1">SUM(I324:T324)</f>
        <v>334548282.40999991</v>
      </c>
      <c r="V324" s="64"/>
      <c r="W324" s="64"/>
      <c r="X324" s="305">
        <f t="shared" ca="1" si="104"/>
        <v>0</v>
      </c>
    </row>
    <row r="325" spans="1:24" ht="15" x14ac:dyDescent="0.25">
      <c r="A325" s="64"/>
      <c r="B325" s="16">
        <f t="shared" si="105"/>
        <v>37</v>
      </c>
      <c r="C325" s="173" t="s">
        <v>530</v>
      </c>
      <c r="D325" s="225"/>
      <c r="E325" s="257"/>
      <c r="F325" s="258">
        <f>F159-F312</f>
        <v>13196087259.400002</v>
      </c>
      <c r="G325" s="257"/>
      <c r="H325" s="385"/>
      <c r="I325" s="966"/>
      <c r="J325" s="567">
        <f t="shared" ref="J325:Q325" ca="1" si="122">J159-J312</f>
        <v>7210529404.2564735</v>
      </c>
      <c r="K325" s="258">
        <f t="shared" ca="1" si="122"/>
        <v>192169640.05727232</v>
      </c>
      <c r="L325" s="258">
        <f t="shared" ca="1" si="122"/>
        <v>4589596677.2763844</v>
      </c>
      <c r="M325" s="258">
        <f t="shared" ca="1" si="122"/>
        <v>1364418.2152273343</v>
      </c>
      <c r="N325" s="258">
        <f t="shared" ca="1" si="122"/>
        <v>857655660.48159432</v>
      </c>
      <c r="O325" s="258">
        <f ca="1">O159-O312</f>
        <v>90070166.026693881</v>
      </c>
      <c r="P325" s="258">
        <f t="shared" ca="1" si="122"/>
        <v>17552731.658930041</v>
      </c>
      <c r="Q325" s="258">
        <f t="shared" ca="1" si="122"/>
        <v>198014097.02475357</v>
      </c>
      <c r="R325" s="258">
        <f ca="1">R159-R312</f>
        <v>6226001.7661199057</v>
      </c>
      <c r="S325" s="259">
        <f ca="1">S159-S312</f>
        <v>32908462.636550792</v>
      </c>
      <c r="T325" s="386"/>
      <c r="U325" s="261">
        <f ca="1">SUM(I325:T325)</f>
        <v>13196087259.399998</v>
      </c>
      <c r="V325" s="64"/>
      <c r="W325" s="64"/>
      <c r="X325" s="305">
        <f t="shared" ca="1" si="104"/>
        <v>0</v>
      </c>
    </row>
    <row r="326" spans="1:24" ht="15" x14ac:dyDescent="0.25">
      <c r="A326" s="64"/>
      <c r="B326" s="16">
        <f t="shared" si="105"/>
        <v>38</v>
      </c>
      <c r="C326" s="173" t="s">
        <v>531</v>
      </c>
      <c r="D326" s="225"/>
      <c r="E326" s="257"/>
      <c r="F326" s="258">
        <f>SUM(F324:F325)</f>
        <v>13530635541.810001</v>
      </c>
      <c r="G326" s="257"/>
      <c r="H326" s="385"/>
      <c r="I326" s="966"/>
      <c r="J326" s="567">
        <f t="shared" ref="J326:Q326" ca="1" si="123">SUM(J324:J325)</f>
        <v>7382074558.2461061</v>
      </c>
      <c r="K326" s="258">
        <f t="shared" ca="1" si="123"/>
        <v>195410585.56228065</v>
      </c>
      <c r="L326" s="258">
        <f t="shared" ca="1" si="123"/>
        <v>4699780854.1005325</v>
      </c>
      <c r="M326" s="258">
        <f t="shared" ca="1" si="123"/>
        <v>1415977.8783745458</v>
      </c>
      <c r="N326" s="258">
        <f t="shared" ca="1" si="123"/>
        <v>890065398.53493917</v>
      </c>
      <c r="O326" s="258">
        <f ca="1">SUM(O324:O325)</f>
        <v>104000509.37190029</v>
      </c>
      <c r="P326" s="258">
        <f t="shared" ca="1" si="123"/>
        <v>17552731.658930041</v>
      </c>
      <c r="Q326" s="258">
        <f t="shared" ca="1" si="123"/>
        <v>198993972.52695826</v>
      </c>
      <c r="R326" s="258">
        <f ca="1">SUM(R324:R325)</f>
        <v>7188921.521860199</v>
      </c>
      <c r="S326" s="259">
        <f ca="1">SUM(S324:S325)</f>
        <v>34152032.408118561</v>
      </c>
      <c r="T326" s="386"/>
      <c r="U326" s="261">
        <f ca="1">SUM(I326:T326)</f>
        <v>13530635541.810001</v>
      </c>
      <c r="V326" s="64"/>
      <c r="W326" s="64"/>
      <c r="X326" s="305">
        <f t="shared" ca="1" si="104"/>
        <v>0</v>
      </c>
    </row>
    <row r="327" spans="1:24" ht="15.75" thickBot="1" x14ac:dyDescent="0.3">
      <c r="A327" s="64"/>
      <c r="B327" s="16">
        <f t="shared" si="105"/>
        <v>39</v>
      </c>
      <c r="C327" s="262" t="s">
        <v>532</v>
      </c>
      <c r="D327" s="246"/>
      <c r="E327" s="263"/>
      <c r="F327" s="248">
        <f>SUM(F323:F325)</f>
        <v>13536076859.970001</v>
      </c>
      <c r="G327" s="263"/>
      <c r="H327" s="387"/>
      <c r="I327" s="967"/>
      <c r="J327" s="377">
        <f t="shared" ref="J327:Q327" ca="1" si="124">SUM(J323:J325)</f>
        <v>7385043244.8409176</v>
      </c>
      <c r="K327" s="248">
        <f t="shared" ca="1" si="124"/>
        <v>195489169.54043826</v>
      </c>
      <c r="L327" s="248">
        <f t="shared" ca="1" si="124"/>
        <v>4701670861.6194267</v>
      </c>
      <c r="M327" s="248">
        <f t="shared" ca="1" si="124"/>
        <v>1416547.311060834</v>
      </c>
      <c r="N327" s="248">
        <f t="shared" ca="1" si="124"/>
        <v>890423336.56391585</v>
      </c>
      <c r="O327" s="248">
        <f ca="1">SUM(O323:O325)</f>
        <v>104042332.96980491</v>
      </c>
      <c r="P327" s="248">
        <f t="shared" ca="1" si="124"/>
        <v>17559790.45504041</v>
      </c>
      <c r="Q327" s="248">
        <f t="shared" ca="1" si="124"/>
        <v>199073997.55705354</v>
      </c>
      <c r="R327" s="248">
        <f ca="1">SUM(R323:R325)</f>
        <v>7191812.5323457634</v>
      </c>
      <c r="S327" s="378">
        <f ca="1">SUM(S323:S325)</f>
        <v>34165766.579996072</v>
      </c>
      <c r="T327" s="388"/>
      <c r="U327" s="249">
        <f ca="1">SUM(I327:T327)</f>
        <v>13536076859.969995</v>
      </c>
      <c r="V327" s="64"/>
      <c r="W327" s="64"/>
      <c r="X327" s="305">
        <f t="shared" ca="1" si="104"/>
        <v>0</v>
      </c>
    </row>
    <row r="328" spans="1:24" x14ac:dyDescent="0.2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X328" s="305">
        <f t="shared" si="104"/>
        <v>0</v>
      </c>
    </row>
    <row r="329" spans="1:24" x14ac:dyDescent="0.2">
      <c r="A329" s="64"/>
      <c r="B329" s="16"/>
      <c r="C329" s="1"/>
      <c r="D329" s="1"/>
      <c r="E329" s="16"/>
      <c r="F329" s="17"/>
      <c r="G329" s="16"/>
      <c r="H329" s="105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05"/>
      <c r="V329" s="105">
        <f>$H$2</f>
        <v>0</v>
      </c>
      <c r="W329" s="105"/>
      <c r="X329" s="305"/>
    </row>
    <row r="330" spans="1:24" ht="15" thickBot="1" x14ac:dyDescent="0.25">
      <c r="A330" s="64"/>
      <c r="B330" s="16"/>
      <c r="C330" s="1"/>
      <c r="D330" s="1"/>
      <c r="E330" s="16"/>
      <c r="F330" s="1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"/>
      <c r="V330" s="64"/>
      <c r="W330" s="64"/>
      <c r="X330" s="305">
        <f t="shared" si="104"/>
        <v>0</v>
      </c>
    </row>
    <row r="331" spans="1:24" ht="15" x14ac:dyDescent="0.25">
      <c r="A331" s="64"/>
      <c r="B331" s="829" t="str">
        <f>+$B$4</f>
        <v>2025 RATE CASE</v>
      </c>
      <c r="C331" s="844"/>
      <c r="D331" s="547"/>
      <c r="F331" s="11"/>
      <c r="U331" s="105"/>
      <c r="X331" s="305">
        <f t="shared" si="104"/>
        <v>0</v>
      </c>
    </row>
    <row r="332" spans="1:24" ht="15" x14ac:dyDescent="0.25">
      <c r="A332" s="64"/>
      <c r="B332" s="826" t="str">
        <f>+$B$5</f>
        <v>ONCOR ELECTRIC DELIVERY COMPANY LLC</v>
      </c>
      <c r="C332" s="8"/>
      <c r="D332" s="548"/>
      <c r="F332" s="11"/>
      <c r="U332" s="105"/>
      <c r="V332" s="64"/>
      <c r="W332" s="64"/>
      <c r="X332" s="305">
        <f t="shared" si="104"/>
        <v>0</v>
      </c>
    </row>
    <row r="333" spans="1:24" ht="15" x14ac:dyDescent="0.25">
      <c r="A333" s="64"/>
      <c r="B333" s="826" t="str">
        <f>+$B$6</f>
        <v>II-I-1-DIST:  CLASS REVENUE REQUIREMENT</v>
      </c>
      <c r="C333" s="82"/>
      <c r="D333" s="548"/>
      <c r="F333" s="11"/>
      <c r="U333" s="11"/>
      <c r="V333" s="64"/>
      <c r="W333" s="64"/>
      <c r="X333" s="305">
        <f t="shared" si="104"/>
        <v>0</v>
      </c>
    </row>
    <row r="334" spans="1:24" ht="15" x14ac:dyDescent="0.25">
      <c r="A334" s="64"/>
      <c r="B334" s="341" t="str">
        <f>+$B$7</f>
        <v>TEST YEAR ENDING 12/31/2024</v>
      </c>
      <c r="C334" s="82"/>
      <c r="D334" s="548"/>
      <c r="F334" s="11"/>
      <c r="U334" s="11"/>
      <c r="V334" s="64"/>
      <c r="W334" s="64"/>
      <c r="X334" s="305">
        <f t="shared" si="104"/>
        <v>0</v>
      </c>
    </row>
    <row r="335" spans="1:24" ht="15" x14ac:dyDescent="0.25">
      <c r="A335" s="64"/>
      <c r="B335" s="341" t="str">
        <f>+$B$8</f>
        <v>SPONSOR:  MATTHEW A. TROXLE</v>
      </c>
      <c r="C335" s="82"/>
      <c r="D335" s="548"/>
      <c r="F335" s="11"/>
      <c r="U335" s="11"/>
      <c r="V335" s="64"/>
      <c r="W335" s="64"/>
      <c r="X335" s="305">
        <f t="shared" si="104"/>
        <v>0</v>
      </c>
    </row>
    <row r="336" spans="1:24" ht="15.75" thickBot="1" x14ac:dyDescent="0.3">
      <c r="A336" s="64"/>
      <c r="B336" s="345"/>
      <c r="C336" s="843"/>
      <c r="D336" s="549"/>
      <c r="F336" s="11"/>
      <c r="U336" s="11"/>
      <c r="V336" s="64"/>
      <c r="W336" s="64"/>
      <c r="X336" s="305">
        <f t="shared" si="104"/>
        <v>0</v>
      </c>
    </row>
    <row r="337" spans="1:24" ht="15" thickBot="1" x14ac:dyDescent="0.25">
      <c r="A337" s="64"/>
      <c r="B337" s="12"/>
      <c r="C337" s="13"/>
      <c r="D337" s="13"/>
      <c r="E337" s="13"/>
      <c r="F337" s="12"/>
      <c r="G337" s="13"/>
      <c r="H337" s="13"/>
      <c r="I337" s="13"/>
      <c r="J337" s="177"/>
      <c r="K337" s="177"/>
      <c r="L337" s="13"/>
      <c r="M337" s="177"/>
      <c r="N337" s="177"/>
      <c r="O337" s="177"/>
      <c r="P337" s="177"/>
      <c r="Q337" s="13"/>
      <c r="R337" s="328" t="str">
        <f>R$10</f>
        <v xml:space="preserve"> </v>
      </c>
      <c r="S337" s="329"/>
      <c r="T337" s="177"/>
      <c r="U337" s="12"/>
      <c r="V337" s="64"/>
      <c r="W337" s="64"/>
      <c r="X337" s="305">
        <f t="shared" si="104"/>
        <v>0</v>
      </c>
    </row>
    <row r="338" spans="1:24" ht="15" x14ac:dyDescent="0.25">
      <c r="A338" s="64"/>
      <c r="B338" s="14" t="s">
        <v>2</v>
      </c>
      <c r="C338" s="14" t="s">
        <v>349</v>
      </c>
      <c r="D338" s="226" t="s">
        <v>533</v>
      </c>
      <c r="E338" s="14" t="s">
        <v>350</v>
      </c>
      <c r="F338" s="226" t="str">
        <f>F$11</f>
        <v>DIST</v>
      </c>
      <c r="G338" s="181" t="s">
        <v>688</v>
      </c>
      <c r="H338" s="181" t="s">
        <v>355</v>
      </c>
      <c r="I338" s="14"/>
      <c r="J338" s="181" t="s">
        <v>679</v>
      </c>
      <c r="K338" s="181" t="s">
        <v>388</v>
      </c>
      <c r="L338" s="14" t="s">
        <v>388</v>
      </c>
      <c r="M338" s="181" t="s">
        <v>389</v>
      </c>
      <c r="N338" s="181" t="s">
        <v>389</v>
      </c>
      <c r="O338" s="181" t="s">
        <v>389</v>
      </c>
      <c r="P338" s="181" t="s">
        <v>390</v>
      </c>
      <c r="Q338" s="14" t="s">
        <v>391</v>
      </c>
      <c r="R338" s="331" t="str">
        <f>R$11</f>
        <v>Wholesale</v>
      </c>
      <c r="S338" s="12" t="str">
        <f>S$11</f>
        <v>Wholesale</v>
      </c>
      <c r="T338" s="181"/>
      <c r="U338" s="14" t="s">
        <v>10</v>
      </c>
      <c r="V338" s="64"/>
      <c r="W338" s="64"/>
      <c r="X338" s="305"/>
    </row>
    <row r="339" spans="1:24" x14ac:dyDescent="0.2">
      <c r="A339" s="64"/>
      <c r="B339" s="14"/>
      <c r="C339" s="14"/>
      <c r="D339" s="14"/>
      <c r="E339" s="14"/>
      <c r="F339" s="14"/>
      <c r="G339" s="181" t="s">
        <v>689</v>
      </c>
      <c r="H339" s="181" t="s">
        <v>690</v>
      </c>
      <c r="I339" s="14"/>
      <c r="J339" s="181"/>
      <c r="K339" s="181" t="s">
        <v>680</v>
      </c>
      <c r="L339" s="14" t="s">
        <v>681</v>
      </c>
      <c r="M339" s="181" t="s">
        <v>680</v>
      </c>
      <c r="N339" s="181" t="s">
        <v>681</v>
      </c>
      <c r="O339" s="181" t="s">
        <v>393</v>
      </c>
      <c r="P339" s="181"/>
      <c r="Q339" s="14"/>
      <c r="R339" s="174" t="str">
        <f>R$12</f>
        <v>XFMR</v>
      </c>
      <c r="S339" s="14" t="str">
        <f>S$12</f>
        <v>DLS</v>
      </c>
      <c r="T339" s="181"/>
      <c r="U339" s="14"/>
      <c r="V339" s="64"/>
      <c r="W339" s="64"/>
      <c r="X339" s="305">
        <f t="shared" si="104"/>
        <v>0</v>
      </c>
    </row>
    <row r="340" spans="1:24" ht="15" thickBot="1" x14ac:dyDescent="0.25">
      <c r="A340" s="64"/>
      <c r="B340" s="15"/>
      <c r="C340" s="15"/>
      <c r="D340" s="15"/>
      <c r="E340" s="15"/>
      <c r="F340" s="15" t="s">
        <v>13</v>
      </c>
      <c r="G340" s="15" t="s">
        <v>14</v>
      </c>
      <c r="H340" s="15" t="s">
        <v>15</v>
      </c>
      <c r="I340" s="15"/>
      <c r="J340" s="182" t="str">
        <f t="shared" ref="J340:Q340" si="125">J$13</f>
        <v>(d)</v>
      </c>
      <c r="K340" s="182" t="str">
        <f t="shared" si="125"/>
        <v>(e)</v>
      </c>
      <c r="L340" s="15" t="str">
        <f t="shared" si="125"/>
        <v>(f)</v>
      </c>
      <c r="M340" s="182" t="str">
        <f t="shared" si="125"/>
        <v>(g)</v>
      </c>
      <c r="N340" s="182" t="str">
        <f t="shared" si="125"/>
        <v>(h)</v>
      </c>
      <c r="O340" s="182" t="str">
        <f>O$13</f>
        <v>(i)</v>
      </c>
      <c r="P340" s="182" t="str">
        <f t="shared" si="125"/>
        <v>(j)</v>
      </c>
      <c r="Q340" s="182" t="str">
        <f t="shared" si="125"/>
        <v>(k)</v>
      </c>
      <c r="R340" s="182" t="str">
        <f>R$13</f>
        <v>(l)</v>
      </c>
      <c r="S340" s="15" t="str">
        <f>S$13</f>
        <v>(m)</v>
      </c>
      <c r="T340" s="15"/>
      <c r="U340" s="15" t="s">
        <v>683</v>
      </c>
      <c r="V340" s="64"/>
      <c r="W340" s="64"/>
      <c r="X340" s="305"/>
    </row>
    <row r="341" spans="1:24" x14ac:dyDescent="0.2">
      <c r="A341" s="64"/>
      <c r="B341" s="6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"/>
      <c r="V341" s="64"/>
      <c r="W341" s="64"/>
      <c r="X341" s="305">
        <f t="shared" si="104"/>
        <v>0</v>
      </c>
    </row>
    <row r="342" spans="1:24" x14ac:dyDescent="0.2">
      <c r="A342" s="64"/>
      <c r="B342" s="16"/>
      <c r="C342" s="1"/>
      <c r="D342" s="1"/>
      <c r="E342" s="16"/>
      <c r="F342" s="1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"/>
      <c r="V342" s="64"/>
      <c r="W342" s="64"/>
      <c r="X342" s="305">
        <f t="shared" si="104"/>
        <v>0</v>
      </c>
    </row>
    <row r="343" spans="1:24" ht="15" x14ac:dyDescent="0.25">
      <c r="A343" s="64"/>
      <c r="B343" s="16">
        <f t="shared" ref="B343:B368" si="126">B342+1</f>
        <v>1</v>
      </c>
      <c r="C343" s="8" t="s">
        <v>284</v>
      </c>
      <c r="D343" s="1"/>
      <c r="E343" s="19" t="s">
        <v>34</v>
      </c>
      <c r="F343" s="17"/>
      <c r="G343" s="19"/>
      <c r="H343" s="19"/>
      <c r="I343" s="19"/>
      <c r="J343" s="961"/>
      <c r="K343" s="961"/>
      <c r="L343" s="961"/>
      <c r="M343" s="961"/>
      <c r="N343" s="961"/>
      <c r="O343" s="961"/>
      <c r="P343" s="961"/>
      <c r="Q343" s="961"/>
      <c r="R343" s="961"/>
      <c r="S343" s="961"/>
      <c r="T343" s="19"/>
      <c r="U343" s="1"/>
      <c r="V343" s="64"/>
      <c r="W343" s="64"/>
      <c r="X343" s="305">
        <f t="shared" si="104"/>
        <v>0</v>
      </c>
    </row>
    <row r="344" spans="1:24" ht="15" x14ac:dyDescent="0.25">
      <c r="A344" s="64"/>
      <c r="B344" s="16">
        <f t="shared" si="126"/>
        <v>2</v>
      </c>
      <c r="C344" s="8" t="s">
        <v>534</v>
      </c>
      <c r="D344" s="8"/>
      <c r="E344" s="19"/>
      <c r="F344" s="8"/>
      <c r="G344" s="19"/>
      <c r="H344" s="19"/>
      <c r="I344" s="19"/>
      <c r="J344" s="961"/>
      <c r="K344" s="961"/>
      <c r="L344" s="961"/>
      <c r="M344" s="961"/>
      <c r="N344" s="961"/>
      <c r="O344" s="961"/>
      <c r="P344" s="961"/>
      <c r="Q344" s="961"/>
      <c r="R344" s="961"/>
      <c r="S344" s="961"/>
      <c r="T344" s="19"/>
      <c r="U344" s="8"/>
      <c r="V344" s="64"/>
      <c r="W344" s="64"/>
      <c r="X344" s="305">
        <f t="shared" si="104"/>
        <v>0</v>
      </c>
    </row>
    <row r="345" spans="1:24" x14ac:dyDescent="0.2">
      <c r="A345" s="64"/>
      <c r="B345" s="16">
        <f t="shared" si="126"/>
        <v>3</v>
      </c>
      <c r="C345" s="1" t="s">
        <v>87</v>
      </c>
      <c r="D345" s="1" t="s">
        <v>38</v>
      </c>
      <c r="E345" s="16"/>
      <c r="F345" s="97">
        <f>' WP II-I-1.4'!G345</f>
        <v>0</v>
      </c>
      <c r="G345" s="16">
        <v>61</v>
      </c>
      <c r="H345" s="45" t="str">
        <f t="shared" ref="H345:H353" si="127">VLOOKUP(G345,FactorTable,2)</f>
        <v>PLTOPER_N</v>
      </c>
      <c r="I345" s="16"/>
      <c r="J345" s="369">
        <f t="shared" ref="J345:S353" ca="1" si="128">$F345*HLOOKUP(J$1354,FactorTable,$G345+1)</f>
        <v>0</v>
      </c>
      <c r="K345" s="369">
        <f t="shared" ca="1" si="128"/>
        <v>0</v>
      </c>
      <c r="L345" s="369">
        <f t="shared" ca="1" si="128"/>
        <v>0</v>
      </c>
      <c r="M345" s="369">
        <f t="shared" ca="1" si="128"/>
        <v>0</v>
      </c>
      <c r="N345" s="369">
        <f t="shared" ca="1" si="128"/>
        <v>0</v>
      </c>
      <c r="O345" s="369">
        <f t="shared" ca="1" si="128"/>
        <v>0</v>
      </c>
      <c r="P345" s="369">
        <f t="shared" ca="1" si="128"/>
        <v>0</v>
      </c>
      <c r="Q345" s="369">
        <f t="shared" ca="1" si="128"/>
        <v>0</v>
      </c>
      <c r="R345" s="369">
        <f t="shared" ca="1" si="128"/>
        <v>0</v>
      </c>
      <c r="S345" s="369">
        <f t="shared" ca="1" si="128"/>
        <v>0</v>
      </c>
      <c r="T345" s="16"/>
      <c r="U345" s="97">
        <f t="shared" ref="U345:U354" ca="1" si="129">SUM(I345:T345)</f>
        <v>0</v>
      </c>
      <c r="V345" s="64"/>
      <c r="W345" s="64"/>
      <c r="X345" s="305">
        <f t="shared" ca="1" si="104"/>
        <v>0</v>
      </c>
    </row>
    <row r="346" spans="1:24" ht="15" x14ac:dyDescent="0.25">
      <c r="A346" s="64"/>
      <c r="B346" s="16">
        <f t="shared" si="126"/>
        <v>4</v>
      </c>
      <c r="C346" s="1" t="s">
        <v>88</v>
      </c>
      <c r="D346" s="1" t="s">
        <v>40</v>
      </c>
      <c r="E346" s="19"/>
      <c r="F346" s="97">
        <f>' WP II-I-1.4'!G346</f>
        <v>18457.990000000002</v>
      </c>
      <c r="G346" s="16">
        <v>61</v>
      </c>
      <c r="H346" s="45" t="str">
        <f t="shared" si="127"/>
        <v>PLTOPER_N</v>
      </c>
      <c r="I346" s="913"/>
      <c r="J346" s="369">
        <f t="shared" ca="1" si="128"/>
        <v>10070.351681140153</v>
      </c>
      <c r="K346" s="369">
        <f t="shared" ca="1" si="128"/>
        <v>266.57185636678719</v>
      </c>
      <c r="L346" s="369">
        <f t="shared" ca="1" si="128"/>
        <v>6411.2663251570139</v>
      </c>
      <c r="M346" s="369">
        <f t="shared" ca="1" si="128"/>
        <v>1.9316243822026962</v>
      </c>
      <c r="N346" s="369">
        <f t="shared" ca="1" si="128"/>
        <v>1214.194128186992</v>
      </c>
      <c r="O346" s="369">
        <f t="shared" ca="1" si="128"/>
        <v>141.87362862961649</v>
      </c>
      <c r="P346" s="369">
        <f t="shared" ca="1" si="128"/>
        <v>23.944784000136774</v>
      </c>
      <c r="Q346" s="369">
        <f t="shared" ca="1" si="128"/>
        <v>271.46017965032905</v>
      </c>
      <c r="R346" s="369">
        <f t="shared" ca="1" si="128"/>
        <v>9.80685948943459</v>
      </c>
      <c r="S346" s="369">
        <f t="shared" ca="1" si="128"/>
        <v>46.588932997333714</v>
      </c>
      <c r="T346" s="913"/>
      <c r="U346" s="97">
        <f t="shared" ca="1" si="129"/>
        <v>18457.989999999998</v>
      </c>
      <c r="V346" s="64"/>
      <c r="W346" s="64"/>
      <c r="X346" s="305">
        <f t="shared" ca="1" si="104"/>
        <v>0</v>
      </c>
    </row>
    <row r="347" spans="1:24" ht="15" x14ac:dyDescent="0.25">
      <c r="A347" s="64"/>
      <c r="B347" s="16">
        <f t="shared" si="126"/>
        <v>5</v>
      </c>
      <c r="C347" s="1" t="s">
        <v>89</v>
      </c>
      <c r="D347" s="1" t="s">
        <v>42</v>
      </c>
      <c r="E347" s="19"/>
      <c r="F347" s="97">
        <f>' WP II-I-1.4'!G347</f>
        <v>21370930.170000002</v>
      </c>
      <c r="G347" s="16">
        <v>61</v>
      </c>
      <c r="H347" s="45" t="str">
        <f t="shared" si="127"/>
        <v>PLTOPER_N</v>
      </c>
      <c r="I347" s="913"/>
      <c r="J347" s="369">
        <f t="shared" ca="1" si="128"/>
        <v>11659600.127911454</v>
      </c>
      <c r="K347" s="369">
        <f t="shared" ca="1" si="128"/>
        <v>308640.7852481163</v>
      </c>
      <c r="L347" s="369">
        <f t="shared" ca="1" si="128"/>
        <v>7423057.7075945465</v>
      </c>
      <c r="M347" s="369">
        <f t="shared" ca="1" si="128"/>
        <v>2236.4628969201526</v>
      </c>
      <c r="N347" s="369">
        <f t="shared" ca="1" si="128"/>
        <v>1405811.6797283038</v>
      </c>
      <c r="O347" s="369">
        <f t="shared" ca="1" si="128"/>
        <v>164263.3575166119</v>
      </c>
      <c r="P347" s="369">
        <f t="shared" ca="1" si="128"/>
        <v>27723.620329334684</v>
      </c>
      <c r="Q347" s="369">
        <f t="shared" ca="1" si="128"/>
        <v>314300.55727860058</v>
      </c>
      <c r="R347" s="369">
        <f t="shared" ca="1" si="128"/>
        <v>11354.525023348073</v>
      </c>
      <c r="S347" s="369">
        <f t="shared" ca="1" si="128"/>
        <v>53941.346472764781</v>
      </c>
      <c r="T347" s="913"/>
      <c r="U347" s="97">
        <f t="shared" ca="1" si="129"/>
        <v>21370930.170000002</v>
      </c>
      <c r="V347" s="64"/>
      <c r="W347" s="64"/>
      <c r="X347" s="305">
        <f t="shared" ca="1" si="104"/>
        <v>0</v>
      </c>
    </row>
    <row r="348" spans="1:24" ht="15" x14ac:dyDescent="0.25">
      <c r="A348" s="64"/>
      <c r="B348" s="16">
        <f t="shared" si="126"/>
        <v>6</v>
      </c>
      <c r="C348" s="1" t="s">
        <v>90</v>
      </c>
      <c r="D348" s="1" t="s">
        <v>91</v>
      </c>
      <c r="E348" s="19"/>
      <c r="F348" s="97">
        <f>' WP II-I-1.4'!G348</f>
        <v>2172899.64</v>
      </c>
      <c r="G348" s="16">
        <v>61</v>
      </c>
      <c r="H348" s="45" t="str">
        <f t="shared" si="127"/>
        <v>PLTOPER_N</v>
      </c>
      <c r="I348" s="913"/>
      <c r="J348" s="369">
        <f t="shared" ca="1" si="128"/>
        <v>1185495.470667328</v>
      </c>
      <c r="K348" s="369">
        <f t="shared" ca="1" si="128"/>
        <v>31381.200809704824</v>
      </c>
      <c r="L348" s="369">
        <f t="shared" ca="1" si="128"/>
        <v>754742.97525775013</v>
      </c>
      <c r="M348" s="369">
        <f t="shared" ca="1" si="128"/>
        <v>227.39344450308297</v>
      </c>
      <c r="N348" s="369">
        <f t="shared" ca="1" si="128"/>
        <v>142936.58107018308</v>
      </c>
      <c r="O348" s="369">
        <f t="shared" ca="1" si="128"/>
        <v>16701.556159407788</v>
      </c>
      <c r="P348" s="369">
        <f t="shared" ca="1" si="128"/>
        <v>2818.8124781612169</v>
      </c>
      <c r="Q348" s="369">
        <f t="shared" ca="1" si="128"/>
        <v>31956.660862668974</v>
      </c>
      <c r="R348" s="369">
        <f t="shared" ca="1" si="128"/>
        <v>1154.4768121622672</v>
      </c>
      <c r="S348" s="369">
        <f t="shared" ca="1" si="128"/>
        <v>5484.5124381306168</v>
      </c>
      <c r="T348" s="913"/>
      <c r="U348" s="97">
        <f t="shared" ca="1" si="129"/>
        <v>2172899.64</v>
      </c>
      <c r="V348" s="64"/>
      <c r="W348" s="64"/>
      <c r="X348" s="305">
        <f t="shared" ca="1" si="104"/>
        <v>0</v>
      </c>
    </row>
    <row r="349" spans="1:24" ht="15" x14ac:dyDescent="0.25">
      <c r="A349" s="64"/>
      <c r="B349" s="16">
        <f t="shared" si="126"/>
        <v>7</v>
      </c>
      <c r="C349" s="1" t="s">
        <v>92</v>
      </c>
      <c r="D349" s="1" t="s">
        <v>94</v>
      </c>
      <c r="E349" s="19"/>
      <c r="F349" s="97">
        <f>' WP II-I-1.4'!G349</f>
        <v>1911250.96</v>
      </c>
      <c r="G349" s="16">
        <v>61</v>
      </c>
      <c r="H349" s="45" t="str">
        <f t="shared" si="127"/>
        <v>PLTOPER_N</v>
      </c>
      <c r="I349" s="913"/>
      <c r="J349" s="369">
        <f t="shared" ca="1" si="128"/>
        <v>1042744.595598802</v>
      </c>
      <c r="K349" s="369">
        <f t="shared" ca="1" si="128"/>
        <v>27602.44839172651</v>
      </c>
      <c r="L349" s="369">
        <f t="shared" ca="1" si="128"/>
        <v>663860.95770839695</v>
      </c>
      <c r="M349" s="369">
        <f t="shared" ca="1" si="128"/>
        <v>200.01197068826613</v>
      </c>
      <c r="N349" s="369">
        <f t="shared" ca="1" si="128"/>
        <v>125724.94042546081</v>
      </c>
      <c r="O349" s="369">
        <f t="shared" ca="1" si="128"/>
        <v>14690.446192518144</v>
      </c>
      <c r="P349" s="369">
        <f t="shared" ca="1" si="128"/>
        <v>2479.3865099750324</v>
      </c>
      <c r="Q349" s="369">
        <f t="shared" ca="1" si="128"/>
        <v>28108.614695233002</v>
      </c>
      <c r="R349" s="369">
        <f t="shared" ca="1" si="128"/>
        <v>1015.4610341519834</v>
      </c>
      <c r="S349" s="369">
        <f t="shared" ca="1" si="128"/>
        <v>4824.0974730471589</v>
      </c>
      <c r="T349" s="913"/>
      <c r="U349" s="97">
        <f t="shared" ca="1" si="129"/>
        <v>1911250.9599999997</v>
      </c>
      <c r="V349" s="64"/>
      <c r="W349" s="64"/>
      <c r="X349" s="305">
        <f t="shared" ca="1" si="104"/>
        <v>0</v>
      </c>
    </row>
    <row r="350" spans="1:24" ht="15" x14ac:dyDescent="0.25">
      <c r="A350" s="64"/>
      <c r="B350" s="16">
        <f t="shared" si="126"/>
        <v>8</v>
      </c>
      <c r="C350" s="1" t="s">
        <v>95</v>
      </c>
      <c r="D350" s="1" t="s">
        <v>500</v>
      </c>
      <c r="E350" s="19"/>
      <c r="F350" s="97">
        <f>' WP II-I-1.4'!G350</f>
        <v>897247.06</v>
      </c>
      <c r="G350" s="16">
        <v>61</v>
      </c>
      <c r="H350" s="45" t="str">
        <f t="shared" si="127"/>
        <v>PLTOPER_N</v>
      </c>
      <c r="I350" s="913"/>
      <c r="J350" s="369">
        <f t="shared" ca="1" si="128"/>
        <v>489522.068170427</v>
      </c>
      <c r="K350" s="369">
        <f t="shared" ca="1" si="128"/>
        <v>12958.118105158906</v>
      </c>
      <c r="L350" s="369">
        <f t="shared" ca="1" si="128"/>
        <v>311653.10313442227</v>
      </c>
      <c r="M350" s="369">
        <f t="shared" ca="1" si="128"/>
        <v>93.896697200273991</v>
      </c>
      <c r="N350" s="369">
        <f t="shared" ca="1" si="128"/>
        <v>59022.250623445005</v>
      </c>
      <c r="O350" s="369">
        <f t="shared" ca="1" si="128"/>
        <v>6896.5091095755952</v>
      </c>
      <c r="P350" s="369">
        <f t="shared" ca="1" si="128"/>
        <v>1163.9613547551905</v>
      </c>
      <c r="Q350" s="369">
        <f t="shared" ca="1" si="128"/>
        <v>13195.74060330131</v>
      </c>
      <c r="R350" s="369">
        <f t="shared" ca="1" si="128"/>
        <v>476.71365325955247</v>
      </c>
      <c r="S350" s="369">
        <f t="shared" ca="1" si="128"/>
        <v>2264.6985484548786</v>
      </c>
      <c r="T350" s="913"/>
      <c r="U350" s="97">
        <f t="shared" ca="1" si="129"/>
        <v>897247.06</v>
      </c>
      <c r="V350" s="64"/>
      <c r="W350" s="64"/>
      <c r="X350" s="305">
        <f t="shared" ca="1" si="104"/>
        <v>0</v>
      </c>
    </row>
    <row r="351" spans="1:24" ht="15" x14ac:dyDescent="0.25">
      <c r="A351" s="64"/>
      <c r="B351" s="16">
        <f t="shared" si="126"/>
        <v>9</v>
      </c>
      <c r="C351" s="1" t="s">
        <v>97</v>
      </c>
      <c r="D351" s="1" t="s">
        <v>501</v>
      </c>
      <c r="E351" s="19"/>
      <c r="F351" s="97">
        <f>' WP II-I-1.4'!G351</f>
        <v>5513977.5</v>
      </c>
      <c r="G351" s="16">
        <v>61</v>
      </c>
      <c r="H351" s="45" t="str">
        <f t="shared" si="127"/>
        <v>PLTOPER_N</v>
      </c>
      <c r="I351" s="913"/>
      <c r="J351" s="369">
        <f t="shared" ca="1" si="128"/>
        <v>3008328.2408807231</v>
      </c>
      <c r="K351" s="369">
        <f t="shared" ca="1" si="128"/>
        <v>79633.330505634469</v>
      </c>
      <c r="L351" s="369">
        <f t="shared" ca="1" si="128"/>
        <v>1915245.2820390225</v>
      </c>
      <c r="M351" s="369">
        <f t="shared" ca="1" si="128"/>
        <v>577.03646940523129</v>
      </c>
      <c r="N351" s="369">
        <f t="shared" ca="1" si="128"/>
        <v>362717.66879574588</v>
      </c>
      <c r="O351" s="369">
        <f t="shared" ca="1" si="128"/>
        <v>42382.079311293441</v>
      </c>
      <c r="P351" s="369">
        <f t="shared" ca="1" si="128"/>
        <v>7153.0540551335316</v>
      </c>
      <c r="Q351" s="369">
        <f t="shared" ca="1" si="128"/>
        <v>81093.625185508936</v>
      </c>
      <c r="R351" s="369">
        <f t="shared" ca="1" si="128"/>
        <v>2929.6149022945519</v>
      </c>
      <c r="S351" s="369">
        <f t="shared" ca="1" si="128"/>
        <v>13917.567855238065</v>
      </c>
      <c r="T351" s="913"/>
      <c r="U351" s="97">
        <f t="shared" ca="1" si="129"/>
        <v>5513977.5</v>
      </c>
      <c r="V351" s="64"/>
      <c r="W351" s="64"/>
      <c r="X351" s="305">
        <f t="shared" ca="1" si="104"/>
        <v>0</v>
      </c>
    </row>
    <row r="352" spans="1:24" ht="15" x14ac:dyDescent="0.25">
      <c r="A352" s="64"/>
      <c r="B352" s="16">
        <f t="shared" si="126"/>
        <v>10</v>
      </c>
      <c r="C352" s="1" t="s">
        <v>99</v>
      </c>
      <c r="D352" s="1" t="s">
        <v>100</v>
      </c>
      <c r="E352" s="19"/>
      <c r="F352" s="97">
        <f>' WP II-I-1.4'!G352</f>
        <v>4724590.0999999996</v>
      </c>
      <c r="G352" s="16">
        <v>61</v>
      </c>
      <c r="H352" s="45" t="str">
        <f t="shared" si="127"/>
        <v>PLTOPER_N</v>
      </c>
      <c r="I352" s="913"/>
      <c r="J352" s="369">
        <f t="shared" ca="1" si="128"/>
        <v>2577652.4885013546</v>
      </c>
      <c r="K352" s="369">
        <f t="shared" ca="1" si="128"/>
        <v>68232.930754060682</v>
      </c>
      <c r="L352" s="369">
        <f t="shared" ca="1" si="128"/>
        <v>1641056.5510275066</v>
      </c>
      <c r="M352" s="369">
        <f t="shared" ca="1" si="128"/>
        <v>494.42726066453997</v>
      </c>
      <c r="N352" s="369">
        <f t="shared" ca="1" si="128"/>
        <v>310790.58757266594</v>
      </c>
      <c r="O352" s="369">
        <f t="shared" ca="1" si="128"/>
        <v>36314.61179004662</v>
      </c>
      <c r="P352" s="369">
        <f t="shared" ca="1" si="128"/>
        <v>6129.0145586645458</v>
      </c>
      <c r="Q352" s="369">
        <f t="shared" ca="1" si="128"/>
        <v>69484.167957625177</v>
      </c>
      <c r="R352" s="369">
        <f t="shared" ca="1" si="128"/>
        <v>2510.2078425588979</v>
      </c>
      <c r="S352" s="369">
        <f t="shared" ca="1" si="128"/>
        <v>11925.112734851746</v>
      </c>
      <c r="T352" s="913"/>
      <c r="U352" s="97">
        <f t="shared" ca="1" si="129"/>
        <v>4724590.0999999987</v>
      </c>
      <c r="V352" s="64"/>
      <c r="W352" s="64"/>
      <c r="X352" s="305">
        <f t="shared" ca="1" si="104"/>
        <v>0</v>
      </c>
    </row>
    <row r="353" spans="1:24" ht="15" x14ac:dyDescent="0.25">
      <c r="A353" s="64"/>
      <c r="B353" s="16">
        <f t="shared" si="126"/>
        <v>11</v>
      </c>
      <c r="C353" s="1" t="s">
        <v>101</v>
      </c>
      <c r="D353" s="1" t="s">
        <v>102</v>
      </c>
      <c r="E353" s="19"/>
      <c r="F353" s="97">
        <f>' WP II-I-1.4'!G353</f>
        <v>1865874.33</v>
      </c>
      <c r="G353" s="16">
        <v>61</v>
      </c>
      <c r="H353" s="45" t="str">
        <f t="shared" si="127"/>
        <v>PLTOPER_N</v>
      </c>
      <c r="I353" s="913"/>
      <c r="J353" s="370">
        <f t="shared" ca="1" si="128"/>
        <v>1017987.9117884318</v>
      </c>
      <c r="K353" s="370">
        <f t="shared" ca="1" si="128"/>
        <v>26947.115254436438</v>
      </c>
      <c r="L353" s="370">
        <f t="shared" ca="1" si="128"/>
        <v>648099.67168168933</v>
      </c>
      <c r="M353" s="370">
        <f t="shared" ca="1" si="128"/>
        <v>195.26331685920945</v>
      </c>
      <c r="N353" s="370">
        <f t="shared" ca="1" si="128"/>
        <v>122739.99798574156</v>
      </c>
      <c r="O353" s="370">
        <f t="shared" ca="1" si="128"/>
        <v>14341.667850288926</v>
      </c>
      <c r="P353" s="370">
        <f t="shared" ca="1" si="128"/>
        <v>2420.5212920393783</v>
      </c>
      <c r="Q353" s="370">
        <f t="shared" ca="1" si="128"/>
        <v>27441.264234444669</v>
      </c>
      <c r="R353" s="370">
        <f t="shared" ca="1" si="128"/>
        <v>991.35211251349187</v>
      </c>
      <c r="S353" s="370">
        <f t="shared" ca="1" si="128"/>
        <v>4709.5644835550856</v>
      </c>
      <c r="T353" s="913"/>
      <c r="U353" s="97">
        <f t="shared" ca="1" si="129"/>
        <v>1865874.33</v>
      </c>
      <c r="V353" s="64"/>
      <c r="W353" s="64"/>
      <c r="X353" s="305">
        <f t="shared" ref="X353:X418" ca="1" si="130">U353-F353</f>
        <v>0</v>
      </c>
    </row>
    <row r="354" spans="1:24" ht="15" x14ac:dyDescent="0.25">
      <c r="A354" s="64"/>
      <c r="B354" s="16">
        <f t="shared" si="126"/>
        <v>12</v>
      </c>
      <c r="C354" s="8"/>
      <c r="D354" s="233" t="s">
        <v>444</v>
      </c>
      <c r="E354" s="19"/>
      <c r="F354" s="234">
        <f>SUM(F345:F353)</f>
        <v>38475227.75</v>
      </c>
      <c r="G354" s="19"/>
      <c r="H354" s="1201"/>
      <c r="I354" s="913"/>
      <c r="J354" s="816">
        <f t="shared" ref="J354:Q354" ca="1" si="131">SUM(J345:J353)</f>
        <v>20991401.25519966</v>
      </c>
      <c r="K354" s="816">
        <f t="shared" ca="1" si="131"/>
        <v>555662.50092520495</v>
      </c>
      <c r="L354" s="816">
        <f t="shared" ca="1" si="131"/>
        <v>13364127.514768491</v>
      </c>
      <c r="M354" s="816">
        <f t="shared" ca="1" si="131"/>
        <v>4026.4236806229592</v>
      </c>
      <c r="N354" s="816">
        <f t="shared" ca="1" si="131"/>
        <v>2530957.9003297328</v>
      </c>
      <c r="O354" s="816">
        <f ca="1">SUM(O345:O353)</f>
        <v>295732.10155837203</v>
      </c>
      <c r="P354" s="816">
        <f t="shared" ca="1" si="131"/>
        <v>49912.315362063709</v>
      </c>
      <c r="Q354" s="816">
        <f t="shared" ca="1" si="131"/>
        <v>565852.09099703305</v>
      </c>
      <c r="R354" s="816">
        <f ca="1">SUM(R345:R353)</f>
        <v>20442.158239778251</v>
      </c>
      <c r="S354" s="816">
        <f ca="1">SUM(S345:S353)</f>
        <v>97113.488939039671</v>
      </c>
      <c r="T354" s="913"/>
      <c r="U354" s="235">
        <f t="shared" ca="1" si="129"/>
        <v>38475227.750000007</v>
      </c>
      <c r="V354" s="64"/>
      <c r="W354" s="64"/>
      <c r="X354" s="305">
        <f t="shared" ca="1" si="130"/>
        <v>0</v>
      </c>
    </row>
    <row r="355" spans="1:24" ht="15" x14ac:dyDescent="0.25">
      <c r="A355" s="64"/>
      <c r="B355" s="16">
        <f t="shared" si="126"/>
        <v>13</v>
      </c>
      <c r="C355" s="1"/>
      <c r="D355" s="233"/>
      <c r="E355" s="19"/>
      <c r="F355" s="21"/>
      <c r="G355" s="19"/>
      <c r="H355" s="1201"/>
      <c r="I355" s="913"/>
      <c r="J355" s="961"/>
      <c r="K355" s="961"/>
      <c r="L355" s="961"/>
      <c r="M355" s="961"/>
      <c r="N355" s="961"/>
      <c r="O355" s="961"/>
      <c r="P355" s="961"/>
      <c r="Q355" s="961"/>
      <c r="R355" s="961"/>
      <c r="S355" s="961"/>
      <c r="T355" s="913"/>
      <c r="U355" s="18"/>
      <c r="V355" s="64"/>
      <c r="W355" s="64"/>
      <c r="X355" s="305">
        <f t="shared" si="130"/>
        <v>0</v>
      </c>
    </row>
    <row r="356" spans="1:24" ht="15" x14ac:dyDescent="0.25">
      <c r="A356" s="64"/>
      <c r="B356" s="16">
        <f t="shared" si="126"/>
        <v>14</v>
      </c>
      <c r="C356" s="1" t="s">
        <v>1237</v>
      </c>
      <c r="D356" s="650" t="s">
        <v>1230</v>
      </c>
      <c r="E356" s="1315"/>
      <c r="F356" s="229">
        <f>' WP II-I-1.4'!G356</f>
        <v>27983615.629999999</v>
      </c>
      <c r="G356" s="645">
        <v>63</v>
      </c>
      <c r="H356" s="45" t="str">
        <f>VLOOKUP(G356,FactorTable,2)</f>
        <v>PLTGEN_N</v>
      </c>
      <c r="I356" s="1315"/>
      <c r="J356" s="369">
        <f t="shared" ref="J356:S360" ca="1" si="132">$F356*HLOOKUP(J$1354,FactorTable,$G356+1)</f>
        <v>15267363.927705579</v>
      </c>
      <c r="K356" s="369">
        <f t="shared" ca="1" si="132"/>
        <v>404141.74925567419</v>
      </c>
      <c r="L356" s="369">
        <f t="shared" ca="1" si="132"/>
        <v>9719932.2648217101</v>
      </c>
      <c r="M356" s="369">
        <f t="shared" ca="1" si="132"/>
        <v>2928.4789000913124</v>
      </c>
      <c r="N356" s="369">
        <f t="shared" ca="1" si="132"/>
        <v>1840803.9978019129</v>
      </c>
      <c r="O356" s="369">
        <f t="shared" ca="1" si="132"/>
        <v>215090.43463587054</v>
      </c>
      <c r="P356" s="369">
        <f t="shared" ca="1" si="132"/>
        <v>36301.982599578907</v>
      </c>
      <c r="Q356" s="369">
        <f t="shared" ca="1" si="132"/>
        <v>411552.79237801925</v>
      </c>
      <c r="R356" s="369">
        <f t="shared" ca="1" si="132"/>
        <v>14867.89116744324</v>
      </c>
      <c r="S356" s="369">
        <f t="shared" ca="1" si="132"/>
        <v>70632.110734116228</v>
      </c>
      <c r="T356" s="1291"/>
      <c r="U356" s="97">
        <f t="shared" ref="U356:U357" ca="1" si="133">SUM(I356:T356)</f>
        <v>27983615.629999992</v>
      </c>
      <c r="V356" s="64"/>
      <c r="W356" s="64"/>
      <c r="X356" s="305"/>
    </row>
    <row r="357" spans="1:24" ht="15" x14ac:dyDescent="0.25">
      <c r="A357" s="64"/>
      <c r="B357" s="16">
        <f t="shared" si="126"/>
        <v>15</v>
      </c>
      <c r="C357" s="1" t="s">
        <v>1238</v>
      </c>
      <c r="D357" s="650" t="s">
        <v>1232</v>
      </c>
      <c r="E357" s="1315"/>
      <c r="F357" s="229">
        <f>' WP II-I-1.4'!G357</f>
        <v>51821898.32</v>
      </c>
      <c r="G357" s="645">
        <v>63</v>
      </c>
      <c r="H357" s="45" t="str">
        <f>VLOOKUP(G357,FactorTable,2)</f>
        <v>PLTGEN_N</v>
      </c>
      <c r="I357" s="1315"/>
      <c r="J357" s="369">
        <f t="shared" ca="1" si="132"/>
        <v>28273107.790538728</v>
      </c>
      <c r="K357" s="369">
        <f t="shared" ca="1" si="132"/>
        <v>748416.24876886886</v>
      </c>
      <c r="L357" s="369">
        <f t="shared" ca="1" si="132"/>
        <v>18000009.297043007</v>
      </c>
      <c r="M357" s="369">
        <f t="shared" ca="1" si="132"/>
        <v>5423.1496672682624</v>
      </c>
      <c r="N357" s="369">
        <f t="shared" ca="1" si="132"/>
        <v>3408921.8084768355</v>
      </c>
      <c r="O357" s="369">
        <f t="shared" ca="1" si="132"/>
        <v>398318.60116585979</v>
      </c>
      <c r="P357" s="369">
        <f t="shared" ca="1" si="132"/>
        <v>67226.396901799759</v>
      </c>
      <c r="Q357" s="369">
        <f t="shared" ca="1" si="132"/>
        <v>762140.50542709616</v>
      </c>
      <c r="R357" s="369">
        <f t="shared" ca="1" si="132"/>
        <v>27533.337882402502</v>
      </c>
      <c r="S357" s="369">
        <f t="shared" ca="1" si="132"/>
        <v>130801.18412812662</v>
      </c>
      <c r="T357" s="1291"/>
      <c r="U357" s="97">
        <f t="shared" ca="1" si="133"/>
        <v>51821898.32</v>
      </c>
      <c r="V357" s="64"/>
      <c r="W357" s="64"/>
      <c r="X357" s="305"/>
    </row>
    <row r="358" spans="1:24" ht="15" x14ac:dyDescent="0.25">
      <c r="A358" s="64"/>
      <c r="B358" s="16">
        <f t="shared" si="126"/>
        <v>16</v>
      </c>
      <c r="C358" s="1" t="s">
        <v>1239</v>
      </c>
      <c r="D358" s="650" t="s">
        <v>103</v>
      </c>
      <c r="E358" s="1315"/>
      <c r="F358" s="229">
        <f>' WP II-I-1.4'!G358</f>
        <v>9583076.1699999999</v>
      </c>
      <c r="G358" s="645">
        <v>63</v>
      </c>
      <c r="H358" s="45" t="str">
        <f>VLOOKUP(G358,FactorTable,2)</f>
        <v>PLTGEN_N</v>
      </c>
      <c r="I358" s="1315"/>
      <c r="J358" s="369">
        <f t="shared" ca="1" si="132"/>
        <v>5228356.2413379578</v>
      </c>
      <c r="K358" s="369">
        <f t="shared" ca="1" si="132"/>
        <v>138399.59845796978</v>
      </c>
      <c r="L358" s="369">
        <f t="shared" ca="1" si="132"/>
        <v>3328621.0221229754</v>
      </c>
      <c r="M358" s="369">
        <f t="shared" ca="1" si="132"/>
        <v>1002.8667036051935</v>
      </c>
      <c r="N358" s="369">
        <f t="shared" ca="1" si="132"/>
        <v>630389.05187307438</v>
      </c>
      <c r="O358" s="369">
        <f t="shared" ca="1" si="132"/>
        <v>73658.388029894253</v>
      </c>
      <c r="P358" s="369">
        <f t="shared" ca="1" si="132"/>
        <v>12431.726799478602</v>
      </c>
      <c r="Q358" s="369">
        <f t="shared" ca="1" si="132"/>
        <v>140937.53321520856</v>
      </c>
      <c r="R358" s="369">
        <f t="shared" ca="1" si="132"/>
        <v>5091.55555267605</v>
      </c>
      <c r="S358" s="369">
        <f t="shared" ca="1" si="132"/>
        <v>24188.185907158648</v>
      </c>
      <c r="T358" s="913"/>
      <c r="U358" s="97">
        <f ca="1">SUM(I358:T358)</f>
        <v>9583076.1699999999</v>
      </c>
      <c r="V358" s="64"/>
      <c r="W358" s="64"/>
      <c r="X358" s="305">
        <f t="shared" ca="1" si="130"/>
        <v>0</v>
      </c>
    </row>
    <row r="359" spans="1:24" ht="15" x14ac:dyDescent="0.25">
      <c r="A359" s="64"/>
      <c r="B359" s="16">
        <f t="shared" si="126"/>
        <v>17</v>
      </c>
      <c r="C359" s="1" t="s">
        <v>105</v>
      </c>
      <c r="D359" s="1" t="s">
        <v>502</v>
      </c>
      <c r="E359" s="19"/>
      <c r="F359" s="97">
        <f>' WP II-I-1.4'!G359</f>
        <v>1226435.93</v>
      </c>
      <c r="G359" s="16">
        <v>61</v>
      </c>
      <c r="H359" s="45" t="str">
        <f>VLOOKUP(G359,FactorTable,2)</f>
        <v>PLTOPER_N</v>
      </c>
      <c r="I359" s="913"/>
      <c r="J359" s="369">
        <f t="shared" ca="1" si="132"/>
        <v>669121.67194186291</v>
      </c>
      <c r="K359" s="369">
        <f t="shared" ca="1" si="132"/>
        <v>17712.291672875919</v>
      </c>
      <c r="L359" s="369">
        <f t="shared" ca="1" si="132"/>
        <v>425994.77938668424</v>
      </c>
      <c r="M359" s="369">
        <f t="shared" ca="1" si="132"/>
        <v>128.34623626935755</v>
      </c>
      <c r="N359" s="369">
        <f t="shared" ca="1" si="132"/>
        <v>80676.785760722196</v>
      </c>
      <c r="O359" s="369">
        <f t="shared" ca="1" si="132"/>
        <v>9426.7531660185268</v>
      </c>
      <c r="P359" s="369">
        <f t="shared" ca="1" si="132"/>
        <v>1591.0044069726368</v>
      </c>
      <c r="Q359" s="369">
        <f t="shared" ca="1" si="132"/>
        <v>18037.094932190252</v>
      </c>
      <c r="R359" s="369">
        <f t="shared" ca="1" si="132"/>
        <v>651.61400771720196</v>
      </c>
      <c r="S359" s="369">
        <f t="shared" ca="1" si="132"/>
        <v>3095.5884886866152</v>
      </c>
      <c r="T359" s="913"/>
      <c r="U359" s="97">
        <f ca="1">SUM(I359:T359)</f>
        <v>1226435.9299999997</v>
      </c>
      <c r="V359" s="64"/>
      <c r="W359" s="64"/>
      <c r="X359" s="305">
        <f t="shared" ca="1" si="130"/>
        <v>0</v>
      </c>
    </row>
    <row r="360" spans="1:24" ht="15" x14ac:dyDescent="0.25">
      <c r="A360" s="64"/>
      <c r="B360" s="16">
        <f t="shared" si="126"/>
        <v>18</v>
      </c>
      <c r="C360" s="1" t="s">
        <v>107</v>
      </c>
      <c r="D360" s="1" t="s">
        <v>108</v>
      </c>
      <c r="E360" s="19"/>
      <c r="F360" s="97">
        <f>' WP II-I-1.4'!G360</f>
        <v>0</v>
      </c>
      <c r="G360" s="16">
        <v>61</v>
      </c>
      <c r="H360" s="45" t="str">
        <f>VLOOKUP(G360,FactorTable,2)</f>
        <v>PLTOPER_N</v>
      </c>
      <c r="I360" s="913"/>
      <c r="J360" s="370">
        <f t="shared" ca="1" si="132"/>
        <v>0</v>
      </c>
      <c r="K360" s="370">
        <f t="shared" ca="1" si="132"/>
        <v>0</v>
      </c>
      <c r="L360" s="370">
        <f t="shared" ca="1" si="132"/>
        <v>0</v>
      </c>
      <c r="M360" s="370">
        <f t="shared" ca="1" si="132"/>
        <v>0</v>
      </c>
      <c r="N360" s="370">
        <f t="shared" ca="1" si="132"/>
        <v>0</v>
      </c>
      <c r="O360" s="370">
        <f t="shared" ca="1" si="132"/>
        <v>0</v>
      </c>
      <c r="P360" s="370">
        <f t="shared" ca="1" si="132"/>
        <v>0</v>
      </c>
      <c r="Q360" s="370">
        <f t="shared" ca="1" si="132"/>
        <v>0</v>
      </c>
      <c r="R360" s="370">
        <f t="shared" ca="1" si="132"/>
        <v>0</v>
      </c>
      <c r="S360" s="370">
        <f t="shared" ca="1" si="132"/>
        <v>0</v>
      </c>
      <c r="T360" s="913"/>
      <c r="U360" s="97">
        <f ca="1">SUM(I360:T360)</f>
        <v>0</v>
      </c>
      <c r="V360" s="64"/>
      <c r="W360" s="64"/>
      <c r="X360" s="305">
        <f t="shared" ca="1" si="130"/>
        <v>0</v>
      </c>
    </row>
    <row r="361" spans="1:24" ht="15" x14ac:dyDescent="0.25">
      <c r="A361" s="64"/>
      <c r="B361" s="16">
        <f t="shared" si="126"/>
        <v>19</v>
      </c>
      <c r="C361" s="8"/>
      <c r="D361" s="233" t="s">
        <v>444</v>
      </c>
      <c r="E361" s="19"/>
      <c r="F361" s="805">
        <f>SUM(F356:F360)</f>
        <v>90615026.050000012</v>
      </c>
      <c r="G361" s="19"/>
      <c r="H361" s="19"/>
      <c r="I361" s="19"/>
      <c r="J361" s="805">
        <f t="shared" ref="J361:U361" ca="1" si="134">SUM(J356:J360)</f>
        <v>49437949.631524123</v>
      </c>
      <c r="K361" s="805">
        <f t="shared" ca="1" si="134"/>
        <v>1308669.8881553886</v>
      </c>
      <c r="L361" s="805">
        <f t="shared" ca="1" si="134"/>
        <v>31474557.363374379</v>
      </c>
      <c r="M361" s="805">
        <f t="shared" ca="1" si="134"/>
        <v>9482.8415072341249</v>
      </c>
      <c r="N361" s="805">
        <f t="shared" ca="1" si="134"/>
        <v>5960791.6439125454</v>
      </c>
      <c r="O361" s="805">
        <f t="shared" ca="1" si="134"/>
        <v>696494.17699764308</v>
      </c>
      <c r="P361" s="805">
        <f t="shared" ca="1" si="134"/>
        <v>117551.11070782991</v>
      </c>
      <c r="Q361" s="805">
        <f t="shared" ca="1" si="134"/>
        <v>1332667.9259525142</v>
      </c>
      <c r="R361" s="805">
        <f t="shared" ca="1" si="134"/>
        <v>48144.398610238997</v>
      </c>
      <c r="S361" s="805">
        <f t="shared" ca="1" si="134"/>
        <v>228717.06925808813</v>
      </c>
      <c r="T361" s="805"/>
      <c r="U361" s="805">
        <f t="shared" ca="1" si="134"/>
        <v>90615026.049999982</v>
      </c>
      <c r="V361" s="64"/>
      <c r="W361" s="64"/>
      <c r="X361" s="305">
        <f t="shared" ca="1" si="130"/>
        <v>0</v>
      </c>
    </row>
    <row r="362" spans="1:24" ht="15" thickBot="1" x14ac:dyDescent="0.25">
      <c r="A362" s="64"/>
      <c r="B362" s="16">
        <f t="shared" si="126"/>
        <v>20</v>
      </c>
      <c r="C362" s="1"/>
      <c r="D362" s="1"/>
      <c r="E362" s="16"/>
      <c r="F362" s="17"/>
      <c r="G362" s="16"/>
      <c r="H362" s="16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6"/>
      <c r="U362" s="1"/>
      <c r="V362" s="64"/>
      <c r="W362" s="64"/>
      <c r="X362" s="305">
        <f t="shared" si="130"/>
        <v>0</v>
      </c>
    </row>
    <row r="363" spans="1:24" ht="15" x14ac:dyDescent="0.25">
      <c r="A363" s="64"/>
      <c r="B363" s="16">
        <f t="shared" si="126"/>
        <v>21</v>
      </c>
      <c r="C363" s="255" t="s">
        <v>536</v>
      </c>
      <c r="D363" s="240"/>
      <c r="E363" s="241"/>
      <c r="F363" s="264">
        <f>+F361+F354</f>
        <v>129090253.80000001</v>
      </c>
      <c r="G363" s="241"/>
      <c r="H363" s="372"/>
      <c r="I363" s="769"/>
      <c r="J363" s="389">
        <f t="shared" ref="J363:Q363" ca="1" si="135">+J361+J354</f>
        <v>70429350.886723787</v>
      </c>
      <c r="K363" s="264">
        <f t="shared" ca="1" si="135"/>
        <v>1864332.3890805936</v>
      </c>
      <c r="L363" s="264">
        <f t="shared" ca="1" si="135"/>
        <v>44838684.878142871</v>
      </c>
      <c r="M363" s="264">
        <f t="shared" ca="1" si="135"/>
        <v>13509.265187857083</v>
      </c>
      <c r="N363" s="264">
        <f t="shared" ca="1" si="135"/>
        <v>8491749.5442422777</v>
      </c>
      <c r="O363" s="264">
        <f ca="1">+O361+O354</f>
        <v>992226.27855601511</v>
      </c>
      <c r="P363" s="264">
        <f t="shared" ca="1" si="135"/>
        <v>167463.42606989361</v>
      </c>
      <c r="Q363" s="264">
        <f t="shared" ca="1" si="135"/>
        <v>1898520.0169495472</v>
      </c>
      <c r="R363" s="264">
        <f ca="1">+R361+R354</f>
        <v>68586.556850017252</v>
      </c>
      <c r="S363" s="243">
        <f ca="1">+S361+S354</f>
        <v>325830.55819712777</v>
      </c>
      <c r="T363" s="372"/>
      <c r="U363" s="243">
        <f ca="1">SUM(I363:T363)</f>
        <v>129090253.80000001</v>
      </c>
      <c r="V363" s="64"/>
      <c r="W363" s="64"/>
      <c r="X363" s="305">
        <f t="shared" ca="1" si="130"/>
        <v>0</v>
      </c>
    </row>
    <row r="364" spans="1:24" ht="15.75" thickBot="1" x14ac:dyDescent="0.3">
      <c r="A364" s="64"/>
      <c r="B364" s="16">
        <f t="shared" si="126"/>
        <v>22</v>
      </c>
      <c r="C364" s="262" t="s">
        <v>537</v>
      </c>
      <c r="D364" s="246"/>
      <c r="E364" s="263"/>
      <c r="F364" s="248">
        <f>+F221-F363</f>
        <v>515013313.37999982</v>
      </c>
      <c r="G364" s="263"/>
      <c r="H364" s="387"/>
      <c r="I364" s="967"/>
      <c r="J364" s="377">
        <f t="shared" ref="J364:Q364" ca="1" si="136">+J221-J363</f>
        <v>280982121.35805905</v>
      </c>
      <c r="K364" s="248">
        <f t="shared" ca="1" si="136"/>
        <v>7437865.9323857296</v>
      </c>
      <c r="L364" s="248">
        <f t="shared" ca="1" si="136"/>
        <v>178886623.79168746</v>
      </c>
      <c r="M364" s="248">
        <f t="shared" ca="1" si="136"/>
        <v>53896.024067832164</v>
      </c>
      <c r="N364" s="248">
        <f t="shared" ca="1" si="136"/>
        <v>33878344.339991674</v>
      </c>
      <c r="O364" s="248">
        <f ca="1">+O221-O363</f>
        <v>3958546.2751785209</v>
      </c>
      <c r="P364" s="248">
        <f t="shared" ca="1" si="136"/>
        <v>668105.38666880014</v>
      </c>
      <c r="Q364" s="248">
        <f t="shared" ca="1" si="136"/>
        <v>7574259.5251403842</v>
      </c>
      <c r="R364" s="248">
        <f ca="1">+R221-R363</f>
        <v>273630.18397484242</v>
      </c>
      <c r="S364" s="378">
        <f ca="1">+S221-S363</f>
        <v>1299920.5628454471</v>
      </c>
      <c r="T364" s="387"/>
      <c r="U364" s="249">
        <f ca="1">SUM(I364:T364)</f>
        <v>515013313.37999976</v>
      </c>
      <c r="V364" s="64"/>
      <c r="W364" s="64"/>
      <c r="X364" s="305">
        <f t="shared" ca="1" si="130"/>
        <v>0</v>
      </c>
    </row>
    <row r="365" spans="1:24" ht="15" thickBot="1" x14ac:dyDescent="0.25">
      <c r="A365" s="64"/>
      <c r="B365" s="16">
        <f t="shared" si="126"/>
        <v>23</v>
      </c>
      <c r="C365" s="1"/>
      <c r="D365" s="29"/>
      <c r="E365" s="265"/>
      <c r="F365" s="17"/>
      <c r="G365" s="265"/>
      <c r="H365" s="265"/>
      <c r="I365" s="265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265"/>
      <c r="U365" s="17"/>
      <c r="V365" s="64"/>
      <c r="W365" s="64"/>
      <c r="X365" s="305">
        <f t="shared" si="130"/>
        <v>0</v>
      </c>
    </row>
    <row r="366" spans="1:24" ht="15.75" thickBot="1" x14ac:dyDescent="0.3">
      <c r="A366" s="45"/>
      <c r="B366" s="16">
        <f t="shared" si="126"/>
        <v>24</v>
      </c>
      <c r="C366" s="223" t="s">
        <v>538</v>
      </c>
      <c r="D366" s="224"/>
      <c r="E366" s="266"/>
      <c r="F366" s="194">
        <f>F364+F327</f>
        <v>14051090173.35</v>
      </c>
      <c r="G366" s="266"/>
      <c r="H366" s="390"/>
      <c r="I366" s="969"/>
      <c r="J366" s="381">
        <f t="shared" ref="J366:Q366" ca="1" si="137">J364+J327</f>
        <v>7666025366.1989765</v>
      </c>
      <c r="K366" s="812">
        <f t="shared" ca="1" si="137"/>
        <v>202927035.47282401</v>
      </c>
      <c r="L366" s="812">
        <f t="shared" ca="1" si="137"/>
        <v>4880557485.4111137</v>
      </c>
      <c r="M366" s="812">
        <f t="shared" ca="1" si="137"/>
        <v>1470443.3351286661</v>
      </c>
      <c r="N366" s="812">
        <f t="shared" ca="1" si="137"/>
        <v>924301680.90390754</v>
      </c>
      <c r="O366" s="812">
        <f ca="1">O364+O327</f>
        <v>108000879.24498343</v>
      </c>
      <c r="P366" s="812">
        <f t="shared" ca="1" si="137"/>
        <v>18227895.841709211</v>
      </c>
      <c r="Q366" s="812">
        <f t="shared" ca="1" si="137"/>
        <v>206648257.08219391</v>
      </c>
      <c r="R366" s="812">
        <f ca="1">R364+R327</f>
        <v>7465442.7163206059</v>
      </c>
      <c r="S366" s="315">
        <f ca="1">S364+S327</f>
        <v>35465687.142841518</v>
      </c>
      <c r="T366" s="390"/>
      <c r="U366" s="195">
        <f ca="1">SUM(I366:T366)</f>
        <v>14051090173.349998</v>
      </c>
      <c r="V366" s="64"/>
      <c r="W366" s="64"/>
      <c r="X366" s="305">
        <f t="shared" ca="1" si="130"/>
        <v>0</v>
      </c>
    </row>
    <row r="367" spans="1:24" ht="15.75" thickBot="1" x14ac:dyDescent="0.3">
      <c r="A367" s="64"/>
      <c r="B367" s="16">
        <f t="shared" si="126"/>
        <v>25</v>
      </c>
      <c r="C367" s="8"/>
      <c r="D367" s="8"/>
      <c r="E367" s="233"/>
      <c r="F367" s="21"/>
      <c r="G367" s="233"/>
      <c r="H367" s="233"/>
      <c r="I367" s="233"/>
      <c r="J367" s="805"/>
      <c r="K367" s="805"/>
      <c r="L367" s="805"/>
      <c r="M367" s="805"/>
      <c r="N367" s="805"/>
      <c r="O367" s="805"/>
      <c r="P367" s="805"/>
      <c r="Q367" s="805"/>
      <c r="R367" s="805"/>
      <c r="S367" s="805"/>
      <c r="T367" s="233"/>
      <c r="U367" s="21"/>
      <c r="V367" s="64"/>
      <c r="W367" s="64"/>
      <c r="X367" s="305">
        <f t="shared" si="130"/>
        <v>0</v>
      </c>
    </row>
    <row r="368" spans="1:24" ht="15.75" thickBot="1" x14ac:dyDescent="0.3">
      <c r="A368" s="64"/>
      <c r="B368" s="16">
        <f t="shared" si="126"/>
        <v>26</v>
      </c>
      <c r="C368" s="223" t="s">
        <v>539</v>
      </c>
      <c r="D368" s="224"/>
      <c r="E368" s="266"/>
      <c r="F368" s="194">
        <f>F364+F326</f>
        <v>14045648855.190001</v>
      </c>
      <c r="G368" s="266"/>
      <c r="H368" s="390"/>
      <c r="I368" s="969"/>
      <c r="J368" s="381">
        <f t="shared" ref="J368:Q368" ca="1" si="138">J364+J326</f>
        <v>7663056679.6041651</v>
      </c>
      <c r="K368" s="812">
        <f t="shared" ca="1" si="138"/>
        <v>202848451.4946664</v>
      </c>
      <c r="L368" s="812">
        <f t="shared" ca="1" si="138"/>
        <v>4878667477.8922195</v>
      </c>
      <c r="M368" s="812">
        <f t="shared" ca="1" si="138"/>
        <v>1469873.902442378</v>
      </c>
      <c r="N368" s="812">
        <f t="shared" ca="1" si="138"/>
        <v>923943742.87493086</v>
      </c>
      <c r="O368" s="812">
        <f ca="1">O364+O326</f>
        <v>107959055.64707881</v>
      </c>
      <c r="P368" s="812">
        <f t="shared" ca="1" si="138"/>
        <v>18220837.045598842</v>
      </c>
      <c r="Q368" s="812">
        <f t="shared" ca="1" si="138"/>
        <v>206568232.05209863</v>
      </c>
      <c r="R368" s="812">
        <f ca="1">R364+R326</f>
        <v>7462551.7058350416</v>
      </c>
      <c r="S368" s="315">
        <f ca="1">S364+S326</f>
        <v>35451952.970964007</v>
      </c>
      <c r="T368" s="390"/>
      <c r="U368" s="195">
        <f ca="1">SUM(I368:T368)</f>
        <v>14045648855.190002</v>
      </c>
      <c r="V368" s="64"/>
      <c r="W368" s="64"/>
      <c r="X368" s="305">
        <f t="shared" ca="1" si="130"/>
        <v>0</v>
      </c>
    </row>
    <row r="369" spans="1:24" x14ac:dyDescent="0.2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305">
        <f t="shared" si="130"/>
        <v>0</v>
      </c>
    </row>
    <row r="370" spans="1:24" x14ac:dyDescent="0.2">
      <c r="A370" s="64"/>
      <c r="B370" s="64"/>
      <c r="C370" s="64"/>
      <c r="D370" s="64"/>
      <c r="E370" s="64"/>
      <c r="F370" s="64"/>
      <c r="G370" s="64"/>
      <c r="H370" s="105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105"/>
      <c r="V370" s="105">
        <f>$H$2</f>
        <v>0</v>
      </c>
      <c r="W370" s="105"/>
      <c r="X370" s="305"/>
    </row>
    <row r="371" spans="1:24" ht="15" thickBo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305"/>
    </row>
    <row r="372" spans="1:24" ht="15" x14ac:dyDescent="0.25">
      <c r="A372" s="64"/>
      <c r="B372" s="829" t="str">
        <f>+$B$4</f>
        <v>2025 RATE CASE</v>
      </c>
      <c r="C372" s="844"/>
      <c r="D372" s="872"/>
      <c r="F372" s="267"/>
      <c r="U372" s="105"/>
      <c r="X372" s="305"/>
    </row>
    <row r="373" spans="1:24" ht="15" x14ac:dyDescent="0.25">
      <c r="A373" s="64"/>
      <c r="B373" s="826" t="str">
        <f>+$B$5</f>
        <v>ONCOR ELECTRIC DELIVERY COMPANY LLC</v>
      </c>
      <c r="C373" s="8"/>
      <c r="D373" s="873"/>
      <c r="F373" s="267"/>
      <c r="U373" s="105"/>
      <c r="V373" s="64"/>
      <c r="W373" s="64"/>
      <c r="X373" s="305"/>
    </row>
    <row r="374" spans="1:24" ht="15" x14ac:dyDescent="0.25">
      <c r="A374" s="64"/>
      <c r="B374" s="826" t="str">
        <f>+$B$6</f>
        <v>II-I-1-DIST:  CLASS REVENUE REQUIREMENT</v>
      </c>
      <c r="C374" s="82"/>
      <c r="D374" s="873"/>
      <c r="F374" s="267"/>
      <c r="U374" s="267"/>
      <c r="V374" s="64"/>
      <c r="W374" s="64"/>
      <c r="X374" s="305"/>
    </row>
    <row r="375" spans="1:24" ht="15" x14ac:dyDescent="0.25">
      <c r="A375" s="64"/>
      <c r="B375" s="341" t="str">
        <f>+$B$7</f>
        <v>TEST YEAR ENDING 12/31/2024</v>
      </c>
      <c r="C375" s="82"/>
      <c r="D375" s="873"/>
      <c r="F375" s="267"/>
      <c r="U375" s="267"/>
      <c r="V375" s="64"/>
      <c r="W375" s="64"/>
      <c r="X375" s="305"/>
    </row>
    <row r="376" spans="1:24" ht="15" x14ac:dyDescent="0.25">
      <c r="A376" s="64"/>
      <c r="B376" s="341" t="str">
        <f>+$B$8</f>
        <v>SPONSOR:  MATTHEW A. TROXLE</v>
      </c>
      <c r="C376" s="82"/>
      <c r="D376" s="873"/>
      <c r="F376" s="267"/>
      <c r="U376" s="267"/>
      <c r="V376" s="64"/>
      <c r="W376" s="64"/>
      <c r="X376" s="305"/>
    </row>
    <row r="377" spans="1:24" ht="15.75" thickBot="1" x14ac:dyDescent="0.3">
      <c r="A377" s="64"/>
      <c r="B377" s="345"/>
      <c r="C377" s="843"/>
      <c r="D377" s="845"/>
      <c r="F377" s="267"/>
      <c r="U377" s="267"/>
      <c r="V377" s="64"/>
      <c r="W377" s="64"/>
      <c r="X377" s="305"/>
    </row>
    <row r="378" spans="1:24" ht="15" thickBot="1" x14ac:dyDescent="0.25">
      <c r="A378" s="64"/>
      <c r="B378" s="12"/>
      <c r="C378" s="13"/>
      <c r="D378" s="13"/>
      <c r="E378" s="13"/>
      <c r="F378" s="12"/>
      <c r="G378" s="13"/>
      <c r="H378" s="13"/>
      <c r="I378" s="13"/>
      <c r="J378" s="177"/>
      <c r="K378" s="177"/>
      <c r="L378" s="13"/>
      <c r="M378" s="177"/>
      <c r="N378" s="177"/>
      <c r="O378" s="177"/>
      <c r="P378" s="177"/>
      <c r="Q378" s="13"/>
      <c r="R378" s="328" t="str">
        <f>R$10</f>
        <v xml:space="preserve"> </v>
      </c>
      <c r="S378" s="329"/>
      <c r="T378" s="177"/>
      <c r="U378" s="12"/>
      <c r="V378" s="64"/>
      <c r="W378" s="64"/>
      <c r="X378" s="305">
        <f t="shared" si="130"/>
        <v>0</v>
      </c>
    </row>
    <row r="379" spans="1:24" ht="15" x14ac:dyDescent="0.25">
      <c r="A379" s="64"/>
      <c r="B379" s="14" t="s">
        <v>2</v>
      </c>
      <c r="C379" s="14" t="s">
        <v>349</v>
      </c>
      <c r="D379" s="226" t="s">
        <v>113</v>
      </c>
      <c r="E379" s="14" t="s">
        <v>350</v>
      </c>
      <c r="F379" s="226" t="str">
        <f>F$11</f>
        <v>DIST</v>
      </c>
      <c r="G379" s="181" t="s">
        <v>688</v>
      </c>
      <c r="H379" s="181" t="s">
        <v>355</v>
      </c>
      <c r="I379" s="14"/>
      <c r="J379" s="181" t="s">
        <v>679</v>
      </c>
      <c r="K379" s="181" t="s">
        <v>388</v>
      </c>
      <c r="L379" s="14" t="s">
        <v>388</v>
      </c>
      <c r="M379" s="181" t="s">
        <v>389</v>
      </c>
      <c r="N379" s="181" t="s">
        <v>389</v>
      </c>
      <c r="O379" s="181" t="s">
        <v>389</v>
      </c>
      <c r="P379" s="181" t="s">
        <v>390</v>
      </c>
      <c r="Q379" s="14" t="s">
        <v>391</v>
      </c>
      <c r="R379" s="331" t="str">
        <f>R$11</f>
        <v>Wholesale</v>
      </c>
      <c r="S379" s="12" t="str">
        <f>S$11</f>
        <v>Wholesale</v>
      </c>
      <c r="T379" s="181"/>
      <c r="U379" s="14" t="s">
        <v>10</v>
      </c>
      <c r="V379" s="64"/>
      <c r="W379" s="64"/>
      <c r="X379" s="305"/>
    </row>
    <row r="380" spans="1:24" x14ac:dyDescent="0.2">
      <c r="A380" s="64"/>
      <c r="B380" s="14"/>
      <c r="C380" s="14"/>
      <c r="D380" s="14"/>
      <c r="E380" s="14"/>
      <c r="F380" s="14"/>
      <c r="G380" s="181" t="s">
        <v>689</v>
      </c>
      <c r="H380" s="181" t="s">
        <v>690</v>
      </c>
      <c r="I380" s="14"/>
      <c r="J380" s="181"/>
      <c r="K380" s="181" t="s">
        <v>680</v>
      </c>
      <c r="L380" s="14" t="s">
        <v>681</v>
      </c>
      <c r="M380" s="181" t="s">
        <v>680</v>
      </c>
      <c r="N380" s="181" t="s">
        <v>681</v>
      </c>
      <c r="O380" s="181" t="s">
        <v>393</v>
      </c>
      <c r="P380" s="181"/>
      <c r="Q380" s="14"/>
      <c r="R380" s="174" t="str">
        <f>R$12</f>
        <v>XFMR</v>
      </c>
      <c r="S380" s="14" t="str">
        <f>S$12</f>
        <v>DLS</v>
      </c>
      <c r="T380" s="181"/>
      <c r="U380" s="14"/>
      <c r="V380" s="64"/>
      <c r="W380" s="64"/>
      <c r="X380" s="305">
        <f t="shared" si="130"/>
        <v>0</v>
      </c>
    </row>
    <row r="381" spans="1:24" ht="15" thickBot="1" x14ac:dyDescent="0.25">
      <c r="A381" s="64"/>
      <c r="B381" s="15"/>
      <c r="C381" s="15"/>
      <c r="D381" s="15"/>
      <c r="E381" s="15"/>
      <c r="F381" s="15" t="s">
        <v>13</v>
      </c>
      <c r="G381" s="15" t="s">
        <v>14</v>
      </c>
      <c r="H381" s="15" t="s">
        <v>15</v>
      </c>
      <c r="I381" s="15"/>
      <c r="J381" s="182" t="str">
        <f t="shared" ref="J381:Q381" si="139">J$13</f>
        <v>(d)</v>
      </c>
      <c r="K381" s="182" t="str">
        <f t="shared" si="139"/>
        <v>(e)</v>
      </c>
      <c r="L381" s="15" t="str">
        <f t="shared" si="139"/>
        <v>(f)</v>
      </c>
      <c r="M381" s="182" t="str">
        <f t="shared" si="139"/>
        <v>(g)</v>
      </c>
      <c r="N381" s="182" t="str">
        <f t="shared" si="139"/>
        <v>(h)</v>
      </c>
      <c r="O381" s="182" t="str">
        <f>O$13</f>
        <v>(i)</v>
      </c>
      <c r="P381" s="182" t="str">
        <f t="shared" si="139"/>
        <v>(j)</v>
      </c>
      <c r="Q381" s="182" t="str">
        <f t="shared" si="139"/>
        <v>(k)</v>
      </c>
      <c r="R381" s="182" t="str">
        <f>R$13</f>
        <v>(l)</v>
      </c>
      <c r="S381" s="15" t="str">
        <f>S$13</f>
        <v>(m)</v>
      </c>
      <c r="T381" s="15"/>
      <c r="U381" s="15" t="s">
        <v>683</v>
      </c>
      <c r="V381" s="64"/>
      <c r="W381" s="64"/>
      <c r="X381" s="305"/>
    </row>
    <row r="382" spans="1:24" x14ac:dyDescent="0.2">
      <c r="A382" s="64"/>
      <c r="B382" s="64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41"/>
      <c r="V382" s="64"/>
      <c r="W382" s="64"/>
      <c r="X382" s="305">
        <f t="shared" si="130"/>
        <v>0</v>
      </c>
    </row>
    <row r="383" spans="1:24" ht="15" x14ac:dyDescent="0.25">
      <c r="A383" s="64"/>
      <c r="B383" s="16">
        <f t="shared" ref="B383:B388" si="140">B382+1</f>
        <v>1</v>
      </c>
      <c r="C383" s="269" t="s">
        <v>110</v>
      </c>
      <c r="D383" s="34"/>
      <c r="E383" s="35"/>
      <c r="F383" s="37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4"/>
      <c r="V383" s="64"/>
      <c r="W383" s="64"/>
      <c r="X383" s="305">
        <f t="shared" si="130"/>
        <v>0</v>
      </c>
    </row>
    <row r="384" spans="1:24" ht="15" x14ac:dyDescent="0.25">
      <c r="A384" s="64"/>
      <c r="B384" s="16">
        <f t="shared" si="140"/>
        <v>2</v>
      </c>
      <c r="C384" s="269"/>
      <c r="D384" s="41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41"/>
      <c r="V384" s="64"/>
      <c r="W384" s="64"/>
      <c r="X384" s="305">
        <f t="shared" si="130"/>
        <v>0</v>
      </c>
    </row>
    <row r="385" spans="1:24" ht="15" x14ac:dyDescent="0.25">
      <c r="A385" s="64"/>
      <c r="B385" s="16">
        <f t="shared" si="140"/>
        <v>3</v>
      </c>
      <c r="C385" s="41" t="s">
        <v>540</v>
      </c>
      <c r="D385" s="41" t="s">
        <v>113</v>
      </c>
      <c r="E385" s="36" t="s">
        <v>114</v>
      </c>
      <c r="F385" s="97">
        <f>' WP II-I-1.4'!G385</f>
        <v>6705448.3699999982</v>
      </c>
      <c r="G385" s="38">
        <v>28</v>
      </c>
      <c r="H385" s="45" t="str">
        <f>VLOOKUP(G385,FactorTable,2)</f>
        <v>NCP XHV</v>
      </c>
      <c r="I385" s="36"/>
      <c r="J385" s="370">
        <f t="shared" ref="J385:S385" si="141">$F385*HLOOKUP(J$1354,FactorTable,$G385+1)</f>
        <v>3438329.3344530286</v>
      </c>
      <c r="K385" s="370">
        <f t="shared" si="141"/>
        <v>64959.211858047252</v>
      </c>
      <c r="L385" s="370">
        <f t="shared" si="141"/>
        <v>2208453.4512115913</v>
      </c>
      <c r="M385" s="370">
        <f t="shared" si="141"/>
        <v>1033.425300281514</v>
      </c>
      <c r="N385" s="370">
        <f t="shared" si="141"/>
        <v>649597.79089702026</v>
      </c>
      <c r="O385" s="370">
        <f t="shared" si="141"/>
        <v>279209.91674134071</v>
      </c>
      <c r="P385" s="370">
        <f t="shared" si="141"/>
        <v>0</v>
      </c>
      <c r="Q385" s="370">
        <f t="shared" si="141"/>
        <v>19639.929225548898</v>
      </c>
      <c r="R385" s="370">
        <f t="shared" si="141"/>
        <v>19300.080275577431</v>
      </c>
      <c r="S385" s="370">
        <f t="shared" si="141"/>
        <v>24925.230037561556</v>
      </c>
      <c r="T385" s="36"/>
      <c r="U385" s="97">
        <f>SUM(I385:T385)</f>
        <v>6705448.3699999973</v>
      </c>
      <c r="V385" s="64"/>
      <c r="W385" s="64"/>
      <c r="X385" s="305">
        <f t="shared" si="130"/>
        <v>0</v>
      </c>
    </row>
    <row r="386" spans="1:24" ht="15" x14ac:dyDescent="0.25">
      <c r="A386" s="64"/>
      <c r="B386" s="16">
        <f t="shared" si="140"/>
        <v>4</v>
      </c>
      <c r="C386" s="34"/>
      <c r="D386" s="42" t="s">
        <v>444</v>
      </c>
      <c r="E386" s="37"/>
      <c r="F386" s="37">
        <f>+F385</f>
        <v>6705448.3699999982</v>
      </c>
      <c r="G386" s="37"/>
      <c r="H386" s="37"/>
      <c r="I386" s="37"/>
      <c r="J386" s="37">
        <f t="shared" ref="J386:Q386" si="142">+J385</f>
        <v>3438329.3344530286</v>
      </c>
      <c r="K386" s="37">
        <f t="shared" si="142"/>
        <v>64959.211858047252</v>
      </c>
      <c r="L386" s="37">
        <f t="shared" si="142"/>
        <v>2208453.4512115913</v>
      </c>
      <c r="M386" s="37">
        <f t="shared" si="142"/>
        <v>1033.425300281514</v>
      </c>
      <c r="N386" s="37">
        <f t="shared" si="142"/>
        <v>649597.79089702026</v>
      </c>
      <c r="O386" s="37">
        <f>+O385</f>
        <v>279209.91674134071</v>
      </c>
      <c r="P386" s="37">
        <f t="shared" si="142"/>
        <v>0</v>
      </c>
      <c r="Q386" s="37">
        <f t="shared" si="142"/>
        <v>19639.929225548898</v>
      </c>
      <c r="R386" s="37">
        <f>+R385</f>
        <v>19300.080275577431</v>
      </c>
      <c r="S386" s="37">
        <f>+S385</f>
        <v>24925.230037561556</v>
      </c>
      <c r="T386" s="37"/>
      <c r="U386" s="235">
        <f>SUM(I386:T386)</f>
        <v>6705448.3699999973</v>
      </c>
      <c r="V386" s="64"/>
      <c r="W386" s="64"/>
      <c r="X386" s="305">
        <f t="shared" si="130"/>
        <v>0</v>
      </c>
    </row>
    <row r="387" spans="1:24" ht="15" thickBot="1" x14ac:dyDescent="0.25">
      <c r="A387" s="64"/>
      <c r="B387" s="16">
        <f t="shared" si="140"/>
        <v>5</v>
      </c>
      <c r="C387" s="41"/>
      <c r="D387" s="41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41"/>
      <c r="V387" s="64"/>
      <c r="W387" s="64"/>
      <c r="X387" s="305">
        <f t="shared" si="130"/>
        <v>0</v>
      </c>
    </row>
    <row r="388" spans="1:24" ht="15.75" thickBot="1" x14ac:dyDescent="0.3">
      <c r="A388" s="45"/>
      <c r="B388" s="16">
        <f t="shared" si="140"/>
        <v>6</v>
      </c>
      <c r="C388" s="270" t="s">
        <v>541</v>
      </c>
      <c r="D388" s="271"/>
      <c r="E388" s="272" t="s">
        <v>114</v>
      </c>
      <c r="F388" s="217">
        <f>+F386</f>
        <v>6705448.3699999982</v>
      </c>
      <c r="G388" s="272"/>
      <c r="H388" s="392"/>
      <c r="I388" s="393"/>
      <c r="J388" s="291">
        <f t="shared" ref="J388:Q388" si="143">+J386</f>
        <v>3438329.3344530286</v>
      </c>
      <c r="K388" s="814">
        <f t="shared" si="143"/>
        <v>64959.211858047252</v>
      </c>
      <c r="L388" s="814">
        <f t="shared" si="143"/>
        <v>2208453.4512115913</v>
      </c>
      <c r="M388" s="814">
        <f t="shared" si="143"/>
        <v>1033.425300281514</v>
      </c>
      <c r="N388" s="814">
        <f t="shared" si="143"/>
        <v>649597.79089702026</v>
      </c>
      <c r="O388" s="814">
        <f>+O386</f>
        <v>279209.91674134071</v>
      </c>
      <c r="P388" s="814">
        <f t="shared" si="143"/>
        <v>0</v>
      </c>
      <c r="Q388" s="814">
        <f t="shared" si="143"/>
        <v>19639.929225548898</v>
      </c>
      <c r="R388" s="814">
        <f>+R386</f>
        <v>19300.080275577431</v>
      </c>
      <c r="S388" s="218">
        <f>+S386</f>
        <v>24925.230037561556</v>
      </c>
      <c r="T388" s="393"/>
      <c r="U388" s="195">
        <f>SUM(I388:T388)</f>
        <v>6705448.3699999973</v>
      </c>
      <c r="V388" s="64"/>
      <c r="W388" s="64"/>
      <c r="X388" s="305">
        <f t="shared" si="130"/>
        <v>0</v>
      </c>
    </row>
    <row r="389" spans="1:24" x14ac:dyDescent="0.2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305">
        <f t="shared" si="130"/>
        <v>0</v>
      </c>
    </row>
    <row r="390" spans="1:24" x14ac:dyDescent="0.2">
      <c r="A390" s="64"/>
      <c r="B390" s="64"/>
      <c r="C390" s="64"/>
      <c r="D390" s="64"/>
      <c r="E390" s="64"/>
      <c r="F390" s="64"/>
      <c r="G390" s="64"/>
      <c r="H390" s="105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105"/>
      <c r="V390" s="105">
        <f>$H$2</f>
        <v>0</v>
      </c>
      <c r="W390" s="105"/>
      <c r="X390" s="305"/>
    </row>
    <row r="391" spans="1:24" ht="15" thickBo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305"/>
    </row>
    <row r="392" spans="1:24" ht="15" x14ac:dyDescent="0.25">
      <c r="A392" s="64"/>
      <c r="B392" s="829" t="str">
        <f>+$B$4</f>
        <v>2025 RATE CASE</v>
      </c>
      <c r="C392" s="844"/>
      <c r="D392" s="872"/>
      <c r="F392" s="267"/>
      <c r="U392" s="105"/>
      <c r="X392" s="305"/>
    </row>
    <row r="393" spans="1:24" ht="15" x14ac:dyDescent="0.25">
      <c r="A393" s="64"/>
      <c r="B393" s="826" t="str">
        <f>+$B$5</f>
        <v>ONCOR ELECTRIC DELIVERY COMPANY LLC</v>
      </c>
      <c r="C393" s="8"/>
      <c r="D393" s="873"/>
      <c r="F393" s="267"/>
      <c r="U393" s="105"/>
      <c r="V393" s="64"/>
      <c r="W393" s="64"/>
      <c r="X393" s="305"/>
    </row>
    <row r="394" spans="1:24" ht="15" x14ac:dyDescent="0.25">
      <c r="A394" s="64"/>
      <c r="B394" s="826" t="str">
        <f>+$B$6</f>
        <v>II-I-1-DIST:  CLASS REVENUE REQUIREMENT</v>
      </c>
      <c r="C394" s="82"/>
      <c r="D394" s="873"/>
      <c r="F394" s="267"/>
      <c r="U394" s="267"/>
      <c r="V394" s="64"/>
      <c r="W394" s="64"/>
      <c r="X394" s="305"/>
    </row>
    <row r="395" spans="1:24" ht="15" x14ac:dyDescent="0.25">
      <c r="A395" s="64"/>
      <c r="B395" s="341" t="str">
        <f>+$B$7</f>
        <v>TEST YEAR ENDING 12/31/2024</v>
      </c>
      <c r="C395" s="82"/>
      <c r="D395" s="873"/>
      <c r="F395" s="267"/>
      <c r="U395" s="267"/>
      <c r="V395" s="64"/>
      <c r="W395" s="64"/>
      <c r="X395" s="305"/>
    </row>
    <row r="396" spans="1:24" ht="15" x14ac:dyDescent="0.25">
      <c r="A396" s="64"/>
      <c r="B396" s="341" t="str">
        <f>+$B$8</f>
        <v>SPONSOR:  MATTHEW A. TROXLE</v>
      </c>
      <c r="C396" s="82"/>
      <c r="D396" s="873"/>
      <c r="F396" s="267"/>
      <c r="U396" s="267"/>
      <c r="V396" s="64"/>
      <c r="W396" s="64"/>
      <c r="X396" s="305"/>
    </row>
    <row r="397" spans="1:24" ht="15.75" thickBot="1" x14ac:dyDescent="0.3">
      <c r="A397" s="64"/>
      <c r="B397" s="345"/>
      <c r="C397" s="843"/>
      <c r="D397" s="845"/>
      <c r="F397" s="267"/>
      <c r="U397" s="267"/>
      <c r="V397" s="64"/>
      <c r="W397" s="64"/>
      <c r="X397" s="305"/>
    </row>
    <row r="398" spans="1:24" ht="15" thickBot="1" x14ac:dyDescent="0.25">
      <c r="A398" s="64"/>
      <c r="B398" s="12"/>
      <c r="C398" s="13"/>
      <c r="D398" s="13"/>
      <c r="E398" s="13"/>
      <c r="F398" s="12"/>
      <c r="G398" s="13"/>
      <c r="H398" s="13"/>
      <c r="I398" s="13"/>
      <c r="J398" s="177"/>
      <c r="K398" s="177"/>
      <c r="L398" s="13"/>
      <c r="M398" s="177"/>
      <c r="N398" s="177"/>
      <c r="O398" s="177"/>
      <c r="P398" s="177"/>
      <c r="Q398" s="13"/>
      <c r="R398" s="328" t="str">
        <f>R$10</f>
        <v xml:space="preserve"> </v>
      </c>
      <c r="S398" s="329"/>
      <c r="T398" s="177"/>
      <c r="U398" s="12"/>
      <c r="V398" s="64"/>
      <c r="W398" s="64"/>
      <c r="X398" s="305"/>
    </row>
    <row r="399" spans="1:24" ht="15" x14ac:dyDescent="0.25">
      <c r="A399" s="64"/>
      <c r="B399" s="14" t="s">
        <v>2</v>
      </c>
      <c r="C399" s="14" t="s">
        <v>349</v>
      </c>
      <c r="D399" s="226" t="s">
        <v>542</v>
      </c>
      <c r="E399" s="14" t="s">
        <v>350</v>
      </c>
      <c r="F399" s="226" t="str">
        <f>F$11</f>
        <v>DIST</v>
      </c>
      <c r="G399" s="181" t="s">
        <v>688</v>
      </c>
      <c r="H399" s="181" t="s">
        <v>355</v>
      </c>
      <c r="I399" s="14"/>
      <c r="J399" s="181" t="s">
        <v>679</v>
      </c>
      <c r="K399" s="181" t="s">
        <v>388</v>
      </c>
      <c r="L399" s="14" t="s">
        <v>388</v>
      </c>
      <c r="M399" s="181" t="s">
        <v>389</v>
      </c>
      <c r="N399" s="181" t="s">
        <v>389</v>
      </c>
      <c r="O399" s="181" t="s">
        <v>389</v>
      </c>
      <c r="P399" s="181" t="s">
        <v>390</v>
      </c>
      <c r="Q399" s="14" t="s">
        <v>391</v>
      </c>
      <c r="R399" s="331" t="str">
        <f>R$11</f>
        <v>Wholesale</v>
      </c>
      <c r="S399" s="12" t="str">
        <f>S$11</f>
        <v>Wholesale</v>
      </c>
      <c r="T399" s="181"/>
      <c r="U399" s="14" t="s">
        <v>10</v>
      </c>
      <c r="V399" s="64"/>
      <c r="W399" s="64"/>
      <c r="X399" s="305"/>
    </row>
    <row r="400" spans="1:24" x14ac:dyDescent="0.2">
      <c r="A400" s="64"/>
      <c r="B400" s="14"/>
      <c r="C400" s="14"/>
      <c r="D400" s="14"/>
      <c r="E400" s="14"/>
      <c r="F400" s="14"/>
      <c r="G400" s="181" t="s">
        <v>689</v>
      </c>
      <c r="H400" s="181" t="s">
        <v>690</v>
      </c>
      <c r="I400" s="14"/>
      <c r="J400" s="181"/>
      <c r="K400" s="181" t="s">
        <v>680</v>
      </c>
      <c r="L400" s="14" t="s">
        <v>681</v>
      </c>
      <c r="M400" s="181" t="s">
        <v>680</v>
      </c>
      <c r="N400" s="181" t="s">
        <v>681</v>
      </c>
      <c r="O400" s="181" t="s">
        <v>393</v>
      </c>
      <c r="P400" s="181"/>
      <c r="Q400" s="14"/>
      <c r="R400" s="174" t="str">
        <f>R$12</f>
        <v>XFMR</v>
      </c>
      <c r="S400" s="14" t="str">
        <f>S$12</f>
        <v>DLS</v>
      </c>
      <c r="T400" s="181"/>
      <c r="U400" s="14"/>
      <c r="V400" s="64"/>
      <c r="W400" s="64"/>
      <c r="X400" s="305">
        <f t="shared" si="130"/>
        <v>0</v>
      </c>
    </row>
    <row r="401" spans="1:24" ht="15" thickBot="1" x14ac:dyDescent="0.25">
      <c r="A401" s="64"/>
      <c r="B401" s="15"/>
      <c r="C401" s="15"/>
      <c r="D401" s="15"/>
      <c r="E401" s="15"/>
      <c r="F401" s="15" t="s">
        <v>13</v>
      </c>
      <c r="G401" s="15" t="s">
        <v>14</v>
      </c>
      <c r="H401" s="15" t="s">
        <v>15</v>
      </c>
      <c r="I401" s="15"/>
      <c r="J401" s="182" t="str">
        <f t="shared" ref="J401:Q401" si="144">J$13</f>
        <v>(d)</v>
      </c>
      <c r="K401" s="182" t="str">
        <f t="shared" si="144"/>
        <v>(e)</v>
      </c>
      <c r="L401" s="15" t="str">
        <f t="shared" si="144"/>
        <v>(f)</v>
      </c>
      <c r="M401" s="182" t="str">
        <f t="shared" si="144"/>
        <v>(g)</v>
      </c>
      <c r="N401" s="182" t="str">
        <f t="shared" si="144"/>
        <v>(h)</v>
      </c>
      <c r="O401" s="182" t="str">
        <f>O$13</f>
        <v>(i)</v>
      </c>
      <c r="P401" s="182" t="str">
        <f t="shared" si="144"/>
        <v>(j)</v>
      </c>
      <c r="Q401" s="182" t="str">
        <f t="shared" si="144"/>
        <v>(k)</v>
      </c>
      <c r="R401" s="182" t="str">
        <f>R$13</f>
        <v>(l)</v>
      </c>
      <c r="S401" s="15" t="str">
        <f>S$13</f>
        <v>(m)</v>
      </c>
      <c r="T401" s="15"/>
      <c r="U401" s="15" t="s">
        <v>683</v>
      </c>
      <c r="V401" s="64"/>
      <c r="W401" s="64"/>
      <c r="X401" s="305"/>
    </row>
    <row r="402" spans="1:24" x14ac:dyDescent="0.2">
      <c r="A402" s="64"/>
      <c r="B402" s="64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41"/>
      <c r="V402" s="64"/>
      <c r="W402" s="64"/>
      <c r="X402" s="305">
        <f t="shared" si="130"/>
        <v>0</v>
      </c>
    </row>
    <row r="403" spans="1:24" ht="15" x14ac:dyDescent="0.25">
      <c r="A403" s="64"/>
      <c r="B403" s="16">
        <f t="shared" ref="B403:B413" si="145">B402+1</f>
        <v>1</v>
      </c>
      <c r="C403" s="269" t="s">
        <v>110</v>
      </c>
      <c r="D403" s="34"/>
      <c r="E403" s="35"/>
      <c r="F403" s="273"/>
      <c r="G403" s="35"/>
      <c r="H403" s="35"/>
      <c r="I403" s="35"/>
      <c r="J403" s="806"/>
      <c r="K403" s="806"/>
      <c r="L403" s="806"/>
      <c r="M403" s="806"/>
      <c r="N403" s="806"/>
      <c r="O403" s="806"/>
      <c r="P403" s="806"/>
      <c r="Q403" s="806"/>
      <c r="R403" s="806"/>
      <c r="S403" s="806"/>
      <c r="T403" s="35"/>
      <c r="U403" s="42"/>
      <c r="V403" s="64"/>
      <c r="W403" s="64"/>
      <c r="X403" s="305">
        <f t="shared" si="130"/>
        <v>0</v>
      </c>
    </row>
    <row r="404" spans="1:24" ht="15" x14ac:dyDescent="0.25">
      <c r="A404" s="64"/>
      <c r="B404" s="16">
        <f t="shared" si="145"/>
        <v>2</v>
      </c>
      <c r="C404" s="269"/>
      <c r="D404" s="41"/>
      <c r="E404" s="202"/>
      <c r="F404" s="274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75"/>
      <c r="V404" s="64"/>
      <c r="W404" s="64"/>
      <c r="X404" s="305">
        <f t="shared" si="130"/>
        <v>0</v>
      </c>
    </row>
    <row r="405" spans="1:24" ht="15" x14ac:dyDescent="0.25">
      <c r="A405" s="64"/>
      <c r="B405" s="16">
        <f t="shared" si="145"/>
        <v>3</v>
      </c>
      <c r="C405" s="41"/>
      <c r="D405" s="41" t="s">
        <v>131</v>
      </c>
      <c r="E405" s="35" t="s">
        <v>475</v>
      </c>
      <c r="F405" s="97">
        <f>' WP II-I-1.4'!G405</f>
        <v>0</v>
      </c>
      <c r="G405" s="293">
        <v>2</v>
      </c>
      <c r="H405" s="45" t="str">
        <f>VLOOKUP(G405,FactorTable,2)</f>
        <v>N / A</v>
      </c>
      <c r="I405" s="806"/>
      <c r="J405" s="806"/>
      <c r="K405" s="806"/>
      <c r="L405" s="806"/>
      <c r="M405" s="806"/>
      <c r="N405" s="806"/>
      <c r="O405" s="806"/>
      <c r="P405" s="806"/>
      <c r="Q405" s="806"/>
      <c r="R405" s="806"/>
      <c r="S405" s="806"/>
      <c r="T405" s="806"/>
      <c r="U405" s="97">
        <f>SUM(I405:T405)</f>
        <v>0</v>
      </c>
      <c r="V405" s="64"/>
      <c r="W405" s="64"/>
      <c r="X405" s="305">
        <f t="shared" si="130"/>
        <v>0</v>
      </c>
    </row>
    <row r="406" spans="1:24" ht="15" x14ac:dyDescent="0.25">
      <c r="A406" s="64"/>
      <c r="B406" s="16">
        <f t="shared" si="145"/>
        <v>4</v>
      </c>
      <c r="C406" s="41"/>
      <c r="D406" s="41" t="s">
        <v>543</v>
      </c>
      <c r="E406" s="35"/>
      <c r="F406" s="97">
        <f>' WP II-I-1.4'!G406</f>
        <v>0</v>
      </c>
      <c r="G406" s="293">
        <v>2</v>
      </c>
      <c r="H406" s="45" t="str">
        <f>VLOOKUP(G406,FactorTable,2)</f>
        <v>N / A</v>
      </c>
      <c r="I406" s="806"/>
      <c r="J406" s="806"/>
      <c r="K406" s="806"/>
      <c r="L406" s="806"/>
      <c r="M406" s="806"/>
      <c r="N406" s="806"/>
      <c r="O406" s="806"/>
      <c r="P406" s="806"/>
      <c r="Q406" s="806"/>
      <c r="R406" s="806"/>
      <c r="S406" s="806"/>
      <c r="T406" s="806"/>
      <c r="U406" s="97">
        <f>SUM(I406:T406)</f>
        <v>0</v>
      </c>
      <c r="V406" s="64"/>
      <c r="W406" s="64"/>
      <c r="X406" s="305">
        <f t="shared" si="130"/>
        <v>0</v>
      </c>
    </row>
    <row r="407" spans="1:24" ht="15" x14ac:dyDescent="0.25">
      <c r="A407" s="64"/>
      <c r="B407" s="16">
        <f t="shared" si="145"/>
        <v>5</v>
      </c>
      <c r="C407" s="41"/>
      <c r="D407" s="41" t="s">
        <v>544</v>
      </c>
      <c r="E407" s="35"/>
      <c r="F407" s="97">
        <f>' WP II-I-1.4'!G407</f>
        <v>0</v>
      </c>
      <c r="G407" s="293">
        <v>2</v>
      </c>
      <c r="H407" s="45" t="str">
        <f>VLOOKUP(G407,FactorTable,2)</f>
        <v>N / A</v>
      </c>
      <c r="I407" s="806"/>
      <c r="J407" s="806"/>
      <c r="K407" s="806"/>
      <c r="L407" s="806"/>
      <c r="M407" s="806"/>
      <c r="N407" s="806"/>
      <c r="O407" s="806"/>
      <c r="P407" s="806"/>
      <c r="Q407" s="806"/>
      <c r="R407" s="806"/>
      <c r="S407" s="806"/>
      <c r="T407" s="806"/>
      <c r="U407" s="97">
        <f>SUM(I407:T407)</f>
        <v>0</v>
      </c>
      <c r="V407" s="64"/>
      <c r="W407" s="64"/>
      <c r="X407" s="305">
        <f t="shared" si="130"/>
        <v>0</v>
      </c>
    </row>
    <row r="408" spans="1:24" ht="15.75" thickBot="1" x14ac:dyDescent="0.3">
      <c r="A408" s="45"/>
      <c r="B408" s="16">
        <f t="shared" si="145"/>
        <v>6</v>
      </c>
      <c r="C408" s="41"/>
      <c r="D408" s="41"/>
      <c r="E408" s="35"/>
      <c r="F408" s="25"/>
      <c r="G408" s="35"/>
      <c r="H408" s="35"/>
      <c r="I408" s="35"/>
      <c r="J408" s="806"/>
      <c r="K408" s="806"/>
      <c r="L408" s="806"/>
      <c r="M408" s="806"/>
      <c r="N408" s="806"/>
      <c r="O408" s="806"/>
      <c r="P408" s="806"/>
      <c r="Q408" s="806"/>
      <c r="R408" s="806"/>
      <c r="S408" s="806"/>
      <c r="T408" s="35"/>
      <c r="U408" s="97"/>
      <c r="V408" s="64"/>
      <c r="W408" s="64"/>
      <c r="X408" s="305">
        <f t="shared" si="130"/>
        <v>0</v>
      </c>
    </row>
    <row r="409" spans="1:24" ht="15.75" thickBot="1" x14ac:dyDescent="0.3">
      <c r="A409" s="45"/>
      <c r="B409" s="16">
        <f t="shared" si="145"/>
        <v>7</v>
      </c>
      <c r="C409" s="276" t="s">
        <v>545</v>
      </c>
      <c r="D409" s="271"/>
      <c r="E409" s="272" t="s">
        <v>475</v>
      </c>
      <c r="F409" s="277">
        <f>SUM(F405:F407)</f>
        <v>0</v>
      </c>
      <c r="G409" s="272"/>
      <c r="H409" s="392"/>
      <c r="I409" s="568"/>
      <c r="J409" s="395">
        <f t="shared" ref="J409:Q409" si="146">SUM(J405:J407)</f>
        <v>0</v>
      </c>
      <c r="K409" s="277">
        <f t="shared" si="146"/>
        <v>0</v>
      </c>
      <c r="L409" s="277">
        <f t="shared" si="146"/>
        <v>0</v>
      </c>
      <c r="M409" s="277">
        <f t="shared" si="146"/>
        <v>0</v>
      </c>
      <c r="N409" s="277">
        <f t="shared" si="146"/>
        <v>0</v>
      </c>
      <c r="O409" s="277">
        <f>SUM(O405:O407)</f>
        <v>0</v>
      </c>
      <c r="P409" s="277">
        <f t="shared" si="146"/>
        <v>0</v>
      </c>
      <c r="Q409" s="277">
        <f t="shared" si="146"/>
        <v>0</v>
      </c>
      <c r="R409" s="277">
        <f>SUM(R405:R407)</f>
        <v>0</v>
      </c>
      <c r="S409" s="396">
        <f>SUM(S405:S407)</f>
        <v>0</v>
      </c>
      <c r="T409" s="393"/>
      <c r="U409" s="195">
        <f>SUM(I409:T409)</f>
        <v>0</v>
      </c>
      <c r="V409" s="64"/>
      <c r="W409" s="64"/>
      <c r="X409" s="305">
        <f t="shared" si="130"/>
        <v>0</v>
      </c>
    </row>
    <row r="410" spans="1:24" x14ac:dyDescent="0.2">
      <c r="A410" s="45"/>
      <c r="B410" s="16">
        <f t="shared" si="145"/>
        <v>8</v>
      </c>
      <c r="C410" s="41"/>
      <c r="D410" s="41"/>
      <c r="E410" s="202"/>
      <c r="F410" s="274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79"/>
      <c r="V410" s="64"/>
      <c r="W410" s="64"/>
      <c r="X410" s="305">
        <f t="shared" si="130"/>
        <v>0</v>
      </c>
    </row>
    <row r="411" spans="1:24" ht="15" x14ac:dyDescent="0.25">
      <c r="A411" s="118"/>
      <c r="B411" s="16">
        <f t="shared" si="145"/>
        <v>9</v>
      </c>
      <c r="C411" s="34" t="s">
        <v>546</v>
      </c>
      <c r="D411" s="42"/>
      <c r="E411" s="806" t="s">
        <v>125</v>
      </c>
      <c r="F411" s="229">
        <f>' WP II-I-1.4'!G411</f>
        <v>-1434321915.47</v>
      </c>
      <c r="G411" s="293">
        <v>64</v>
      </c>
      <c r="H411" s="45" t="str">
        <f>VLOOKUP(G411,FactorTable,2)</f>
        <v>PLANT</v>
      </c>
      <c r="I411" s="806"/>
      <c r="J411" s="369">
        <f t="shared" ref="J411:S411" ca="1" si="147">$F411*HLOOKUP(J$1354,FactorTable,$G411+1)</f>
        <v>-770580857.99559188</v>
      </c>
      <c r="K411" s="369">
        <f t="shared" ca="1" si="147"/>
        <v>-24896419.116163075</v>
      </c>
      <c r="L411" s="369">
        <f t="shared" ca="1" si="147"/>
        <v>-487230881.62143224</v>
      </c>
      <c r="M411" s="369">
        <f t="shared" ca="1" si="147"/>
        <v>-140938.20192934328</v>
      </c>
      <c r="N411" s="369">
        <f t="shared" ca="1" si="147"/>
        <v>-88591932.674146563</v>
      </c>
      <c r="O411" s="369">
        <f t="shared" ca="1" si="147"/>
        <v>-9635368.3668290898</v>
      </c>
      <c r="P411" s="369">
        <f t="shared" ca="1" si="147"/>
        <v>-1669231.0406850176</v>
      </c>
      <c r="Q411" s="369">
        <f t="shared" ca="1" si="147"/>
        <v>-47510957.488365166</v>
      </c>
      <c r="R411" s="369">
        <f t="shared" ca="1" si="147"/>
        <v>-666034.30542489211</v>
      </c>
      <c r="S411" s="369">
        <f t="shared" ca="1" si="147"/>
        <v>-3399294.6594323111</v>
      </c>
      <c r="T411" s="806"/>
      <c r="U411" s="235">
        <f ca="1">SUM(I411:T411)</f>
        <v>-1434321915.4699998</v>
      </c>
      <c r="V411" s="104"/>
      <c r="W411" s="104"/>
      <c r="X411" s="305">
        <f t="shared" ca="1" si="130"/>
        <v>0</v>
      </c>
    </row>
    <row r="412" spans="1:24" ht="15" thickBot="1" x14ac:dyDescent="0.25">
      <c r="A412" s="45"/>
      <c r="B412" s="16">
        <f t="shared" si="145"/>
        <v>10</v>
      </c>
      <c r="C412" s="41"/>
      <c r="D412" s="41"/>
      <c r="E412" s="202"/>
      <c r="F412" s="274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75"/>
      <c r="V412" s="64"/>
      <c r="W412" s="64"/>
      <c r="X412" s="305">
        <f t="shared" si="130"/>
        <v>0</v>
      </c>
    </row>
    <row r="413" spans="1:24" ht="15.75" thickBot="1" x14ac:dyDescent="0.3">
      <c r="A413" s="64"/>
      <c r="B413" s="16">
        <f t="shared" si="145"/>
        <v>11</v>
      </c>
      <c r="C413" s="276" t="s">
        <v>547</v>
      </c>
      <c r="D413" s="271"/>
      <c r="E413" s="272"/>
      <c r="F413" s="1202">
        <f>+F411+F409</f>
        <v>-1434321915.47</v>
      </c>
      <c r="G413" s="272"/>
      <c r="H413" s="392"/>
      <c r="I413" s="393"/>
      <c r="J413" s="395">
        <f t="shared" ref="J413:Q413" ca="1" si="148">+J411+J409</f>
        <v>-770580857.99559188</v>
      </c>
      <c r="K413" s="277">
        <f t="shared" ca="1" si="148"/>
        <v>-24896419.116163075</v>
      </c>
      <c r="L413" s="277">
        <f t="shared" ca="1" si="148"/>
        <v>-487230881.62143224</v>
      </c>
      <c r="M413" s="277">
        <f t="shared" ca="1" si="148"/>
        <v>-140938.20192934328</v>
      </c>
      <c r="N413" s="277">
        <f t="shared" ca="1" si="148"/>
        <v>-88591932.674146563</v>
      </c>
      <c r="O413" s="277">
        <f ca="1">+O411+O409</f>
        <v>-9635368.3668290898</v>
      </c>
      <c r="P413" s="277">
        <f t="shared" ca="1" si="148"/>
        <v>-1669231.0406850176</v>
      </c>
      <c r="Q413" s="277">
        <f t="shared" ca="1" si="148"/>
        <v>-47510957.488365166</v>
      </c>
      <c r="R413" s="277">
        <f ca="1">+R411+R409</f>
        <v>-666034.30542489211</v>
      </c>
      <c r="S413" s="396">
        <f ca="1">+S411+S409</f>
        <v>-3399294.6594323111</v>
      </c>
      <c r="T413" s="393"/>
      <c r="U413" s="195">
        <f ca="1">SUM(I413:T413)</f>
        <v>-1434321915.4699998</v>
      </c>
      <c r="V413" s="64"/>
      <c r="W413" s="64"/>
      <c r="X413" s="305">
        <f t="shared" ca="1" si="130"/>
        <v>0</v>
      </c>
    </row>
    <row r="414" spans="1:24" x14ac:dyDescent="0.2">
      <c r="A414" s="64"/>
      <c r="B414" s="64"/>
      <c r="C414" s="64"/>
      <c r="D414" s="64"/>
      <c r="E414" s="64"/>
      <c r="F414" s="222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305">
        <f t="shared" si="130"/>
        <v>0</v>
      </c>
    </row>
    <row r="415" spans="1:24" x14ac:dyDescent="0.2">
      <c r="A415" s="64"/>
      <c r="B415" s="64"/>
      <c r="C415" s="64"/>
      <c r="D415" s="64"/>
      <c r="E415" s="64"/>
      <c r="F415" s="222"/>
      <c r="G415" s="64"/>
      <c r="H415" s="105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105"/>
      <c r="V415" s="105">
        <f>$H$2</f>
        <v>0</v>
      </c>
      <c r="W415" s="105"/>
      <c r="X415" s="305"/>
    </row>
    <row r="416" spans="1:24" ht="15" thickBot="1" x14ac:dyDescent="0.25">
      <c r="A416" s="64"/>
      <c r="B416" s="64"/>
      <c r="C416" s="64"/>
      <c r="D416" s="64"/>
      <c r="E416" s="64"/>
      <c r="F416" s="222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305">
        <f t="shared" si="130"/>
        <v>0</v>
      </c>
    </row>
    <row r="417" spans="1:24" ht="15" x14ac:dyDescent="0.25">
      <c r="A417" s="64"/>
      <c r="B417" s="829" t="str">
        <f>+$B$4</f>
        <v>2025 RATE CASE</v>
      </c>
      <c r="C417" s="844"/>
      <c r="D417" s="872"/>
      <c r="F417" s="267"/>
      <c r="U417" s="105"/>
      <c r="X417" s="305">
        <f t="shared" si="130"/>
        <v>0</v>
      </c>
    </row>
    <row r="418" spans="1:24" ht="15" x14ac:dyDescent="0.25">
      <c r="A418" s="64"/>
      <c r="B418" s="826" t="str">
        <f>+$B$5</f>
        <v>ONCOR ELECTRIC DELIVERY COMPANY LLC</v>
      </c>
      <c r="C418" s="8"/>
      <c r="D418" s="873"/>
      <c r="F418" s="267"/>
      <c r="U418" s="105"/>
      <c r="V418" s="64"/>
      <c r="W418" s="64"/>
      <c r="X418" s="305">
        <f t="shared" si="130"/>
        <v>0</v>
      </c>
    </row>
    <row r="419" spans="1:24" ht="15" x14ac:dyDescent="0.25">
      <c r="A419" s="64"/>
      <c r="B419" s="826" t="str">
        <f>+$B$6</f>
        <v>II-I-1-DIST:  CLASS REVENUE REQUIREMENT</v>
      </c>
      <c r="C419" s="82"/>
      <c r="D419" s="873"/>
      <c r="F419" s="267"/>
      <c r="U419" s="267"/>
      <c r="V419" s="64"/>
      <c r="W419" s="64"/>
      <c r="X419" s="305">
        <f t="shared" ref="X419:X482" si="149">U419-F419</f>
        <v>0</v>
      </c>
    </row>
    <row r="420" spans="1:24" ht="15" x14ac:dyDescent="0.25">
      <c r="A420" s="64"/>
      <c r="B420" s="341" t="str">
        <f>+$B$7</f>
        <v>TEST YEAR ENDING 12/31/2024</v>
      </c>
      <c r="C420" s="82"/>
      <c r="D420" s="873"/>
      <c r="F420" s="267"/>
      <c r="U420" s="267"/>
      <c r="V420" s="64"/>
      <c r="W420" s="64"/>
      <c r="X420" s="305">
        <f t="shared" si="149"/>
        <v>0</v>
      </c>
    </row>
    <row r="421" spans="1:24" ht="15" x14ac:dyDescent="0.25">
      <c r="A421" s="64"/>
      <c r="B421" s="341" t="str">
        <f>+$B$8</f>
        <v>SPONSOR:  MATTHEW A. TROXLE</v>
      </c>
      <c r="C421" s="82"/>
      <c r="D421" s="873"/>
      <c r="F421" s="267"/>
      <c r="U421" s="267"/>
      <c r="V421" s="64"/>
      <c r="W421" s="64"/>
      <c r="X421" s="305">
        <f t="shared" si="149"/>
        <v>0</v>
      </c>
    </row>
    <row r="422" spans="1:24" ht="15.75" thickBot="1" x14ac:dyDescent="0.3">
      <c r="A422" s="64"/>
      <c r="B422" s="345"/>
      <c r="C422" s="843"/>
      <c r="D422" s="845"/>
      <c r="F422" s="267"/>
      <c r="U422" s="267"/>
      <c r="V422" s="64"/>
      <c r="W422" s="64"/>
      <c r="X422" s="305">
        <f t="shared" si="149"/>
        <v>0</v>
      </c>
    </row>
    <row r="423" spans="1:24" ht="15" thickBot="1" x14ac:dyDescent="0.25">
      <c r="A423" s="64"/>
      <c r="B423" s="12"/>
      <c r="C423" s="13"/>
      <c r="D423" s="13"/>
      <c r="E423" s="13"/>
      <c r="F423" s="12"/>
      <c r="G423" s="13"/>
      <c r="H423" s="13"/>
      <c r="I423" s="13"/>
      <c r="J423" s="177"/>
      <c r="K423" s="177"/>
      <c r="L423" s="13"/>
      <c r="M423" s="177"/>
      <c r="N423" s="177"/>
      <c r="O423" s="177"/>
      <c r="P423" s="177"/>
      <c r="Q423" s="13"/>
      <c r="R423" s="328" t="str">
        <f>R$10</f>
        <v xml:space="preserve"> </v>
      </c>
      <c r="S423" s="329"/>
      <c r="T423" s="177"/>
      <c r="U423" s="12"/>
      <c r="V423" s="64"/>
      <c r="W423" s="64"/>
      <c r="X423" s="305">
        <f t="shared" si="149"/>
        <v>0</v>
      </c>
    </row>
    <row r="424" spans="1:24" ht="15" x14ac:dyDescent="0.25">
      <c r="A424" s="64"/>
      <c r="B424" s="14" t="s">
        <v>2</v>
      </c>
      <c r="C424" s="14" t="s">
        <v>349</v>
      </c>
      <c r="D424" s="226" t="s">
        <v>548</v>
      </c>
      <c r="E424" s="14" t="s">
        <v>350</v>
      </c>
      <c r="F424" s="226" t="str">
        <f>F$11</f>
        <v>DIST</v>
      </c>
      <c r="G424" s="181" t="s">
        <v>688</v>
      </c>
      <c r="H424" s="181" t="s">
        <v>355</v>
      </c>
      <c r="I424" s="14"/>
      <c r="J424" s="181" t="s">
        <v>679</v>
      </c>
      <c r="K424" s="181" t="s">
        <v>388</v>
      </c>
      <c r="L424" s="14" t="s">
        <v>388</v>
      </c>
      <c r="M424" s="181" t="s">
        <v>389</v>
      </c>
      <c r="N424" s="181" t="s">
        <v>389</v>
      </c>
      <c r="O424" s="181" t="s">
        <v>389</v>
      </c>
      <c r="P424" s="181" t="s">
        <v>390</v>
      </c>
      <c r="Q424" s="14" t="s">
        <v>391</v>
      </c>
      <c r="R424" s="331" t="str">
        <f>R$11</f>
        <v>Wholesale</v>
      </c>
      <c r="S424" s="12" t="str">
        <f>S$11</f>
        <v>Wholesale</v>
      </c>
      <c r="T424" s="181"/>
      <c r="U424" s="14" t="s">
        <v>10</v>
      </c>
      <c r="V424" s="64"/>
      <c r="W424" s="64"/>
      <c r="X424" s="305"/>
    </row>
    <row r="425" spans="1:24" x14ac:dyDescent="0.2">
      <c r="A425" s="64"/>
      <c r="B425" s="14"/>
      <c r="C425" s="14"/>
      <c r="D425" s="14"/>
      <c r="E425" s="14"/>
      <c r="F425" s="14"/>
      <c r="G425" s="181" t="s">
        <v>689</v>
      </c>
      <c r="H425" s="181" t="s">
        <v>690</v>
      </c>
      <c r="I425" s="14"/>
      <c r="J425" s="181"/>
      <c r="K425" s="181" t="s">
        <v>680</v>
      </c>
      <c r="L425" s="14" t="s">
        <v>681</v>
      </c>
      <c r="M425" s="181" t="s">
        <v>680</v>
      </c>
      <c r="N425" s="181" t="s">
        <v>681</v>
      </c>
      <c r="O425" s="181" t="s">
        <v>393</v>
      </c>
      <c r="P425" s="181"/>
      <c r="Q425" s="14"/>
      <c r="R425" s="174" t="str">
        <f>R$12</f>
        <v>XFMR</v>
      </c>
      <c r="S425" s="14" t="str">
        <f>S$12</f>
        <v>DLS</v>
      </c>
      <c r="T425" s="181"/>
      <c r="U425" s="14"/>
      <c r="V425" s="64"/>
      <c r="W425" s="64"/>
      <c r="X425" s="305">
        <f t="shared" si="149"/>
        <v>0</v>
      </c>
    </row>
    <row r="426" spans="1:24" ht="15" thickBot="1" x14ac:dyDescent="0.25">
      <c r="A426" s="64"/>
      <c r="B426" s="15"/>
      <c r="C426" s="15"/>
      <c r="D426" s="15"/>
      <c r="E426" s="15"/>
      <c r="F426" s="15" t="s">
        <v>13</v>
      </c>
      <c r="G426" s="15" t="s">
        <v>14</v>
      </c>
      <c r="H426" s="15" t="s">
        <v>15</v>
      </c>
      <c r="I426" s="15"/>
      <c r="J426" s="182" t="str">
        <f t="shared" ref="J426:Q426" si="150">J$13</f>
        <v>(d)</v>
      </c>
      <c r="K426" s="182" t="str">
        <f t="shared" si="150"/>
        <v>(e)</v>
      </c>
      <c r="L426" s="15" t="str">
        <f t="shared" si="150"/>
        <v>(f)</v>
      </c>
      <c r="M426" s="182" t="str">
        <f t="shared" si="150"/>
        <v>(g)</v>
      </c>
      <c r="N426" s="182" t="str">
        <f t="shared" si="150"/>
        <v>(h)</v>
      </c>
      <c r="O426" s="182" t="str">
        <f>O$13</f>
        <v>(i)</v>
      </c>
      <c r="P426" s="182" t="str">
        <f t="shared" si="150"/>
        <v>(j)</v>
      </c>
      <c r="Q426" s="182" t="str">
        <f t="shared" si="150"/>
        <v>(k)</v>
      </c>
      <c r="R426" s="182" t="str">
        <f>R$13</f>
        <v>(l)</v>
      </c>
      <c r="S426" s="15" t="str">
        <f>S$13</f>
        <v>(m)</v>
      </c>
      <c r="T426" s="15"/>
      <c r="U426" s="15" t="s">
        <v>683</v>
      </c>
      <c r="V426" s="64"/>
      <c r="W426" s="64"/>
      <c r="X426" s="305"/>
    </row>
    <row r="427" spans="1:24" ht="15" x14ac:dyDescent="0.25">
      <c r="A427" s="64"/>
      <c r="B427" s="64"/>
      <c r="C427" s="33"/>
      <c r="D427" s="41"/>
      <c r="E427" s="202"/>
      <c r="F427" s="281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41"/>
      <c r="V427" s="64"/>
      <c r="W427" s="64"/>
      <c r="X427" s="305">
        <f t="shared" si="149"/>
        <v>0</v>
      </c>
    </row>
    <row r="428" spans="1:24" ht="15" x14ac:dyDescent="0.25">
      <c r="A428" s="64"/>
      <c r="B428" s="16">
        <f t="shared" ref="B428:B435" si="151">B427+1</f>
        <v>1</v>
      </c>
      <c r="C428" s="269" t="s">
        <v>110</v>
      </c>
      <c r="D428" s="41"/>
      <c r="E428" s="202"/>
      <c r="F428" s="281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41"/>
      <c r="V428" s="64"/>
      <c r="W428" s="64"/>
      <c r="X428" s="305">
        <f t="shared" si="149"/>
        <v>0</v>
      </c>
    </row>
    <row r="429" spans="1:24" ht="15" x14ac:dyDescent="0.25">
      <c r="A429" s="64"/>
      <c r="B429" s="16">
        <f t="shared" si="151"/>
        <v>2</v>
      </c>
      <c r="C429" s="53" t="s">
        <v>549</v>
      </c>
      <c r="D429" s="42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64"/>
      <c r="W429" s="64"/>
      <c r="X429" s="305">
        <f t="shared" si="149"/>
        <v>0</v>
      </c>
    </row>
    <row r="430" spans="1:24" ht="15" x14ac:dyDescent="0.25">
      <c r="A430" s="64"/>
      <c r="B430" s="16">
        <f t="shared" si="151"/>
        <v>3</v>
      </c>
      <c r="C430" s="41"/>
      <c r="D430" s="34" t="s">
        <v>548</v>
      </c>
      <c r="E430" s="35" t="s">
        <v>116</v>
      </c>
      <c r="F430" s="41"/>
      <c r="G430" s="35"/>
      <c r="H430" s="35"/>
      <c r="I430" s="35"/>
      <c r="J430" s="806"/>
      <c r="K430" s="806"/>
      <c r="L430" s="806"/>
      <c r="M430" s="806"/>
      <c r="N430" s="806"/>
      <c r="O430" s="806"/>
      <c r="P430" s="806"/>
      <c r="Q430" s="806"/>
      <c r="R430" s="806"/>
      <c r="S430" s="806"/>
      <c r="T430" s="35"/>
      <c r="U430" s="41"/>
      <c r="V430" s="64"/>
      <c r="W430" s="64"/>
      <c r="X430" s="305">
        <f t="shared" si="149"/>
        <v>0</v>
      </c>
    </row>
    <row r="431" spans="1:24" x14ac:dyDescent="0.2">
      <c r="A431" s="64"/>
      <c r="B431" s="16">
        <f t="shared" si="151"/>
        <v>4</v>
      </c>
      <c r="C431" s="41">
        <v>154</v>
      </c>
      <c r="D431" s="41" t="s">
        <v>550</v>
      </c>
      <c r="E431" s="41"/>
      <c r="F431" s="97">
        <f>' WP II-I-1.4'!G431</f>
        <v>138215277.31999999</v>
      </c>
      <c r="G431" s="38">
        <v>64</v>
      </c>
      <c r="H431" s="45" t="str">
        <f>VLOOKUP(G431,FactorTable,2)</f>
        <v>PLANT</v>
      </c>
      <c r="I431" s="41"/>
      <c r="J431" s="369">
        <f t="shared" ref="J431:S432" ca="1" si="152">$F431*HLOOKUP(J$1354,FactorTable,$G431+1)</f>
        <v>74255329.878609762</v>
      </c>
      <c r="K431" s="369">
        <f t="shared" ca="1" si="152"/>
        <v>2399088.6810704949</v>
      </c>
      <c r="L431" s="369">
        <f t="shared" ca="1" si="152"/>
        <v>46950932.490010381</v>
      </c>
      <c r="M431" s="369">
        <f t="shared" ca="1" si="152"/>
        <v>13581.199906760943</v>
      </c>
      <c r="N431" s="369">
        <f t="shared" ca="1" si="152"/>
        <v>8536966.7790787127</v>
      </c>
      <c r="O431" s="369">
        <f t="shared" ca="1" si="152"/>
        <v>928491.08455910848</v>
      </c>
      <c r="P431" s="369">
        <f t="shared" ca="1" si="152"/>
        <v>160851.77860775526</v>
      </c>
      <c r="Q431" s="369">
        <f t="shared" ca="1" si="152"/>
        <v>4578288.9420896331</v>
      </c>
      <c r="R431" s="369">
        <f t="shared" ca="1" si="152"/>
        <v>64180.931237301775</v>
      </c>
      <c r="S431" s="369">
        <f t="shared" ca="1" si="152"/>
        <v>327565.55483005085</v>
      </c>
      <c r="T431" s="41"/>
      <c r="U431" s="97">
        <f ca="1">SUM(I431:T431)</f>
        <v>138215277.31999996</v>
      </c>
      <c r="V431" s="64"/>
      <c r="W431" s="64"/>
      <c r="X431" s="305">
        <f t="shared" ca="1" si="149"/>
        <v>0</v>
      </c>
    </row>
    <row r="432" spans="1:24" x14ac:dyDescent="0.2">
      <c r="A432" s="64"/>
      <c r="B432" s="16">
        <f t="shared" si="151"/>
        <v>5</v>
      </c>
      <c r="C432" s="41">
        <v>163</v>
      </c>
      <c r="D432" s="41" t="s">
        <v>551</v>
      </c>
      <c r="E432" s="202"/>
      <c r="F432" s="97">
        <f>' WP II-I-1.4'!G432</f>
        <v>19742788.43</v>
      </c>
      <c r="G432" s="38">
        <v>64</v>
      </c>
      <c r="H432" s="45" t="str">
        <f>VLOOKUP(G432,FactorTable,2)</f>
        <v>PLANT</v>
      </c>
      <c r="I432" s="202"/>
      <c r="J432" s="370">
        <f t="shared" ca="1" si="152"/>
        <v>10606694.831564153</v>
      </c>
      <c r="K432" s="370">
        <f t="shared" ca="1" si="152"/>
        <v>342687.87918084057</v>
      </c>
      <c r="L432" s="370">
        <f t="shared" ca="1" si="152"/>
        <v>6706511.354713737</v>
      </c>
      <c r="M432" s="370">
        <f t="shared" ca="1" si="152"/>
        <v>1939.9502108868396</v>
      </c>
      <c r="N432" s="370">
        <f t="shared" ca="1" si="152"/>
        <v>1219427.6365200407</v>
      </c>
      <c r="O432" s="370">
        <f t="shared" ca="1" si="152"/>
        <v>132626.46067085082</v>
      </c>
      <c r="P432" s="370">
        <f t="shared" ca="1" si="152"/>
        <v>22976.205635283906</v>
      </c>
      <c r="Q432" s="370">
        <f t="shared" ca="1" si="152"/>
        <v>653966.70836766332</v>
      </c>
      <c r="R432" s="370">
        <f t="shared" ca="1" si="152"/>
        <v>9167.6591128546243</v>
      </c>
      <c r="S432" s="370">
        <f t="shared" ca="1" si="152"/>
        <v>46789.744023683721</v>
      </c>
      <c r="T432" s="202"/>
      <c r="U432" s="97">
        <f ca="1">SUM(I432:T432)</f>
        <v>19742788.429999996</v>
      </c>
      <c r="V432" s="64"/>
      <c r="W432" s="64"/>
      <c r="X432" s="305">
        <f t="shared" ca="1" si="149"/>
        <v>0</v>
      </c>
    </row>
    <row r="433" spans="1:24" ht="15" x14ac:dyDescent="0.25">
      <c r="A433" s="64"/>
      <c r="B433" s="16">
        <f t="shared" si="151"/>
        <v>6</v>
      </c>
      <c r="C433" s="34"/>
      <c r="D433" s="42" t="s">
        <v>444</v>
      </c>
      <c r="E433" s="37"/>
      <c r="F433" s="37">
        <f>SUM(F431:F432)</f>
        <v>157958065.75</v>
      </c>
      <c r="G433" s="37"/>
      <c r="H433" s="37"/>
      <c r="I433" s="37"/>
      <c r="J433" s="37">
        <f t="shared" ref="J433:Q433" ca="1" si="153">SUM(J431:J432)</f>
        <v>84862024.71017392</v>
      </c>
      <c r="K433" s="37">
        <f t="shared" ca="1" si="153"/>
        <v>2741776.5602513356</v>
      </c>
      <c r="L433" s="37">
        <f t="shared" ca="1" si="153"/>
        <v>53657443.844724119</v>
      </c>
      <c r="M433" s="37">
        <f t="shared" ca="1" si="153"/>
        <v>15521.150117647783</v>
      </c>
      <c r="N433" s="37">
        <f t="shared" ca="1" si="153"/>
        <v>9756394.4155987538</v>
      </c>
      <c r="O433" s="37">
        <f ca="1">SUM(O431:O432)</f>
        <v>1061117.5452299593</v>
      </c>
      <c r="P433" s="37">
        <f t="shared" ca="1" si="153"/>
        <v>183827.98424303916</v>
      </c>
      <c r="Q433" s="37">
        <f t="shared" ca="1" si="153"/>
        <v>5232255.6504572965</v>
      </c>
      <c r="R433" s="37">
        <f ca="1">SUM(R431:R432)</f>
        <v>73348.590350156403</v>
      </c>
      <c r="S433" s="37">
        <f ca="1">SUM(S431:S432)</f>
        <v>374355.29885373457</v>
      </c>
      <c r="T433" s="37"/>
      <c r="U433" s="235">
        <f ca="1">SUM(I433:T433)</f>
        <v>157958065.74999994</v>
      </c>
      <c r="V433" s="64"/>
      <c r="W433" s="64"/>
      <c r="X433" s="305">
        <f t="shared" ca="1" si="149"/>
        <v>0</v>
      </c>
    </row>
    <row r="434" spans="1:24" ht="15" thickBot="1" x14ac:dyDescent="0.25">
      <c r="A434" s="64"/>
      <c r="B434" s="16">
        <f t="shared" si="151"/>
        <v>7</v>
      </c>
      <c r="C434" s="41"/>
      <c r="D434" s="275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41"/>
      <c r="V434" s="64"/>
      <c r="W434" s="64"/>
      <c r="X434" s="305">
        <f t="shared" si="149"/>
        <v>0</v>
      </c>
    </row>
    <row r="435" spans="1:24" ht="15.75" thickBot="1" x14ac:dyDescent="0.3">
      <c r="A435" s="45"/>
      <c r="B435" s="16">
        <f t="shared" si="151"/>
        <v>8</v>
      </c>
      <c r="C435" s="270" t="s">
        <v>552</v>
      </c>
      <c r="D435" s="271"/>
      <c r="E435" s="272" t="s">
        <v>116</v>
      </c>
      <c r="F435" s="217">
        <f>F433</f>
        <v>157958065.75</v>
      </c>
      <c r="G435" s="272"/>
      <c r="H435" s="392"/>
      <c r="I435" s="393"/>
      <c r="J435" s="291">
        <f t="shared" ref="J435:Q435" ca="1" si="154">J433</f>
        <v>84862024.71017392</v>
      </c>
      <c r="K435" s="814">
        <f t="shared" ca="1" si="154"/>
        <v>2741776.5602513356</v>
      </c>
      <c r="L435" s="814">
        <f t="shared" ca="1" si="154"/>
        <v>53657443.844724119</v>
      </c>
      <c r="M435" s="814">
        <f t="shared" ca="1" si="154"/>
        <v>15521.150117647783</v>
      </c>
      <c r="N435" s="814">
        <f t="shared" ca="1" si="154"/>
        <v>9756394.4155987538</v>
      </c>
      <c r="O435" s="814">
        <f ca="1">O433</f>
        <v>1061117.5452299593</v>
      </c>
      <c r="P435" s="814">
        <f t="shared" ca="1" si="154"/>
        <v>183827.98424303916</v>
      </c>
      <c r="Q435" s="814">
        <f t="shared" ca="1" si="154"/>
        <v>5232255.6504572965</v>
      </c>
      <c r="R435" s="814">
        <f ca="1">R433</f>
        <v>73348.590350156403</v>
      </c>
      <c r="S435" s="218">
        <f ca="1">S433</f>
        <v>374355.29885373457</v>
      </c>
      <c r="T435" s="393"/>
      <c r="U435" s="195">
        <f ca="1">SUM(I435:T435)</f>
        <v>157958065.74999994</v>
      </c>
      <c r="V435" s="64"/>
      <c r="W435" s="64"/>
      <c r="X435" s="305">
        <f t="shared" ca="1" si="149"/>
        <v>0</v>
      </c>
    </row>
    <row r="436" spans="1:24" x14ac:dyDescent="0.2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305">
        <f t="shared" si="149"/>
        <v>0</v>
      </c>
    </row>
    <row r="437" spans="1:24" x14ac:dyDescent="0.2">
      <c r="A437" s="64"/>
      <c r="B437" s="64"/>
      <c r="C437" s="64"/>
      <c r="D437" s="64"/>
      <c r="E437" s="64"/>
      <c r="F437" s="64"/>
      <c r="G437" s="64"/>
      <c r="H437" s="105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105"/>
      <c r="V437" s="105">
        <f>$H$2</f>
        <v>0</v>
      </c>
      <c r="W437" s="105"/>
      <c r="X437" s="305"/>
    </row>
    <row r="438" spans="1:24" ht="15" thickBo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305">
        <f t="shared" si="149"/>
        <v>0</v>
      </c>
    </row>
    <row r="439" spans="1:24" ht="15" x14ac:dyDescent="0.25">
      <c r="A439" s="64"/>
      <c r="B439" s="829" t="str">
        <f>+$B$4</f>
        <v>2025 RATE CASE</v>
      </c>
      <c r="C439" s="844"/>
      <c r="D439" s="872"/>
      <c r="F439" s="267"/>
      <c r="U439" s="105"/>
      <c r="X439" s="305">
        <f t="shared" si="149"/>
        <v>0</v>
      </c>
    </row>
    <row r="440" spans="1:24" ht="15" x14ac:dyDescent="0.25">
      <c r="A440" s="64"/>
      <c r="B440" s="826" t="str">
        <f>+$B$5</f>
        <v>ONCOR ELECTRIC DELIVERY COMPANY LLC</v>
      </c>
      <c r="C440" s="8"/>
      <c r="D440" s="873"/>
      <c r="F440" s="267"/>
      <c r="U440" s="105"/>
      <c r="V440" s="64"/>
      <c r="W440" s="64"/>
      <c r="X440" s="305">
        <f t="shared" si="149"/>
        <v>0</v>
      </c>
    </row>
    <row r="441" spans="1:24" ht="15" x14ac:dyDescent="0.25">
      <c r="A441" s="64"/>
      <c r="B441" s="826" t="str">
        <f>+$B$6</f>
        <v>II-I-1-DIST:  CLASS REVENUE REQUIREMENT</v>
      </c>
      <c r="C441" s="82"/>
      <c r="D441" s="873"/>
      <c r="F441" s="267"/>
      <c r="U441" s="267"/>
      <c r="V441" s="64"/>
      <c r="W441" s="64"/>
      <c r="X441" s="305">
        <f t="shared" si="149"/>
        <v>0</v>
      </c>
    </row>
    <row r="442" spans="1:24" ht="15" x14ac:dyDescent="0.25">
      <c r="A442" s="64"/>
      <c r="B442" s="341" t="str">
        <f>+$B$7</f>
        <v>TEST YEAR ENDING 12/31/2024</v>
      </c>
      <c r="C442" s="82"/>
      <c r="D442" s="873"/>
      <c r="F442" s="267"/>
      <c r="U442" s="267"/>
      <c r="V442" s="64"/>
      <c r="W442" s="64"/>
      <c r="X442" s="305">
        <f t="shared" si="149"/>
        <v>0</v>
      </c>
    </row>
    <row r="443" spans="1:24" ht="15" x14ac:dyDescent="0.25">
      <c r="A443" s="64"/>
      <c r="B443" s="341" t="str">
        <f>+$B$8</f>
        <v>SPONSOR:  MATTHEW A. TROXLE</v>
      </c>
      <c r="C443" s="82"/>
      <c r="D443" s="873"/>
      <c r="F443" s="267"/>
      <c r="U443" s="267"/>
      <c r="V443" s="64"/>
      <c r="W443" s="64"/>
      <c r="X443" s="305">
        <f t="shared" si="149"/>
        <v>0</v>
      </c>
    </row>
    <row r="444" spans="1:24" ht="15.75" thickBot="1" x14ac:dyDescent="0.3">
      <c r="A444" s="64"/>
      <c r="B444" s="345"/>
      <c r="C444" s="843"/>
      <c r="D444" s="845"/>
      <c r="F444" s="267"/>
      <c r="U444" s="267"/>
      <c r="V444" s="64"/>
      <c r="W444" s="64"/>
      <c r="X444" s="305">
        <f t="shared" si="149"/>
        <v>0</v>
      </c>
    </row>
    <row r="445" spans="1:24" ht="15" thickBot="1" x14ac:dyDescent="0.25">
      <c r="A445" s="64"/>
      <c r="B445" s="12"/>
      <c r="C445" s="13"/>
      <c r="D445" s="13"/>
      <c r="E445" s="13"/>
      <c r="F445" s="12"/>
      <c r="G445" s="13"/>
      <c r="H445" s="13"/>
      <c r="I445" s="13"/>
      <c r="J445" s="177"/>
      <c r="K445" s="177"/>
      <c r="L445" s="13"/>
      <c r="M445" s="177"/>
      <c r="N445" s="177"/>
      <c r="O445" s="177"/>
      <c r="P445" s="177"/>
      <c r="Q445" s="13"/>
      <c r="R445" s="328" t="str">
        <f>R$10</f>
        <v xml:space="preserve"> </v>
      </c>
      <c r="S445" s="329"/>
      <c r="T445" s="177"/>
      <c r="U445" s="12"/>
      <c r="V445" s="64"/>
      <c r="W445" s="64"/>
      <c r="X445" s="305">
        <f t="shared" si="149"/>
        <v>0</v>
      </c>
    </row>
    <row r="446" spans="1:24" ht="15" x14ac:dyDescent="0.25">
      <c r="A446" s="64"/>
      <c r="B446" s="14" t="s">
        <v>2</v>
      </c>
      <c r="C446" s="14" t="s">
        <v>349</v>
      </c>
      <c r="D446" s="226" t="s">
        <v>118</v>
      </c>
      <c r="E446" s="14" t="s">
        <v>350</v>
      </c>
      <c r="F446" s="226" t="str">
        <f>F$11</f>
        <v>DIST</v>
      </c>
      <c r="G446" s="181" t="s">
        <v>688</v>
      </c>
      <c r="H446" s="181" t="s">
        <v>355</v>
      </c>
      <c r="I446" s="14"/>
      <c r="J446" s="181" t="s">
        <v>679</v>
      </c>
      <c r="K446" s="181" t="s">
        <v>388</v>
      </c>
      <c r="L446" s="14" t="s">
        <v>388</v>
      </c>
      <c r="M446" s="181" t="s">
        <v>389</v>
      </c>
      <c r="N446" s="181" t="s">
        <v>389</v>
      </c>
      <c r="O446" s="181" t="s">
        <v>389</v>
      </c>
      <c r="P446" s="181" t="s">
        <v>390</v>
      </c>
      <c r="Q446" s="14" t="s">
        <v>391</v>
      </c>
      <c r="R446" s="331" t="str">
        <f>R$11</f>
        <v>Wholesale</v>
      </c>
      <c r="S446" s="12" t="str">
        <f>S$11</f>
        <v>Wholesale</v>
      </c>
      <c r="T446" s="181"/>
      <c r="U446" s="14" t="s">
        <v>10</v>
      </c>
      <c r="V446" s="64"/>
      <c r="W446" s="64"/>
      <c r="X446" s="305"/>
    </row>
    <row r="447" spans="1:24" x14ac:dyDescent="0.2">
      <c r="A447" s="64"/>
      <c r="B447" s="14"/>
      <c r="C447" s="14"/>
      <c r="D447" s="14"/>
      <c r="E447" s="14"/>
      <c r="F447" s="14"/>
      <c r="G447" s="181" t="s">
        <v>689</v>
      </c>
      <c r="H447" s="181" t="s">
        <v>690</v>
      </c>
      <c r="I447" s="14"/>
      <c r="J447" s="181"/>
      <c r="K447" s="181" t="s">
        <v>680</v>
      </c>
      <c r="L447" s="14" t="s">
        <v>681</v>
      </c>
      <c r="M447" s="181" t="s">
        <v>680</v>
      </c>
      <c r="N447" s="181" t="s">
        <v>681</v>
      </c>
      <c r="O447" s="181" t="s">
        <v>393</v>
      </c>
      <c r="P447" s="181"/>
      <c r="Q447" s="14"/>
      <c r="R447" s="174" t="str">
        <f>R$12</f>
        <v>XFMR</v>
      </c>
      <c r="S447" s="14" t="str">
        <f>S$12</f>
        <v>DLS</v>
      </c>
      <c r="T447" s="181"/>
      <c r="U447" s="14"/>
      <c r="V447" s="64"/>
      <c r="W447" s="64"/>
      <c r="X447" s="305">
        <f t="shared" si="149"/>
        <v>0</v>
      </c>
    </row>
    <row r="448" spans="1:24" ht="15" thickBot="1" x14ac:dyDescent="0.25">
      <c r="A448" s="64"/>
      <c r="B448" s="15"/>
      <c r="C448" s="15"/>
      <c r="D448" s="15"/>
      <c r="E448" s="15"/>
      <c r="F448" s="15" t="s">
        <v>13</v>
      </c>
      <c r="G448" s="15" t="s">
        <v>14</v>
      </c>
      <c r="H448" s="15" t="s">
        <v>15</v>
      </c>
      <c r="I448" s="15"/>
      <c r="J448" s="182" t="str">
        <f t="shared" ref="J448:Q448" si="155">J$13</f>
        <v>(d)</v>
      </c>
      <c r="K448" s="182" t="str">
        <f t="shared" si="155"/>
        <v>(e)</v>
      </c>
      <c r="L448" s="15" t="str">
        <f t="shared" si="155"/>
        <v>(f)</v>
      </c>
      <c r="M448" s="182" t="str">
        <f t="shared" si="155"/>
        <v>(g)</v>
      </c>
      <c r="N448" s="182" t="str">
        <f t="shared" si="155"/>
        <v>(h)</v>
      </c>
      <c r="O448" s="182" t="str">
        <f>O$13</f>
        <v>(i)</v>
      </c>
      <c r="P448" s="182" t="str">
        <f t="shared" si="155"/>
        <v>(j)</v>
      </c>
      <c r="Q448" s="182" t="str">
        <f t="shared" si="155"/>
        <v>(k)</v>
      </c>
      <c r="R448" s="182" t="str">
        <f>R$13</f>
        <v>(l)</v>
      </c>
      <c r="S448" s="15" t="str">
        <f>S$13</f>
        <v>(m)</v>
      </c>
      <c r="T448" s="15"/>
      <c r="U448" s="15" t="s">
        <v>683</v>
      </c>
      <c r="V448" s="64"/>
      <c r="W448" s="64"/>
      <c r="X448" s="305"/>
    </row>
    <row r="449" spans="1:24" x14ac:dyDescent="0.2">
      <c r="A449" s="64"/>
      <c r="B449" s="64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41"/>
      <c r="V449" s="64"/>
      <c r="W449" s="64"/>
      <c r="X449" s="305">
        <f t="shared" si="149"/>
        <v>0</v>
      </c>
    </row>
    <row r="450" spans="1:24" ht="15" x14ac:dyDescent="0.25">
      <c r="A450" s="64"/>
      <c r="B450" s="16">
        <f t="shared" ref="B450:B455" si="156">B449+1</f>
        <v>1</v>
      </c>
      <c r="C450" s="269" t="s">
        <v>110</v>
      </c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64"/>
      <c r="W450" s="64"/>
      <c r="X450" s="305">
        <f t="shared" si="149"/>
        <v>0</v>
      </c>
    </row>
    <row r="451" spans="1:24" ht="15" x14ac:dyDescent="0.25">
      <c r="A451" s="64"/>
      <c r="B451" s="16">
        <f t="shared" si="156"/>
        <v>2</v>
      </c>
      <c r="C451" s="283" t="s">
        <v>549</v>
      </c>
      <c r="D451" s="34"/>
      <c r="E451" s="35" t="s">
        <v>119</v>
      </c>
      <c r="F451" s="284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4"/>
      <c r="V451" s="64"/>
      <c r="W451" s="64"/>
      <c r="X451" s="305">
        <f t="shared" si="149"/>
        <v>0</v>
      </c>
    </row>
    <row r="452" spans="1:24" x14ac:dyDescent="0.2">
      <c r="A452" s="64"/>
      <c r="B452" s="16">
        <f t="shared" si="156"/>
        <v>3</v>
      </c>
      <c r="C452" s="41"/>
      <c r="D452" s="41" t="s">
        <v>118</v>
      </c>
      <c r="E452" s="41"/>
      <c r="F452" s="97">
        <f>' WP II-I-1.4'!G452</f>
        <v>-25613472.190000005</v>
      </c>
      <c r="G452" s="38">
        <v>76</v>
      </c>
      <c r="H452" s="45" t="str">
        <f>VLOOKUP(G452,FactorTable,2)</f>
        <v>O&amp;M</v>
      </c>
      <c r="I452" s="41"/>
      <c r="J452" s="370">
        <f t="shared" ref="J452:S452" ca="1" si="157">$F452*HLOOKUP(J$1354,FactorTable,$G452+1)</f>
        <v>-11557764.117475266</v>
      </c>
      <c r="K452" s="370">
        <f t="shared" ca="1" si="157"/>
        <v>-236615.7679398082</v>
      </c>
      <c r="L452" s="370">
        <f t="shared" ca="1" si="157"/>
        <v>-7933459.1135668885</v>
      </c>
      <c r="M452" s="370">
        <f t="shared" ca="1" si="157"/>
        <v>-3754.1564091006644</v>
      </c>
      <c r="N452" s="370">
        <f t="shared" ca="1" si="157"/>
        <v>-2391700.4613199816</v>
      </c>
      <c r="O452" s="370">
        <f t="shared" ca="1" si="157"/>
        <v>-783599.54653294117</v>
      </c>
      <c r="P452" s="370">
        <f t="shared" ca="1" si="157"/>
        <v>-2569749.6116282269</v>
      </c>
      <c r="Q452" s="370">
        <f t="shared" ca="1" si="157"/>
        <v>-122717.09996872046</v>
      </c>
      <c r="R452" s="370">
        <f t="shared" ca="1" si="157"/>
        <v>-2163.1622465273363</v>
      </c>
      <c r="S452" s="370">
        <f t="shared" ca="1" si="157"/>
        <v>-11949.15291255163</v>
      </c>
      <c r="T452" s="41"/>
      <c r="U452" s="97">
        <f ca="1">SUM(I452:T452)</f>
        <v>-25613472.190000013</v>
      </c>
      <c r="V452" s="64"/>
      <c r="W452" s="64"/>
      <c r="X452" s="305">
        <f t="shared" ca="1" si="149"/>
        <v>0</v>
      </c>
    </row>
    <row r="453" spans="1:24" ht="15" x14ac:dyDescent="0.25">
      <c r="A453" s="64"/>
      <c r="B453" s="16">
        <f t="shared" si="156"/>
        <v>4</v>
      </c>
      <c r="C453" s="34"/>
      <c r="D453" s="42" t="s">
        <v>444</v>
      </c>
      <c r="E453" s="37"/>
      <c r="F453" s="37">
        <f>+F452</f>
        <v>-25613472.190000005</v>
      </c>
      <c r="G453" s="37"/>
      <c r="H453" s="37"/>
      <c r="I453" s="37"/>
      <c r="J453" s="807">
        <f t="shared" ref="J453:Q453" ca="1" si="158">+J452</f>
        <v>-11557764.117475266</v>
      </c>
      <c r="K453" s="807">
        <f t="shared" ca="1" si="158"/>
        <v>-236615.7679398082</v>
      </c>
      <c r="L453" s="807">
        <f t="shared" ca="1" si="158"/>
        <v>-7933459.1135668885</v>
      </c>
      <c r="M453" s="807">
        <f t="shared" ca="1" si="158"/>
        <v>-3754.1564091006644</v>
      </c>
      <c r="N453" s="807">
        <f t="shared" ca="1" si="158"/>
        <v>-2391700.4613199816</v>
      </c>
      <c r="O453" s="807">
        <f ca="1">+O452</f>
        <v>-783599.54653294117</v>
      </c>
      <c r="P453" s="807">
        <f t="shared" ca="1" si="158"/>
        <v>-2569749.6116282269</v>
      </c>
      <c r="Q453" s="807">
        <f t="shared" ca="1" si="158"/>
        <v>-122717.09996872046</v>
      </c>
      <c r="R453" s="807">
        <f ca="1">+R452</f>
        <v>-2163.1622465273363</v>
      </c>
      <c r="S453" s="807">
        <f ca="1">+S452</f>
        <v>-11949.15291255163</v>
      </c>
      <c r="T453" s="37"/>
      <c r="U453" s="235">
        <f ca="1">SUM(I453:T453)</f>
        <v>-25613472.190000013</v>
      </c>
      <c r="V453" s="64"/>
      <c r="W453" s="64"/>
      <c r="X453" s="305">
        <f t="shared" ca="1" si="149"/>
        <v>0</v>
      </c>
    </row>
    <row r="454" spans="1:24" ht="15" thickBot="1" x14ac:dyDescent="0.25">
      <c r="A454" s="64"/>
      <c r="B454" s="16">
        <f t="shared" si="156"/>
        <v>5</v>
      </c>
      <c r="C454" s="41"/>
      <c r="D454" s="275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41"/>
      <c r="V454" s="64"/>
      <c r="W454" s="64"/>
      <c r="X454" s="305">
        <f t="shared" si="149"/>
        <v>0</v>
      </c>
    </row>
    <row r="455" spans="1:24" ht="15.75" thickBot="1" x14ac:dyDescent="0.3">
      <c r="A455" s="45"/>
      <c r="B455" s="16">
        <f t="shared" si="156"/>
        <v>6</v>
      </c>
      <c r="C455" s="270" t="s">
        <v>553</v>
      </c>
      <c r="D455" s="271"/>
      <c r="E455" s="272" t="s">
        <v>119</v>
      </c>
      <c r="F455" s="217">
        <f>+F453</f>
        <v>-25613472.190000005</v>
      </c>
      <c r="G455" s="272"/>
      <c r="H455" s="392"/>
      <c r="I455" s="568"/>
      <c r="J455" s="291">
        <f t="shared" ref="J455:Q455" ca="1" si="159">+J453</f>
        <v>-11557764.117475266</v>
      </c>
      <c r="K455" s="814">
        <f t="shared" ca="1" si="159"/>
        <v>-236615.7679398082</v>
      </c>
      <c r="L455" s="814">
        <f t="shared" ca="1" si="159"/>
        <v>-7933459.1135668885</v>
      </c>
      <c r="M455" s="814">
        <f t="shared" ca="1" si="159"/>
        <v>-3754.1564091006644</v>
      </c>
      <c r="N455" s="814">
        <f t="shared" ca="1" si="159"/>
        <v>-2391700.4613199816</v>
      </c>
      <c r="O455" s="814">
        <f ca="1">+O453</f>
        <v>-783599.54653294117</v>
      </c>
      <c r="P455" s="814">
        <f t="shared" ca="1" si="159"/>
        <v>-2569749.6116282269</v>
      </c>
      <c r="Q455" s="814">
        <f t="shared" ca="1" si="159"/>
        <v>-122717.09996872046</v>
      </c>
      <c r="R455" s="814">
        <f ca="1">+R453</f>
        <v>-2163.1622465273363</v>
      </c>
      <c r="S455" s="218">
        <f ca="1">+S453</f>
        <v>-11949.15291255163</v>
      </c>
      <c r="T455" s="392"/>
      <c r="U455" s="195">
        <f ca="1">SUM(I455:T455)</f>
        <v>-25613472.190000013</v>
      </c>
      <c r="V455" s="64"/>
      <c r="W455" s="64"/>
      <c r="X455" s="305">
        <f t="shared" ca="1" si="149"/>
        <v>0</v>
      </c>
    </row>
    <row r="456" spans="1:24" x14ac:dyDescent="0.2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305">
        <f t="shared" si="149"/>
        <v>0</v>
      </c>
    </row>
    <row r="457" spans="1:24" x14ac:dyDescent="0.2">
      <c r="A457" s="64"/>
      <c r="B457" s="64"/>
      <c r="C457" s="64"/>
      <c r="D457" s="64"/>
      <c r="E457" s="64"/>
      <c r="F457" s="64"/>
      <c r="G457" s="64"/>
      <c r="H457" s="105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105"/>
      <c r="V457" s="105">
        <f>$H$2</f>
        <v>0</v>
      </c>
      <c r="W457" s="105"/>
      <c r="X457" s="305"/>
    </row>
    <row r="458" spans="1:24" ht="15" thickBo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305">
        <f t="shared" si="149"/>
        <v>0</v>
      </c>
    </row>
    <row r="459" spans="1:24" ht="15" x14ac:dyDescent="0.25">
      <c r="A459" s="64"/>
      <c r="B459" s="829" t="str">
        <f>+$B$4</f>
        <v>2025 RATE CASE</v>
      </c>
      <c r="C459" s="844"/>
      <c r="D459" s="872"/>
      <c r="F459" s="267"/>
      <c r="U459" s="105"/>
      <c r="X459" s="305">
        <f t="shared" si="149"/>
        <v>0</v>
      </c>
    </row>
    <row r="460" spans="1:24" ht="15" x14ac:dyDescent="0.25">
      <c r="A460" s="64"/>
      <c r="B460" s="826" t="str">
        <f>+$B$5</f>
        <v>ONCOR ELECTRIC DELIVERY COMPANY LLC</v>
      </c>
      <c r="C460" s="8"/>
      <c r="D460" s="873"/>
      <c r="F460" s="267"/>
      <c r="U460" s="105"/>
      <c r="V460" s="64"/>
      <c r="W460" s="64"/>
      <c r="X460" s="305">
        <f t="shared" si="149"/>
        <v>0</v>
      </c>
    </row>
    <row r="461" spans="1:24" ht="15" x14ac:dyDescent="0.25">
      <c r="A461" s="64"/>
      <c r="B461" s="826" t="str">
        <f>+$B$6</f>
        <v>II-I-1-DIST:  CLASS REVENUE REQUIREMENT</v>
      </c>
      <c r="C461" s="82"/>
      <c r="D461" s="873"/>
      <c r="F461" s="267"/>
      <c r="U461" s="267"/>
      <c r="V461" s="64"/>
      <c r="W461" s="64"/>
      <c r="X461" s="305">
        <f t="shared" si="149"/>
        <v>0</v>
      </c>
    </row>
    <row r="462" spans="1:24" ht="15" x14ac:dyDescent="0.25">
      <c r="A462" s="64"/>
      <c r="B462" s="341" t="str">
        <f>+$B$7</f>
        <v>TEST YEAR ENDING 12/31/2024</v>
      </c>
      <c r="C462" s="82"/>
      <c r="D462" s="873"/>
      <c r="F462" s="267"/>
      <c r="U462" s="267"/>
      <c r="V462" s="64"/>
      <c r="W462" s="64"/>
      <c r="X462" s="305">
        <f t="shared" si="149"/>
        <v>0</v>
      </c>
    </row>
    <row r="463" spans="1:24" ht="15" x14ac:dyDescent="0.25">
      <c r="A463" s="64"/>
      <c r="B463" s="341" t="str">
        <f>+$B$8</f>
        <v>SPONSOR:  MATTHEW A. TROXLE</v>
      </c>
      <c r="C463" s="82"/>
      <c r="D463" s="873"/>
      <c r="F463" s="267"/>
      <c r="U463" s="267"/>
      <c r="V463" s="64"/>
      <c r="W463" s="64"/>
      <c r="X463" s="305">
        <f t="shared" si="149"/>
        <v>0</v>
      </c>
    </row>
    <row r="464" spans="1:24" ht="15.75" thickBot="1" x14ac:dyDescent="0.3">
      <c r="A464" s="64"/>
      <c r="B464" s="345"/>
      <c r="C464" s="843"/>
      <c r="D464" s="845"/>
      <c r="F464" s="267"/>
      <c r="U464" s="267"/>
      <c r="V464" s="64"/>
      <c r="W464" s="64"/>
      <c r="X464" s="305">
        <f t="shared" si="149"/>
        <v>0</v>
      </c>
    </row>
    <row r="465" spans="1:24" ht="15" thickBot="1" x14ac:dyDescent="0.25">
      <c r="A465" s="64"/>
      <c r="B465" s="12"/>
      <c r="C465" s="13"/>
      <c r="D465" s="13"/>
      <c r="E465" s="13"/>
      <c r="F465" s="12"/>
      <c r="G465" s="13"/>
      <c r="H465" s="13"/>
      <c r="I465" s="13"/>
      <c r="J465" s="177"/>
      <c r="K465" s="177"/>
      <c r="L465" s="13"/>
      <c r="M465" s="177"/>
      <c r="N465" s="177"/>
      <c r="O465" s="177"/>
      <c r="P465" s="177"/>
      <c r="Q465" s="13"/>
      <c r="R465" s="328" t="str">
        <f>R$10</f>
        <v xml:space="preserve"> </v>
      </c>
      <c r="S465" s="329"/>
      <c r="T465" s="177"/>
      <c r="U465" s="12"/>
      <c r="V465" s="64"/>
      <c r="W465" s="64"/>
      <c r="X465" s="305">
        <f t="shared" si="149"/>
        <v>0</v>
      </c>
    </row>
    <row r="466" spans="1:24" ht="15" x14ac:dyDescent="0.25">
      <c r="A466" s="64"/>
      <c r="B466" s="14" t="s">
        <v>2</v>
      </c>
      <c r="C466" s="14" t="s">
        <v>349</v>
      </c>
      <c r="D466" s="226" t="s">
        <v>120</v>
      </c>
      <c r="E466" s="14" t="s">
        <v>350</v>
      </c>
      <c r="F466" s="226" t="str">
        <f>F$11</f>
        <v>DIST</v>
      </c>
      <c r="G466" s="181" t="s">
        <v>688</v>
      </c>
      <c r="H466" s="181" t="s">
        <v>355</v>
      </c>
      <c r="I466" s="14"/>
      <c r="J466" s="181" t="s">
        <v>679</v>
      </c>
      <c r="K466" s="181" t="s">
        <v>388</v>
      </c>
      <c r="L466" s="14" t="s">
        <v>388</v>
      </c>
      <c r="M466" s="181" t="s">
        <v>389</v>
      </c>
      <c r="N466" s="181" t="s">
        <v>389</v>
      </c>
      <c r="O466" s="181" t="s">
        <v>389</v>
      </c>
      <c r="P466" s="181" t="s">
        <v>390</v>
      </c>
      <c r="Q466" s="14" t="s">
        <v>391</v>
      </c>
      <c r="R466" s="331" t="str">
        <f>R$11</f>
        <v>Wholesale</v>
      </c>
      <c r="S466" s="12" t="str">
        <f>S$11</f>
        <v>Wholesale</v>
      </c>
      <c r="T466" s="181"/>
      <c r="U466" s="14" t="s">
        <v>10</v>
      </c>
      <c r="V466" s="64"/>
      <c r="W466" s="64"/>
      <c r="X466" s="305"/>
    </row>
    <row r="467" spans="1:24" x14ac:dyDescent="0.2">
      <c r="A467" s="64"/>
      <c r="B467" s="14"/>
      <c r="C467" s="14"/>
      <c r="D467" s="14"/>
      <c r="E467" s="14"/>
      <c r="F467" s="14"/>
      <c r="G467" s="181" t="s">
        <v>689</v>
      </c>
      <c r="H467" s="181" t="s">
        <v>690</v>
      </c>
      <c r="I467" s="14"/>
      <c r="J467" s="181"/>
      <c r="K467" s="181" t="s">
        <v>680</v>
      </c>
      <c r="L467" s="14" t="s">
        <v>681</v>
      </c>
      <c r="M467" s="181" t="s">
        <v>680</v>
      </c>
      <c r="N467" s="181" t="s">
        <v>681</v>
      </c>
      <c r="O467" s="181" t="s">
        <v>393</v>
      </c>
      <c r="P467" s="181"/>
      <c r="Q467" s="14"/>
      <c r="R467" s="174" t="str">
        <f>R$12</f>
        <v>XFMR</v>
      </c>
      <c r="S467" s="14" t="str">
        <f>S$12</f>
        <v>DLS</v>
      </c>
      <c r="T467" s="181"/>
      <c r="U467" s="14"/>
      <c r="V467" s="64"/>
      <c r="W467" s="64"/>
      <c r="X467" s="305">
        <f t="shared" si="149"/>
        <v>0</v>
      </c>
    </row>
    <row r="468" spans="1:24" ht="15" thickBot="1" x14ac:dyDescent="0.25">
      <c r="A468" s="64"/>
      <c r="B468" s="15"/>
      <c r="C468" s="15"/>
      <c r="D468" s="15"/>
      <c r="E468" s="15"/>
      <c r="F468" s="15" t="s">
        <v>13</v>
      </c>
      <c r="G468" s="15" t="s">
        <v>14</v>
      </c>
      <c r="H468" s="15" t="s">
        <v>15</v>
      </c>
      <c r="I468" s="15"/>
      <c r="J468" s="182" t="str">
        <f t="shared" ref="J468:Q468" si="160">J$13</f>
        <v>(d)</v>
      </c>
      <c r="K468" s="182" t="str">
        <f t="shared" si="160"/>
        <v>(e)</v>
      </c>
      <c r="L468" s="15" t="str">
        <f t="shared" si="160"/>
        <v>(f)</v>
      </c>
      <c r="M468" s="182" t="str">
        <f t="shared" si="160"/>
        <v>(g)</v>
      </c>
      <c r="N468" s="182" t="str">
        <f t="shared" si="160"/>
        <v>(h)</v>
      </c>
      <c r="O468" s="182" t="str">
        <f>O$13</f>
        <v>(i)</v>
      </c>
      <c r="P468" s="182" t="str">
        <f t="shared" si="160"/>
        <v>(j)</v>
      </c>
      <c r="Q468" s="182" t="str">
        <f t="shared" si="160"/>
        <v>(k)</v>
      </c>
      <c r="R468" s="182" t="str">
        <f>R$13</f>
        <v>(l)</v>
      </c>
      <c r="S468" s="15" t="str">
        <f>S$13</f>
        <v>(m)</v>
      </c>
      <c r="T468" s="15"/>
      <c r="U468" s="15" t="s">
        <v>683</v>
      </c>
      <c r="V468" s="64"/>
      <c r="W468" s="64"/>
      <c r="X468" s="305"/>
    </row>
    <row r="469" spans="1:24" x14ac:dyDescent="0.2">
      <c r="A469" s="64"/>
      <c r="B469" s="64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41"/>
      <c r="V469" s="64"/>
      <c r="W469" s="64"/>
      <c r="X469" s="305">
        <f t="shared" si="149"/>
        <v>0</v>
      </c>
    </row>
    <row r="470" spans="1:24" ht="15" x14ac:dyDescent="0.25">
      <c r="A470" s="64"/>
      <c r="B470" s="16">
        <f t="shared" ref="B470:B478" si="161">B469+1</f>
        <v>1</v>
      </c>
      <c r="C470" s="269" t="s">
        <v>110</v>
      </c>
      <c r="D470" s="34"/>
      <c r="E470" s="35"/>
      <c r="F470" s="37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4"/>
      <c r="V470" s="64"/>
      <c r="W470" s="64"/>
      <c r="X470" s="305">
        <f t="shared" si="149"/>
        <v>0</v>
      </c>
    </row>
    <row r="471" spans="1:24" ht="15" x14ac:dyDescent="0.25">
      <c r="A471" s="64"/>
      <c r="B471" s="16">
        <f t="shared" si="161"/>
        <v>2</v>
      </c>
      <c r="C471" s="283" t="s">
        <v>549</v>
      </c>
      <c r="D471" s="4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41"/>
      <c r="V471" s="64"/>
      <c r="W471" s="64"/>
      <c r="X471" s="305">
        <f t="shared" si="149"/>
        <v>0</v>
      </c>
    </row>
    <row r="472" spans="1:24" ht="15" x14ac:dyDescent="0.25">
      <c r="A472" s="64"/>
      <c r="B472" s="16">
        <f t="shared" si="161"/>
        <v>3</v>
      </c>
      <c r="C472" s="34">
        <v>165</v>
      </c>
      <c r="D472" s="283" t="s">
        <v>120</v>
      </c>
      <c r="E472" s="35" t="s">
        <v>121</v>
      </c>
      <c r="F472" s="37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4"/>
      <c r="V472" s="64"/>
      <c r="W472" s="64"/>
      <c r="X472" s="305">
        <f t="shared" si="149"/>
        <v>0</v>
      </c>
    </row>
    <row r="473" spans="1:24" x14ac:dyDescent="0.2">
      <c r="A473" s="45"/>
      <c r="B473" s="16">
        <f t="shared" si="161"/>
        <v>4</v>
      </c>
      <c r="C473" s="41"/>
      <c r="D473" s="41" t="s">
        <v>120</v>
      </c>
      <c r="E473" s="286"/>
      <c r="F473" s="97">
        <f>' WP II-I-1.4'!G473</f>
        <v>127742955.85948826</v>
      </c>
      <c r="G473" s="293">
        <v>19</v>
      </c>
      <c r="H473" s="45" t="str">
        <f>VLOOKUP(G473,FactorTable,2)</f>
        <v>ENERGY ICL</v>
      </c>
      <c r="I473" s="821"/>
      <c r="J473" s="370">
        <f t="shared" ref="J473:S473" si="162">$F473*HLOOKUP(J$1354,FactorTable,$G473+1)</f>
        <v>50085293.03006234</v>
      </c>
      <c r="K473" s="370">
        <f t="shared" si="162"/>
        <v>1517383.2307349837</v>
      </c>
      <c r="L473" s="370">
        <f t="shared" si="162"/>
        <v>53329041.478972882</v>
      </c>
      <c r="M473" s="370">
        <f t="shared" si="162"/>
        <v>1026.7885158406534</v>
      </c>
      <c r="N473" s="370">
        <f t="shared" si="162"/>
        <v>8830441.4127380028</v>
      </c>
      <c r="O473" s="370">
        <f t="shared" si="162"/>
        <v>1683243.4098378331</v>
      </c>
      <c r="P473" s="370">
        <f t="shared" si="162"/>
        <v>11609227.351483595</v>
      </c>
      <c r="Q473" s="370">
        <f t="shared" si="162"/>
        <v>409815.29132156703</v>
      </c>
      <c r="R473" s="370">
        <f t="shared" si="162"/>
        <v>127302.23657515536</v>
      </c>
      <c r="S473" s="370">
        <f t="shared" si="162"/>
        <v>150181.62924601117</v>
      </c>
      <c r="T473" s="821"/>
      <c r="U473" s="97">
        <f>SUM(I473:T473)</f>
        <v>127742955.85948819</v>
      </c>
      <c r="V473" s="64"/>
      <c r="W473" s="64"/>
      <c r="X473" s="305">
        <f t="shared" si="149"/>
        <v>0</v>
      </c>
    </row>
    <row r="474" spans="1:24" ht="15" x14ac:dyDescent="0.25">
      <c r="A474" s="64"/>
      <c r="B474" s="16">
        <f t="shared" si="161"/>
        <v>5</v>
      </c>
      <c r="C474" s="34"/>
      <c r="D474" s="42" t="s">
        <v>444</v>
      </c>
      <c r="E474" s="287"/>
      <c r="F474" s="37">
        <f>SUM(F473:F473)</f>
        <v>127742955.85948826</v>
      </c>
      <c r="G474" s="287"/>
      <c r="H474" s="287"/>
      <c r="I474" s="287"/>
      <c r="J474" s="37">
        <f t="shared" ref="J474:Q474" si="163">SUM(J473:J473)</f>
        <v>50085293.03006234</v>
      </c>
      <c r="K474" s="37">
        <f t="shared" si="163"/>
        <v>1517383.2307349837</v>
      </c>
      <c r="L474" s="37">
        <f t="shared" si="163"/>
        <v>53329041.478972882</v>
      </c>
      <c r="M474" s="37">
        <f t="shared" si="163"/>
        <v>1026.7885158406534</v>
      </c>
      <c r="N474" s="37">
        <f t="shared" si="163"/>
        <v>8830441.4127380028</v>
      </c>
      <c r="O474" s="37">
        <f>SUM(O473:O473)</f>
        <v>1683243.4098378331</v>
      </c>
      <c r="P474" s="37">
        <f t="shared" si="163"/>
        <v>11609227.351483595</v>
      </c>
      <c r="Q474" s="37">
        <f t="shared" si="163"/>
        <v>409815.29132156703</v>
      </c>
      <c r="R474" s="37">
        <f>SUM(R473:R473)</f>
        <v>127302.23657515536</v>
      </c>
      <c r="S474" s="37">
        <f>SUM(S473:S473)</f>
        <v>150181.62924601117</v>
      </c>
      <c r="T474" s="287"/>
      <c r="U474" s="235">
        <f>SUM(I474:T474)</f>
        <v>127742955.85948819</v>
      </c>
      <c r="V474" s="64"/>
      <c r="W474" s="64"/>
      <c r="X474" s="305">
        <f t="shared" si="149"/>
        <v>0</v>
      </c>
    </row>
    <row r="475" spans="1:24" ht="15.75" thickBot="1" x14ac:dyDescent="0.3">
      <c r="A475" s="64"/>
      <c r="B475" s="16">
        <f t="shared" si="161"/>
        <v>6</v>
      </c>
      <c r="C475" s="34"/>
      <c r="D475" s="42"/>
      <c r="E475" s="287"/>
      <c r="F475" s="288"/>
      <c r="G475" s="287"/>
      <c r="H475" s="287"/>
      <c r="I475" s="287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7"/>
      <c r="U475" s="288"/>
      <c r="V475" s="64"/>
      <c r="W475" s="64"/>
      <c r="X475" s="305">
        <f t="shared" si="149"/>
        <v>0</v>
      </c>
    </row>
    <row r="476" spans="1:24" ht="15.75" thickBot="1" x14ac:dyDescent="0.3">
      <c r="A476" s="45"/>
      <c r="B476" s="16">
        <f t="shared" si="161"/>
        <v>7</v>
      </c>
      <c r="C476" s="276" t="s">
        <v>554</v>
      </c>
      <c r="D476" s="271"/>
      <c r="E476" s="272" t="s">
        <v>121</v>
      </c>
      <c r="F476" s="217">
        <f>+F474</f>
        <v>127742955.85948826</v>
      </c>
      <c r="G476" s="272"/>
      <c r="H476" s="392"/>
      <c r="I476" s="568"/>
      <c r="J476" s="291">
        <f t="shared" ref="J476:Q476" si="164">+J474</f>
        <v>50085293.03006234</v>
      </c>
      <c r="K476" s="814">
        <f t="shared" si="164"/>
        <v>1517383.2307349837</v>
      </c>
      <c r="L476" s="814">
        <f t="shared" si="164"/>
        <v>53329041.478972882</v>
      </c>
      <c r="M476" s="814">
        <f t="shared" si="164"/>
        <v>1026.7885158406534</v>
      </c>
      <c r="N476" s="814">
        <f t="shared" si="164"/>
        <v>8830441.4127380028</v>
      </c>
      <c r="O476" s="814">
        <f>+O474</f>
        <v>1683243.4098378331</v>
      </c>
      <c r="P476" s="814">
        <f t="shared" si="164"/>
        <v>11609227.351483595</v>
      </c>
      <c r="Q476" s="814">
        <f t="shared" si="164"/>
        <v>409815.29132156703</v>
      </c>
      <c r="R476" s="814">
        <f>+R474</f>
        <v>127302.23657515536</v>
      </c>
      <c r="S476" s="218">
        <f>+S474</f>
        <v>150181.62924601117</v>
      </c>
      <c r="T476" s="393"/>
      <c r="U476" s="195">
        <f>SUM(I476:T476)</f>
        <v>127742955.85948819</v>
      </c>
      <c r="V476" s="64"/>
      <c r="W476" s="64"/>
      <c r="X476" s="305">
        <f t="shared" si="149"/>
        <v>0</v>
      </c>
    </row>
    <row r="477" spans="1:24" ht="15" thickBot="1" x14ac:dyDescent="0.25">
      <c r="A477" s="64"/>
      <c r="B477" s="16">
        <f t="shared" si="161"/>
        <v>8</v>
      </c>
      <c r="C477" s="41"/>
      <c r="D477" s="275"/>
      <c r="E477" s="286"/>
      <c r="F477" s="202"/>
      <c r="G477" s="286"/>
      <c r="H477" s="286"/>
      <c r="I477" s="286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86"/>
      <c r="U477" s="202"/>
      <c r="V477" s="64"/>
      <c r="W477" s="64"/>
      <c r="X477" s="305">
        <f t="shared" si="149"/>
        <v>0</v>
      </c>
    </row>
    <row r="478" spans="1:24" ht="15.75" thickBot="1" x14ac:dyDescent="0.3">
      <c r="A478" s="64"/>
      <c r="B478" s="16">
        <f t="shared" si="161"/>
        <v>9</v>
      </c>
      <c r="C478" s="276" t="s">
        <v>555</v>
      </c>
      <c r="D478" s="271"/>
      <c r="E478" s="272" t="s">
        <v>556</v>
      </c>
      <c r="F478" s="217">
        <f>+F476+F455+F435</f>
        <v>260087549.41948825</v>
      </c>
      <c r="G478" s="272"/>
      <c r="H478" s="392"/>
      <c r="I478" s="568"/>
      <c r="J478" s="291">
        <f t="shared" ref="J478:Q478" ca="1" si="165">+J476+J455+J435</f>
        <v>123389553.622761</v>
      </c>
      <c r="K478" s="814">
        <f t="shared" ca="1" si="165"/>
        <v>4022544.0230465112</v>
      </c>
      <c r="L478" s="814">
        <f t="shared" ca="1" si="165"/>
        <v>99053026.21013011</v>
      </c>
      <c r="M478" s="814">
        <f t="shared" ca="1" si="165"/>
        <v>12793.782224387773</v>
      </c>
      <c r="N478" s="814">
        <f t="shared" ca="1" si="165"/>
        <v>16195135.367016776</v>
      </c>
      <c r="O478" s="814">
        <f ca="1">+O476+O455+O435</f>
        <v>1960761.4085348514</v>
      </c>
      <c r="P478" s="814">
        <f t="shared" ca="1" si="165"/>
        <v>9223305.7240984067</v>
      </c>
      <c r="Q478" s="814">
        <f t="shared" ca="1" si="165"/>
        <v>5519353.8418101426</v>
      </c>
      <c r="R478" s="814">
        <f ca="1">+R476+R455+R435</f>
        <v>198487.66467878444</v>
      </c>
      <c r="S478" s="218">
        <f ca="1">+S476+S455+S435</f>
        <v>512587.77518719411</v>
      </c>
      <c r="T478" s="393"/>
      <c r="U478" s="195">
        <f ca="1">SUM(I478:T478)</f>
        <v>260087549.41948813</v>
      </c>
      <c r="V478" s="64"/>
      <c r="W478" s="64"/>
      <c r="X478" s="305">
        <f t="shared" ca="1" si="149"/>
        <v>0</v>
      </c>
    </row>
    <row r="479" spans="1:24" x14ac:dyDescent="0.2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305">
        <f t="shared" si="149"/>
        <v>0</v>
      </c>
    </row>
    <row r="480" spans="1:24" x14ac:dyDescent="0.2">
      <c r="A480" s="64"/>
      <c r="B480" s="64"/>
      <c r="C480" s="64"/>
      <c r="D480" s="64"/>
      <c r="E480" s="64"/>
      <c r="F480" s="64"/>
      <c r="G480" s="64"/>
      <c r="H480" s="105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105"/>
      <c r="V480" s="105">
        <f>$H$2</f>
        <v>0</v>
      </c>
      <c r="W480" s="105"/>
      <c r="X480" s="305"/>
    </row>
    <row r="481" spans="1:24" ht="15" thickBo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305">
        <f t="shared" si="149"/>
        <v>0</v>
      </c>
    </row>
    <row r="482" spans="1:24" ht="15" x14ac:dyDescent="0.25">
      <c r="A482" s="64"/>
      <c r="B482" s="829" t="str">
        <f>+$B$4</f>
        <v>2025 RATE CASE</v>
      </c>
      <c r="C482" s="844"/>
      <c r="D482" s="872"/>
      <c r="F482" s="267"/>
      <c r="U482" s="105"/>
      <c r="X482" s="305">
        <f t="shared" si="149"/>
        <v>0</v>
      </c>
    </row>
    <row r="483" spans="1:24" ht="15" x14ac:dyDescent="0.25">
      <c r="A483" s="64"/>
      <c r="B483" s="826" t="str">
        <f>+$B$5</f>
        <v>ONCOR ELECTRIC DELIVERY COMPANY LLC</v>
      </c>
      <c r="C483" s="8"/>
      <c r="D483" s="873"/>
      <c r="F483" s="267"/>
      <c r="U483" s="105"/>
      <c r="V483" s="64"/>
      <c r="W483" s="64"/>
      <c r="X483" s="305">
        <f t="shared" ref="X483:X570" si="166">U483-F483</f>
        <v>0</v>
      </c>
    </row>
    <row r="484" spans="1:24" ht="15" x14ac:dyDescent="0.25">
      <c r="A484" s="64"/>
      <c r="B484" s="826" t="str">
        <f>+$B$6</f>
        <v>II-I-1-DIST:  CLASS REVENUE REQUIREMENT</v>
      </c>
      <c r="C484" s="82"/>
      <c r="D484" s="873"/>
      <c r="F484" s="267"/>
      <c r="U484" s="267"/>
      <c r="V484" s="64"/>
      <c r="W484" s="64"/>
      <c r="X484" s="305">
        <f t="shared" si="166"/>
        <v>0</v>
      </c>
    </row>
    <row r="485" spans="1:24" ht="15" x14ac:dyDescent="0.25">
      <c r="A485" s="64"/>
      <c r="B485" s="341" t="str">
        <f>+$B$7</f>
        <v>TEST YEAR ENDING 12/31/2024</v>
      </c>
      <c r="C485" s="82"/>
      <c r="D485" s="873"/>
      <c r="F485" s="267"/>
      <c r="U485" s="267"/>
      <c r="V485" s="64"/>
      <c r="W485" s="64"/>
      <c r="X485" s="305">
        <f t="shared" si="166"/>
        <v>0</v>
      </c>
    </row>
    <row r="486" spans="1:24" ht="15" x14ac:dyDescent="0.25">
      <c r="A486" s="64"/>
      <c r="B486" s="341" t="str">
        <f>+$B$8</f>
        <v>SPONSOR:  MATTHEW A. TROXLE</v>
      </c>
      <c r="C486" s="82"/>
      <c r="D486" s="873"/>
      <c r="F486" s="267"/>
      <c r="U486" s="267"/>
      <c r="V486" s="64"/>
      <c r="W486" s="64"/>
      <c r="X486" s="305">
        <f t="shared" si="166"/>
        <v>0</v>
      </c>
    </row>
    <row r="487" spans="1:24" ht="15.75" thickBot="1" x14ac:dyDescent="0.3">
      <c r="A487" s="64"/>
      <c r="B487" s="345"/>
      <c r="C487" s="843"/>
      <c r="D487" s="845"/>
      <c r="F487" s="267"/>
      <c r="U487" s="267"/>
      <c r="V487" s="64"/>
      <c r="W487" s="64"/>
      <c r="X487" s="305">
        <f t="shared" si="166"/>
        <v>0</v>
      </c>
    </row>
    <row r="488" spans="1:24" ht="15" thickBot="1" x14ac:dyDescent="0.25">
      <c r="A488" s="64"/>
      <c r="B488" s="12"/>
      <c r="C488" s="13"/>
      <c r="D488" s="13"/>
      <c r="E488" s="13"/>
      <c r="F488" s="12"/>
      <c r="G488" s="13"/>
      <c r="H488" s="13"/>
      <c r="I488" s="13"/>
      <c r="J488" s="13"/>
      <c r="K488" s="177"/>
      <c r="L488" s="13"/>
      <c r="M488" s="177"/>
      <c r="N488" s="177"/>
      <c r="O488" s="177"/>
      <c r="P488" s="177"/>
      <c r="Q488" s="13"/>
      <c r="R488" s="328" t="str">
        <f>R$10</f>
        <v xml:space="preserve"> </v>
      </c>
      <c r="S488" s="329"/>
      <c r="T488" s="177"/>
      <c r="U488" s="12"/>
      <c r="V488" s="64"/>
      <c r="W488" s="64"/>
      <c r="X488" s="305">
        <f t="shared" si="166"/>
        <v>0</v>
      </c>
    </row>
    <row r="489" spans="1:24" ht="15" x14ac:dyDescent="0.25">
      <c r="A489" s="64"/>
      <c r="B489" s="14" t="s">
        <v>2</v>
      </c>
      <c r="C489" s="14" t="s">
        <v>349</v>
      </c>
      <c r="D489" s="226" t="s">
        <v>122</v>
      </c>
      <c r="E489" s="14" t="s">
        <v>350</v>
      </c>
      <c r="F489" s="226" t="str">
        <f>F$11</f>
        <v>DIST</v>
      </c>
      <c r="G489" s="181" t="s">
        <v>688</v>
      </c>
      <c r="H489" s="181" t="s">
        <v>355</v>
      </c>
      <c r="I489" s="14"/>
      <c r="J489" s="14" t="s">
        <v>679</v>
      </c>
      <c r="K489" s="181" t="s">
        <v>388</v>
      </c>
      <c r="L489" s="14" t="s">
        <v>388</v>
      </c>
      <c r="M489" s="181" t="s">
        <v>389</v>
      </c>
      <c r="N489" s="181" t="s">
        <v>389</v>
      </c>
      <c r="O489" s="181" t="s">
        <v>389</v>
      </c>
      <c r="P489" s="181" t="s">
        <v>390</v>
      </c>
      <c r="Q489" s="14" t="s">
        <v>391</v>
      </c>
      <c r="R489" s="331" t="str">
        <f>R$11</f>
        <v>Wholesale</v>
      </c>
      <c r="S489" s="12" t="str">
        <f>S$11</f>
        <v>Wholesale</v>
      </c>
      <c r="T489" s="181"/>
      <c r="U489" s="14" t="s">
        <v>10</v>
      </c>
      <c r="V489" s="64"/>
      <c r="W489" s="64"/>
      <c r="X489" s="305"/>
    </row>
    <row r="490" spans="1:24" x14ac:dyDescent="0.2">
      <c r="A490" s="64"/>
      <c r="B490" s="14"/>
      <c r="C490" s="14"/>
      <c r="D490" s="14"/>
      <c r="E490" s="14"/>
      <c r="F490" s="14"/>
      <c r="G490" s="181" t="s">
        <v>689</v>
      </c>
      <c r="H490" s="181" t="s">
        <v>690</v>
      </c>
      <c r="I490" s="14"/>
      <c r="J490" s="14"/>
      <c r="K490" s="181" t="s">
        <v>680</v>
      </c>
      <c r="L490" s="14" t="s">
        <v>681</v>
      </c>
      <c r="M490" s="181" t="s">
        <v>680</v>
      </c>
      <c r="N490" s="181" t="s">
        <v>681</v>
      </c>
      <c r="O490" s="181" t="s">
        <v>393</v>
      </c>
      <c r="P490" s="181"/>
      <c r="Q490" s="14"/>
      <c r="R490" s="174" t="str">
        <f>R$12</f>
        <v>XFMR</v>
      </c>
      <c r="S490" s="14" t="str">
        <f>S$12</f>
        <v>DLS</v>
      </c>
      <c r="T490" s="181"/>
      <c r="U490" s="14"/>
      <c r="V490" s="64"/>
      <c r="W490" s="64"/>
      <c r="X490" s="305">
        <f t="shared" si="166"/>
        <v>0</v>
      </c>
    </row>
    <row r="491" spans="1:24" ht="15" thickBot="1" x14ac:dyDescent="0.25">
      <c r="A491" s="64"/>
      <c r="B491" s="15"/>
      <c r="C491" s="15"/>
      <c r="D491" s="15"/>
      <c r="E491" s="15"/>
      <c r="F491" s="15" t="s">
        <v>13</v>
      </c>
      <c r="G491" s="15" t="s">
        <v>14</v>
      </c>
      <c r="H491" s="15" t="s">
        <v>15</v>
      </c>
      <c r="I491" s="15"/>
      <c r="J491" s="182" t="str">
        <f t="shared" ref="J491:Q491" si="167">J$13</f>
        <v>(d)</v>
      </c>
      <c r="K491" s="182" t="str">
        <f t="shared" si="167"/>
        <v>(e)</v>
      </c>
      <c r="L491" s="15" t="str">
        <f t="shared" si="167"/>
        <v>(f)</v>
      </c>
      <c r="M491" s="182" t="str">
        <f t="shared" si="167"/>
        <v>(g)</v>
      </c>
      <c r="N491" s="182" t="str">
        <f t="shared" si="167"/>
        <v>(h)</v>
      </c>
      <c r="O491" s="182" t="str">
        <f>O$13</f>
        <v>(i)</v>
      </c>
      <c r="P491" s="182" t="str">
        <f t="shared" si="167"/>
        <v>(j)</v>
      </c>
      <c r="Q491" s="182" t="str">
        <f t="shared" si="167"/>
        <v>(k)</v>
      </c>
      <c r="R491" s="182" t="str">
        <f>R$13</f>
        <v>(l)</v>
      </c>
      <c r="S491" s="15" t="str">
        <f>S$13</f>
        <v>(m)</v>
      </c>
      <c r="T491" s="15"/>
      <c r="U491" s="15" t="s">
        <v>683</v>
      </c>
      <c r="V491" s="64"/>
      <c r="W491" s="64"/>
      <c r="X491" s="305"/>
    </row>
    <row r="492" spans="1:24" x14ac:dyDescent="0.2">
      <c r="A492" s="64"/>
      <c r="B492" s="64"/>
      <c r="C492" s="268"/>
      <c r="D492" s="268"/>
      <c r="E492" s="268"/>
      <c r="F492" s="268"/>
      <c r="G492" s="268"/>
      <c r="H492" s="268"/>
      <c r="I492" s="268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268"/>
      <c r="U492" s="41"/>
      <c r="V492" s="64"/>
      <c r="W492" s="64"/>
      <c r="X492" s="305">
        <f t="shared" si="166"/>
        <v>0</v>
      </c>
    </row>
    <row r="493" spans="1:24" ht="15" x14ac:dyDescent="0.25">
      <c r="A493" s="64"/>
      <c r="B493" s="16">
        <f t="shared" ref="B493:B501" si="168">B492+1</f>
        <v>1</v>
      </c>
      <c r="C493" s="269" t="s">
        <v>557</v>
      </c>
      <c r="D493" s="34"/>
      <c r="E493" s="35" t="s">
        <v>123</v>
      </c>
      <c r="F493" s="37"/>
      <c r="G493" s="35"/>
      <c r="H493" s="35"/>
      <c r="I493" s="35"/>
      <c r="J493" s="806"/>
      <c r="K493" s="806"/>
      <c r="L493" s="806"/>
      <c r="M493" s="806"/>
      <c r="N493" s="806"/>
      <c r="O493" s="806"/>
      <c r="P493" s="806"/>
      <c r="Q493" s="806"/>
      <c r="R493" s="806"/>
      <c r="S493" s="806"/>
      <c r="T493" s="35"/>
      <c r="U493" s="34"/>
      <c r="V493" s="64"/>
      <c r="W493" s="64"/>
      <c r="X493" s="305">
        <f t="shared" si="166"/>
        <v>0</v>
      </c>
    </row>
    <row r="494" spans="1:24" x14ac:dyDescent="0.2">
      <c r="A494" s="64"/>
      <c r="B494" s="16">
        <f t="shared" si="168"/>
        <v>2</v>
      </c>
      <c r="C494" s="1198"/>
      <c r="D494" s="611" t="s">
        <v>1108</v>
      </c>
      <c r="E494" s="813"/>
      <c r="F494" s="694">
        <f>' WP II-I-1.4'!G494</f>
        <v>-1971551.94</v>
      </c>
      <c r="G494" s="1007">
        <v>26</v>
      </c>
      <c r="H494" s="647" t="str">
        <f>VLOOKUP(G494,FactorTable,2)</f>
        <v>NCP ALL</v>
      </c>
      <c r="I494" s="202"/>
      <c r="J494" s="369">
        <f t="shared" ref="J494:S496" si="169">$F494*HLOOKUP(J$1354,FactorTable,$G494+1)</f>
        <v>-877334.55104355805</v>
      </c>
      <c r="K494" s="369">
        <f t="shared" si="169"/>
        <v>-16575.189700578638</v>
      </c>
      <c r="L494" s="369">
        <f t="shared" si="169"/>
        <v>-563515.6870240717</v>
      </c>
      <c r="M494" s="369">
        <f t="shared" si="169"/>
        <v>-263.69193688764778</v>
      </c>
      <c r="N494" s="369">
        <f t="shared" si="169"/>
        <v>-165753.34437129673</v>
      </c>
      <c r="O494" s="369">
        <f t="shared" si="169"/>
        <v>-71244.049979913223</v>
      </c>
      <c r="P494" s="369">
        <f t="shared" si="169"/>
        <v>-260569.37754119906</v>
      </c>
      <c r="Q494" s="369">
        <f t="shared" si="169"/>
        <v>-5011.38396399869</v>
      </c>
      <c r="R494" s="369">
        <f t="shared" si="169"/>
        <v>-4924.6670742120768</v>
      </c>
      <c r="S494" s="369">
        <f t="shared" si="169"/>
        <v>-6359.9973642839559</v>
      </c>
      <c r="T494" s="202"/>
      <c r="U494" s="97">
        <f>SUM(I494:T494)</f>
        <v>-1971551.94</v>
      </c>
      <c r="V494" s="64"/>
      <c r="W494" s="64"/>
      <c r="X494" s="305">
        <f t="shared" si="166"/>
        <v>0</v>
      </c>
    </row>
    <row r="495" spans="1:24" ht="15" x14ac:dyDescent="0.25">
      <c r="A495" s="64"/>
      <c r="B495" s="16">
        <f t="shared" si="168"/>
        <v>3</v>
      </c>
      <c r="C495" s="41"/>
      <c r="D495" s="611"/>
      <c r="E495" s="35"/>
      <c r="F495" s="97"/>
      <c r="G495" s="293"/>
      <c r="H495" s="45"/>
      <c r="I495" s="35"/>
      <c r="J495" s="369">
        <f t="shared" si="169"/>
        <v>0</v>
      </c>
      <c r="K495" s="369">
        <f t="shared" si="169"/>
        <v>0</v>
      </c>
      <c r="L495" s="369">
        <f t="shared" si="169"/>
        <v>0</v>
      </c>
      <c r="M495" s="369">
        <f t="shared" si="169"/>
        <v>0</v>
      </c>
      <c r="N495" s="369">
        <f t="shared" si="169"/>
        <v>0</v>
      </c>
      <c r="O495" s="369">
        <f t="shared" si="169"/>
        <v>0</v>
      </c>
      <c r="P495" s="369">
        <f t="shared" si="169"/>
        <v>0</v>
      </c>
      <c r="Q495" s="369">
        <f t="shared" si="169"/>
        <v>0</v>
      </c>
      <c r="R495" s="369">
        <f t="shared" si="169"/>
        <v>0</v>
      </c>
      <c r="S495" s="369">
        <f t="shared" si="169"/>
        <v>0</v>
      </c>
      <c r="T495" s="806"/>
      <c r="U495" s="97">
        <f>SUM(I495:T495)</f>
        <v>0</v>
      </c>
      <c r="V495" s="64"/>
      <c r="W495" s="64"/>
      <c r="X495" s="305">
        <f t="shared" si="166"/>
        <v>0</v>
      </c>
    </row>
    <row r="496" spans="1:24" ht="15" x14ac:dyDescent="0.25">
      <c r="A496" s="64"/>
      <c r="B496" s="16">
        <f t="shared" si="168"/>
        <v>4</v>
      </c>
      <c r="C496" s="41"/>
      <c r="D496" s="611" t="s">
        <v>1137</v>
      </c>
      <c r="E496" s="806"/>
      <c r="F496" s="229">
        <f>' WP II-I-1.4'!G496</f>
        <v>-6409.94</v>
      </c>
      <c r="G496" s="293">
        <v>26</v>
      </c>
      <c r="H496" s="1" t="str">
        <f>VLOOKUP(G496,FactorTable,2)</f>
        <v>NCP ALL</v>
      </c>
      <c r="I496" s="806"/>
      <c r="J496" s="369">
        <f t="shared" si="169"/>
        <v>-2852.403590298587</v>
      </c>
      <c r="K496" s="369">
        <f t="shared" si="169"/>
        <v>-53.889511766718677</v>
      </c>
      <c r="L496" s="369">
        <f t="shared" si="169"/>
        <v>-1832.1108714402308</v>
      </c>
      <c r="M496" s="369">
        <f t="shared" si="169"/>
        <v>-0.85731928215576658</v>
      </c>
      <c r="N496" s="369">
        <f t="shared" si="169"/>
        <v>-538.89982336420201</v>
      </c>
      <c r="O496" s="369">
        <f t="shared" si="169"/>
        <v>-231.62975139688433</v>
      </c>
      <c r="P496" s="369">
        <f t="shared" si="169"/>
        <v>-847.16716916746986</v>
      </c>
      <c r="Q496" s="369">
        <f t="shared" si="169"/>
        <v>-16.293088644772787</v>
      </c>
      <c r="R496" s="369">
        <f t="shared" si="169"/>
        <v>-16.011153358544007</v>
      </c>
      <c r="S496" s="369">
        <f t="shared" si="169"/>
        <v>-20.677721280433676</v>
      </c>
      <c r="T496" s="806"/>
      <c r="U496" s="98">
        <f>SUM(I496:T496)</f>
        <v>-6409.9400000000005</v>
      </c>
      <c r="V496" s="64"/>
      <c r="W496" s="64"/>
      <c r="X496" s="305"/>
    </row>
    <row r="497" spans="1:24" ht="15" x14ac:dyDescent="0.25">
      <c r="A497" s="64"/>
      <c r="B497" s="16">
        <f>B496+1</f>
        <v>5</v>
      </c>
      <c r="C497" s="41"/>
      <c r="D497" s="571"/>
      <c r="E497" s="806"/>
      <c r="F497" s="229"/>
      <c r="G497" s="293"/>
      <c r="H497" s="1"/>
      <c r="I497" s="806"/>
      <c r="J497" s="369"/>
      <c r="K497" s="369"/>
      <c r="L497" s="369"/>
      <c r="M497" s="369"/>
      <c r="N497" s="369"/>
      <c r="O497" s="369"/>
      <c r="P497" s="369"/>
      <c r="Q497" s="369"/>
      <c r="R497" s="369"/>
      <c r="S497" s="369"/>
      <c r="T497" s="806"/>
      <c r="U497" s="98"/>
      <c r="V497" s="64"/>
      <c r="W497" s="64"/>
      <c r="X497" s="305"/>
    </row>
    <row r="498" spans="1:24" ht="15" x14ac:dyDescent="0.25">
      <c r="A498" s="64"/>
      <c r="B498" s="16">
        <f t="shared" si="168"/>
        <v>6</v>
      </c>
      <c r="C498" s="41"/>
      <c r="D498" s="571"/>
      <c r="E498" s="806"/>
      <c r="F498" s="229"/>
      <c r="G498" s="293"/>
      <c r="H498" s="45"/>
      <c r="I498" s="806"/>
      <c r="J498" s="370"/>
      <c r="K498" s="370"/>
      <c r="L498" s="370"/>
      <c r="M498" s="370"/>
      <c r="N498" s="370"/>
      <c r="O498" s="370"/>
      <c r="P498" s="370"/>
      <c r="Q498" s="370"/>
      <c r="R498" s="370"/>
      <c r="S498" s="370"/>
      <c r="T498" s="806"/>
      <c r="U498" s="97"/>
      <c r="V498" s="64"/>
      <c r="W498" s="64"/>
      <c r="X498" s="305"/>
    </row>
    <row r="499" spans="1:24" ht="15" x14ac:dyDescent="0.25">
      <c r="A499" s="45"/>
      <c r="B499" s="16">
        <f t="shared" si="168"/>
        <v>7</v>
      </c>
      <c r="C499" s="34"/>
      <c r="D499" s="42" t="s">
        <v>444</v>
      </c>
      <c r="E499" s="287"/>
      <c r="F499" s="37">
        <f>SUM(F494:F498)</f>
        <v>-1977961.88</v>
      </c>
      <c r="G499" s="287"/>
      <c r="H499" s="287"/>
      <c r="I499" s="287"/>
      <c r="J499" s="807">
        <f t="shared" ref="J499:S499" si="170">SUM(J494:J498)</f>
        <v>-880186.95463385666</v>
      </c>
      <c r="K499" s="807">
        <f t="shared" si="170"/>
        <v>-16629.079212345358</v>
      </c>
      <c r="L499" s="807">
        <f t="shared" si="170"/>
        <v>-565347.79789551196</v>
      </c>
      <c r="M499" s="807">
        <f t="shared" si="170"/>
        <v>-264.54925616980353</v>
      </c>
      <c r="N499" s="807">
        <f t="shared" si="170"/>
        <v>-166292.24419466092</v>
      </c>
      <c r="O499" s="807">
        <f t="shared" si="170"/>
        <v>-71475.679731310112</v>
      </c>
      <c r="P499" s="807">
        <f t="shared" si="170"/>
        <v>-261416.54471036652</v>
      </c>
      <c r="Q499" s="807">
        <f t="shared" si="170"/>
        <v>-5027.677052643463</v>
      </c>
      <c r="R499" s="807">
        <f t="shared" si="170"/>
        <v>-4940.6782275706209</v>
      </c>
      <c r="S499" s="807">
        <f t="shared" si="170"/>
        <v>-6380.6750855643895</v>
      </c>
      <c r="T499" s="287"/>
      <c r="U499" s="235">
        <f>SUM(I499:T499)</f>
        <v>-1977961.8799999994</v>
      </c>
      <c r="V499" s="64"/>
      <c r="W499" s="64"/>
      <c r="X499" s="305">
        <f t="shared" si="166"/>
        <v>0</v>
      </c>
    </row>
    <row r="500" spans="1:24" ht="15.75" thickBot="1" x14ac:dyDescent="0.3">
      <c r="A500" s="64"/>
      <c r="B500" s="16">
        <f t="shared" si="168"/>
        <v>8</v>
      </c>
      <c r="C500" s="34"/>
      <c r="D500" s="42"/>
      <c r="E500" s="35"/>
      <c r="F500" s="37"/>
      <c r="G500" s="35"/>
      <c r="H500" s="35"/>
      <c r="I500" s="35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5"/>
      <c r="U500" s="34"/>
      <c r="V500" s="64"/>
      <c r="W500" s="64"/>
      <c r="X500" s="305">
        <f t="shared" si="166"/>
        <v>0</v>
      </c>
    </row>
    <row r="501" spans="1:24" ht="15.75" thickBot="1" x14ac:dyDescent="0.3">
      <c r="A501" s="64"/>
      <c r="B501" s="16">
        <f t="shared" si="168"/>
        <v>9</v>
      </c>
      <c r="C501" s="276" t="s">
        <v>558</v>
      </c>
      <c r="D501" s="271"/>
      <c r="E501" s="272"/>
      <c r="F501" s="217">
        <f>+F499+F478+F435+F413+F388</f>
        <v>-1011548813.8105117</v>
      </c>
      <c r="G501" s="272"/>
      <c r="H501" s="392"/>
      <c r="I501" s="393"/>
      <c r="J501" s="291">
        <f t="shared" ref="J501:S501" ca="1" si="171">+J499+J478+J435+J413+J388</f>
        <v>-559771137.28283787</v>
      </c>
      <c r="K501" s="217">
        <f t="shared" ca="1" si="171"/>
        <v>-18083768.400219522</v>
      </c>
      <c r="L501" s="218">
        <f t="shared" ca="1" si="171"/>
        <v>-332877305.91326195</v>
      </c>
      <c r="M501" s="291">
        <f t="shared" ca="1" si="171"/>
        <v>-111854.39354319601</v>
      </c>
      <c r="N501" s="217">
        <f t="shared" ca="1" si="171"/>
        <v>-62157097.344828673</v>
      </c>
      <c r="O501" s="217">
        <f t="shared" ca="1" si="171"/>
        <v>-6405755.1760542486</v>
      </c>
      <c r="P501" s="217">
        <f t="shared" ca="1" si="171"/>
        <v>7476486.1229460621</v>
      </c>
      <c r="Q501" s="217">
        <f t="shared" ca="1" si="171"/>
        <v>-36744735.743924819</v>
      </c>
      <c r="R501" s="217">
        <f t="shared" ca="1" si="171"/>
        <v>-379838.64834794443</v>
      </c>
      <c r="S501" s="218">
        <f t="shared" ca="1" si="171"/>
        <v>-2493807.0304393852</v>
      </c>
      <c r="T501" s="393"/>
      <c r="U501" s="195">
        <f ca="1">SUM(I501:T501)</f>
        <v>-1011548813.8105118</v>
      </c>
      <c r="V501" s="64"/>
      <c r="W501" s="64"/>
      <c r="X501" s="305">
        <f t="shared" ca="1" si="166"/>
        <v>0</v>
      </c>
    </row>
    <row r="502" spans="1:24" x14ac:dyDescent="0.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305">
        <f t="shared" si="166"/>
        <v>0</v>
      </c>
    </row>
    <row r="503" spans="1:24" x14ac:dyDescent="0.2">
      <c r="A503" s="64"/>
      <c r="B503" s="64"/>
      <c r="C503" s="64"/>
      <c r="D503" s="64"/>
      <c r="E503" s="64"/>
      <c r="F503" s="64"/>
      <c r="G503" s="64"/>
      <c r="H503" s="105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105"/>
      <c r="V503" s="105">
        <f>$H$2</f>
        <v>0</v>
      </c>
      <c r="W503" s="105"/>
      <c r="X503" s="305"/>
    </row>
    <row r="504" spans="1:24" ht="15" thickBo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305">
        <f t="shared" si="166"/>
        <v>0</v>
      </c>
    </row>
    <row r="505" spans="1:24" ht="15" x14ac:dyDescent="0.25">
      <c r="A505" s="64"/>
      <c r="B505" s="829" t="str">
        <f>+$B$4</f>
        <v>2025 RATE CASE</v>
      </c>
      <c r="C505" s="844"/>
      <c r="D505" s="872"/>
      <c r="F505" s="267"/>
      <c r="U505" s="105"/>
      <c r="X505" s="305">
        <f t="shared" si="166"/>
        <v>0</v>
      </c>
    </row>
    <row r="506" spans="1:24" ht="15" x14ac:dyDescent="0.25">
      <c r="A506" s="64"/>
      <c r="B506" s="826" t="str">
        <f>+$B$5</f>
        <v>ONCOR ELECTRIC DELIVERY COMPANY LLC</v>
      </c>
      <c r="C506" s="8"/>
      <c r="D506" s="873"/>
      <c r="F506" s="267"/>
      <c r="U506" s="105"/>
      <c r="V506" s="64"/>
      <c r="W506" s="64"/>
      <c r="X506" s="305">
        <f t="shared" si="166"/>
        <v>0</v>
      </c>
    </row>
    <row r="507" spans="1:24" ht="15" x14ac:dyDescent="0.25">
      <c r="A507" s="64"/>
      <c r="B507" s="826" t="str">
        <f>+$B$6</f>
        <v>II-I-1-DIST:  CLASS REVENUE REQUIREMENT</v>
      </c>
      <c r="C507" s="82"/>
      <c r="D507" s="873"/>
      <c r="F507" s="267"/>
      <c r="U507" s="267"/>
      <c r="V507" s="64"/>
      <c r="W507" s="64"/>
      <c r="X507" s="305">
        <f t="shared" si="166"/>
        <v>0</v>
      </c>
    </row>
    <row r="508" spans="1:24" ht="15" x14ac:dyDescent="0.25">
      <c r="A508" s="64"/>
      <c r="B508" s="341" t="str">
        <f>+$B$7</f>
        <v>TEST YEAR ENDING 12/31/2024</v>
      </c>
      <c r="C508" s="82"/>
      <c r="D508" s="873"/>
      <c r="F508" s="267"/>
      <c r="U508" s="267"/>
      <c r="V508" s="64"/>
      <c r="W508" s="64"/>
      <c r="X508" s="305">
        <f t="shared" si="166"/>
        <v>0</v>
      </c>
    </row>
    <row r="509" spans="1:24" ht="15" x14ac:dyDescent="0.25">
      <c r="A509" s="64"/>
      <c r="B509" s="341" t="str">
        <f>+$B$8</f>
        <v>SPONSOR:  MATTHEW A. TROXLE</v>
      </c>
      <c r="C509" s="82"/>
      <c r="D509" s="873"/>
      <c r="F509" s="267"/>
      <c r="U509" s="267"/>
      <c r="V509" s="64"/>
      <c r="W509" s="64"/>
      <c r="X509" s="305">
        <f t="shared" si="166"/>
        <v>0</v>
      </c>
    </row>
    <row r="510" spans="1:24" ht="12" customHeight="1" thickBot="1" x14ac:dyDescent="0.3">
      <c r="A510" s="64"/>
      <c r="B510" s="345"/>
      <c r="C510" s="843"/>
      <c r="D510" s="845"/>
      <c r="F510" s="267"/>
      <c r="U510" s="267"/>
      <c r="V510" s="64"/>
      <c r="W510" s="64"/>
      <c r="X510" s="305">
        <f t="shared" si="166"/>
        <v>0</v>
      </c>
    </row>
    <row r="511" spans="1:24" ht="9.75" customHeight="1" thickBot="1" x14ac:dyDescent="0.25">
      <c r="A511" s="64"/>
      <c r="B511" s="12"/>
      <c r="C511" s="13"/>
      <c r="D511" s="13"/>
      <c r="E511" s="13"/>
      <c r="F511" s="12"/>
      <c r="G511" s="13"/>
      <c r="H511" s="13"/>
      <c r="I511" s="13"/>
      <c r="J511" s="177"/>
      <c r="K511" s="177"/>
      <c r="L511" s="13"/>
      <c r="M511" s="177"/>
      <c r="N511" s="177"/>
      <c r="O511" s="177"/>
      <c r="P511" s="177"/>
      <c r="Q511" s="13"/>
      <c r="R511" s="328" t="str">
        <f>R$10</f>
        <v xml:space="preserve"> </v>
      </c>
      <c r="S511" s="329"/>
      <c r="T511" s="177"/>
      <c r="U511" s="12"/>
      <c r="V511" s="64"/>
      <c r="W511" s="64"/>
      <c r="X511" s="305">
        <f t="shared" si="166"/>
        <v>0</v>
      </c>
    </row>
    <row r="512" spans="1:24" ht="15" x14ac:dyDescent="0.25">
      <c r="A512" s="64"/>
      <c r="B512" s="14" t="s">
        <v>2</v>
      </c>
      <c r="C512" s="14" t="s">
        <v>349</v>
      </c>
      <c r="D512" s="226" t="s">
        <v>559</v>
      </c>
      <c r="E512" s="14" t="s">
        <v>350</v>
      </c>
      <c r="F512" s="226" t="str">
        <f>F$11</f>
        <v>DIST</v>
      </c>
      <c r="G512" s="181" t="s">
        <v>688</v>
      </c>
      <c r="H512" s="181" t="s">
        <v>355</v>
      </c>
      <c r="I512" s="14"/>
      <c r="J512" s="181" t="s">
        <v>679</v>
      </c>
      <c r="K512" s="181" t="s">
        <v>388</v>
      </c>
      <c r="L512" s="14" t="s">
        <v>388</v>
      </c>
      <c r="M512" s="181" t="s">
        <v>389</v>
      </c>
      <c r="N512" s="181" t="s">
        <v>389</v>
      </c>
      <c r="O512" s="181" t="s">
        <v>389</v>
      </c>
      <c r="P512" s="181" t="s">
        <v>390</v>
      </c>
      <c r="Q512" s="14" t="s">
        <v>391</v>
      </c>
      <c r="R512" s="331" t="str">
        <f>R$11</f>
        <v>Wholesale</v>
      </c>
      <c r="S512" s="12" t="str">
        <f>S$11</f>
        <v>Wholesale</v>
      </c>
      <c r="T512" s="181"/>
      <c r="U512" s="14" t="s">
        <v>10</v>
      </c>
      <c r="V512" s="64"/>
      <c r="W512" s="64"/>
      <c r="X512" s="305"/>
    </row>
    <row r="513" spans="1:24" ht="11.25" customHeight="1" x14ac:dyDescent="0.2">
      <c r="A513" s="64"/>
      <c r="B513" s="14"/>
      <c r="C513" s="14"/>
      <c r="D513" s="14"/>
      <c r="E513" s="14"/>
      <c r="F513" s="14"/>
      <c r="G513" s="181" t="s">
        <v>689</v>
      </c>
      <c r="H513" s="181" t="s">
        <v>690</v>
      </c>
      <c r="I513" s="14"/>
      <c r="J513" s="181"/>
      <c r="K513" s="181" t="s">
        <v>680</v>
      </c>
      <c r="L513" s="14" t="s">
        <v>681</v>
      </c>
      <c r="M513" s="181" t="s">
        <v>680</v>
      </c>
      <c r="N513" s="181" t="s">
        <v>681</v>
      </c>
      <c r="O513" s="181" t="s">
        <v>393</v>
      </c>
      <c r="P513" s="181"/>
      <c r="Q513" s="14"/>
      <c r="R513" s="174" t="str">
        <f>R$12</f>
        <v>XFMR</v>
      </c>
      <c r="S513" s="14" t="str">
        <f>S$12</f>
        <v>DLS</v>
      </c>
      <c r="T513" s="181"/>
      <c r="U513" s="14"/>
      <c r="V513" s="64"/>
      <c r="W513" s="64"/>
      <c r="X513" s="305">
        <f t="shared" si="166"/>
        <v>0</v>
      </c>
    </row>
    <row r="514" spans="1:24" ht="12.75" customHeight="1" thickBot="1" x14ac:dyDescent="0.25">
      <c r="A514" s="64"/>
      <c r="B514" s="15"/>
      <c r="C514" s="15"/>
      <c r="D514" s="15"/>
      <c r="E514" s="15"/>
      <c r="F514" s="15" t="s">
        <v>13</v>
      </c>
      <c r="G514" s="15" t="s">
        <v>14</v>
      </c>
      <c r="H514" s="15" t="s">
        <v>15</v>
      </c>
      <c r="I514" s="15"/>
      <c r="J514" s="182" t="str">
        <f t="shared" ref="J514:Q514" si="172">J$13</f>
        <v>(d)</v>
      </c>
      <c r="K514" s="182" t="str">
        <f t="shared" si="172"/>
        <v>(e)</v>
      </c>
      <c r="L514" s="15" t="str">
        <f t="shared" si="172"/>
        <v>(f)</v>
      </c>
      <c r="M514" s="182" t="str">
        <f t="shared" si="172"/>
        <v>(g)</v>
      </c>
      <c r="N514" s="182" t="str">
        <f t="shared" si="172"/>
        <v>(h)</v>
      </c>
      <c r="O514" s="182" t="str">
        <f>O$13</f>
        <v>(i)</v>
      </c>
      <c r="P514" s="182" t="str">
        <f t="shared" si="172"/>
        <v>(j)</v>
      </c>
      <c r="Q514" s="182" t="str">
        <f t="shared" si="172"/>
        <v>(k)</v>
      </c>
      <c r="R514" s="182" t="str">
        <f>R$13</f>
        <v>(l)</v>
      </c>
      <c r="S514" s="15" t="str">
        <f>S$13</f>
        <v>(m)</v>
      </c>
      <c r="T514" s="15"/>
      <c r="U514" s="15" t="s">
        <v>683</v>
      </c>
      <c r="V514" s="64"/>
      <c r="W514" s="64"/>
      <c r="X514" s="305"/>
    </row>
    <row r="515" spans="1:24" ht="8.25" customHeight="1" x14ac:dyDescent="0.2">
      <c r="A515" s="64"/>
      <c r="B515" s="64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41"/>
      <c r="V515" s="64"/>
      <c r="W515" s="64"/>
      <c r="X515" s="305">
        <f t="shared" si="166"/>
        <v>0</v>
      </c>
    </row>
    <row r="516" spans="1:24" ht="15" x14ac:dyDescent="0.25">
      <c r="A516" s="64"/>
      <c r="B516" s="16">
        <f t="shared" ref="B516:B575" si="173">B515+1</f>
        <v>1</v>
      </c>
      <c r="C516" s="269" t="s">
        <v>110</v>
      </c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64"/>
      <c r="W516" s="64"/>
      <c r="X516" s="305">
        <f t="shared" si="166"/>
        <v>0</v>
      </c>
    </row>
    <row r="517" spans="1:24" ht="15" x14ac:dyDescent="0.25">
      <c r="A517" s="64"/>
      <c r="B517" s="16">
        <f t="shared" si="173"/>
        <v>2</v>
      </c>
      <c r="C517" s="34" t="s">
        <v>560</v>
      </c>
      <c r="D517" s="42"/>
      <c r="E517" s="35" t="s">
        <v>127</v>
      </c>
      <c r="F517" s="290"/>
      <c r="G517" s="35"/>
      <c r="H517" s="806"/>
      <c r="I517" s="806"/>
      <c r="J517" s="806"/>
      <c r="K517" s="806"/>
      <c r="L517" s="806"/>
      <c r="M517" s="806"/>
      <c r="N517" s="806"/>
      <c r="O517" s="806"/>
      <c r="P517" s="806"/>
      <c r="Q517" s="806"/>
      <c r="R517" s="806"/>
      <c r="S517" s="806"/>
      <c r="T517" s="35"/>
      <c r="U517" s="34"/>
      <c r="V517" s="64"/>
      <c r="W517" s="64"/>
      <c r="X517" s="305">
        <f t="shared" si="166"/>
        <v>0</v>
      </c>
    </row>
    <row r="518" spans="1:24" ht="15" x14ac:dyDescent="0.25">
      <c r="A518" s="64"/>
      <c r="B518" s="16">
        <f t="shared" si="173"/>
        <v>3</v>
      </c>
      <c r="C518" s="34" t="s">
        <v>561</v>
      </c>
      <c r="D518" s="42"/>
      <c r="E518" s="35"/>
      <c r="F518" s="290"/>
      <c r="G518" s="35"/>
      <c r="H518" s="806"/>
      <c r="I518" s="806"/>
      <c r="J518" s="806"/>
      <c r="K518" s="806"/>
      <c r="L518" s="806"/>
      <c r="M518" s="806"/>
      <c r="N518" s="806"/>
      <c r="O518" s="806"/>
      <c r="P518" s="806"/>
      <c r="Q518" s="806"/>
      <c r="R518" s="806"/>
      <c r="S518" s="806"/>
      <c r="T518" s="35"/>
      <c r="U518" s="34"/>
      <c r="V518" s="64"/>
      <c r="W518" s="64"/>
      <c r="X518" s="305">
        <f t="shared" si="166"/>
        <v>0</v>
      </c>
    </row>
    <row r="519" spans="1:24" ht="11.25" customHeight="1" x14ac:dyDescent="0.2">
      <c r="A519" s="64"/>
      <c r="B519" s="645">
        <f t="shared" si="173"/>
        <v>4</v>
      </c>
      <c r="C519" s="991">
        <v>189</v>
      </c>
      <c r="D519" s="41" t="s">
        <v>1324</v>
      </c>
      <c r="E519" s="202"/>
      <c r="F519" s="229">
        <f>' WP II-I-1.4'!G519</f>
        <v>0</v>
      </c>
      <c r="G519" s="293">
        <v>64</v>
      </c>
      <c r="H519" s="1" t="str">
        <f t="shared" ref="H519:H555" si="174">VLOOKUP(G519,FactorTable,2)</f>
        <v>PLANT</v>
      </c>
      <c r="I519" s="202"/>
      <c r="J519" s="369">
        <f t="shared" ref="J519:S528" ca="1" si="175">$F519*HLOOKUP(J$1354,FactorTable,$G519+1)</f>
        <v>0</v>
      </c>
      <c r="K519" s="369">
        <f t="shared" ca="1" si="175"/>
        <v>0</v>
      </c>
      <c r="L519" s="369">
        <f t="shared" ca="1" si="175"/>
        <v>0</v>
      </c>
      <c r="M519" s="369">
        <f t="shared" ca="1" si="175"/>
        <v>0</v>
      </c>
      <c r="N519" s="369">
        <f t="shared" ca="1" si="175"/>
        <v>0</v>
      </c>
      <c r="O519" s="369">
        <f t="shared" ca="1" si="175"/>
        <v>0</v>
      </c>
      <c r="P519" s="369">
        <f t="shared" ca="1" si="175"/>
        <v>0</v>
      </c>
      <c r="Q519" s="369">
        <f t="shared" ca="1" si="175"/>
        <v>0</v>
      </c>
      <c r="R519" s="369">
        <f t="shared" ca="1" si="175"/>
        <v>0</v>
      </c>
      <c r="S519" s="369">
        <f t="shared" ca="1" si="175"/>
        <v>0</v>
      </c>
      <c r="T519" s="202"/>
      <c r="U519" s="97">
        <f t="shared" ref="U519:U556" ca="1" si="176">SUM(I519:T519)</f>
        <v>0</v>
      </c>
      <c r="V519" s="64"/>
      <c r="W519" s="64"/>
      <c r="X519" s="305">
        <f t="shared" ca="1" si="166"/>
        <v>0</v>
      </c>
    </row>
    <row r="520" spans="1:24" ht="15" x14ac:dyDescent="0.25">
      <c r="A520" s="64"/>
      <c r="B520" s="16">
        <f t="shared" si="173"/>
        <v>5</v>
      </c>
      <c r="C520" s="991">
        <v>182</v>
      </c>
      <c r="D520" s="41" t="s">
        <v>1242</v>
      </c>
      <c r="E520" s="806"/>
      <c r="F520" s="229">
        <f>' WP II-I-1.4'!G520</f>
        <v>493721</v>
      </c>
      <c r="G520" s="293">
        <v>58</v>
      </c>
      <c r="H520" s="1" t="str">
        <f t="shared" si="174"/>
        <v>PLTDIST_N</v>
      </c>
      <c r="I520" s="806"/>
      <c r="J520" s="369">
        <f t="shared" ca="1" si="175"/>
        <v>269776.16304128448</v>
      </c>
      <c r="K520" s="369">
        <f t="shared" ca="1" si="175"/>
        <v>7189.8726488892962</v>
      </c>
      <c r="L520" s="369">
        <f t="shared" ca="1" si="175"/>
        <v>171716.07132920731</v>
      </c>
      <c r="M520" s="369">
        <f t="shared" ca="1" si="175"/>
        <v>51.048611031303835</v>
      </c>
      <c r="N520" s="369">
        <f t="shared" ca="1" si="175"/>
        <v>32088.49729657565</v>
      </c>
      <c r="O520" s="369">
        <f t="shared" ca="1" si="175"/>
        <v>3369.9028785360792</v>
      </c>
      <c r="P520" s="369">
        <f t="shared" ca="1" si="175"/>
        <v>656.72134906545261</v>
      </c>
      <c r="Q520" s="369">
        <f t="shared" ca="1" si="175"/>
        <v>7408.5383095294492</v>
      </c>
      <c r="R520" s="369">
        <f t="shared" ca="1" si="175"/>
        <v>232.94085265924886</v>
      </c>
      <c r="S520" s="369">
        <f t="shared" ca="1" si="175"/>
        <v>1231.2436832218432</v>
      </c>
      <c r="T520" s="806"/>
      <c r="U520" s="97">
        <f t="shared" ca="1" si="176"/>
        <v>493721.00000000012</v>
      </c>
      <c r="V520" s="64"/>
      <c r="W520" s="64"/>
      <c r="X520" s="305">
        <f t="shared" ca="1" si="166"/>
        <v>0</v>
      </c>
    </row>
    <row r="521" spans="1:24" ht="15" x14ac:dyDescent="0.25">
      <c r="A521" s="64"/>
      <c r="B521" s="16">
        <f t="shared" si="173"/>
        <v>6</v>
      </c>
      <c r="C521" s="1616">
        <v>182</v>
      </c>
      <c r="D521" s="611" t="s">
        <v>1243</v>
      </c>
      <c r="E521" s="1007"/>
      <c r="F521" s="668">
        <f>' WP II-I-1.4'!G521</f>
        <v>727219.48</v>
      </c>
      <c r="G521" s="1007">
        <v>58</v>
      </c>
      <c r="H521" s="647" t="str">
        <f t="shared" si="174"/>
        <v>PLTDIST_N</v>
      </c>
      <c r="I521" s="806"/>
      <c r="J521" s="369">
        <f t="shared" ca="1" si="175"/>
        <v>397363.04715269979</v>
      </c>
      <c r="K521" s="369">
        <f t="shared" ca="1" si="175"/>
        <v>10590.222917379444</v>
      </c>
      <c r="L521" s="369">
        <f t="shared" ca="1" si="175"/>
        <v>252926.79894043203</v>
      </c>
      <c r="M521" s="369">
        <f t="shared" ca="1" si="175"/>
        <v>75.19134160569844</v>
      </c>
      <c r="N521" s="369">
        <f t="shared" ca="1" si="175"/>
        <v>47264.305788081023</v>
      </c>
      <c r="O521" s="369">
        <f t="shared" ca="1" si="175"/>
        <v>4963.6515744307217</v>
      </c>
      <c r="P521" s="369">
        <f t="shared" ca="1" si="175"/>
        <v>967.30857705521328</v>
      </c>
      <c r="Q521" s="369">
        <f t="shared" ca="1" si="175"/>
        <v>10912.303460894078</v>
      </c>
      <c r="R521" s="369">
        <f t="shared" ca="1" si="175"/>
        <v>343.10698905174291</v>
      </c>
      <c r="S521" s="369">
        <f t="shared" ca="1" si="175"/>
        <v>1813.5432583703621</v>
      </c>
      <c r="T521" s="806"/>
      <c r="U521" s="97">
        <f t="shared" ca="1" si="176"/>
        <v>727219.48000000021</v>
      </c>
      <c r="V521" s="64"/>
      <c r="W521" s="64"/>
      <c r="X521" s="305">
        <f t="shared" ca="1" si="166"/>
        <v>0</v>
      </c>
    </row>
    <row r="522" spans="1:24" ht="15" x14ac:dyDescent="0.25">
      <c r="A522" s="64"/>
      <c r="B522" s="16">
        <f t="shared" si="173"/>
        <v>7</v>
      </c>
      <c r="C522" s="991">
        <v>182</v>
      </c>
      <c r="D522" s="41" t="s">
        <v>1244</v>
      </c>
      <c r="E522" s="806"/>
      <c r="F522" s="229">
        <f>' WP II-I-1.4'!G522</f>
        <v>0</v>
      </c>
      <c r="G522" s="293">
        <v>64</v>
      </c>
      <c r="H522" s="1" t="str">
        <f t="shared" si="174"/>
        <v>PLANT</v>
      </c>
      <c r="I522" s="806"/>
      <c r="J522" s="369">
        <f t="shared" ca="1" si="175"/>
        <v>0</v>
      </c>
      <c r="K522" s="369">
        <f t="shared" ca="1" si="175"/>
        <v>0</v>
      </c>
      <c r="L522" s="369">
        <f t="shared" ca="1" si="175"/>
        <v>0</v>
      </c>
      <c r="M522" s="369">
        <f t="shared" ca="1" si="175"/>
        <v>0</v>
      </c>
      <c r="N522" s="369">
        <f t="shared" ca="1" si="175"/>
        <v>0</v>
      </c>
      <c r="O522" s="369">
        <f t="shared" ca="1" si="175"/>
        <v>0</v>
      </c>
      <c r="P522" s="369">
        <f t="shared" ca="1" si="175"/>
        <v>0</v>
      </c>
      <c r="Q522" s="369">
        <f t="shared" ca="1" si="175"/>
        <v>0</v>
      </c>
      <c r="R522" s="369">
        <f t="shared" ca="1" si="175"/>
        <v>0</v>
      </c>
      <c r="S522" s="369">
        <f t="shared" ca="1" si="175"/>
        <v>0</v>
      </c>
      <c r="T522" s="806"/>
      <c r="U522" s="97">
        <f t="shared" ref="U522" ca="1" si="177">SUM(I522:T522)</f>
        <v>0</v>
      </c>
      <c r="V522" s="64"/>
      <c r="W522" s="64"/>
      <c r="X522" s="305">
        <f t="shared" ref="X522" ca="1" si="178">U522-F522</f>
        <v>0</v>
      </c>
    </row>
    <row r="523" spans="1:24" ht="15" x14ac:dyDescent="0.25">
      <c r="A523" s="64"/>
      <c r="B523" s="16">
        <f t="shared" si="173"/>
        <v>8</v>
      </c>
      <c r="C523" s="991">
        <v>182</v>
      </c>
      <c r="D523" s="41" t="s">
        <v>1245</v>
      </c>
      <c r="E523" s="806"/>
      <c r="F523" s="229">
        <f>' WP II-I-1.4'!G523</f>
        <v>0</v>
      </c>
      <c r="G523" s="293">
        <v>58</v>
      </c>
      <c r="H523" s="1" t="str">
        <f t="shared" si="174"/>
        <v>PLTDIST_N</v>
      </c>
      <c r="I523" s="806"/>
      <c r="J523" s="369">
        <f t="shared" ca="1" si="175"/>
        <v>0</v>
      </c>
      <c r="K523" s="369">
        <f t="shared" ca="1" si="175"/>
        <v>0</v>
      </c>
      <c r="L523" s="369">
        <f t="shared" ca="1" si="175"/>
        <v>0</v>
      </c>
      <c r="M523" s="369">
        <f t="shared" ca="1" si="175"/>
        <v>0</v>
      </c>
      <c r="N523" s="369">
        <f t="shared" ca="1" si="175"/>
        <v>0</v>
      </c>
      <c r="O523" s="369">
        <f t="shared" ca="1" si="175"/>
        <v>0</v>
      </c>
      <c r="P523" s="369">
        <f t="shared" ca="1" si="175"/>
        <v>0</v>
      </c>
      <c r="Q523" s="369">
        <f t="shared" ca="1" si="175"/>
        <v>0</v>
      </c>
      <c r="R523" s="369">
        <f t="shared" ca="1" si="175"/>
        <v>0</v>
      </c>
      <c r="S523" s="369">
        <f t="shared" ca="1" si="175"/>
        <v>0</v>
      </c>
      <c r="T523" s="806"/>
      <c r="U523" s="97">
        <f t="shared" ca="1" si="176"/>
        <v>0</v>
      </c>
      <c r="V523" s="64"/>
      <c r="W523" s="64"/>
      <c r="X523" s="305">
        <f t="shared" ca="1" si="166"/>
        <v>0</v>
      </c>
    </row>
    <row r="524" spans="1:24" ht="15" x14ac:dyDescent="0.25">
      <c r="A524" s="64"/>
      <c r="B524" s="16">
        <f t="shared" si="173"/>
        <v>9</v>
      </c>
      <c r="C524" s="991">
        <v>182</v>
      </c>
      <c r="D524" s="41" t="s">
        <v>1246</v>
      </c>
      <c r="E524" s="806"/>
      <c r="F524" s="229">
        <f>' WP II-I-1.4'!G524</f>
        <v>213256.8</v>
      </c>
      <c r="G524" s="293">
        <v>64</v>
      </c>
      <c r="H524" s="1" t="str">
        <f t="shared" si="174"/>
        <v>PLANT</v>
      </c>
      <c r="I524" s="806"/>
      <c r="J524" s="369">
        <f t="shared" ca="1" si="175"/>
        <v>114570.93846575299</v>
      </c>
      <c r="K524" s="369">
        <f t="shared" ca="1" si="175"/>
        <v>3701.631143544229</v>
      </c>
      <c r="L524" s="369">
        <f t="shared" ca="1" si="175"/>
        <v>72442.104910401278</v>
      </c>
      <c r="M524" s="369">
        <f t="shared" ca="1" si="175"/>
        <v>20.954870463201971</v>
      </c>
      <c r="N524" s="369">
        <f t="shared" ca="1" si="175"/>
        <v>13171.960815862676</v>
      </c>
      <c r="O524" s="369">
        <f t="shared" ca="1" si="175"/>
        <v>1432.598778955334</v>
      </c>
      <c r="P524" s="369">
        <f t="shared" ca="1" si="175"/>
        <v>248.18338641957544</v>
      </c>
      <c r="Q524" s="369">
        <f t="shared" ca="1" si="175"/>
        <v>7063.9893664210776</v>
      </c>
      <c r="R524" s="369">
        <f t="shared" ca="1" si="175"/>
        <v>99.026824545585029</v>
      </c>
      <c r="S524" s="369">
        <f t="shared" ca="1" si="175"/>
        <v>505.41143763398543</v>
      </c>
      <c r="T524" s="806"/>
      <c r="U524" s="97">
        <f t="shared" ca="1" si="176"/>
        <v>213256.7999999999</v>
      </c>
      <c r="V524" s="64"/>
      <c r="W524" s="64"/>
      <c r="X524" s="305">
        <f t="shared" ca="1" si="166"/>
        <v>0</v>
      </c>
    </row>
    <row r="525" spans="1:24" ht="12.75" customHeight="1" x14ac:dyDescent="0.25">
      <c r="A525" s="64"/>
      <c r="B525" s="16">
        <f t="shared" si="173"/>
        <v>10</v>
      </c>
      <c r="C525" s="991">
        <v>182</v>
      </c>
      <c r="D525" s="41" t="s">
        <v>1247</v>
      </c>
      <c r="E525" s="806"/>
      <c r="F525" s="229">
        <f>' WP II-I-1.4'!G525</f>
        <v>0</v>
      </c>
      <c r="G525" s="293">
        <v>69</v>
      </c>
      <c r="H525" s="1" t="str">
        <f t="shared" si="174"/>
        <v>PLANT_xWHL</v>
      </c>
      <c r="I525" s="806"/>
      <c r="J525" s="369">
        <f t="shared" ca="1" si="175"/>
        <v>0</v>
      </c>
      <c r="K525" s="369">
        <f t="shared" ca="1" si="175"/>
        <v>0</v>
      </c>
      <c r="L525" s="369">
        <f t="shared" ca="1" si="175"/>
        <v>0</v>
      </c>
      <c r="M525" s="369">
        <f t="shared" ca="1" si="175"/>
        <v>0</v>
      </c>
      <c r="N525" s="369">
        <f t="shared" ca="1" si="175"/>
        <v>0</v>
      </c>
      <c r="O525" s="369">
        <f t="shared" ca="1" si="175"/>
        <v>0</v>
      </c>
      <c r="P525" s="369">
        <f t="shared" ca="1" si="175"/>
        <v>0</v>
      </c>
      <c r="Q525" s="369">
        <f t="shared" ca="1" si="175"/>
        <v>0</v>
      </c>
      <c r="R525" s="369">
        <f t="shared" ca="1" si="175"/>
        <v>0</v>
      </c>
      <c r="S525" s="369">
        <f t="shared" ca="1" si="175"/>
        <v>0</v>
      </c>
      <c r="T525" s="806"/>
      <c r="U525" s="97">
        <f t="shared" ca="1" si="176"/>
        <v>0</v>
      </c>
      <c r="V525" s="64"/>
      <c r="W525" s="64"/>
      <c r="X525" s="305">
        <f t="shared" ca="1" si="166"/>
        <v>0</v>
      </c>
    </row>
    <row r="526" spans="1:24" ht="12" customHeight="1" x14ac:dyDescent="0.25">
      <c r="A526" s="64"/>
      <c r="B526" s="16">
        <f t="shared" si="173"/>
        <v>11</v>
      </c>
      <c r="C526" s="991">
        <v>182</v>
      </c>
      <c r="D526" s="41" t="s">
        <v>1248</v>
      </c>
      <c r="E526" s="806"/>
      <c r="F526" s="229">
        <f>' WP II-I-1.4'!G526</f>
        <v>0</v>
      </c>
      <c r="G526" s="293">
        <v>57</v>
      </c>
      <c r="H526" s="1" t="str">
        <f t="shared" si="174"/>
        <v>PLTDIST_N xWHL</v>
      </c>
      <c r="I526" s="806"/>
      <c r="J526" s="369">
        <f t="shared" ca="1" si="175"/>
        <v>0</v>
      </c>
      <c r="K526" s="369">
        <f t="shared" ca="1" si="175"/>
        <v>0</v>
      </c>
      <c r="L526" s="369">
        <f t="shared" ca="1" si="175"/>
        <v>0</v>
      </c>
      <c r="M526" s="369">
        <f t="shared" ca="1" si="175"/>
        <v>0</v>
      </c>
      <c r="N526" s="369">
        <f t="shared" ca="1" si="175"/>
        <v>0</v>
      </c>
      <c r="O526" s="369">
        <f t="shared" ca="1" si="175"/>
        <v>0</v>
      </c>
      <c r="P526" s="369">
        <f t="shared" ca="1" si="175"/>
        <v>0</v>
      </c>
      <c r="Q526" s="369">
        <f t="shared" ca="1" si="175"/>
        <v>0</v>
      </c>
      <c r="R526" s="369">
        <f t="shared" ca="1" si="175"/>
        <v>0</v>
      </c>
      <c r="S526" s="369">
        <f t="shared" ca="1" si="175"/>
        <v>0</v>
      </c>
      <c r="T526" s="806"/>
      <c r="U526" s="97">
        <f t="shared" ca="1" si="176"/>
        <v>0</v>
      </c>
      <c r="V526" s="64"/>
      <c r="W526" s="64"/>
      <c r="X526" s="305">
        <f t="shared" ca="1" si="166"/>
        <v>0</v>
      </c>
    </row>
    <row r="527" spans="1:24" x14ac:dyDescent="0.2">
      <c r="A527" s="64"/>
      <c r="B527" s="16">
        <f t="shared" si="173"/>
        <v>12</v>
      </c>
      <c r="C527" s="991">
        <v>182</v>
      </c>
      <c r="D527" s="41" t="s">
        <v>1249</v>
      </c>
      <c r="E527" s="202"/>
      <c r="F527" s="229">
        <f>' WP II-I-1.4'!G527</f>
        <v>0</v>
      </c>
      <c r="G527" s="293">
        <v>57</v>
      </c>
      <c r="H527" s="1" t="str">
        <f t="shared" si="174"/>
        <v>PLTDIST_N xWHL</v>
      </c>
      <c r="I527" s="202"/>
      <c r="J527" s="369">
        <f t="shared" ca="1" si="175"/>
        <v>0</v>
      </c>
      <c r="K527" s="369">
        <f t="shared" ca="1" si="175"/>
        <v>0</v>
      </c>
      <c r="L527" s="369">
        <f t="shared" ca="1" si="175"/>
        <v>0</v>
      </c>
      <c r="M527" s="369">
        <f t="shared" ca="1" si="175"/>
        <v>0</v>
      </c>
      <c r="N527" s="369">
        <f t="shared" ca="1" si="175"/>
        <v>0</v>
      </c>
      <c r="O527" s="369">
        <f t="shared" ca="1" si="175"/>
        <v>0</v>
      </c>
      <c r="P527" s="369">
        <f t="shared" ca="1" si="175"/>
        <v>0</v>
      </c>
      <c r="Q527" s="369">
        <f t="shared" ca="1" si="175"/>
        <v>0</v>
      </c>
      <c r="R527" s="369">
        <f t="shared" ca="1" si="175"/>
        <v>0</v>
      </c>
      <c r="S527" s="369">
        <f t="shared" ca="1" si="175"/>
        <v>0</v>
      </c>
      <c r="T527" s="202"/>
      <c r="U527" s="97">
        <f t="shared" ca="1" si="176"/>
        <v>0</v>
      </c>
      <c r="V527" s="64"/>
      <c r="W527" s="64"/>
      <c r="X527" s="305">
        <f t="shared" ca="1" si="166"/>
        <v>0</v>
      </c>
    </row>
    <row r="528" spans="1:24" ht="15" x14ac:dyDescent="0.25">
      <c r="A528" s="64"/>
      <c r="B528" s="16">
        <f t="shared" si="173"/>
        <v>13</v>
      </c>
      <c r="C528" s="1616">
        <v>182</v>
      </c>
      <c r="D528" s="611" t="s">
        <v>1250</v>
      </c>
      <c r="E528" s="806"/>
      <c r="F528" s="229">
        <f>' WP II-I-1.4'!G528</f>
        <v>19230434.850000001</v>
      </c>
      <c r="G528" s="293">
        <v>69</v>
      </c>
      <c r="H528" s="1" t="str">
        <f t="shared" si="174"/>
        <v>PLANT_xWHL</v>
      </c>
      <c r="I528" s="806"/>
      <c r="J528" s="369">
        <f t="shared" ca="1" si="175"/>
        <v>10360801.779316295</v>
      </c>
      <c r="K528" s="369">
        <f t="shared" ca="1" si="175"/>
        <v>334743.40920991596</v>
      </c>
      <c r="L528" s="369">
        <f t="shared" ca="1" si="175"/>
        <v>6551035.5374932764</v>
      </c>
      <c r="M528" s="369">
        <f t="shared" ca="1" si="175"/>
        <v>1894.9767025377269</v>
      </c>
      <c r="N528" s="369">
        <f t="shared" ca="1" si="175"/>
        <v>1191157.870273255</v>
      </c>
      <c r="O528" s="369">
        <f t="shared" ca="1" si="175"/>
        <v>129551.80586640247</v>
      </c>
      <c r="P528" s="369">
        <f t="shared" ca="1" si="175"/>
        <v>22443.552492862793</v>
      </c>
      <c r="Q528" s="369">
        <f t="shared" ca="1" si="175"/>
        <v>638805.91864545189</v>
      </c>
      <c r="R528" s="369">
        <f t="shared" ca="1" si="175"/>
        <v>0</v>
      </c>
      <c r="S528" s="369">
        <f t="shared" ca="1" si="175"/>
        <v>0</v>
      </c>
      <c r="T528" s="806"/>
      <c r="U528" s="97">
        <f t="shared" ca="1" si="176"/>
        <v>19230434.849999998</v>
      </c>
      <c r="V528" s="64"/>
      <c r="W528" s="64"/>
      <c r="X528" s="305">
        <f t="shared" ca="1" si="166"/>
        <v>0</v>
      </c>
    </row>
    <row r="529" spans="1:24" s="321" customFormat="1" ht="15" x14ac:dyDescent="0.25">
      <c r="A529" s="45"/>
      <c r="B529" s="16">
        <f t="shared" si="173"/>
        <v>14</v>
      </c>
      <c r="C529" s="991">
        <v>182</v>
      </c>
      <c r="D529" s="41" t="s">
        <v>1251</v>
      </c>
      <c r="E529" s="806"/>
      <c r="F529" s="229">
        <f>' WP II-I-1.4'!G529</f>
        <v>2056413.07</v>
      </c>
      <c r="G529" s="293">
        <v>69</v>
      </c>
      <c r="H529" s="1" t="str">
        <f t="shared" si="174"/>
        <v>PLANT_xWHL</v>
      </c>
      <c r="I529" s="806"/>
      <c r="J529" s="369">
        <f t="shared" ref="J529:S538" ca="1" si="179">$F529*HLOOKUP(J$1354,FactorTable,$G529+1)</f>
        <v>1107935.8506895795</v>
      </c>
      <c r="K529" s="369">
        <f t="shared" ca="1" si="179"/>
        <v>35795.899945321806</v>
      </c>
      <c r="L529" s="369">
        <f t="shared" ca="1" si="179"/>
        <v>700537.20607028541</v>
      </c>
      <c r="M529" s="369">
        <f t="shared" ca="1" si="179"/>
        <v>202.63997610246884</v>
      </c>
      <c r="N529" s="369">
        <f t="shared" ca="1" si="179"/>
        <v>127376.87067244276</v>
      </c>
      <c r="O529" s="369">
        <f t="shared" ca="1" si="179"/>
        <v>13853.66627971872</v>
      </c>
      <c r="P529" s="369">
        <f t="shared" ca="1" si="179"/>
        <v>2400.008894419469</v>
      </c>
      <c r="Q529" s="369">
        <f t="shared" ca="1" si="179"/>
        <v>68310.927472129624</v>
      </c>
      <c r="R529" s="369">
        <f t="shared" ca="1" si="179"/>
        <v>0</v>
      </c>
      <c r="S529" s="369">
        <f t="shared" ca="1" si="179"/>
        <v>0</v>
      </c>
      <c r="T529" s="806"/>
      <c r="U529" s="229">
        <f t="shared" ca="1" si="176"/>
        <v>2056413.0699999996</v>
      </c>
      <c r="V529" s="45"/>
      <c r="W529" s="45"/>
      <c r="X529" s="751">
        <f t="shared" ca="1" si="166"/>
        <v>0</v>
      </c>
    </row>
    <row r="530" spans="1:24" s="321" customFormat="1" ht="15" x14ac:dyDescent="0.25">
      <c r="A530" s="45"/>
      <c r="B530" s="16">
        <f t="shared" si="173"/>
        <v>15</v>
      </c>
      <c r="C530" s="991">
        <v>182</v>
      </c>
      <c r="D530" s="41" t="s">
        <v>128</v>
      </c>
      <c r="E530" s="806"/>
      <c r="F530" s="229">
        <f>' WP II-I-1.4'!G530</f>
        <v>38234998.909999996</v>
      </c>
      <c r="G530" s="293">
        <v>88</v>
      </c>
      <c r="H530" s="1" t="str">
        <f t="shared" si="174"/>
        <v>PAYROLL</v>
      </c>
      <c r="I530" s="806"/>
      <c r="J530" s="369">
        <f t="shared" ca="1" si="179"/>
        <v>20319013.988886371</v>
      </c>
      <c r="K530" s="369">
        <f t="shared" ca="1" si="179"/>
        <v>464646.44891098089</v>
      </c>
      <c r="L530" s="369">
        <f t="shared" ca="1" si="179"/>
        <v>12987390.938563867</v>
      </c>
      <c r="M530" s="369">
        <f t="shared" ca="1" si="179"/>
        <v>20344.488473753572</v>
      </c>
      <c r="N530" s="369">
        <f t="shared" ca="1" si="179"/>
        <v>3323888.4657924389</v>
      </c>
      <c r="O530" s="369">
        <f t="shared" ca="1" si="179"/>
        <v>436955.0138312921</v>
      </c>
      <c r="P530" s="369">
        <f t="shared" ca="1" si="179"/>
        <v>10914.670137790285</v>
      </c>
      <c r="Q530" s="369">
        <f t="shared" ca="1" si="179"/>
        <v>518844.92323280015</v>
      </c>
      <c r="R530" s="369">
        <f t="shared" ca="1" si="179"/>
        <v>29945.345638969455</v>
      </c>
      <c r="S530" s="369">
        <f t="shared" ca="1" si="179"/>
        <v>123054.62653173151</v>
      </c>
      <c r="T530" s="806"/>
      <c r="U530" s="229">
        <f t="shared" ca="1" si="176"/>
        <v>38234998.910000004</v>
      </c>
      <c r="V530" s="45"/>
      <c r="W530" s="45"/>
      <c r="X530" s="751">
        <f t="shared" ca="1" si="166"/>
        <v>0</v>
      </c>
    </row>
    <row r="531" spans="1:24" s="321" customFormat="1" ht="15" x14ac:dyDescent="0.25">
      <c r="A531" s="45"/>
      <c r="B531" s="16">
        <f t="shared" si="173"/>
        <v>16</v>
      </c>
      <c r="C531" s="991">
        <v>182</v>
      </c>
      <c r="D531" s="41" t="s">
        <v>129</v>
      </c>
      <c r="E531" s="806"/>
      <c r="F531" s="229">
        <f>' WP II-I-1.4'!G531</f>
        <v>-27035354.199999999</v>
      </c>
      <c r="G531" s="293">
        <v>88</v>
      </c>
      <c r="H531" s="1" t="str">
        <f t="shared" si="174"/>
        <v>PAYROLL</v>
      </c>
      <c r="I531" s="806"/>
      <c r="J531" s="369">
        <f t="shared" ca="1" si="179"/>
        <v>-14367248.747079875</v>
      </c>
      <c r="K531" s="369">
        <f t="shared" ca="1" si="179"/>
        <v>-328544.04818081821</v>
      </c>
      <c r="L531" s="369">
        <f t="shared" ca="1" si="179"/>
        <v>-9183175.7334276494</v>
      </c>
      <c r="M531" s="369">
        <f t="shared" ca="1" si="179"/>
        <v>-14385.261346558915</v>
      </c>
      <c r="N531" s="369">
        <f t="shared" ca="1" si="179"/>
        <v>-2350268.1981374528</v>
      </c>
      <c r="O531" s="369">
        <f t="shared" ca="1" si="179"/>
        <v>-308963.87878031936</v>
      </c>
      <c r="P531" s="369">
        <f t="shared" ca="1" si="179"/>
        <v>-7717.5881146461143</v>
      </c>
      <c r="Q531" s="369">
        <f t="shared" ca="1" si="179"/>
        <v>-366866.91969021846</v>
      </c>
      <c r="R531" s="369">
        <f t="shared" ca="1" si="179"/>
        <v>-21173.87339010034</v>
      </c>
      <c r="S531" s="369">
        <f t="shared" ca="1" si="179"/>
        <v>-87009.951852358485</v>
      </c>
      <c r="T531" s="806"/>
      <c r="U531" s="229">
        <f t="shared" ca="1" si="176"/>
        <v>-27035354.199999996</v>
      </c>
      <c r="V531" s="45"/>
      <c r="W531" s="45"/>
      <c r="X531" s="751">
        <f t="shared" ca="1" si="166"/>
        <v>0</v>
      </c>
    </row>
    <row r="532" spans="1:24" s="321" customFormat="1" ht="15" x14ac:dyDescent="0.25">
      <c r="A532" s="45"/>
      <c r="B532" s="16">
        <f t="shared" si="173"/>
        <v>17</v>
      </c>
      <c r="C532" s="991">
        <v>182</v>
      </c>
      <c r="D532" s="41" t="s">
        <v>1171</v>
      </c>
      <c r="E532" s="806"/>
      <c r="F532" s="229">
        <f>' WP II-I-1.4'!G532</f>
        <v>0</v>
      </c>
      <c r="G532" s="1007">
        <v>37</v>
      </c>
      <c r="H532" s="647" t="str">
        <f>VLOOKUP(G532,FactorTable,2)</f>
        <v>OPEB TOTAL</v>
      </c>
      <c r="I532" s="806"/>
      <c r="J532" s="369">
        <f t="shared" ca="1" si="179"/>
        <v>0</v>
      </c>
      <c r="K532" s="369">
        <f t="shared" ca="1" si="179"/>
        <v>0</v>
      </c>
      <c r="L532" s="369">
        <f t="shared" ca="1" si="179"/>
        <v>0</v>
      </c>
      <c r="M532" s="369">
        <f t="shared" ca="1" si="179"/>
        <v>0</v>
      </c>
      <c r="N532" s="369">
        <f t="shared" ca="1" si="179"/>
        <v>0</v>
      </c>
      <c r="O532" s="369">
        <f t="shared" ca="1" si="179"/>
        <v>0</v>
      </c>
      <c r="P532" s="369">
        <f t="shared" ca="1" si="179"/>
        <v>0</v>
      </c>
      <c r="Q532" s="369">
        <f t="shared" ca="1" si="179"/>
        <v>0</v>
      </c>
      <c r="R532" s="369">
        <f t="shared" ca="1" si="179"/>
        <v>0</v>
      </c>
      <c r="S532" s="369">
        <f t="shared" ca="1" si="179"/>
        <v>0</v>
      </c>
      <c r="T532" s="806"/>
      <c r="U532" s="229">
        <f t="shared" ca="1" si="176"/>
        <v>0</v>
      </c>
      <c r="V532" s="45"/>
      <c r="W532" s="45"/>
      <c r="X532" s="751">
        <f t="shared" ca="1" si="166"/>
        <v>0</v>
      </c>
    </row>
    <row r="533" spans="1:24" s="321" customFormat="1" ht="12.75" customHeight="1" x14ac:dyDescent="0.25">
      <c r="A533" s="45"/>
      <c r="B533" s="16">
        <f t="shared" si="173"/>
        <v>18</v>
      </c>
      <c r="C533" s="991">
        <v>182</v>
      </c>
      <c r="D533" s="41" t="s">
        <v>1172</v>
      </c>
      <c r="E533" s="806"/>
      <c r="F533" s="229">
        <f>' WP II-I-1.4'!G533</f>
        <v>0</v>
      </c>
      <c r="G533" s="293">
        <v>64</v>
      </c>
      <c r="H533" s="647" t="str">
        <f>VLOOKUP(G533,FactorTable,2)</f>
        <v>PLANT</v>
      </c>
      <c r="I533" s="806"/>
      <c r="J533" s="369">
        <f t="shared" ca="1" si="179"/>
        <v>0</v>
      </c>
      <c r="K533" s="369">
        <f t="shared" ca="1" si="179"/>
        <v>0</v>
      </c>
      <c r="L533" s="369">
        <f t="shared" ca="1" si="179"/>
        <v>0</v>
      </c>
      <c r="M533" s="369">
        <f t="shared" ca="1" si="179"/>
        <v>0</v>
      </c>
      <c r="N533" s="369">
        <f t="shared" ca="1" si="179"/>
        <v>0</v>
      </c>
      <c r="O533" s="369">
        <f t="shared" ca="1" si="179"/>
        <v>0</v>
      </c>
      <c r="P533" s="369">
        <f t="shared" ca="1" si="179"/>
        <v>0</v>
      </c>
      <c r="Q533" s="369">
        <f t="shared" ca="1" si="179"/>
        <v>0</v>
      </c>
      <c r="R533" s="369">
        <f t="shared" ca="1" si="179"/>
        <v>0</v>
      </c>
      <c r="S533" s="369">
        <f t="shared" ca="1" si="179"/>
        <v>0</v>
      </c>
      <c r="T533" s="806"/>
      <c r="U533" s="229">
        <f t="shared" ca="1" si="176"/>
        <v>0</v>
      </c>
      <c r="V533" s="45"/>
      <c r="W533" s="45"/>
      <c r="X533" s="751">
        <f t="shared" ca="1" si="166"/>
        <v>0</v>
      </c>
    </row>
    <row r="534" spans="1:24" ht="14.25" customHeight="1" x14ac:dyDescent="0.25">
      <c r="A534" s="64"/>
      <c r="B534" s="16">
        <f t="shared" si="173"/>
        <v>19</v>
      </c>
      <c r="C534" s="991">
        <v>182</v>
      </c>
      <c r="D534" s="41" t="s">
        <v>1252</v>
      </c>
      <c r="E534" s="806"/>
      <c r="F534" s="229">
        <f>' WP II-I-1.4'!G534</f>
        <v>0</v>
      </c>
      <c r="G534" s="293">
        <v>37</v>
      </c>
      <c r="H534" s="647" t="str">
        <f>VLOOKUP(G534,FactorTable,2)</f>
        <v>OPEB TOTAL</v>
      </c>
      <c r="I534" s="806"/>
      <c r="J534" s="369">
        <f t="shared" ca="1" si="179"/>
        <v>0</v>
      </c>
      <c r="K534" s="369">
        <f t="shared" ca="1" si="179"/>
        <v>0</v>
      </c>
      <c r="L534" s="369">
        <f t="shared" ca="1" si="179"/>
        <v>0</v>
      </c>
      <c r="M534" s="369">
        <f t="shared" ca="1" si="179"/>
        <v>0</v>
      </c>
      <c r="N534" s="369">
        <f t="shared" ca="1" si="179"/>
        <v>0</v>
      </c>
      <c r="O534" s="369">
        <f t="shared" ca="1" si="179"/>
        <v>0</v>
      </c>
      <c r="P534" s="369">
        <f t="shared" ca="1" si="179"/>
        <v>0</v>
      </c>
      <c r="Q534" s="369">
        <f t="shared" ca="1" si="179"/>
        <v>0</v>
      </c>
      <c r="R534" s="369">
        <f t="shared" ca="1" si="179"/>
        <v>0</v>
      </c>
      <c r="S534" s="369">
        <f t="shared" ca="1" si="179"/>
        <v>0</v>
      </c>
      <c r="T534" s="806"/>
      <c r="U534" s="97">
        <f t="shared" ca="1" si="176"/>
        <v>0</v>
      </c>
      <c r="V534" s="64"/>
      <c r="W534" s="64"/>
      <c r="X534" s="305">
        <f t="shared" ca="1" si="166"/>
        <v>0</v>
      </c>
    </row>
    <row r="535" spans="1:24" ht="12" customHeight="1" x14ac:dyDescent="0.2">
      <c r="A535" s="64"/>
      <c r="B535" s="16">
        <f t="shared" si="173"/>
        <v>20</v>
      </c>
      <c r="C535" s="1616">
        <v>182</v>
      </c>
      <c r="D535" s="611" t="s">
        <v>1253</v>
      </c>
      <c r="E535" s="202"/>
      <c r="F535" s="229">
        <f>' WP II-I-1.4'!G535</f>
        <v>0</v>
      </c>
      <c r="G535" s="293">
        <v>51</v>
      </c>
      <c r="H535" s="1" t="str">
        <f t="shared" si="174"/>
        <v>PLT 370</v>
      </c>
      <c r="I535" s="202"/>
      <c r="J535" s="369">
        <f t="shared" si="179"/>
        <v>0</v>
      </c>
      <c r="K535" s="369">
        <f t="shared" si="179"/>
        <v>0</v>
      </c>
      <c r="L535" s="369">
        <f t="shared" si="179"/>
        <v>0</v>
      </c>
      <c r="M535" s="369">
        <f t="shared" si="179"/>
        <v>0</v>
      </c>
      <c r="N535" s="369">
        <f t="shared" si="179"/>
        <v>0</v>
      </c>
      <c r="O535" s="369">
        <f t="shared" si="179"/>
        <v>0</v>
      </c>
      <c r="P535" s="369">
        <f t="shared" si="179"/>
        <v>0</v>
      </c>
      <c r="Q535" s="369">
        <f t="shared" si="179"/>
        <v>0</v>
      </c>
      <c r="R535" s="369">
        <f t="shared" si="179"/>
        <v>0</v>
      </c>
      <c r="S535" s="369">
        <f t="shared" si="179"/>
        <v>0</v>
      </c>
      <c r="T535" s="202"/>
      <c r="U535" s="97">
        <f t="shared" si="176"/>
        <v>0</v>
      </c>
      <c r="V535" s="64"/>
      <c r="W535" s="64"/>
      <c r="X535" s="305">
        <f t="shared" si="166"/>
        <v>0</v>
      </c>
    </row>
    <row r="536" spans="1:24" x14ac:dyDescent="0.2">
      <c r="A536" s="64"/>
      <c r="B536" s="16">
        <f t="shared" si="173"/>
        <v>21</v>
      </c>
      <c r="C536" s="991">
        <v>182</v>
      </c>
      <c r="D536" s="41" t="s">
        <v>1254</v>
      </c>
      <c r="E536" s="202"/>
      <c r="F536" s="229">
        <f>' WP II-I-1.4'!G536</f>
        <v>50356914.099999994</v>
      </c>
      <c r="G536" s="293">
        <v>64</v>
      </c>
      <c r="H536" s="1" t="str">
        <f t="shared" si="174"/>
        <v>PLANT</v>
      </c>
      <c r="I536" s="202"/>
      <c r="J536" s="369">
        <f t="shared" ca="1" si="179"/>
        <v>27053950.479779817</v>
      </c>
      <c r="K536" s="369">
        <f t="shared" ca="1" si="179"/>
        <v>874076.33203415549</v>
      </c>
      <c r="L536" s="369">
        <f t="shared" ca="1" si="179"/>
        <v>17105953.26477873</v>
      </c>
      <c r="M536" s="369">
        <f t="shared" ca="1" si="179"/>
        <v>4948.1311352889506</v>
      </c>
      <c r="N536" s="369">
        <f t="shared" ca="1" si="179"/>
        <v>3110331.2969760522</v>
      </c>
      <c r="O536" s="369">
        <f t="shared" ca="1" si="179"/>
        <v>338283.48569245456</v>
      </c>
      <c r="P536" s="369">
        <f t="shared" ca="1" si="179"/>
        <v>58604.224910894591</v>
      </c>
      <c r="Q536" s="369">
        <f t="shared" ca="1" si="179"/>
        <v>1668039.2171700017</v>
      </c>
      <c r="R536" s="369">
        <f t="shared" ca="1" si="179"/>
        <v>23383.476152872016</v>
      </c>
      <c r="S536" s="369">
        <f t="shared" ca="1" si="179"/>
        <v>119344.19136971065</v>
      </c>
      <c r="T536" s="202"/>
      <c r="U536" s="97">
        <f t="shared" ref="U536" ca="1" si="180">SUM(I536:T536)</f>
        <v>50356914.099999979</v>
      </c>
      <c r="V536" s="64"/>
      <c r="W536" s="64"/>
      <c r="X536" s="305">
        <f t="shared" ca="1" si="166"/>
        <v>0</v>
      </c>
    </row>
    <row r="537" spans="1:24" ht="15" x14ac:dyDescent="0.25">
      <c r="A537" s="64"/>
      <c r="B537" s="16">
        <f t="shared" si="173"/>
        <v>22</v>
      </c>
      <c r="C537" s="991">
        <v>182</v>
      </c>
      <c r="D537" s="41" t="s">
        <v>1255</v>
      </c>
      <c r="E537" s="806"/>
      <c r="F537" s="229">
        <f>' WP II-I-1.4'!G537</f>
        <v>27940735.449999999</v>
      </c>
      <c r="G537" s="293">
        <v>64</v>
      </c>
      <c r="H537" s="1" t="str">
        <f t="shared" si="174"/>
        <v>PLANT</v>
      </c>
      <c r="I537" s="806"/>
      <c r="J537" s="369">
        <f t="shared" ca="1" si="179"/>
        <v>15010992.765200609</v>
      </c>
      <c r="K537" s="369">
        <f t="shared" ca="1" si="179"/>
        <v>484984.75319544453</v>
      </c>
      <c r="L537" s="369">
        <f t="shared" ca="1" si="179"/>
        <v>9491306.6722499263</v>
      </c>
      <c r="M537" s="369">
        <f t="shared" ca="1" si="179"/>
        <v>2745.4903759286699</v>
      </c>
      <c r="N537" s="369">
        <f t="shared" ca="1" si="179"/>
        <v>1725779.7759029733</v>
      </c>
      <c r="O537" s="369">
        <f t="shared" ca="1" si="179"/>
        <v>187697.9467420688</v>
      </c>
      <c r="P537" s="369">
        <f t="shared" ca="1" si="179"/>
        <v>32516.788880985179</v>
      </c>
      <c r="Q537" s="369">
        <f t="shared" ca="1" si="179"/>
        <v>925518.2395533669</v>
      </c>
      <c r="R537" s="369">
        <f t="shared" ca="1" si="179"/>
        <v>12974.415385965454</v>
      </c>
      <c r="S537" s="369">
        <f t="shared" ca="1" si="179"/>
        <v>66218.602512723446</v>
      </c>
      <c r="T537" s="806"/>
      <c r="U537" s="97">
        <f t="shared" ca="1" si="176"/>
        <v>27940735.449999988</v>
      </c>
      <c r="V537" s="64"/>
      <c r="W537" s="64"/>
      <c r="X537" s="305">
        <f t="shared" ca="1" si="166"/>
        <v>0</v>
      </c>
    </row>
    <row r="538" spans="1:24" ht="15" x14ac:dyDescent="0.25">
      <c r="A538" s="64"/>
      <c r="B538" s="16">
        <f t="shared" si="173"/>
        <v>23</v>
      </c>
      <c r="C538" s="991">
        <v>182</v>
      </c>
      <c r="D538" s="41" t="s">
        <v>1256</v>
      </c>
      <c r="E538" s="806"/>
      <c r="F538" s="229">
        <f>' WP II-I-1.4'!G538</f>
        <v>419733.02</v>
      </c>
      <c r="G538" s="293">
        <v>64</v>
      </c>
      <c r="H538" s="1" t="str">
        <f t="shared" si="174"/>
        <v>PLANT</v>
      </c>
      <c r="I538" s="806"/>
      <c r="J538" s="369">
        <f t="shared" ca="1" si="179"/>
        <v>225499.05093982784</v>
      </c>
      <c r="K538" s="369">
        <f t="shared" ca="1" si="179"/>
        <v>7285.567535505892</v>
      </c>
      <c r="L538" s="369">
        <f t="shared" ca="1" si="179"/>
        <v>142580.88590469124</v>
      </c>
      <c r="M538" s="369">
        <f t="shared" ca="1" si="179"/>
        <v>41.243472954806421</v>
      </c>
      <c r="N538" s="369">
        <f t="shared" ca="1" si="179"/>
        <v>25925.114193609326</v>
      </c>
      <c r="O538" s="369">
        <f t="shared" ca="1" si="179"/>
        <v>2819.6475420208635</v>
      </c>
      <c r="P538" s="369">
        <f t="shared" ca="1" si="179"/>
        <v>488.47568891456399</v>
      </c>
      <c r="Q538" s="369">
        <f t="shared" ca="1" si="179"/>
        <v>13903.376539532648</v>
      </c>
      <c r="R538" s="369">
        <f t="shared" ca="1" si="179"/>
        <v>194.90505403592539</v>
      </c>
      <c r="S538" s="369">
        <f t="shared" ca="1" si="179"/>
        <v>994.75312890681278</v>
      </c>
      <c r="T538" s="806"/>
      <c r="U538" s="97">
        <f t="shared" ca="1" si="176"/>
        <v>419733.0199999999</v>
      </c>
      <c r="V538" s="64"/>
      <c r="W538" s="64"/>
      <c r="X538" s="305">
        <f t="shared" ca="1" si="166"/>
        <v>0</v>
      </c>
    </row>
    <row r="539" spans="1:24" ht="14.25" customHeight="1" x14ac:dyDescent="0.25">
      <c r="A539" s="64"/>
      <c r="B539" s="16">
        <f t="shared" si="173"/>
        <v>24</v>
      </c>
      <c r="C539" s="991">
        <v>182</v>
      </c>
      <c r="D539" s="41" t="s">
        <v>1257</v>
      </c>
      <c r="E539" s="806"/>
      <c r="F539" s="229">
        <f>' WP II-I-1.4'!G539</f>
        <v>0</v>
      </c>
      <c r="G539" s="293">
        <v>64</v>
      </c>
      <c r="H539" s="1" t="str">
        <f t="shared" ref="H539:H553" si="181">VLOOKUP(G539,FactorTable,2)</f>
        <v>PLANT</v>
      </c>
      <c r="I539" s="806"/>
      <c r="J539" s="369">
        <f t="shared" ref="J539:S548" ca="1" si="182">$F539*HLOOKUP(J$1354,FactorTable,$G539+1)</f>
        <v>0</v>
      </c>
      <c r="K539" s="369">
        <f t="shared" ca="1" si="182"/>
        <v>0</v>
      </c>
      <c r="L539" s="369">
        <f t="shared" ca="1" si="182"/>
        <v>0</v>
      </c>
      <c r="M539" s="369">
        <f t="shared" ca="1" si="182"/>
        <v>0</v>
      </c>
      <c r="N539" s="369">
        <f t="shared" ca="1" si="182"/>
        <v>0</v>
      </c>
      <c r="O539" s="369">
        <f t="shared" ca="1" si="182"/>
        <v>0</v>
      </c>
      <c r="P539" s="369">
        <f t="shared" ca="1" si="182"/>
        <v>0</v>
      </c>
      <c r="Q539" s="369">
        <f t="shared" ca="1" si="182"/>
        <v>0</v>
      </c>
      <c r="R539" s="369">
        <f t="shared" ca="1" si="182"/>
        <v>0</v>
      </c>
      <c r="S539" s="369">
        <f t="shared" ca="1" si="182"/>
        <v>0</v>
      </c>
      <c r="T539" s="806"/>
      <c r="U539" s="97">
        <f t="shared" ref="U539:U548" ca="1" si="183">SUM(I539:T539)</f>
        <v>0</v>
      </c>
      <c r="V539" s="64"/>
      <c r="W539" s="64"/>
      <c r="X539" s="305"/>
    </row>
    <row r="540" spans="1:24" ht="15" x14ac:dyDescent="0.25">
      <c r="A540" s="64"/>
      <c r="B540" s="16">
        <f t="shared" si="173"/>
        <v>25</v>
      </c>
      <c r="C540" s="991">
        <v>182</v>
      </c>
      <c r="D540" s="41" t="s">
        <v>1258</v>
      </c>
      <c r="E540" s="806"/>
      <c r="F540" s="229">
        <f>' WP II-I-1.4'!G540</f>
        <v>410261.63999999966</v>
      </c>
      <c r="G540" s="293">
        <v>64</v>
      </c>
      <c r="H540" s="1" t="str">
        <f t="shared" si="181"/>
        <v>PLANT</v>
      </c>
      <c r="I540" s="806"/>
      <c r="J540" s="369">
        <f t="shared" ca="1" si="182"/>
        <v>220410.60876510793</v>
      </c>
      <c r="K540" s="369">
        <f t="shared" ca="1" si="182"/>
        <v>7121.1668918671276</v>
      </c>
      <c r="L540" s="369">
        <f t="shared" ca="1" si="182"/>
        <v>139363.51274891707</v>
      </c>
      <c r="M540" s="369">
        <f t="shared" ca="1" si="182"/>
        <v>40.312803728747653</v>
      </c>
      <c r="N540" s="369">
        <f t="shared" ca="1" si="182"/>
        <v>25340.10754326031</v>
      </c>
      <c r="O540" s="369">
        <f t="shared" ca="1" si="182"/>
        <v>2756.0214938806753</v>
      </c>
      <c r="P540" s="369">
        <f t="shared" ca="1" si="182"/>
        <v>477.45311349156822</v>
      </c>
      <c r="Q540" s="369">
        <f t="shared" ca="1" si="182"/>
        <v>13589.643389615103</v>
      </c>
      <c r="R540" s="369">
        <f t="shared" ca="1" si="182"/>
        <v>190.50697301124248</v>
      </c>
      <c r="S540" s="369">
        <f t="shared" ca="1" si="182"/>
        <v>972.30627711977502</v>
      </c>
      <c r="T540" s="806"/>
      <c r="U540" s="97">
        <f t="shared" ca="1" si="183"/>
        <v>410261.63999999955</v>
      </c>
      <c r="V540" s="64"/>
      <c r="W540" s="64"/>
      <c r="X540" s="305"/>
    </row>
    <row r="541" spans="1:24" ht="13.5" customHeight="1" x14ac:dyDescent="0.25">
      <c r="A541" s="64"/>
      <c r="B541" s="16">
        <f t="shared" si="173"/>
        <v>26</v>
      </c>
      <c r="C541" s="991">
        <v>182</v>
      </c>
      <c r="D541" s="41" t="s">
        <v>1259</v>
      </c>
      <c r="E541" s="806"/>
      <c r="F541" s="229">
        <f>' WP II-I-1.4'!G541</f>
        <v>32906.64000000013</v>
      </c>
      <c r="G541" s="293">
        <v>64</v>
      </c>
      <c r="H541" s="1" t="str">
        <f t="shared" si="181"/>
        <v>PLANT</v>
      </c>
      <c r="I541" s="806"/>
      <c r="J541" s="369">
        <f t="shared" ca="1" si="182"/>
        <v>17678.895240642742</v>
      </c>
      <c r="K541" s="369">
        <f t="shared" ca="1" si="182"/>
        <v>571.18105239035174</v>
      </c>
      <c r="L541" s="369">
        <f t="shared" ca="1" si="182"/>
        <v>11178.19580491134</v>
      </c>
      <c r="M541" s="369">
        <f t="shared" ca="1" si="182"/>
        <v>3.2334461483958457</v>
      </c>
      <c r="N541" s="369">
        <f t="shared" ca="1" si="182"/>
        <v>2032.5024696126975</v>
      </c>
      <c r="O541" s="369">
        <f t="shared" ca="1" si="182"/>
        <v>221.05748695245799</v>
      </c>
      <c r="P541" s="369">
        <f t="shared" ca="1" si="182"/>
        <v>38.29599502050997</v>
      </c>
      <c r="Q541" s="369">
        <f t="shared" ca="1" si="182"/>
        <v>1090.0105180451335</v>
      </c>
      <c r="R541" s="369">
        <f t="shared" ca="1" si="182"/>
        <v>15.280357135925998</v>
      </c>
      <c r="S541" s="369">
        <f t="shared" ca="1" si="182"/>
        <v>77.987629140567037</v>
      </c>
      <c r="T541" s="806"/>
      <c r="U541" s="97">
        <f t="shared" ca="1" si="183"/>
        <v>32906.640000000123</v>
      </c>
      <c r="V541" s="64"/>
      <c r="W541" s="64"/>
      <c r="X541" s="305"/>
    </row>
    <row r="542" spans="1:24" ht="12.75" customHeight="1" x14ac:dyDescent="0.25">
      <c r="A542" s="64"/>
      <c r="B542" s="16">
        <f t="shared" si="173"/>
        <v>27</v>
      </c>
      <c r="C542" s="991">
        <v>186</v>
      </c>
      <c r="D542" s="41" t="s">
        <v>1260</v>
      </c>
      <c r="E542" s="806"/>
      <c r="F542" s="229">
        <f>' WP II-I-1.4'!G542</f>
        <v>319335368.44999999</v>
      </c>
      <c r="G542" s="293">
        <v>64</v>
      </c>
      <c r="H542" s="1" t="str">
        <f t="shared" si="181"/>
        <v>PLANT</v>
      </c>
      <c r="I542" s="806"/>
      <c r="J542" s="369">
        <f t="shared" ca="1" si="182"/>
        <v>171561013.99169222</v>
      </c>
      <c r="K542" s="369">
        <f t="shared" ca="1" si="182"/>
        <v>5542902.946539999</v>
      </c>
      <c r="L542" s="369">
        <f t="shared" ca="1" si="182"/>
        <v>108476382.75945501</v>
      </c>
      <c r="M542" s="369">
        <f t="shared" ca="1" si="182"/>
        <v>31378.27858332594</v>
      </c>
      <c r="N542" s="369">
        <f t="shared" ca="1" si="182"/>
        <v>19723980.479602385</v>
      </c>
      <c r="O542" s="369">
        <f t="shared" ca="1" si="182"/>
        <v>2145204.5558159072</v>
      </c>
      <c r="P542" s="369">
        <f t="shared" ca="1" si="182"/>
        <v>371635.19824673282</v>
      </c>
      <c r="Q542" s="369">
        <f t="shared" ca="1" si="182"/>
        <v>10577771.245995237</v>
      </c>
      <c r="R542" s="369">
        <f t="shared" ca="1" si="182"/>
        <v>148284.91988390475</v>
      </c>
      <c r="S542" s="369">
        <f t="shared" ca="1" si="182"/>
        <v>756814.07418517466</v>
      </c>
      <c r="T542" s="806"/>
      <c r="U542" s="97">
        <f t="shared" ca="1" si="183"/>
        <v>319335368.44999993</v>
      </c>
      <c r="V542" s="64"/>
      <c r="W542" s="64"/>
      <c r="X542" s="305"/>
    </row>
    <row r="543" spans="1:24" ht="14.25" customHeight="1" x14ac:dyDescent="0.25">
      <c r="A543" s="64"/>
      <c r="B543" s="16">
        <f t="shared" si="173"/>
        <v>28</v>
      </c>
      <c r="C543" s="991">
        <v>186</v>
      </c>
      <c r="D543" s="41" t="s">
        <v>1261</v>
      </c>
      <c r="E543" s="806"/>
      <c r="F543" s="229">
        <f>' WP II-I-1.4'!G543</f>
        <v>726291097.57999992</v>
      </c>
      <c r="G543" s="293">
        <v>64</v>
      </c>
      <c r="H543" s="1" t="str">
        <f t="shared" si="181"/>
        <v>PLANT</v>
      </c>
      <c r="I543" s="806"/>
      <c r="J543" s="369">
        <f t="shared" ca="1" si="182"/>
        <v>390195541.94315201</v>
      </c>
      <c r="K543" s="369">
        <f t="shared" ca="1" si="182"/>
        <v>12606687.083746208</v>
      </c>
      <c r="L543" s="369">
        <f t="shared" ca="1" si="182"/>
        <v>246716896.65408486</v>
      </c>
      <c r="M543" s="369">
        <f t="shared" ca="1" si="182"/>
        <v>71366.239521392432</v>
      </c>
      <c r="N543" s="369">
        <f t="shared" ca="1" si="182"/>
        <v>44859896.041925296</v>
      </c>
      <c r="O543" s="369">
        <f t="shared" ca="1" si="182"/>
        <v>4879017.8768472439</v>
      </c>
      <c r="P543" s="369">
        <f t="shared" ca="1" si="182"/>
        <v>845240.96827765729</v>
      </c>
      <c r="Q543" s="369">
        <f t="shared" ca="1" si="182"/>
        <v>24057908.541398976</v>
      </c>
      <c r="R543" s="369">
        <f t="shared" ca="1" si="182"/>
        <v>337256.7772238683</v>
      </c>
      <c r="S543" s="369">
        <f t="shared" ca="1" si="182"/>
        <v>1721285.4538222135</v>
      </c>
      <c r="T543" s="806"/>
      <c r="U543" s="97">
        <f t="shared" ca="1" si="183"/>
        <v>726291097.5799998</v>
      </c>
      <c r="V543" s="64"/>
      <c r="W543" s="64"/>
      <c r="X543" s="305"/>
    </row>
    <row r="544" spans="1:24" ht="15" x14ac:dyDescent="0.25">
      <c r="A544" s="64"/>
      <c r="B544" s="16">
        <f t="shared" si="173"/>
        <v>29</v>
      </c>
      <c r="C544" s="991">
        <v>186</v>
      </c>
      <c r="D544" s="41" t="s">
        <v>1120</v>
      </c>
      <c r="E544" s="806"/>
      <c r="F544" s="229">
        <f>' WP II-I-1.4'!G544</f>
        <v>0</v>
      </c>
      <c r="G544" s="293">
        <v>88</v>
      </c>
      <c r="H544" s="1" t="str">
        <f t="shared" si="181"/>
        <v>PAYROLL</v>
      </c>
      <c r="I544" s="806"/>
      <c r="J544" s="369">
        <f t="shared" ca="1" si="182"/>
        <v>0</v>
      </c>
      <c r="K544" s="369">
        <f t="shared" ca="1" si="182"/>
        <v>0</v>
      </c>
      <c r="L544" s="369">
        <f t="shared" ca="1" si="182"/>
        <v>0</v>
      </c>
      <c r="M544" s="369">
        <f t="shared" ca="1" si="182"/>
        <v>0</v>
      </c>
      <c r="N544" s="369">
        <f t="shared" ca="1" si="182"/>
        <v>0</v>
      </c>
      <c r="O544" s="369">
        <f t="shared" ca="1" si="182"/>
        <v>0</v>
      </c>
      <c r="P544" s="369">
        <f t="shared" ca="1" si="182"/>
        <v>0</v>
      </c>
      <c r="Q544" s="369">
        <f t="shared" ca="1" si="182"/>
        <v>0</v>
      </c>
      <c r="R544" s="369">
        <f t="shared" ca="1" si="182"/>
        <v>0</v>
      </c>
      <c r="S544" s="369">
        <f t="shared" ca="1" si="182"/>
        <v>0</v>
      </c>
      <c r="T544" s="806"/>
      <c r="U544" s="97">
        <f t="shared" ca="1" si="183"/>
        <v>0</v>
      </c>
      <c r="V544" s="64"/>
      <c r="W544" s="64"/>
      <c r="X544" s="305"/>
    </row>
    <row r="545" spans="1:24" ht="14.25" customHeight="1" x14ac:dyDescent="0.25">
      <c r="A545" s="64"/>
      <c r="B545" s="16">
        <f t="shared" si="173"/>
        <v>30</v>
      </c>
      <c r="C545" s="991">
        <v>186</v>
      </c>
      <c r="D545" s="41" t="s">
        <v>1262</v>
      </c>
      <c r="E545" s="806"/>
      <c r="F545" s="229">
        <f>' WP II-I-1.4'!G545</f>
        <v>0</v>
      </c>
      <c r="G545" s="293">
        <v>51</v>
      </c>
      <c r="H545" s="1" t="str">
        <f t="shared" si="181"/>
        <v>PLT 370</v>
      </c>
      <c r="I545" s="806"/>
      <c r="J545" s="369">
        <f t="shared" si="182"/>
        <v>0</v>
      </c>
      <c r="K545" s="369">
        <f t="shared" si="182"/>
        <v>0</v>
      </c>
      <c r="L545" s="369">
        <f t="shared" si="182"/>
        <v>0</v>
      </c>
      <c r="M545" s="369">
        <f t="shared" si="182"/>
        <v>0</v>
      </c>
      <c r="N545" s="369">
        <f t="shared" si="182"/>
        <v>0</v>
      </c>
      <c r="O545" s="369">
        <f t="shared" si="182"/>
        <v>0</v>
      </c>
      <c r="P545" s="369">
        <f t="shared" si="182"/>
        <v>0</v>
      </c>
      <c r="Q545" s="369">
        <f t="shared" si="182"/>
        <v>0</v>
      </c>
      <c r="R545" s="369">
        <f t="shared" si="182"/>
        <v>0</v>
      </c>
      <c r="S545" s="369">
        <f t="shared" si="182"/>
        <v>0</v>
      </c>
      <c r="T545" s="806"/>
      <c r="U545" s="97">
        <f t="shared" si="183"/>
        <v>0</v>
      </c>
      <c r="V545" s="64"/>
      <c r="W545" s="64"/>
      <c r="X545" s="305"/>
    </row>
    <row r="546" spans="1:24" ht="15" x14ac:dyDescent="0.25">
      <c r="A546" s="64"/>
      <c r="B546" s="16">
        <f t="shared" si="173"/>
        <v>31</v>
      </c>
      <c r="C546" s="991">
        <v>186</v>
      </c>
      <c r="D546" s="41" t="s">
        <v>1263</v>
      </c>
      <c r="E546" s="806"/>
      <c r="F546" s="229">
        <f>' WP II-I-1.4'!G546</f>
        <v>0</v>
      </c>
      <c r="G546" s="293">
        <v>64</v>
      </c>
      <c r="H546" s="1" t="str">
        <f t="shared" si="181"/>
        <v>PLANT</v>
      </c>
      <c r="I546" s="806"/>
      <c r="J546" s="369">
        <f t="shared" ca="1" si="182"/>
        <v>0</v>
      </c>
      <c r="K546" s="369">
        <f t="shared" ca="1" si="182"/>
        <v>0</v>
      </c>
      <c r="L546" s="369">
        <f t="shared" ca="1" si="182"/>
        <v>0</v>
      </c>
      <c r="M546" s="369">
        <f t="shared" ca="1" si="182"/>
        <v>0</v>
      </c>
      <c r="N546" s="369">
        <f t="shared" ca="1" si="182"/>
        <v>0</v>
      </c>
      <c r="O546" s="369">
        <f t="shared" ca="1" si="182"/>
        <v>0</v>
      </c>
      <c r="P546" s="369">
        <f t="shared" ca="1" si="182"/>
        <v>0</v>
      </c>
      <c r="Q546" s="369">
        <f t="shared" ca="1" si="182"/>
        <v>0</v>
      </c>
      <c r="R546" s="369">
        <f t="shared" ca="1" si="182"/>
        <v>0</v>
      </c>
      <c r="S546" s="369">
        <f t="shared" ca="1" si="182"/>
        <v>0</v>
      </c>
      <c r="T546" s="806"/>
      <c r="U546" s="97">
        <f t="shared" ca="1" si="183"/>
        <v>0</v>
      </c>
      <c r="V546" s="64"/>
      <c r="W546" s="64"/>
      <c r="X546" s="305"/>
    </row>
    <row r="547" spans="1:24" ht="14.25" customHeight="1" x14ac:dyDescent="0.25">
      <c r="A547" s="64"/>
      <c r="B547" s="16">
        <f t="shared" si="173"/>
        <v>32</v>
      </c>
      <c r="C547" s="991">
        <v>186</v>
      </c>
      <c r="D547" s="41" t="s">
        <v>1264</v>
      </c>
      <c r="E547" s="806"/>
      <c r="F547" s="229">
        <f>' WP II-I-1.4'!G547</f>
        <v>0</v>
      </c>
      <c r="G547" s="293">
        <v>64</v>
      </c>
      <c r="H547" s="1" t="str">
        <f t="shared" si="181"/>
        <v>PLANT</v>
      </c>
      <c r="I547" s="806"/>
      <c r="J547" s="369">
        <f t="shared" ca="1" si="182"/>
        <v>0</v>
      </c>
      <c r="K547" s="369">
        <f t="shared" ca="1" si="182"/>
        <v>0</v>
      </c>
      <c r="L547" s="369">
        <f t="shared" ca="1" si="182"/>
        <v>0</v>
      </c>
      <c r="M547" s="369">
        <f t="shared" ca="1" si="182"/>
        <v>0</v>
      </c>
      <c r="N547" s="369">
        <f t="shared" ca="1" si="182"/>
        <v>0</v>
      </c>
      <c r="O547" s="369">
        <f t="shared" ca="1" si="182"/>
        <v>0</v>
      </c>
      <c r="P547" s="369">
        <f t="shared" ca="1" si="182"/>
        <v>0</v>
      </c>
      <c r="Q547" s="369">
        <f t="shared" ca="1" si="182"/>
        <v>0</v>
      </c>
      <c r="R547" s="369">
        <f t="shared" ca="1" si="182"/>
        <v>0</v>
      </c>
      <c r="S547" s="369">
        <f t="shared" ca="1" si="182"/>
        <v>0</v>
      </c>
      <c r="T547" s="806"/>
      <c r="U547" s="97">
        <f t="shared" ca="1" si="183"/>
        <v>0</v>
      </c>
      <c r="V547" s="64"/>
      <c r="W547" s="64"/>
      <c r="X547" s="305"/>
    </row>
    <row r="548" spans="1:24" ht="15" x14ac:dyDescent="0.25">
      <c r="A548" s="64"/>
      <c r="B548" s="16">
        <f t="shared" si="173"/>
        <v>33</v>
      </c>
      <c r="C548" s="991">
        <v>186</v>
      </c>
      <c r="D548" s="41" t="s">
        <v>1265</v>
      </c>
      <c r="E548" s="806"/>
      <c r="F548" s="229">
        <f>' WP II-I-1.4'!G548</f>
        <v>0</v>
      </c>
      <c r="G548" s="293">
        <v>64</v>
      </c>
      <c r="H548" s="1" t="str">
        <f t="shared" si="181"/>
        <v>PLANT</v>
      </c>
      <c r="I548" s="806"/>
      <c r="J548" s="369">
        <f t="shared" ca="1" si="182"/>
        <v>0</v>
      </c>
      <c r="K548" s="369">
        <f t="shared" ca="1" si="182"/>
        <v>0</v>
      </c>
      <c r="L548" s="369">
        <f t="shared" ca="1" si="182"/>
        <v>0</v>
      </c>
      <c r="M548" s="369">
        <f t="shared" ca="1" si="182"/>
        <v>0</v>
      </c>
      <c r="N548" s="369">
        <f t="shared" ca="1" si="182"/>
        <v>0</v>
      </c>
      <c r="O548" s="369">
        <f t="shared" ca="1" si="182"/>
        <v>0</v>
      </c>
      <c r="P548" s="369">
        <f t="shared" ca="1" si="182"/>
        <v>0</v>
      </c>
      <c r="Q548" s="369">
        <f t="shared" ca="1" si="182"/>
        <v>0</v>
      </c>
      <c r="R548" s="369">
        <f t="shared" ca="1" si="182"/>
        <v>0</v>
      </c>
      <c r="S548" s="369">
        <f t="shared" ca="1" si="182"/>
        <v>0</v>
      </c>
      <c r="T548" s="806"/>
      <c r="U548" s="97">
        <f t="shared" ca="1" si="183"/>
        <v>0</v>
      </c>
      <c r="V548" s="64"/>
      <c r="W548" s="64"/>
      <c r="X548" s="305"/>
    </row>
    <row r="549" spans="1:24" ht="15" x14ac:dyDescent="0.25">
      <c r="A549" s="64"/>
      <c r="B549" s="16">
        <f t="shared" si="173"/>
        <v>34</v>
      </c>
      <c r="C549" s="991">
        <v>186</v>
      </c>
      <c r="D549" s="41" t="s">
        <v>1266</v>
      </c>
      <c r="E549" s="806"/>
      <c r="F549" s="229">
        <f>' WP II-I-1.4'!G549</f>
        <v>0</v>
      </c>
      <c r="G549" s="293">
        <v>64</v>
      </c>
      <c r="H549" s="1" t="str">
        <f t="shared" si="181"/>
        <v>PLANT</v>
      </c>
      <c r="I549" s="806"/>
      <c r="J549" s="369">
        <f t="shared" ref="J549:S555" ca="1" si="184">$F549*HLOOKUP(J$1354,FactorTable,$G549+1)</f>
        <v>0</v>
      </c>
      <c r="K549" s="369">
        <f t="shared" ca="1" si="184"/>
        <v>0</v>
      </c>
      <c r="L549" s="369">
        <f t="shared" ca="1" si="184"/>
        <v>0</v>
      </c>
      <c r="M549" s="369">
        <f t="shared" ca="1" si="184"/>
        <v>0</v>
      </c>
      <c r="N549" s="369">
        <f t="shared" ca="1" si="184"/>
        <v>0</v>
      </c>
      <c r="O549" s="369">
        <f t="shared" ca="1" si="184"/>
        <v>0</v>
      </c>
      <c r="P549" s="369">
        <f t="shared" ca="1" si="184"/>
        <v>0</v>
      </c>
      <c r="Q549" s="369">
        <f t="shared" ca="1" si="184"/>
        <v>0</v>
      </c>
      <c r="R549" s="369">
        <f t="shared" ca="1" si="184"/>
        <v>0</v>
      </c>
      <c r="S549" s="369">
        <f t="shared" ca="1" si="184"/>
        <v>0</v>
      </c>
      <c r="T549" s="806"/>
      <c r="U549" s="97">
        <f t="shared" ref="U549:U553" ca="1" si="185">SUM(I549:T549)</f>
        <v>0</v>
      </c>
      <c r="V549" s="64"/>
      <c r="W549" s="64"/>
      <c r="X549" s="305"/>
    </row>
    <row r="550" spans="1:24" ht="15" x14ac:dyDescent="0.25">
      <c r="A550" s="64"/>
      <c r="B550" s="16">
        <f t="shared" si="173"/>
        <v>35</v>
      </c>
      <c r="C550" s="991">
        <v>186</v>
      </c>
      <c r="D550" s="41" t="s">
        <v>1267</v>
      </c>
      <c r="E550" s="806"/>
      <c r="F550" s="229">
        <f>' WP II-I-1.4'!G550</f>
        <v>0</v>
      </c>
      <c r="G550" s="293">
        <v>64</v>
      </c>
      <c r="H550" s="1" t="str">
        <f t="shared" si="181"/>
        <v>PLANT</v>
      </c>
      <c r="I550" s="806"/>
      <c r="J550" s="369">
        <f t="shared" ca="1" si="184"/>
        <v>0</v>
      </c>
      <c r="K550" s="369">
        <f t="shared" ca="1" si="184"/>
        <v>0</v>
      </c>
      <c r="L550" s="369">
        <f t="shared" ca="1" si="184"/>
        <v>0</v>
      </c>
      <c r="M550" s="369">
        <f t="shared" ca="1" si="184"/>
        <v>0</v>
      </c>
      <c r="N550" s="369">
        <f t="shared" ca="1" si="184"/>
        <v>0</v>
      </c>
      <c r="O550" s="369">
        <f t="shared" ca="1" si="184"/>
        <v>0</v>
      </c>
      <c r="P550" s="369">
        <f t="shared" ca="1" si="184"/>
        <v>0</v>
      </c>
      <c r="Q550" s="369">
        <f t="shared" ca="1" si="184"/>
        <v>0</v>
      </c>
      <c r="R550" s="369">
        <f t="shared" ca="1" si="184"/>
        <v>0</v>
      </c>
      <c r="S550" s="369">
        <f t="shared" ca="1" si="184"/>
        <v>0</v>
      </c>
      <c r="T550" s="806"/>
      <c r="U550" s="97">
        <f t="shared" ca="1" si="185"/>
        <v>0</v>
      </c>
      <c r="V550" s="64"/>
      <c r="W550" s="64"/>
      <c r="X550" s="305"/>
    </row>
    <row r="551" spans="1:24" ht="15" x14ac:dyDescent="0.25">
      <c r="A551" s="64"/>
      <c r="B551" s="16">
        <f t="shared" si="173"/>
        <v>36</v>
      </c>
      <c r="C551" s="1616">
        <v>186</v>
      </c>
      <c r="D551" s="611" t="s">
        <v>1326</v>
      </c>
      <c r="E551" s="806"/>
      <c r="F551" s="229">
        <f>' WP II-I-1.4'!G551</f>
        <v>4823828.9400000004</v>
      </c>
      <c r="G551" s="293">
        <v>64</v>
      </c>
      <c r="H551" s="1" t="str">
        <f t="shared" si="181"/>
        <v>PLANT</v>
      </c>
      <c r="I551" s="806"/>
      <c r="J551" s="369">
        <f t="shared" ca="1" si="184"/>
        <v>2591573.2049531764</v>
      </c>
      <c r="K551" s="369">
        <f t="shared" ca="1" si="184"/>
        <v>83730.204314394417</v>
      </c>
      <c r="L551" s="369">
        <f t="shared" ca="1" si="184"/>
        <v>1638626.8674260788</v>
      </c>
      <c r="M551" s="369">
        <f t="shared" ca="1" si="184"/>
        <v>473.99525161375806</v>
      </c>
      <c r="N551" s="369">
        <f t="shared" ca="1" si="184"/>
        <v>297947.29068477248</v>
      </c>
      <c r="O551" s="369">
        <f t="shared" ca="1" si="184"/>
        <v>32405.116504296249</v>
      </c>
      <c r="P551" s="369">
        <f t="shared" ca="1" si="184"/>
        <v>5613.8617940340055</v>
      </c>
      <c r="Q551" s="369">
        <f t="shared" ca="1" si="184"/>
        <v>159786.11860252178</v>
      </c>
      <c r="R551" s="369">
        <f t="shared" ca="1" si="184"/>
        <v>2239.968254608038</v>
      </c>
      <c r="S551" s="369">
        <f t="shared" ca="1" si="184"/>
        <v>11432.312214503005</v>
      </c>
      <c r="T551" s="806"/>
      <c r="U551" s="97">
        <f t="shared" ca="1" si="185"/>
        <v>4823828.9399999995</v>
      </c>
      <c r="V551" s="64"/>
      <c r="W551" s="64"/>
      <c r="X551" s="305"/>
    </row>
    <row r="552" spans="1:24" ht="15" x14ac:dyDescent="0.25">
      <c r="A552" s="64"/>
      <c r="B552" s="16">
        <f t="shared" si="173"/>
        <v>37</v>
      </c>
      <c r="C552" s="1616">
        <v>187</v>
      </c>
      <c r="D552" s="611" t="s">
        <v>1268</v>
      </c>
      <c r="E552" s="806"/>
      <c r="F552" s="229">
        <f>' WP II-I-1.4'!G552</f>
        <v>0</v>
      </c>
      <c r="G552" s="293">
        <v>64</v>
      </c>
      <c r="H552" s="1" t="str">
        <f t="shared" si="181"/>
        <v>PLANT</v>
      </c>
      <c r="I552" s="806"/>
      <c r="J552" s="369">
        <f t="shared" ca="1" si="184"/>
        <v>0</v>
      </c>
      <c r="K552" s="369">
        <f t="shared" ca="1" si="184"/>
        <v>0</v>
      </c>
      <c r="L552" s="369">
        <f t="shared" ca="1" si="184"/>
        <v>0</v>
      </c>
      <c r="M552" s="369">
        <f t="shared" ca="1" si="184"/>
        <v>0</v>
      </c>
      <c r="N552" s="369">
        <f t="shared" ca="1" si="184"/>
        <v>0</v>
      </c>
      <c r="O552" s="369">
        <f t="shared" ca="1" si="184"/>
        <v>0</v>
      </c>
      <c r="P552" s="369">
        <f t="shared" ca="1" si="184"/>
        <v>0</v>
      </c>
      <c r="Q552" s="369">
        <f t="shared" ca="1" si="184"/>
        <v>0</v>
      </c>
      <c r="R552" s="369">
        <f t="shared" ca="1" si="184"/>
        <v>0</v>
      </c>
      <c r="S552" s="369">
        <f t="shared" ca="1" si="184"/>
        <v>0</v>
      </c>
      <c r="T552" s="806"/>
      <c r="U552" s="97">
        <f t="shared" ca="1" si="185"/>
        <v>0</v>
      </c>
      <c r="V552" s="64"/>
      <c r="W552" s="64"/>
      <c r="X552" s="305"/>
    </row>
    <row r="553" spans="1:24" ht="15" x14ac:dyDescent="0.25">
      <c r="A553" s="64"/>
      <c r="B553" s="16">
        <f t="shared" si="173"/>
        <v>38</v>
      </c>
      <c r="C553" s="1616">
        <v>186</v>
      </c>
      <c r="D553" s="611" t="s">
        <v>1327</v>
      </c>
      <c r="E553" s="806"/>
      <c r="F553" s="229">
        <f>' WP II-I-1.4'!G553</f>
        <v>146499.54999999999</v>
      </c>
      <c r="G553" s="293">
        <v>64</v>
      </c>
      <c r="H553" s="1" t="str">
        <f t="shared" si="181"/>
        <v>PLANT</v>
      </c>
      <c r="I553" s="806"/>
      <c r="J553" s="369">
        <f t="shared" ca="1" si="184"/>
        <v>78706.005756020459</v>
      </c>
      <c r="K553" s="369">
        <f t="shared" ca="1" si="184"/>
        <v>2542.8839633494217</v>
      </c>
      <c r="L553" s="369">
        <f t="shared" ca="1" si="184"/>
        <v>49765.052136328486</v>
      </c>
      <c r="M553" s="369">
        <f t="shared" ca="1" si="184"/>
        <v>14.395222535306635</v>
      </c>
      <c r="N553" s="369">
        <f t="shared" ca="1" si="184"/>
        <v>9048.650885418494</v>
      </c>
      <c r="O553" s="369">
        <f t="shared" ca="1" si="184"/>
        <v>984.14248196308813</v>
      </c>
      <c r="P553" s="369">
        <f t="shared" ca="1" si="184"/>
        <v>170.49282568220056</v>
      </c>
      <c r="Q553" s="369">
        <f t="shared" ca="1" si="184"/>
        <v>4852.699953227625</v>
      </c>
      <c r="R553" s="369">
        <f t="shared" ca="1" si="184"/>
        <v>68.027773247357928</v>
      </c>
      <c r="S553" s="369">
        <f t="shared" ca="1" si="184"/>
        <v>347.1990022275113</v>
      </c>
      <c r="T553" s="806"/>
      <c r="U553" s="97">
        <f t="shared" ca="1" si="185"/>
        <v>146499.54999999996</v>
      </c>
      <c r="V553" s="64"/>
      <c r="W553" s="64"/>
      <c r="X553" s="305"/>
    </row>
    <row r="554" spans="1:24" ht="15" x14ac:dyDescent="0.25">
      <c r="A554" s="64"/>
      <c r="B554" s="16">
        <f t="shared" si="173"/>
        <v>39</v>
      </c>
      <c r="C554" s="991">
        <v>186</v>
      </c>
      <c r="D554" s="41" t="s">
        <v>1269</v>
      </c>
      <c r="E554" s="806"/>
      <c r="F554" s="229">
        <f>' WP II-I-1.4'!G554</f>
        <v>0</v>
      </c>
      <c r="G554" s="293">
        <v>64</v>
      </c>
      <c r="H554" s="1" t="str">
        <f t="shared" si="174"/>
        <v>PLANT</v>
      </c>
      <c r="I554" s="806"/>
      <c r="J554" s="369">
        <f t="shared" ca="1" si="184"/>
        <v>0</v>
      </c>
      <c r="K554" s="369">
        <f t="shared" ca="1" si="184"/>
        <v>0</v>
      </c>
      <c r="L554" s="369">
        <f t="shared" ca="1" si="184"/>
        <v>0</v>
      </c>
      <c r="M554" s="369">
        <f t="shared" ca="1" si="184"/>
        <v>0</v>
      </c>
      <c r="N554" s="369">
        <f t="shared" ca="1" si="184"/>
        <v>0</v>
      </c>
      <c r="O554" s="369">
        <f t="shared" ca="1" si="184"/>
        <v>0</v>
      </c>
      <c r="P554" s="369">
        <f t="shared" ca="1" si="184"/>
        <v>0</v>
      </c>
      <c r="Q554" s="369">
        <f t="shared" ca="1" si="184"/>
        <v>0</v>
      </c>
      <c r="R554" s="369">
        <f t="shared" ca="1" si="184"/>
        <v>0</v>
      </c>
      <c r="S554" s="369">
        <f t="shared" ca="1" si="184"/>
        <v>0</v>
      </c>
      <c r="T554" s="806"/>
      <c r="U554" s="97">
        <f t="shared" ca="1" si="176"/>
        <v>0</v>
      </c>
      <c r="V554" s="64"/>
      <c r="W554" s="64"/>
      <c r="X554" s="305">
        <f t="shared" ca="1" si="166"/>
        <v>0</v>
      </c>
    </row>
    <row r="555" spans="1:24" ht="15" x14ac:dyDescent="0.25">
      <c r="A555" s="64"/>
      <c r="B555" s="16">
        <f t="shared" si="173"/>
        <v>40</v>
      </c>
      <c r="C555" s="991">
        <v>186</v>
      </c>
      <c r="D555" s="41" t="s">
        <v>1328</v>
      </c>
      <c r="E555" s="806"/>
      <c r="F555" s="229">
        <f>' WP II-I-1.4'!G555</f>
        <v>0</v>
      </c>
      <c r="G555" s="293">
        <v>64</v>
      </c>
      <c r="H555" s="62" t="str">
        <f t="shared" si="174"/>
        <v>PLANT</v>
      </c>
      <c r="I555" s="394"/>
      <c r="J555" s="370">
        <f t="shared" ca="1" si="184"/>
        <v>0</v>
      </c>
      <c r="K555" s="370">
        <f t="shared" ca="1" si="184"/>
        <v>0</v>
      </c>
      <c r="L555" s="370">
        <f t="shared" ca="1" si="184"/>
        <v>0</v>
      </c>
      <c r="M555" s="370">
        <f t="shared" ca="1" si="184"/>
        <v>0</v>
      </c>
      <c r="N555" s="370">
        <f t="shared" ca="1" si="184"/>
        <v>0</v>
      </c>
      <c r="O555" s="370">
        <f t="shared" ca="1" si="184"/>
        <v>0</v>
      </c>
      <c r="P555" s="370">
        <f t="shared" ca="1" si="184"/>
        <v>0</v>
      </c>
      <c r="Q555" s="370">
        <f t="shared" ca="1" si="184"/>
        <v>0</v>
      </c>
      <c r="R555" s="370">
        <f t="shared" ca="1" si="184"/>
        <v>0</v>
      </c>
      <c r="S555" s="370">
        <f t="shared" ca="1" si="184"/>
        <v>0</v>
      </c>
      <c r="T555" s="806"/>
      <c r="U555" s="97">
        <f t="shared" ca="1" si="176"/>
        <v>0</v>
      </c>
      <c r="V555" s="64"/>
      <c r="W555" s="64"/>
      <c r="X555" s="305">
        <f t="shared" ca="1" si="166"/>
        <v>0</v>
      </c>
    </row>
    <row r="556" spans="1:24" ht="15" x14ac:dyDescent="0.25">
      <c r="A556" s="104"/>
      <c r="B556" s="16">
        <f t="shared" si="173"/>
        <v>41</v>
      </c>
      <c r="C556" s="34"/>
      <c r="D556" s="42" t="s">
        <v>562</v>
      </c>
      <c r="E556" s="806"/>
      <c r="F556" s="807">
        <f>SUM(F519:F555)</f>
        <v>1163678035.28</v>
      </c>
      <c r="G556" s="806"/>
      <c r="H556" s="806"/>
      <c r="I556" s="806"/>
      <c r="J556" s="807">
        <f t="shared" ref="J556:S556" ca="1" si="186">SUM(J519:J555)</f>
        <v>625157579.96595156</v>
      </c>
      <c r="K556" s="807">
        <f t="shared" ca="1" si="186"/>
        <v>20138025.555868529</v>
      </c>
      <c r="L556" s="807">
        <f t="shared" ca="1" si="186"/>
        <v>395324926.78846925</v>
      </c>
      <c r="M556" s="807">
        <f t="shared" ca="1" si="186"/>
        <v>119215.35844185208</v>
      </c>
      <c r="N556" s="807">
        <f t="shared" ca="1" si="186"/>
        <v>72164961.032684579</v>
      </c>
      <c r="O556" s="807">
        <f t="shared" ca="1" si="186"/>
        <v>7870552.6110358043</v>
      </c>
      <c r="P556" s="807">
        <f t="shared" ca="1" si="186"/>
        <v>1344698.6164563794</v>
      </c>
      <c r="Q556" s="807">
        <f t="shared" ca="1" si="186"/>
        <v>38306938.773917533</v>
      </c>
      <c r="R556" s="807">
        <f t="shared" ca="1" si="186"/>
        <v>534054.82397377456</v>
      </c>
      <c r="S556" s="807">
        <f t="shared" ca="1" si="186"/>
        <v>2717081.7532003191</v>
      </c>
      <c r="T556" s="806"/>
      <c r="U556" s="37">
        <f t="shared" ca="1" si="176"/>
        <v>1163678035.2799993</v>
      </c>
      <c r="V556" s="104"/>
      <c r="W556" s="104"/>
      <c r="X556" s="305">
        <f t="shared" ca="1" si="166"/>
        <v>0</v>
      </c>
    </row>
    <row r="557" spans="1:24" ht="15" x14ac:dyDescent="0.25">
      <c r="A557" s="64"/>
      <c r="B557" s="16">
        <f t="shared" si="173"/>
        <v>42</v>
      </c>
      <c r="C557" s="41"/>
      <c r="D557" s="42"/>
      <c r="E557" s="806"/>
      <c r="F557" s="202"/>
      <c r="G557" s="806"/>
      <c r="H557" s="806"/>
      <c r="I557" s="806"/>
      <c r="J557" s="806"/>
      <c r="K557" s="806"/>
      <c r="L557" s="806"/>
      <c r="M557" s="806"/>
      <c r="N557" s="806"/>
      <c r="O557" s="806"/>
      <c r="P557" s="806"/>
      <c r="Q557" s="806"/>
      <c r="R557" s="806"/>
      <c r="S557" s="806"/>
      <c r="T557" s="806"/>
      <c r="U557" s="97"/>
      <c r="V557" s="64"/>
      <c r="W557" s="64"/>
      <c r="X557" s="305">
        <f t="shared" si="166"/>
        <v>0</v>
      </c>
    </row>
    <row r="558" spans="1:24" ht="15" x14ac:dyDescent="0.25">
      <c r="A558" s="64"/>
      <c r="B558" s="16">
        <f t="shared" si="173"/>
        <v>43</v>
      </c>
      <c r="C558" s="34" t="s">
        <v>130</v>
      </c>
      <c r="D558" s="41"/>
      <c r="E558" s="806"/>
      <c r="F558" s="17"/>
      <c r="G558" s="806"/>
      <c r="H558" s="806"/>
      <c r="I558" s="806"/>
      <c r="J558" s="806"/>
      <c r="K558" s="35"/>
      <c r="L558" s="35"/>
      <c r="M558" s="35"/>
      <c r="N558" s="35"/>
      <c r="O558" s="35"/>
      <c r="P558" s="35"/>
      <c r="Q558" s="35"/>
      <c r="R558" s="35"/>
      <c r="S558" s="35"/>
      <c r="T558" s="806"/>
      <c r="U558" s="97"/>
      <c r="V558" s="64"/>
      <c r="W558" s="64"/>
      <c r="X558" s="305">
        <f t="shared" si="166"/>
        <v>0</v>
      </c>
    </row>
    <row r="559" spans="1:24" ht="15" x14ac:dyDescent="0.25">
      <c r="A559" s="64"/>
      <c r="B559" s="16">
        <f t="shared" si="173"/>
        <v>44</v>
      </c>
      <c r="C559" s="610">
        <v>254</v>
      </c>
      <c r="D559" s="611" t="s">
        <v>1173</v>
      </c>
      <c r="E559" s="41"/>
      <c r="F559" s="229">
        <f>' WP II-I-1.4'!G559</f>
        <v>0</v>
      </c>
      <c r="G559" s="293">
        <v>64</v>
      </c>
      <c r="H559" s="45" t="str">
        <f t="shared" ref="H559:H572" si="187">VLOOKUP(G559,FactorTable,2)</f>
        <v>PLANT</v>
      </c>
      <c r="I559" s="806"/>
      <c r="J559" s="369">
        <f t="shared" ref="J559:S572" ca="1" si="188">$F559*HLOOKUP(J$1354,FactorTable,$G559+1)</f>
        <v>0</v>
      </c>
      <c r="K559" s="369">
        <f t="shared" ca="1" si="188"/>
        <v>0</v>
      </c>
      <c r="L559" s="369">
        <f t="shared" ca="1" si="188"/>
        <v>0</v>
      </c>
      <c r="M559" s="369">
        <f t="shared" ca="1" si="188"/>
        <v>0</v>
      </c>
      <c r="N559" s="369">
        <f t="shared" ca="1" si="188"/>
        <v>0</v>
      </c>
      <c r="O559" s="369">
        <f t="shared" ca="1" si="188"/>
        <v>0</v>
      </c>
      <c r="P559" s="369">
        <f t="shared" ca="1" si="188"/>
        <v>0</v>
      </c>
      <c r="Q559" s="369">
        <f t="shared" ca="1" si="188"/>
        <v>0</v>
      </c>
      <c r="R559" s="369">
        <f t="shared" ca="1" si="188"/>
        <v>0</v>
      </c>
      <c r="S559" s="369">
        <f t="shared" ca="1" si="188"/>
        <v>0</v>
      </c>
      <c r="T559" s="806"/>
      <c r="U559" s="97">
        <f t="shared" ref="U559:U572" ca="1" si="189">SUM(I559:T559)</f>
        <v>0</v>
      </c>
      <c r="V559" s="64"/>
      <c r="W559" s="64"/>
      <c r="X559" s="305">
        <f t="shared" ca="1" si="166"/>
        <v>0</v>
      </c>
    </row>
    <row r="560" spans="1:24" ht="15" x14ac:dyDescent="0.25">
      <c r="A560" s="64"/>
      <c r="B560" s="16">
        <f t="shared" si="173"/>
        <v>45</v>
      </c>
      <c r="C560" s="610" t="s">
        <v>1121</v>
      </c>
      <c r="D560" s="611" t="s">
        <v>926</v>
      </c>
      <c r="E560" s="41"/>
      <c r="F560" s="229">
        <f>' WP II-I-1.4'!G560</f>
        <v>0</v>
      </c>
      <c r="G560" s="293">
        <v>69</v>
      </c>
      <c r="H560" s="45" t="str">
        <f t="shared" si="187"/>
        <v>PLANT_xWHL</v>
      </c>
      <c r="I560" s="806"/>
      <c r="J560" s="369">
        <f t="shared" ca="1" si="188"/>
        <v>0</v>
      </c>
      <c r="K560" s="369">
        <f t="shared" ca="1" si="188"/>
        <v>0</v>
      </c>
      <c r="L560" s="369">
        <f t="shared" ca="1" si="188"/>
        <v>0</v>
      </c>
      <c r="M560" s="369">
        <f t="shared" ca="1" si="188"/>
        <v>0</v>
      </c>
      <c r="N560" s="369">
        <f t="shared" ca="1" si="188"/>
        <v>0</v>
      </c>
      <c r="O560" s="369">
        <f t="shared" ca="1" si="188"/>
        <v>0</v>
      </c>
      <c r="P560" s="369">
        <f t="shared" ca="1" si="188"/>
        <v>0</v>
      </c>
      <c r="Q560" s="369">
        <f t="shared" ca="1" si="188"/>
        <v>0</v>
      </c>
      <c r="R560" s="369">
        <f t="shared" ca="1" si="188"/>
        <v>0</v>
      </c>
      <c r="S560" s="369">
        <f t="shared" ca="1" si="188"/>
        <v>0</v>
      </c>
      <c r="T560" s="806"/>
      <c r="U560" s="97">
        <f t="shared" ref="U560:U562" ca="1" si="190">SUM(I560:T560)</f>
        <v>0</v>
      </c>
      <c r="V560" s="64"/>
      <c r="W560" s="64"/>
      <c r="X560" s="305">
        <f t="shared" ref="X560:X562" ca="1" si="191">U560-F560</f>
        <v>0</v>
      </c>
    </row>
    <row r="561" spans="1:24" ht="15" x14ac:dyDescent="0.25">
      <c r="A561" s="64"/>
      <c r="B561" s="16">
        <f t="shared" si="173"/>
        <v>46</v>
      </c>
      <c r="C561" s="610">
        <v>254</v>
      </c>
      <c r="D561" s="611" t="s">
        <v>1272</v>
      </c>
      <c r="E561" s="41"/>
      <c r="F561" s="229">
        <f>' WP II-I-1.4'!G561</f>
        <v>-8947664.1099999994</v>
      </c>
      <c r="G561" s="293">
        <v>66</v>
      </c>
      <c r="H561" s="45" t="str">
        <f t="shared" si="187"/>
        <v>PLT INT_N</v>
      </c>
      <c r="I561" s="806"/>
      <c r="J561" s="369">
        <f t="shared" ca="1" si="188"/>
        <v>-4881686.7011205405</v>
      </c>
      <c r="K561" s="369">
        <f t="shared" ca="1" si="188"/>
        <v>-129222.92362002454</v>
      </c>
      <c r="L561" s="369">
        <f t="shared" ca="1" si="188"/>
        <v>-3107914.6536139101</v>
      </c>
      <c r="M561" s="369">
        <f t="shared" ca="1" si="188"/>
        <v>-936.37097856462083</v>
      </c>
      <c r="N561" s="369">
        <f t="shared" ca="1" si="188"/>
        <v>-588590.69830200856</v>
      </c>
      <c r="O561" s="369">
        <f t="shared" ca="1" si="188"/>
        <v>-68774.420998423346</v>
      </c>
      <c r="P561" s="369">
        <f t="shared" ca="1" si="188"/>
        <v>-11607.433118109075</v>
      </c>
      <c r="Q561" s="369">
        <f t="shared" ca="1" si="188"/>
        <v>-131592.57897265092</v>
      </c>
      <c r="R561" s="369">
        <f t="shared" ca="1" si="188"/>
        <v>-4753.9566705490051</v>
      </c>
      <c r="S561" s="369">
        <f t="shared" ca="1" si="188"/>
        <v>-22584.372605220706</v>
      </c>
      <c r="T561" s="806"/>
      <c r="U561" s="97">
        <f t="shared" ca="1" si="190"/>
        <v>-8947664.1100000013</v>
      </c>
      <c r="V561" s="64"/>
      <c r="W561" s="64"/>
      <c r="X561" s="305">
        <f t="shared" ca="1" si="191"/>
        <v>0</v>
      </c>
    </row>
    <row r="562" spans="1:24" ht="15" x14ac:dyDescent="0.25">
      <c r="A562" s="64"/>
      <c r="B562" s="16">
        <f t="shared" si="173"/>
        <v>47</v>
      </c>
      <c r="C562" s="610">
        <v>254</v>
      </c>
      <c r="D562" s="611" t="s">
        <v>1273</v>
      </c>
      <c r="E562" s="41"/>
      <c r="F562" s="229">
        <f>' WP II-I-1.4'!G562</f>
        <v>-4987970.08</v>
      </c>
      <c r="G562" s="293">
        <v>66</v>
      </c>
      <c r="H562" s="45" t="str">
        <f t="shared" si="187"/>
        <v>PLT INT_N</v>
      </c>
      <c r="I562" s="806"/>
      <c r="J562" s="369">
        <f t="shared" ca="1" si="188"/>
        <v>-2721347.9301161608</v>
      </c>
      <c r="K562" s="369">
        <f t="shared" ca="1" si="188"/>
        <v>-72036.686753410962</v>
      </c>
      <c r="L562" s="369">
        <f t="shared" ca="1" si="188"/>
        <v>-1732539.9247044097</v>
      </c>
      <c r="M562" s="369">
        <f t="shared" ca="1" si="188"/>
        <v>-521.98991462372305</v>
      </c>
      <c r="N562" s="369">
        <f t="shared" ca="1" si="188"/>
        <v>-328116.11571511324</v>
      </c>
      <c r="O562" s="369">
        <f t="shared" ca="1" si="188"/>
        <v>-38339.029046259027</v>
      </c>
      <c r="P562" s="369">
        <f t="shared" ca="1" si="188"/>
        <v>-6470.6864704523614</v>
      </c>
      <c r="Q562" s="369">
        <f t="shared" ca="1" si="188"/>
        <v>-73357.676215409476</v>
      </c>
      <c r="R562" s="369">
        <f t="shared" ca="1" si="188"/>
        <v>-2650.1434723967145</v>
      </c>
      <c r="S562" s="369">
        <f t="shared" ca="1" si="188"/>
        <v>-12589.897591765159</v>
      </c>
      <c r="T562" s="806"/>
      <c r="U562" s="97">
        <f t="shared" ca="1" si="190"/>
        <v>-4987970.080000001</v>
      </c>
      <c r="V562" s="64"/>
      <c r="W562" s="64"/>
      <c r="X562" s="305">
        <f t="shared" ca="1" si="191"/>
        <v>0</v>
      </c>
    </row>
    <row r="563" spans="1:24" ht="15" x14ac:dyDescent="0.25">
      <c r="A563" s="64"/>
      <c r="B563" s="16">
        <f t="shared" si="173"/>
        <v>48</v>
      </c>
      <c r="C563" s="991">
        <v>254</v>
      </c>
      <c r="D563" s="1153" t="s">
        <v>1274</v>
      </c>
      <c r="E563" s="41"/>
      <c r="F563" s="229">
        <f>' WP II-I-1.4'!G563</f>
        <v>0</v>
      </c>
      <c r="G563" s="293">
        <v>64</v>
      </c>
      <c r="H563" s="45" t="str">
        <f t="shared" si="187"/>
        <v>PLANT</v>
      </c>
      <c r="I563" s="806"/>
      <c r="J563" s="369">
        <f t="shared" ca="1" si="188"/>
        <v>0</v>
      </c>
      <c r="K563" s="369">
        <f t="shared" ca="1" si="188"/>
        <v>0</v>
      </c>
      <c r="L563" s="369">
        <f t="shared" ca="1" si="188"/>
        <v>0</v>
      </c>
      <c r="M563" s="369">
        <f t="shared" ca="1" si="188"/>
        <v>0</v>
      </c>
      <c r="N563" s="369">
        <f t="shared" ca="1" si="188"/>
        <v>0</v>
      </c>
      <c r="O563" s="369">
        <f t="shared" ca="1" si="188"/>
        <v>0</v>
      </c>
      <c r="P563" s="369">
        <f t="shared" ca="1" si="188"/>
        <v>0</v>
      </c>
      <c r="Q563" s="369">
        <f t="shared" ca="1" si="188"/>
        <v>0</v>
      </c>
      <c r="R563" s="369">
        <f t="shared" ca="1" si="188"/>
        <v>0</v>
      </c>
      <c r="S563" s="369">
        <f t="shared" ca="1" si="188"/>
        <v>0</v>
      </c>
      <c r="T563" s="806"/>
      <c r="U563" s="97">
        <f t="shared" ref="U563" ca="1" si="192">SUM(I563:T563)</f>
        <v>0</v>
      </c>
      <c r="V563" s="64"/>
      <c r="W563" s="64"/>
      <c r="X563" s="305">
        <f t="shared" ref="X563" ca="1" si="193">U563-F563</f>
        <v>0</v>
      </c>
    </row>
    <row r="564" spans="1:24" x14ac:dyDescent="0.2">
      <c r="A564" s="64"/>
      <c r="B564" s="16">
        <f t="shared" si="173"/>
        <v>49</v>
      </c>
      <c r="C564" s="610">
        <v>254</v>
      </c>
      <c r="D564" s="41" t="s">
        <v>1174</v>
      </c>
      <c r="E564" s="41"/>
      <c r="F564" s="229">
        <f>' WP II-I-1.4'!G564</f>
        <v>0</v>
      </c>
      <c r="G564" s="293">
        <v>51</v>
      </c>
      <c r="H564" s="45" t="str">
        <f t="shared" si="187"/>
        <v>PLT 370</v>
      </c>
      <c r="I564" s="202"/>
      <c r="J564" s="369">
        <f t="shared" si="188"/>
        <v>0</v>
      </c>
      <c r="K564" s="369">
        <f t="shared" si="188"/>
        <v>0</v>
      </c>
      <c r="L564" s="369">
        <f t="shared" si="188"/>
        <v>0</v>
      </c>
      <c r="M564" s="369">
        <f t="shared" si="188"/>
        <v>0</v>
      </c>
      <c r="N564" s="369">
        <f t="shared" si="188"/>
        <v>0</v>
      </c>
      <c r="O564" s="369">
        <f t="shared" si="188"/>
        <v>0</v>
      </c>
      <c r="P564" s="369">
        <f t="shared" si="188"/>
        <v>0</v>
      </c>
      <c r="Q564" s="369">
        <f t="shared" si="188"/>
        <v>0</v>
      </c>
      <c r="R564" s="369">
        <f t="shared" si="188"/>
        <v>0</v>
      </c>
      <c r="S564" s="369">
        <f t="shared" si="188"/>
        <v>0</v>
      </c>
      <c r="T564" s="202"/>
      <c r="U564" s="97">
        <f t="shared" si="189"/>
        <v>0</v>
      </c>
      <c r="V564" s="64"/>
      <c r="W564" s="64"/>
      <c r="X564" s="305">
        <f t="shared" si="166"/>
        <v>0</v>
      </c>
    </row>
    <row r="565" spans="1:24" ht="15" x14ac:dyDescent="0.25">
      <c r="A565" s="64"/>
      <c r="B565" s="16">
        <f t="shared" si="173"/>
        <v>50</v>
      </c>
      <c r="C565" s="610">
        <v>254</v>
      </c>
      <c r="D565" s="41" t="s">
        <v>1175</v>
      </c>
      <c r="E565" s="41"/>
      <c r="F565" s="229">
        <f>' WP II-I-1.4'!G565</f>
        <v>0</v>
      </c>
      <c r="G565" s="293">
        <v>64</v>
      </c>
      <c r="H565" s="45" t="str">
        <f t="shared" si="187"/>
        <v>PLANT</v>
      </c>
      <c r="I565" s="806"/>
      <c r="J565" s="369">
        <f t="shared" ca="1" si="188"/>
        <v>0</v>
      </c>
      <c r="K565" s="369">
        <f t="shared" ca="1" si="188"/>
        <v>0</v>
      </c>
      <c r="L565" s="369">
        <f t="shared" ca="1" si="188"/>
        <v>0</v>
      </c>
      <c r="M565" s="369">
        <f t="shared" ca="1" si="188"/>
        <v>0</v>
      </c>
      <c r="N565" s="369">
        <f t="shared" ca="1" si="188"/>
        <v>0</v>
      </c>
      <c r="O565" s="369">
        <f t="shared" ca="1" si="188"/>
        <v>0</v>
      </c>
      <c r="P565" s="369">
        <f t="shared" ca="1" si="188"/>
        <v>0</v>
      </c>
      <c r="Q565" s="369">
        <f t="shared" ca="1" si="188"/>
        <v>0</v>
      </c>
      <c r="R565" s="369">
        <f t="shared" ca="1" si="188"/>
        <v>0</v>
      </c>
      <c r="S565" s="369">
        <f t="shared" ca="1" si="188"/>
        <v>0</v>
      </c>
      <c r="T565" s="806"/>
      <c r="U565" s="97">
        <f t="shared" ca="1" si="189"/>
        <v>0</v>
      </c>
      <c r="V565" s="64"/>
      <c r="W565" s="64"/>
      <c r="X565" s="305">
        <f t="shared" ca="1" si="166"/>
        <v>0</v>
      </c>
    </row>
    <row r="566" spans="1:24" ht="15" x14ac:dyDescent="0.25">
      <c r="A566" s="64"/>
      <c r="B566" s="16">
        <f t="shared" si="173"/>
        <v>51</v>
      </c>
      <c r="C566" s="610">
        <v>254</v>
      </c>
      <c r="D566" s="41" t="s">
        <v>1275</v>
      </c>
      <c r="E566" s="41"/>
      <c r="F566" s="229">
        <f>' WP II-I-1.4'!G566</f>
        <v>0</v>
      </c>
      <c r="G566" s="293">
        <v>64</v>
      </c>
      <c r="H566" s="45" t="str">
        <f t="shared" si="187"/>
        <v>PLANT</v>
      </c>
      <c r="I566" s="806"/>
      <c r="J566" s="369">
        <f t="shared" ca="1" si="188"/>
        <v>0</v>
      </c>
      <c r="K566" s="369">
        <f t="shared" ca="1" si="188"/>
        <v>0</v>
      </c>
      <c r="L566" s="369">
        <f t="shared" ca="1" si="188"/>
        <v>0</v>
      </c>
      <c r="M566" s="369">
        <f t="shared" ca="1" si="188"/>
        <v>0</v>
      </c>
      <c r="N566" s="369">
        <f t="shared" ca="1" si="188"/>
        <v>0</v>
      </c>
      <c r="O566" s="369">
        <f t="shared" ca="1" si="188"/>
        <v>0</v>
      </c>
      <c r="P566" s="369">
        <f t="shared" ca="1" si="188"/>
        <v>0</v>
      </c>
      <c r="Q566" s="369">
        <f t="shared" ca="1" si="188"/>
        <v>0</v>
      </c>
      <c r="R566" s="369">
        <f t="shared" ca="1" si="188"/>
        <v>0</v>
      </c>
      <c r="S566" s="369">
        <f t="shared" ca="1" si="188"/>
        <v>0</v>
      </c>
      <c r="T566" s="806"/>
      <c r="U566" s="97">
        <f t="shared" ca="1" si="189"/>
        <v>0</v>
      </c>
      <c r="V566" s="64"/>
      <c r="W566" s="64"/>
      <c r="X566" s="305">
        <f t="shared" ca="1" si="166"/>
        <v>0</v>
      </c>
    </row>
    <row r="567" spans="1:24" ht="15" x14ac:dyDescent="0.25">
      <c r="A567" s="64"/>
      <c r="B567" s="16">
        <f t="shared" si="173"/>
        <v>52</v>
      </c>
      <c r="C567" s="610">
        <v>254</v>
      </c>
      <c r="D567" s="41" t="s">
        <v>1276</v>
      </c>
      <c r="E567" s="41"/>
      <c r="F567" s="229">
        <f>' WP II-I-1.4'!G567</f>
        <v>54569.880000000114</v>
      </c>
      <c r="G567" s="293">
        <v>64</v>
      </c>
      <c r="H567" s="45" t="str">
        <f t="shared" si="187"/>
        <v>PLANT</v>
      </c>
      <c r="I567" s="806"/>
      <c r="J567" s="369">
        <f t="shared" ca="1" si="188"/>
        <v>29317.341175350743</v>
      </c>
      <c r="K567" s="369">
        <f t="shared" ca="1" si="188"/>
        <v>947.20340597566781</v>
      </c>
      <c r="L567" s="369">
        <f t="shared" ca="1" si="188"/>
        <v>18537.07348093011</v>
      </c>
      <c r="M567" s="369">
        <f t="shared" ca="1" si="188"/>
        <v>5.3621022475835627</v>
      </c>
      <c r="N567" s="369">
        <f t="shared" ca="1" si="188"/>
        <v>3370.5481892550661</v>
      </c>
      <c r="O567" s="369">
        <f t="shared" ca="1" si="188"/>
        <v>366.58499731656514</v>
      </c>
      <c r="P567" s="369">
        <f t="shared" ca="1" si="188"/>
        <v>63.507178270094506</v>
      </c>
      <c r="Q567" s="369">
        <f t="shared" ca="1" si="188"/>
        <v>1807.5909047067905</v>
      </c>
      <c r="R567" s="369">
        <f t="shared" ca="1" si="188"/>
        <v>25.339787206005347</v>
      </c>
      <c r="S567" s="369">
        <f t="shared" ca="1" si="188"/>
        <v>129.32877874147098</v>
      </c>
      <c r="T567" s="806"/>
      <c r="U567" s="97">
        <f t="shared" ca="1" si="189"/>
        <v>54569.880000000107</v>
      </c>
      <c r="V567" s="64"/>
      <c r="W567" s="64"/>
      <c r="X567" s="305">
        <f t="shared" ca="1" si="166"/>
        <v>0</v>
      </c>
    </row>
    <row r="568" spans="1:24" ht="15" x14ac:dyDescent="0.25">
      <c r="A568" s="64"/>
      <c r="B568" s="16">
        <f t="shared" si="173"/>
        <v>53</v>
      </c>
      <c r="C568" s="610">
        <v>254</v>
      </c>
      <c r="D568" s="41" t="s">
        <v>1277</v>
      </c>
      <c r="E568" s="41"/>
      <c r="F568" s="229">
        <f>' WP II-I-1.4'!G568</f>
        <v>1583754.909999989</v>
      </c>
      <c r="G568" s="293">
        <v>64</v>
      </c>
      <c r="H568" s="45" t="str">
        <f t="shared" si="187"/>
        <v>PLANT</v>
      </c>
      <c r="I568" s="806"/>
      <c r="J568" s="369">
        <f t="shared" ca="1" si="188"/>
        <v>850862.83925503388</v>
      </c>
      <c r="K568" s="369">
        <f t="shared" ca="1" si="188"/>
        <v>27490.220703851162</v>
      </c>
      <c r="L568" s="369">
        <f t="shared" ca="1" si="188"/>
        <v>537992.40794470487</v>
      </c>
      <c r="M568" s="369">
        <f t="shared" ca="1" si="188"/>
        <v>155.62166826337946</v>
      </c>
      <c r="N568" s="369">
        <f t="shared" ca="1" si="188"/>
        <v>97821.769887056231</v>
      </c>
      <c r="O568" s="369">
        <f t="shared" ca="1" si="188"/>
        <v>10639.216898267719</v>
      </c>
      <c r="P568" s="369">
        <f t="shared" ca="1" si="188"/>
        <v>1843.1377420200772</v>
      </c>
      <c r="Q568" s="369">
        <f t="shared" ca="1" si="188"/>
        <v>52460.825836536482</v>
      </c>
      <c r="R568" s="369">
        <f t="shared" ca="1" si="188"/>
        <v>735.42423780051899</v>
      </c>
      <c r="S568" s="369">
        <f t="shared" ca="1" si="188"/>
        <v>3753.4458264541986</v>
      </c>
      <c r="T568" s="806"/>
      <c r="U568" s="97">
        <f t="shared" ca="1" si="189"/>
        <v>1583754.9099999883</v>
      </c>
      <c r="V568" s="64"/>
      <c r="W568" s="64"/>
      <c r="X568" s="305">
        <f t="shared" ca="1" si="166"/>
        <v>0</v>
      </c>
    </row>
    <row r="569" spans="1:24" ht="15" x14ac:dyDescent="0.25">
      <c r="A569" s="64"/>
      <c r="B569" s="16">
        <f t="shared" si="173"/>
        <v>54</v>
      </c>
      <c r="C569" s="610">
        <v>254</v>
      </c>
      <c r="D569" s="41" t="s">
        <v>1278</v>
      </c>
      <c r="E569" s="41"/>
      <c r="F569" s="229">
        <f>' WP II-I-1.4'!G569</f>
        <v>-25859.240000000005</v>
      </c>
      <c r="G569" s="293">
        <v>64</v>
      </c>
      <c r="H569" s="45" t="str">
        <f t="shared" ref="H569" si="194">VLOOKUP(G569,FactorTable,2)</f>
        <v>PLANT</v>
      </c>
      <c r="I569" s="806"/>
      <c r="J569" s="369">
        <f t="shared" ca="1" si="188"/>
        <v>-13892.721802123728</v>
      </c>
      <c r="K569" s="369">
        <f t="shared" ca="1" si="188"/>
        <v>-448.85493983021735</v>
      </c>
      <c r="L569" s="369">
        <f t="shared" ca="1" si="188"/>
        <v>-8784.2346737981879</v>
      </c>
      <c r="M569" s="369">
        <f t="shared" ca="1" si="188"/>
        <v>-2.5409601216788915</v>
      </c>
      <c r="N569" s="369">
        <f t="shared" ca="1" si="188"/>
        <v>-1597.2147008113636</v>
      </c>
      <c r="O569" s="369">
        <f t="shared" ca="1" si="188"/>
        <v>-173.71504987748546</v>
      </c>
      <c r="P569" s="369">
        <f t="shared" ca="1" si="188"/>
        <v>-30.094392082393355</v>
      </c>
      <c r="Q569" s="369">
        <f t="shared" ca="1" si="188"/>
        <v>-856.57009006854946</v>
      </c>
      <c r="R569" s="369">
        <f t="shared" ca="1" si="188"/>
        <v>-12.00786292564727</v>
      </c>
      <c r="S569" s="369">
        <f t="shared" ca="1" si="188"/>
        <v>-61.285528360747534</v>
      </c>
      <c r="T569" s="806"/>
      <c r="U569" s="97">
        <f t="shared" ca="1" si="189"/>
        <v>-25859.239999999994</v>
      </c>
      <c r="V569" s="64"/>
      <c r="W569" s="64"/>
      <c r="X569" s="305">
        <f t="shared" ca="1" si="166"/>
        <v>0</v>
      </c>
    </row>
    <row r="570" spans="1:24" ht="15" x14ac:dyDescent="0.25">
      <c r="A570" s="64"/>
      <c r="B570" s="16">
        <f t="shared" si="173"/>
        <v>55</v>
      </c>
      <c r="C570" s="610">
        <v>254</v>
      </c>
      <c r="D570" s="41" t="s">
        <v>1279</v>
      </c>
      <c r="E570" s="41"/>
      <c r="F570" s="229">
        <f>' WP II-I-1.4'!G570</f>
        <v>-11752973.43</v>
      </c>
      <c r="G570" s="293">
        <v>64</v>
      </c>
      <c r="H570" s="45" t="str">
        <f t="shared" si="187"/>
        <v>PLANT</v>
      </c>
      <c r="I570" s="806"/>
      <c r="J570" s="369">
        <f t="shared" ca="1" si="188"/>
        <v>-6314214.5790341031</v>
      </c>
      <c r="K570" s="369">
        <f t="shared" ca="1" si="188"/>
        <v>-204003.68231041561</v>
      </c>
      <c r="L570" s="369">
        <f t="shared" ca="1" si="188"/>
        <v>-3992417.2838813053</v>
      </c>
      <c r="M570" s="369">
        <f t="shared" ca="1" si="188"/>
        <v>-1154.8613492423433</v>
      </c>
      <c r="N570" s="369">
        <f t="shared" ca="1" si="188"/>
        <v>-725930.92220194219</v>
      </c>
      <c r="O570" s="369">
        <f t="shared" ca="1" si="188"/>
        <v>-78953.146558105</v>
      </c>
      <c r="P570" s="369">
        <f t="shared" ca="1" si="188"/>
        <v>-13677.841674247635</v>
      </c>
      <c r="Q570" s="369">
        <f t="shared" ca="1" si="188"/>
        <v>-389309.41162649664</v>
      </c>
      <c r="R570" s="369">
        <f t="shared" ca="1" si="188"/>
        <v>-5457.5499479572645</v>
      </c>
      <c r="S570" s="369">
        <f t="shared" ca="1" si="188"/>
        <v>-27854.151416181492</v>
      </c>
      <c r="T570" s="806"/>
      <c r="U570" s="97">
        <f t="shared" ca="1" si="189"/>
        <v>-11752973.429999994</v>
      </c>
      <c r="V570" s="64"/>
      <c r="W570" s="64"/>
      <c r="X570" s="305">
        <f t="shared" ca="1" si="166"/>
        <v>0</v>
      </c>
    </row>
    <row r="571" spans="1:24" ht="15" x14ac:dyDescent="0.25">
      <c r="A571" s="104"/>
      <c r="B571" s="16">
        <f t="shared" si="173"/>
        <v>56</v>
      </c>
      <c r="C571" s="610">
        <v>254</v>
      </c>
      <c r="D571" s="611" t="s">
        <v>1176</v>
      </c>
      <c r="E571" s="806"/>
      <c r="F571" s="229">
        <f>' WP II-I-1.4'!G571</f>
        <v>-23922318.68</v>
      </c>
      <c r="G571" s="1007">
        <v>64</v>
      </c>
      <c r="H571" s="45" t="str">
        <f t="shared" si="187"/>
        <v>PLANT</v>
      </c>
      <c r="J571" s="369">
        <f t="shared" ca="1" si="188"/>
        <v>-12852122.424440457</v>
      </c>
      <c r="K571" s="369">
        <f t="shared" ca="1" si="188"/>
        <v>-415234.58971379988</v>
      </c>
      <c r="L571" s="369">
        <f t="shared" ca="1" si="188"/>
        <v>-8126273.6734144567</v>
      </c>
      <c r="M571" s="369">
        <f t="shared" ca="1" si="188"/>
        <v>-2350.6358958721912</v>
      </c>
      <c r="N571" s="369">
        <f t="shared" ca="1" si="188"/>
        <v>-1477579.3516433695</v>
      </c>
      <c r="O571" s="369">
        <f t="shared" ca="1" si="188"/>
        <v>-160703.36106866642</v>
      </c>
      <c r="P571" s="369">
        <f t="shared" ca="1" si="188"/>
        <v>-27840.247349724221</v>
      </c>
      <c r="Q571" s="369">
        <f t="shared" ca="1" si="188"/>
        <v>-792410.86228273297</v>
      </c>
      <c r="R571" s="369">
        <f t="shared" ca="1" si="188"/>
        <v>-11108.44416050476</v>
      </c>
      <c r="S571" s="369">
        <f t="shared" ca="1" si="188"/>
        <v>-56695.090030410029</v>
      </c>
      <c r="U571" s="98">
        <f t="shared" ca="1" si="189"/>
        <v>-23922318.679999992</v>
      </c>
      <c r="V571" s="104"/>
      <c r="W571" s="104"/>
      <c r="X571" s="305">
        <f t="shared" ref="X571:X572" ca="1" si="195">U571-F571</f>
        <v>0</v>
      </c>
    </row>
    <row r="572" spans="1:24" ht="15" x14ac:dyDescent="0.25">
      <c r="A572" s="104"/>
      <c r="B572" s="16">
        <f t="shared" si="173"/>
        <v>57</v>
      </c>
      <c r="C572" s="610">
        <v>257</v>
      </c>
      <c r="D572" s="611" t="s">
        <v>1122</v>
      </c>
      <c r="E572" s="806"/>
      <c r="F572" s="229">
        <f>' WP II-I-1.4'!G572</f>
        <v>0</v>
      </c>
      <c r="G572" s="321">
        <v>64</v>
      </c>
      <c r="H572" s="45" t="str">
        <f t="shared" si="187"/>
        <v>PLANT</v>
      </c>
      <c r="J572" s="369">
        <f t="shared" ca="1" si="188"/>
        <v>0</v>
      </c>
      <c r="K572" s="369">
        <f t="shared" ca="1" si="188"/>
        <v>0</v>
      </c>
      <c r="L572" s="369">
        <f t="shared" ca="1" si="188"/>
        <v>0</v>
      </c>
      <c r="M572" s="369">
        <f t="shared" ca="1" si="188"/>
        <v>0</v>
      </c>
      <c r="N572" s="369">
        <f t="shared" ca="1" si="188"/>
        <v>0</v>
      </c>
      <c r="O572" s="369">
        <f t="shared" ca="1" si="188"/>
        <v>0</v>
      </c>
      <c r="P572" s="369">
        <f t="shared" ca="1" si="188"/>
        <v>0</v>
      </c>
      <c r="Q572" s="369">
        <f t="shared" ca="1" si="188"/>
        <v>0</v>
      </c>
      <c r="R572" s="369">
        <f t="shared" ca="1" si="188"/>
        <v>0</v>
      </c>
      <c r="S572" s="369">
        <f t="shared" ca="1" si="188"/>
        <v>0</v>
      </c>
      <c r="U572" s="98">
        <f t="shared" ca="1" si="189"/>
        <v>0</v>
      </c>
      <c r="V572" s="104"/>
      <c r="W572" s="104"/>
      <c r="X572" s="305">
        <f t="shared" ca="1" si="195"/>
        <v>0</v>
      </c>
    </row>
    <row r="573" spans="1:24" ht="15" x14ac:dyDescent="0.25">
      <c r="A573" s="64"/>
      <c r="B573" s="16">
        <f t="shared" si="173"/>
        <v>58</v>
      </c>
      <c r="C573" s="41"/>
      <c r="D573" s="42" t="s">
        <v>563</v>
      </c>
      <c r="E573" s="35"/>
      <c r="F573" s="37">
        <f>SUM(F559:F572)</f>
        <v>-47998460.750000007</v>
      </c>
      <c r="G573" s="35"/>
      <c r="H573" s="45"/>
      <c r="I573" s="35"/>
      <c r="J573" s="807">
        <f t="shared" ref="J573:U573" ca="1" si="196">SUM(J559:J572)</f>
        <v>-25903084.176082999</v>
      </c>
      <c r="K573" s="807">
        <f t="shared" ca="1" si="196"/>
        <v>-792509.31322765443</v>
      </c>
      <c r="L573" s="807">
        <f t="shared" ca="1" si="196"/>
        <v>-16411400.288862243</v>
      </c>
      <c r="M573" s="807">
        <f t="shared" ca="1" si="196"/>
        <v>-4805.4153279135944</v>
      </c>
      <c r="N573" s="807">
        <f t="shared" ca="1" si="196"/>
        <v>-3020621.9844869338</v>
      </c>
      <c r="O573" s="807">
        <f t="shared" ca="1" si="196"/>
        <v>-335937.87082574703</v>
      </c>
      <c r="P573" s="807">
        <f t="shared" ca="1" si="196"/>
        <v>-57719.658084325514</v>
      </c>
      <c r="Q573" s="807">
        <f t="shared" ca="1" si="196"/>
        <v>-1333258.6824461152</v>
      </c>
      <c r="R573" s="807">
        <f t="shared" ca="1" si="196"/>
        <v>-23221.33808932687</v>
      </c>
      <c r="S573" s="807">
        <f t="shared" ca="1" si="196"/>
        <v>-115902.02256674247</v>
      </c>
      <c r="T573" s="807">
        <f t="shared" ref="T573" si="197">SUM(T559:T570)</f>
        <v>0</v>
      </c>
      <c r="U573" s="807">
        <f t="shared" ca="1" si="196"/>
        <v>-47998460.75</v>
      </c>
      <c r="V573" s="64"/>
      <c r="W573" s="64"/>
      <c r="X573" s="305">
        <f ca="1">' WP II-I-1.4'!$G$573-U573</f>
        <v>0</v>
      </c>
    </row>
    <row r="574" spans="1:24" ht="15.75" thickBot="1" x14ac:dyDescent="0.3">
      <c r="A574" s="64"/>
      <c r="B574" s="16">
        <f t="shared" si="173"/>
        <v>59</v>
      </c>
      <c r="C574" s="41"/>
      <c r="D574" s="42"/>
      <c r="E574" s="806"/>
      <c r="F574" s="807"/>
      <c r="G574" s="806"/>
      <c r="H574" s="806"/>
      <c r="I574" s="806"/>
      <c r="J574" s="807"/>
      <c r="K574" s="807"/>
      <c r="L574" s="807"/>
      <c r="M574" s="807"/>
      <c r="N574" s="807"/>
      <c r="O574" s="807"/>
      <c r="P574" s="807"/>
      <c r="Q574" s="807"/>
      <c r="R574" s="807"/>
      <c r="S574" s="807"/>
      <c r="T574" s="807"/>
      <c r="U574" s="807"/>
      <c r="V574" s="64"/>
      <c r="W574" s="64"/>
      <c r="X574" s="305"/>
    </row>
    <row r="575" spans="1:24" ht="15.75" thickBot="1" x14ac:dyDescent="0.3">
      <c r="A575" s="38"/>
      <c r="B575" s="16">
        <f t="shared" si="173"/>
        <v>60</v>
      </c>
      <c r="C575" s="291" t="s">
        <v>564</v>
      </c>
      <c r="D575" s="217"/>
      <c r="E575" s="272" t="s">
        <v>127</v>
      </c>
      <c r="F575" s="217">
        <f>F556+F573</f>
        <v>1115679574.53</v>
      </c>
      <c r="G575" s="272"/>
      <c r="H575" s="392"/>
      <c r="I575" s="393"/>
      <c r="J575" s="291">
        <f t="shared" ref="J575:S575" ca="1" si="198">J556+J573</f>
        <v>599254495.78986859</v>
      </c>
      <c r="K575" s="217">
        <f t="shared" ca="1" si="198"/>
        <v>19345516.242640875</v>
      </c>
      <c r="L575" s="218">
        <f t="shared" ca="1" si="198"/>
        <v>378913526.49960703</v>
      </c>
      <c r="M575" s="291">
        <f t="shared" ca="1" si="198"/>
        <v>114409.94311393848</v>
      </c>
      <c r="N575" s="217">
        <f t="shared" ca="1" si="198"/>
        <v>69144339.048197642</v>
      </c>
      <c r="O575" s="217">
        <f t="shared" ca="1" si="198"/>
        <v>7534614.7402100572</v>
      </c>
      <c r="P575" s="217">
        <f t="shared" ca="1" si="198"/>
        <v>1286978.9583720539</v>
      </c>
      <c r="Q575" s="217">
        <f t="shared" ca="1" si="198"/>
        <v>36973680.091471419</v>
      </c>
      <c r="R575" s="217">
        <f t="shared" ca="1" si="198"/>
        <v>510833.4858844477</v>
      </c>
      <c r="S575" s="218">
        <f t="shared" ca="1" si="198"/>
        <v>2601179.7306335769</v>
      </c>
      <c r="T575" s="393"/>
      <c r="U575" s="218">
        <f ca="1">SUM(I575:T575)</f>
        <v>1115679574.5299995</v>
      </c>
      <c r="V575" s="34"/>
      <c r="W575" s="34"/>
      <c r="X575" s="305">
        <f ca="1">' WP II-I-1.4'!$G$575-U575</f>
        <v>0</v>
      </c>
    </row>
    <row r="576" spans="1:24" ht="15" x14ac:dyDescent="0.25">
      <c r="A576" s="64"/>
      <c r="B576" s="16"/>
      <c r="C576" s="41"/>
      <c r="D576" s="42"/>
      <c r="E576" s="35"/>
      <c r="F576" s="202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97"/>
      <c r="V576" s="64"/>
      <c r="W576" s="64"/>
      <c r="X576" s="305">
        <f t="shared" ref="X576:X641" si="199">U576-F576</f>
        <v>0</v>
      </c>
    </row>
    <row r="577" spans="1:24" ht="15" x14ac:dyDescent="0.25">
      <c r="A577" s="64"/>
      <c r="B577" s="16"/>
      <c r="C577" s="41"/>
      <c r="D577" s="42"/>
      <c r="E577" s="35"/>
      <c r="F577" s="202"/>
      <c r="G577" s="35"/>
      <c r="H577" s="10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105"/>
      <c r="V577" s="105">
        <f>$H$2</f>
        <v>0</v>
      </c>
      <c r="W577" s="105"/>
      <c r="X577" s="305"/>
    </row>
    <row r="578" spans="1:24" ht="15.75" thickBot="1" x14ac:dyDescent="0.3">
      <c r="A578" s="64"/>
      <c r="B578" s="16"/>
      <c r="C578" s="41"/>
      <c r="D578" s="42"/>
      <c r="E578" s="35"/>
      <c r="F578" s="202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97"/>
      <c r="V578" s="64"/>
      <c r="W578" s="64"/>
      <c r="X578" s="305">
        <f t="shared" si="199"/>
        <v>0</v>
      </c>
    </row>
    <row r="579" spans="1:24" ht="15" x14ac:dyDescent="0.25">
      <c r="A579" s="64"/>
      <c r="B579" s="829" t="str">
        <f>+$B$4</f>
        <v>2025 RATE CASE</v>
      </c>
      <c r="C579" s="844"/>
      <c r="D579" s="872"/>
      <c r="F579" s="267"/>
      <c r="U579" s="105"/>
      <c r="X579" s="305">
        <f t="shared" si="199"/>
        <v>0</v>
      </c>
    </row>
    <row r="580" spans="1:24" ht="15" x14ac:dyDescent="0.25">
      <c r="A580" s="64"/>
      <c r="B580" s="826" t="str">
        <f>+$B$5</f>
        <v>ONCOR ELECTRIC DELIVERY COMPANY LLC</v>
      </c>
      <c r="C580" s="8"/>
      <c r="D580" s="873"/>
      <c r="F580" s="267"/>
      <c r="U580" s="105"/>
      <c r="V580" s="64"/>
      <c r="W580" s="64"/>
      <c r="X580" s="305">
        <f t="shared" si="199"/>
        <v>0</v>
      </c>
    </row>
    <row r="581" spans="1:24" ht="15" x14ac:dyDescent="0.25">
      <c r="A581" s="64"/>
      <c r="B581" s="826" t="str">
        <f>+$B$6</f>
        <v>II-I-1-DIST:  CLASS REVENUE REQUIREMENT</v>
      </c>
      <c r="C581" s="82"/>
      <c r="D581" s="873"/>
      <c r="F581" s="267"/>
      <c r="U581" s="267"/>
      <c r="V581" s="64"/>
      <c r="W581" s="64"/>
      <c r="X581" s="305">
        <f t="shared" si="199"/>
        <v>0</v>
      </c>
    </row>
    <row r="582" spans="1:24" ht="15" x14ac:dyDescent="0.25">
      <c r="A582" s="64"/>
      <c r="B582" s="341" t="str">
        <f>+$B$7</f>
        <v>TEST YEAR ENDING 12/31/2024</v>
      </c>
      <c r="C582" s="82"/>
      <c r="D582" s="873"/>
      <c r="F582" s="267"/>
      <c r="U582" s="267"/>
      <c r="V582" s="64"/>
      <c r="W582" s="64"/>
      <c r="X582" s="305">
        <f t="shared" si="199"/>
        <v>0</v>
      </c>
    </row>
    <row r="583" spans="1:24" ht="15" x14ac:dyDescent="0.25">
      <c r="A583" s="64"/>
      <c r="B583" s="341" t="str">
        <f>+$B$8</f>
        <v>SPONSOR:  MATTHEW A. TROXLE</v>
      </c>
      <c r="C583" s="82"/>
      <c r="D583" s="873"/>
      <c r="F583" s="267"/>
      <c r="U583" s="267"/>
      <c r="V583" s="64"/>
      <c r="W583" s="64"/>
      <c r="X583" s="305">
        <f t="shared" si="199"/>
        <v>0</v>
      </c>
    </row>
    <row r="584" spans="1:24" ht="15.75" thickBot="1" x14ac:dyDescent="0.3">
      <c r="A584" s="64"/>
      <c r="B584" s="345"/>
      <c r="C584" s="843"/>
      <c r="D584" s="845"/>
      <c r="F584" s="267"/>
      <c r="U584" s="267"/>
      <c r="V584" s="64"/>
      <c r="W584" s="64"/>
      <c r="X584" s="305">
        <f t="shared" si="199"/>
        <v>0</v>
      </c>
    </row>
    <row r="585" spans="1:24" ht="15" thickBot="1" x14ac:dyDescent="0.25">
      <c r="A585" s="64"/>
      <c r="B585" s="12"/>
      <c r="C585" s="13"/>
      <c r="D585" s="13"/>
      <c r="E585" s="13"/>
      <c r="F585" s="12"/>
      <c r="G585" s="13"/>
      <c r="H585" s="13"/>
      <c r="I585" s="13"/>
      <c r="J585" s="177"/>
      <c r="K585" s="177"/>
      <c r="L585" s="13"/>
      <c r="M585" s="177"/>
      <c r="N585" s="177"/>
      <c r="O585" s="177"/>
      <c r="P585" s="177"/>
      <c r="Q585" s="13"/>
      <c r="R585" s="328" t="str">
        <f>R$10</f>
        <v xml:space="preserve"> </v>
      </c>
      <c r="S585" s="329"/>
      <c r="T585" s="177"/>
      <c r="U585" s="12"/>
      <c r="V585" s="64"/>
      <c r="W585" s="64"/>
      <c r="X585" s="305">
        <f t="shared" si="199"/>
        <v>0</v>
      </c>
    </row>
    <row r="586" spans="1:24" ht="15" x14ac:dyDescent="0.25">
      <c r="A586" s="64"/>
      <c r="B586" s="14" t="s">
        <v>2</v>
      </c>
      <c r="C586" s="14" t="s">
        <v>349</v>
      </c>
      <c r="D586" s="226" t="s">
        <v>565</v>
      </c>
      <c r="E586" s="14" t="s">
        <v>350</v>
      </c>
      <c r="F586" s="226" t="str">
        <f>F$11</f>
        <v>DIST</v>
      </c>
      <c r="G586" s="181" t="s">
        <v>688</v>
      </c>
      <c r="H586" s="181" t="s">
        <v>355</v>
      </c>
      <c r="I586" s="14"/>
      <c r="J586" s="181" t="s">
        <v>679</v>
      </c>
      <c r="K586" s="181" t="s">
        <v>388</v>
      </c>
      <c r="L586" s="14" t="s">
        <v>388</v>
      </c>
      <c r="M586" s="181" t="s">
        <v>389</v>
      </c>
      <c r="N586" s="181" t="s">
        <v>389</v>
      </c>
      <c r="O586" s="181" t="s">
        <v>389</v>
      </c>
      <c r="P586" s="181" t="s">
        <v>390</v>
      </c>
      <c r="Q586" s="14" t="s">
        <v>391</v>
      </c>
      <c r="R586" s="331" t="str">
        <f>R$11</f>
        <v>Wholesale</v>
      </c>
      <c r="S586" s="12" t="str">
        <f>S$11</f>
        <v>Wholesale</v>
      </c>
      <c r="T586" s="181"/>
      <c r="U586" s="14" t="s">
        <v>10</v>
      </c>
      <c r="V586" s="64"/>
      <c r="W586" s="64"/>
      <c r="X586" s="305"/>
    </row>
    <row r="587" spans="1:24" x14ac:dyDescent="0.2">
      <c r="A587" s="64"/>
      <c r="B587" s="14"/>
      <c r="C587" s="14"/>
      <c r="D587" s="14"/>
      <c r="E587" s="14"/>
      <c r="F587" s="14"/>
      <c r="G587" s="181" t="s">
        <v>689</v>
      </c>
      <c r="H587" s="181" t="s">
        <v>690</v>
      </c>
      <c r="I587" s="14"/>
      <c r="J587" s="181"/>
      <c r="K587" s="181" t="s">
        <v>680</v>
      </c>
      <c r="L587" s="14" t="s">
        <v>681</v>
      </c>
      <c r="M587" s="181" t="s">
        <v>680</v>
      </c>
      <c r="N587" s="181" t="s">
        <v>681</v>
      </c>
      <c r="O587" s="181" t="s">
        <v>393</v>
      </c>
      <c r="P587" s="181"/>
      <c r="Q587" s="14"/>
      <c r="R587" s="174" t="str">
        <f>R$12</f>
        <v>XFMR</v>
      </c>
      <c r="S587" s="14" t="str">
        <f>S$12</f>
        <v>DLS</v>
      </c>
      <c r="T587" s="181"/>
      <c r="U587" s="14"/>
      <c r="V587" s="64"/>
      <c r="W587" s="64"/>
      <c r="X587" s="305">
        <f t="shared" si="199"/>
        <v>0</v>
      </c>
    </row>
    <row r="588" spans="1:24" ht="15" thickBot="1" x14ac:dyDescent="0.25">
      <c r="A588" s="64"/>
      <c r="B588" s="15"/>
      <c r="C588" s="15"/>
      <c r="D588" s="15"/>
      <c r="E588" s="15"/>
      <c r="F588" s="15" t="s">
        <v>13</v>
      </c>
      <c r="G588" s="15" t="s">
        <v>14</v>
      </c>
      <c r="H588" s="15" t="s">
        <v>15</v>
      </c>
      <c r="I588" s="15"/>
      <c r="J588" s="182" t="str">
        <f t="shared" ref="J588:S588" si="200">J$13</f>
        <v>(d)</v>
      </c>
      <c r="K588" s="182" t="str">
        <f t="shared" si="200"/>
        <v>(e)</v>
      </c>
      <c r="L588" s="15" t="str">
        <f t="shared" si="200"/>
        <v>(f)</v>
      </c>
      <c r="M588" s="182" t="str">
        <f t="shared" si="200"/>
        <v>(g)</v>
      </c>
      <c r="N588" s="182" t="str">
        <f t="shared" si="200"/>
        <v>(h)</v>
      </c>
      <c r="O588" s="182" t="str">
        <f t="shared" si="200"/>
        <v>(i)</v>
      </c>
      <c r="P588" s="182" t="str">
        <f t="shared" si="200"/>
        <v>(j)</v>
      </c>
      <c r="Q588" s="182" t="str">
        <f t="shared" si="200"/>
        <v>(k)</v>
      </c>
      <c r="R588" s="182" t="str">
        <f t="shared" si="200"/>
        <v>(l)</v>
      </c>
      <c r="S588" s="15" t="str">
        <f t="shared" si="200"/>
        <v>(m)</v>
      </c>
      <c r="T588" s="15"/>
      <c r="U588" s="15" t="s">
        <v>683</v>
      </c>
      <c r="V588" s="64"/>
      <c r="W588" s="64"/>
      <c r="X588" s="305"/>
    </row>
    <row r="589" spans="1:24" x14ac:dyDescent="0.2">
      <c r="A589" s="64"/>
      <c r="B589" s="64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41"/>
      <c r="V589" s="64"/>
      <c r="W589" s="64"/>
      <c r="X589" s="305">
        <f t="shared" si="199"/>
        <v>0</v>
      </c>
    </row>
    <row r="590" spans="1:24" ht="15" x14ac:dyDescent="0.25">
      <c r="A590" s="38"/>
      <c r="B590" s="16">
        <f>B576+1</f>
        <v>1</v>
      </c>
      <c r="C590" s="34" t="s">
        <v>132</v>
      </c>
      <c r="D590" s="41"/>
      <c r="E590" s="806" t="s">
        <v>127</v>
      </c>
      <c r="F590" s="281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41"/>
      <c r="V590" s="41"/>
      <c r="W590" s="41"/>
      <c r="X590" s="305">
        <f t="shared" si="199"/>
        <v>0</v>
      </c>
    </row>
    <row r="591" spans="1:24" x14ac:dyDescent="0.2">
      <c r="A591" s="38"/>
      <c r="B591" s="16">
        <f t="shared" ref="B591:B622" si="201">B590+1</f>
        <v>2</v>
      </c>
      <c r="C591" s="41">
        <v>182</v>
      </c>
      <c r="D591" s="41" t="s">
        <v>133</v>
      </c>
      <c r="E591" s="293"/>
      <c r="F591" s="97">
        <f>' WP II-I-1.4'!G591</f>
        <v>0</v>
      </c>
      <c r="G591" s="293">
        <v>64</v>
      </c>
      <c r="H591" s="45" t="str">
        <f t="shared" ref="H591:H596" si="202">VLOOKUP(G591,FactorTable,2)</f>
        <v>PLANT</v>
      </c>
      <c r="I591" s="293"/>
      <c r="J591" s="369">
        <f t="shared" ref="J591:S596" ca="1" si="203">$F591*HLOOKUP(J$1354,FactorTable,$G591+1)</f>
        <v>0</v>
      </c>
      <c r="K591" s="369">
        <f t="shared" ca="1" si="203"/>
        <v>0</v>
      </c>
      <c r="L591" s="369">
        <f t="shared" ca="1" si="203"/>
        <v>0</v>
      </c>
      <c r="M591" s="369">
        <f t="shared" ca="1" si="203"/>
        <v>0</v>
      </c>
      <c r="N591" s="369">
        <f t="shared" ca="1" si="203"/>
        <v>0</v>
      </c>
      <c r="O591" s="369">
        <f t="shared" ca="1" si="203"/>
        <v>0</v>
      </c>
      <c r="P591" s="369">
        <f t="shared" ca="1" si="203"/>
        <v>0</v>
      </c>
      <c r="Q591" s="369">
        <f t="shared" ca="1" si="203"/>
        <v>0</v>
      </c>
      <c r="R591" s="369">
        <f t="shared" ca="1" si="203"/>
        <v>0</v>
      </c>
      <c r="S591" s="369">
        <f t="shared" ca="1" si="203"/>
        <v>0</v>
      </c>
      <c r="T591" s="293"/>
      <c r="U591" s="98">
        <f t="shared" ref="U591:U597" ca="1" si="204">SUM(I591:T591)</f>
        <v>0</v>
      </c>
      <c r="V591" s="41"/>
      <c r="W591" s="41"/>
      <c r="X591" s="305">
        <f t="shared" ca="1" si="199"/>
        <v>0</v>
      </c>
    </row>
    <row r="592" spans="1:24" x14ac:dyDescent="0.2">
      <c r="A592" s="38"/>
      <c r="B592" s="16">
        <f t="shared" si="201"/>
        <v>3</v>
      </c>
      <c r="C592" s="41">
        <v>182</v>
      </c>
      <c r="D592" s="41" t="s">
        <v>134</v>
      </c>
      <c r="E592" s="293"/>
      <c r="F592" s="97">
        <f>' WP II-I-1.4'!G592</f>
        <v>0</v>
      </c>
      <c r="G592" s="293">
        <v>64</v>
      </c>
      <c r="H592" s="45" t="str">
        <f t="shared" si="202"/>
        <v>PLANT</v>
      </c>
      <c r="I592" s="293"/>
      <c r="J592" s="369">
        <f t="shared" ca="1" si="203"/>
        <v>0</v>
      </c>
      <c r="K592" s="369">
        <f t="shared" ca="1" si="203"/>
        <v>0</v>
      </c>
      <c r="L592" s="369">
        <f t="shared" ca="1" si="203"/>
        <v>0</v>
      </c>
      <c r="M592" s="369">
        <f t="shared" ca="1" si="203"/>
        <v>0</v>
      </c>
      <c r="N592" s="369">
        <f t="shared" ca="1" si="203"/>
        <v>0</v>
      </c>
      <c r="O592" s="369">
        <f t="shared" ca="1" si="203"/>
        <v>0</v>
      </c>
      <c r="P592" s="369">
        <f t="shared" ca="1" si="203"/>
        <v>0</v>
      </c>
      <c r="Q592" s="369">
        <f t="shared" ca="1" si="203"/>
        <v>0</v>
      </c>
      <c r="R592" s="369">
        <f t="shared" ca="1" si="203"/>
        <v>0</v>
      </c>
      <c r="S592" s="369">
        <f t="shared" ca="1" si="203"/>
        <v>0</v>
      </c>
      <c r="T592" s="293"/>
      <c r="U592" s="98">
        <f t="shared" ca="1" si="204"/>
        <v>0</v>
      </c>
      <c r="V592" s="41"/>
      <c r="W592" s="41"/>
      <c r="X592" s="305">
        <f t="shared" ca="1" si="199"/>
        <v>0</v>
      </c>
    </row>
    <row r="593" spans="1:24" x14ac:dyDescent="0.2">
      <c r="A593" s="38"/>
      <c r="B593" s="16">
        <f>B592+1</f>
        <v>4</v>
      </c>
      <c r="C593" s="41">
        <v>182</v>
      </c>
      <c r="D593" s="41" t="s">
        <v>135</v>
      </c>
      <c r="E593" s="293"/>
      <c r="F593" s="97">
        <f>' WP II-I-1.4'!G593</f>
        <v>0</v>
      </c>
      <c r="G593" s="293">
        <v>37</v>
      </c>
      <c r="H593" s="45" t="str">
        <f t="shared" si="202"/>
        <v>OPEB TOTAL</v>
      </c>
      <c r="I593" s="293"/>
      <c r="J593" s="369">
        <f t="shared" ca="1" si="203"/>
        <v>0</v>
      </c>
      <c r="K593" s="369">
        <f t="shared" ca="1" si="203"/>
        <v>0</v>
      </c>
      <c r="L593" s="369">
        <f t="shared" ca="1" si="203"/>
        <v>0</v>
      </c>
      <c r="M593" s="369">
        <f t="shared" ca="1" si="203"/>
        <v>0</v>
      </c>
      <c r="N593" s="369">
        <f t="shared" ca="1" si="203"/>
        <v>0</v>
      </c>
      <c r="O593" s="369">
        <f t="shared" ca="1" si="203"/>
        <v>0</v>
      </c>
      <c r="P593" s="369">
        <f t="shared" ca="1" si="203"/>
        <v>0</v>
      </c>
      <c r="Q593" s="369">
        <f t="shared" ca="1" si="203"/>
        <v>0</v>
      </c>
      <c r="R593" s="369">
        <f t="shared" ca="1" si="203"/>
        <v>0</v>
      </c>
      <c r="S593" s="369">
        <f t="shared" ca="1" si="203"/>
        <v>0</v>
      </c>
      <c r="T593" s="293"/>
      <c r="U593" s="98">
        <f t="shared" ca="1" si="204"/>
        <v>0</v>
      </c>
      <c r="V593" s="41"/>
      <c r="W593" s="41"/>
      <c r="X593" s="305">
        <f t="shared" ca="1" si="199"/>
        <v>0</v>
      </c>
    </row>
    <row r="594" spans="1:24" x14ac:dyDescent="0.2">
      <c r="A594" s="38"/>
      <c r="B594" s="16">
        <f t="shared" si="201"/>
        <v>5</v>
      </c>
      <c r="C594" s="41">
        <v>182</v>
      </c>
      <c r="D594" s="41" t="s">
        <v>136</v>
      </c>
      <c r="E594" s="293"/>
      <c r="F594" s="97">
        <f>' WP II-I-1.4'!G594</f>
        <v>0</v>
      </c>
      <c r="G594" s="293">
        <v>64</v>
      </c>
      <c r="H594" s="45" t="str">
        <f t="shared" si="202"/>
        <v>PLANT</v>
      </c>
      <c r="I594" s="293"/>
      <c r="J594" s="369">
        <f t="shared" ca="1" si="203"/>
        <v>0</v>
      </c>
      <c r="K594" s="369">
        <f t="shared" ca="1" si="203"/>
        <v>0</v>
      </c>
      <c r="L594" s="369">
        <f t="shared" ca="1" si="203"/>
        <v>0</v>
      </c>
      <c r="M594" s="369">
        <f t="shared" ca="1" si="203"/>
        <v>0</v>
      </c>
      <c r="N594" s="369">
        <f t="shared" ca="1" si="203"/>
        <v>0</v>
      </c>
      <c r="O594" s="369">
        <f t="shared" ca="1" si="203"/>
        <v>0</v>
      </c>
      <c r="P594" s="369">
        <f t="shared" ca="1" si="203"/>
        <v>0</v>
      </c>
      <c r="Q594" s="369">
        <f t="shared" ca="1" si="203"/>
        <v>0</v>
      </c>
      <c r="R594" s="369">
        <f t="shared" ca="1" si="203"/>
        <v>0</v>
      </c>
      <c r="S594" s="369">
        <f t="shared" ca="1" si="203"/>
        <v>0</v>
      </c>
      <c r="T594" s="293"/>
      <c r="U594" s="98">
        <f t="shared" ca="1" si="204"/>
        <v>0</v>
      </c>
      <c r="V594" s="41"/>
      <c r="W594" s="41"/>
      <c r="X594" s="305">
        <f t="shared" ca="1" si="199"/>
        <v>0</v>
      </c>
    </row>
    <row r="595" spans="1:24" x14ac:dyDescent="0.2">
      <c r="A595" s="38"/>
      <c r="B595" s="16">
        <f t="shared" si="201"/>
        <v>6</v>
      </c>
      <c r="C595" s="41">
        <v>182</v>
      </c>
      <c r="D595" s="620" t="s">
        <v>1209</v>
      </c>
      <c r="E595" s="293"/>
      <c r="F595" s="97">
        <f>' WP II-I-1.4'!G595</f>
        <v>26451686</v>
      </c>
      <c r="G595" s="293">
        <v>64</v>
      </c>
      <c r="H595" s="45" t="str">
        <f t="shared" si="202"/>
        <v>PLANT</v>
      </c>
      <c r="I595" s="293"/>
      <c r="J595" s="369">
        <f t="shared" ca="1" si="203"/>
        <v>14211009.867077721</v>
      </c>
      <c r="K595" s="369">
        <f t="shared" ca="1" si="203"/>
        <v>459138.39416540472</v>
      </c>
      <c r="L595" s="369">
        <f t="shared" ca="1" si="203"/>
        <v>8985485.1628130618</v>
      </c>
      <c r="M595" s="369">
        <f t="shared" ca="1" si="203"/>
        <v>2599.1745804274146</v>
      </c>
      <c r="N595" s="369">
        <f t="shared" ca="1" si="203"/>
        <v>1633807.5573932617</v>
      </c>
      <c r="O595" s="369">
        <f t="shared" ca="1" si="203"/>
        <v>177694.9342994451</v>
      </c>
      <c r="P595" s="369">
        <f t="shared" ca="1" si="203"/>
        <v>30783.867187293788</v>
      </c>
      <c r="Q595" s="369">
        <f t="shared" ca="1" si="203"/>
        <v>876194.46895906387</v>
      </c>
      <c r="R595" s="369">
        <f t="shared" ca="1" si="203"/>
        <v>12282.968085692499</v>
      </c>
      <c r="S595" s="369">
        <f t="shared" ca="1" si="203"/>
        <v>62689.605438620325</v>
      </c>
      <c r="T595" s="293"/>
      <c r="U595" s="98">
        <f t="shared" ca="1" si="204"/>
        <v>26451685.999999993</v>
      </c>
      <c r="V595" s="41"/>
      <c r="W595" s="41"/>
      <c r="X595" s="305">
        <f t="shared" ca="1" si="199"/>
        <v>0</v>
      </c>
    </row>
    <row r="596" spans="1:24" x14ac:dyDescent="0.2">
      <c r="A596" s="38"/>
      <c r="B596" s="16">
        <f t="shared" si="201"/>
        <v>7</v>
      </c>
      <c r="C596" s="41">
        <v>182</v>
      </c>
      <c r="D596" s="620" t="s">
        <v>1355</v>
      </c>
      <c r="E596" s="293"/>
      <c r="F596" s="97">
        <f>' WP II-I-1.4'!G596</f>
        <v>0</v>
      </c>
      <c r="G596" s="293">
        <v>64</v>
      </c>
      <c r="H596" s="45" t="str">
        <f t="shared" si="202"/>
        <v>PLANT</v>
      </c>
      <c r="I596" s="293"/>
      <c r="J596" s="370">
        <f t="shared" ca="1" si="203"/>
        <v>0</v>
      </c>
      <c r="K596" s="370">
        <f t="shared" ca="1" si="203"/>
        <v>0</v>
      </c>
      <c r="L596" s="370">
        <f t="shared" ca="1" si="203"/>
        <v>0</v>
      </c>
      <c r="M596" s="370">
        <f t="shared" ca="1" si="203"/>
        <v>0</v>
      </c>
      <c r="N596" s="370">
        <f t="shared" ca="1" si="203"/>
        <v>0</v>
      </c>
      <c r="O596" s="370">
        <f t="shared" ca="1" si="203"/>
        <v>0</v>
      </c>
      <c r="P596" s="370">
        <f t="shared" ca="1" si="203"/>
        <v>0</v>
      </c>
      <c r="Q596" s="370">
        <f t="shared" ca="1" si="203"/>
        <v>0</v>
      </c>
      <c r="R596" s="370">
        <f t="shared" ca="1" si="203"/>
        <v>0</v>
      </c>
      <c r="S596" s="370">
        <f t="shared" ca="1" si="203"/>
        <v>0</v>
      </c>
      <c r="T596" s="293"/>
      <c r="U596" s="98">
        <f t="shared" ca="1" si="204"/>
        <v>0</v>
      </c>
      <c r="V596" s="41"/>
      <c r="W596" s="41"/>
      <c r="X596" s="305">
        <f t="shared" ca="1" si="199"/>
        <v>0</v>
      </c>
    </row>
    <row r="597" spans="1:24" ht="15" x14ac:dyDescent="0.25">
      <c r="A597" s="36"/>
      <c r="B597" s="16">
        <f t="shared" si="201"/>
        <v>8</v>
      </c>
      <c r="C597" s="33"/>
      <c r="D597" s="42" t="s">
        <v>566</v>
      </c>
      <c r="E597" s="35"/>
      <c r="F597" s="20">
        <f>SUM(F591:F596)</f>
        <v>26451686</v>
      </c>
      <c r="G597" s="35"/>
      <c r="H597" s="35"/>
      <c r="I597" s="806"/>
      <c r="J597" s="804">
        <f t="shared" ref="J597:Q597" ca="1" si="205">SUM(J591:J596)</f>
        <v>14211009.867077721</v>
      </c>
      <c r="K597" s="804">
        <f t="shared" ca="1" si="205"/>
        <v>459138.39416540472</v>
      </c>
      <c r="L597" s="804">
        <f t="shared" ca="1" si="205"/>
        <v>8985485.1628130618</v>
      </c>
      <c r="M597" s="804">
        <f t="shared" ca="1" si="205"/>
        <v>2599.1745804274146</v>
      </c>
      <c r="N597" s="804">
        <f t="shared" ca="1" si="205"/>
        <v>1633807.5573932617</v>
      </c>
      <c r="O597" s="804">
        <f ca="1">SUM(O591:O596)</f>
        <v>177694.9342994451</v>
      </c>
      <c r="P597" s="804">
        <f t="shared" ca="1" si="205"/>
        <v>30783.867187293788</v>
      </c>
      <c r="Q597" s="804">
        <f t="shared" ca="1" si="205"/>
        <v>876194.46895906387</v>
      </c>
      <c r="R597" s="804">
        <f ca="1">SUM(R591:R596)</f>
        <v>12282.968085692499</v>
      </c>
      <c r="S597" s="804">
        <f ca="1">SUM(S591:S596)</f>
        <v>62689.605438620325</v>
      </c>
      <c r="T597" s="806"/>
      <c r="U597" s="98">
        <f t="shared" ca="1" si="204"/>
        <v>26451685.999999993</v>
      </c>
      <c r="V597" s="34"/>
      <c r="W597" s="34"/>
      <c r="X597" s="305">
        <f t="shared" ca="1" si="199"/>
        <v>0</v>
      </c>
    </row>
    <row r="598" spans="1:24" ht="15" x14ac:dyDescent="0.25">
      <c r="A598" s="36"/>
      <c r="B598" s="16">
        <f t="shared" si="201"/>
        <v>9</v>
      </c>
      <c r="C598" s="33"/>
      <c r="D598" s="42"/>
      <c r="E598" s="35"/>
      <c r="F598" s="20"/>
      <c r="G598" s="35"/>
      <c r="H598" s="35"/>
      <c r="I598" s="35"/>
      <c r="J598" s="806"/>
      <c r="K598" s="806"/>
      <c r="L598" s="806"/>
      <c r="M598" s="806"/>
      <c r="N598" s="806"/>
      <c r="O598" s="806"/>
      <c r="P598" s="806"/>
      <c r="Q598" s="806"/>
      <c r="R598" s="806"/>
      <c r="S598" s="806"/>
      <c r="T598" s="35"/>
      <c r="U598" s="97"/>
      <c r="V598" s="34"/>
      <c r="W598" s="34"/>
      <c r="X598" s="305">
        <f t="shared" si="199"/>
        <v>0</v>
      </c>
    </row>
    <row r="599" spans="1:24" ht="15" x14ac:dyDescent="0.25">
      <c r="A599" s="38"/>
      <c r="B599" s="16">
        <f t="shared" si="201"/>
        <v>10</v>
      </c>
      <c r="C599" s="34" t="s">
        <v>137</v>
      </c>
      <c r="D599" s="41"/>
      <c r="E599" s="806" t="s">
        <v>127</v>
      </c>
      <c r="F599" s="202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02"/>
      <c r="V599" s="41"/>
      <c r="W599" s="41"/>
      <c r="X599" s="305">
        <f t="shared" si="199"/>
        <v>0</v>
      </c>
    </row>
    <row r="600" spans="1:24" x14ac:dyDescent="0.2">
      <c r="A600" s="38"/>
      <c r="B600" s="16">
        <f t="shared" si="201"/>
        <v>11</v>
      </c>
      <c r="C600" s="41">
        <v>254</v>
      </c>
      <c r="D600" s="41" t="s">
        <v>138</v>
      </c>
      <c r="E600" s="293"/>
      <c r="F600" s="97">
        <f>' WP II-I-1.4'!G600</f>
        <v>0</v>
      </c>
      <c r="G600" s="293">
        <v>64</v>
      </c>
      <c r="H600" s="45" t="str">
        <f t="shared" ref="H600:H609" si="206">VLOOKUP(G600,FactorTable,2)</f>
        <v>PLANT</v>
      </c>
      <c r="I600" s="293"/>
      <c r="J600" s="369">
        <f t="shared" ref="J600:S609" ca="1" si="207">$F600*HLOOKUP(J$1354,FactorTable,$G600+1)</f>
        <v>0</v>
      </c>
      <c r="K600" s="369">
        <f t="shared" ca="1" si="207"/>
        <v>0</v>
      </c>
      <c r="L600" s="369">
        <f t="shared" ca="1" si="207"/>
        <v>0</v>
      </c>
      <c r="M600" s="369">
        <f t="shared" ca="1" si="207"/>
        <v>0</v>
      </c>
      <c r="N600" s="369">
        <f t="shared" ca="1" si="207"/>
        <v>0</v>
      </c>
      <c r="O600" s="369">
        <f t="shared" ca="1" si="207"/>
        <v>0</v>
      </c>
      <c r="P600" s="369">
        <f t="shared" ca="1" si="207"/>
        <v>0</v>
      </c>
      <c r="Q600" s="369">
        <f t="shared" ca="1" si="207"/>
        <v>0</v>
      </c>
      <c r="R600" s="369">
        <f t="shared" ca="1" si="207"/>
        <v>0</v>
      </c>
      <c r="S600" s="369">
        <f t="shared" ca="1" si="207"/>
        <v>0</v>
      </c>
      <c r="T600" s="293"/>
      <c r="U600" s="97">
        <f t="shared" ref="U600:U610" ca="1" si="208">SUM(I600:T600)</f>
        <v>0</v>
      </c>
      <c r="V600" s="41"/>
      <c r="W600" s="41"/>
      <c r="X600" s="305">
        <f t="shared" ca="1" si="199"/>
        <v>0</v>
      </c>
    </row>
    <row r="601" spans="1:24" x14ac:dyDescent="0.2">
      <c r="A601" s="38"/>
      <c r="B601" s="16">
        <f t="shared" si="201"/>
        <v>12</v>
      </c>
      <c r="C601" s="41">
        <v>254</v>
      </c>
      <c r="D601" s="41" t="s">
        <v>1211</v>
      </c>
      <c r="E601" s="293"/>
      <c r="F601" s="97">
        <f>' WP II-I-1.4'!G601</f>
        <v>-31722510.170000002</v>
      </c>
      <c r="G601" s="293">
        <v>64</v>
      </c>
      <c r="H601" s="45" t="str">
        <f t="shared" si="206"/>
        <v>PLANT</v>
      </c>
      <c r="I601" s="293"/>
      <c r="J601" s="369">
        <f t="shared" ca="1" si="207"/>
        <v>-17042728.582002047</v>
      </c>
      <c r="K601" s="369">
        <f t="shared" ca="1" si="207"/>
        <v>-550627.3731795213</v>
      </c>
      <c r="L601" s="369">
        <f t="shared" ca="1" si="207"/>
        <v>-10775953.731634403</v>
      </c>
      <c r="M601" s="369">
        <f t="shared" ca="1" si="207"/>
        <v>-3117.0921226425471</v>
      </c>
      <c r="N601" s="369">
        <f t="shared" ca="1" si="207"/>
        <v>-1959363.8324313469</v>
      </c>
      <c r="O601" s="369">
        <f t="shared" ca="1" si="207"/>
        <v>-213102.83815071863</v>
      </c>
      <c r="P601" s="369">
        <f t="shared" ca="1" si="207"/>
        <v>-36917.931806723267</v>
      </c>
      <c r="Q601" s="369">
        <f t="shared" ca="1" si="207"/>
        <v>-1050787.0066373711</v>
      </c>
      <c r="R601" s="369">
        <f t="shared" ca="1" si="207"/>
        <v>-14730.50073315424</v>
      </c>
      <c r="S601" s="369">
        <f t="shared" ca="1" si="207"/>
        <v>-75181.281302065981</v>
      </c>
      <c r="T601" s="293"/>
      <c r="U601" s="97">
        <f t="shared" ref="U601:U604" ca="1" si="209">SUM(I601:T601)</f>
        <v>-31722510.169999994</v>
      </c>
      <c r="V601" s="41"/>
      <c r="W601" s="41"/>
      <c r="X601" s="305">
        <f t="shared" ref="X601:X604" ca="1" si="210">U601-F601</f>
        <v>0</v>
      </c>
    </row>
    <row r="602" spans="1:24" x14ac:dyDescent="0.2">
      <c r="A602" s="38"/>
      <c r="B602" s="16">
        <f t="shared" si="201"/>
        <v>13</v>
      </c>
      <c r="C602" s="41">
        <v>254</v>
      </c>
      <c r="D602" s="611" t="s">
        <v>1356</v>
      </c>
      <c r="E602" s="293"/>
      <c r="F602" s="97">
        <f>' WP II-I-1.4'!G602</f>
        <v>0</v>
      </c>
      <c r="G602" s="293">
        <v>64</v>
      </c>
      <c r="H602" s="45" t="str">
        <f t="shared" si="206"/>
        <v>PLANT</v>
      </c>
      <c r="I602" s="293"/>
      <c r="J602" s="369">
        <f t="shared" ca="1" si="207"/>
        <v>0</v>
      </c>
      <c r="K602" s="369">
        <f t="shared" ca="1" si="207"/>
        <v>0</v>
      </c>
      <c r="L602" s="369">
        <f t="shared" ca="1" si="207"/>
        <v>0</v>
      </c>
      <c r="M602" s="369">
        <f t="shared" ca="1" si="207"/>
        <v>0</v>
      </c>
      <c r="N602" s="369">
        <f t="shared" ca="1" si="207"/>
        <v>0</v>
      </c>
      <c r="O602" s="369">
        <f t="shared" ca="1" si="207"/>
        <v>0</v>
      </c>
      <c r="P602" s="369">
        <f t="shared" ca="1" si="207"/>
        <v>0</v>
      </c>
      <c r="Q602" s="369">
        <f t="shared" ca="1" si="207"/>
        <v>0</v>
      </c>
      <c r="R602" s="369">
        <f t="shared" ca="1" si="207"/>
        <v>0</v>
      </c>
      <c r="S602" s="369">
        <f t="shared" ca="1" si="207"/>
        <v>0</v>
      </c>
      <c r="T602" s="293"/>
      <c r="U602" s="97">
        <f t="shared" ca="1" si="209"/>
        <v>0</v>
      </c>
      <c r="V602" s="41"/>
      <c r="W602" s="41"/>
      <c r="X602" s="305">
        <f t="shared" ca="1" si="210"/>
        <v>0</v>
      </c>
    </row>
    <row r="603" spans="1:24" x14ac:dyDescent="0.2">
      <c r="A603" s="38"/>
      <c r="B603" s="16">
        <f t="shared" si="201"/>
        <v>14</v>
      </c>
      <c r="C603" s="41">
        <v>254</v>
      </c>
      <c r="D603" s="41" t="s">
        <v>1123</v>
      </c>
      <c r="E603" s="293"/>
      <c r="F603" s="97">
        <f>' WP II-I-1.4'!G603</f>
        <v>-525569091.14000005</v>
      </c>
      <c r="G603" s="293">
        <v>64</v>
      </c>
      <c r="H603" s="45" t="str">
        <f t="shared" si="206"/>
        <v>PLANT</v>
      </c>
      <c r="I603" s="293"/>
      <c r="J603" s="369">
        <f t="shared" ca="1" si="207"/>
        <v>-282358846.23844433</v>
      </c>
      <c r="K603" s="369">
        <f t="shared" ca="1" si="207"/>
        <v>-9122630.1616082564</v>
      </c>
      <c r="L603" s="369">
        <f t="shared" ca="1" si="207"/>
        <v>-178532788.81624469</v>
      </c>
      <c r="M603" s="369">
        <f t="shared" ca="1" si="207"/>
        <v>-51643.052996675797</v>
      </c>
      <c r="N603" s="369">
        <f t="shared" ca="1" si="207"/>
        <v>-32462155.835240144</v>
      </c>
      <c r="O603" s="369">
        <f t="shared" ca="1" si="207"/>
        <v>-3530624.290638464</v>
      </c>
      <c r="P603" s="369">
        <f t="shared" ca="1" si="207"/>
        <v>-611645.2879185268</v>
      </c>
      <c r="Q603" s="369">
        <f t="shared" ca="1" si="207"/>
        <v>-17409125.85733515</v>
      </c>
      <c r="R603" s="369">
        <f t="shared" ca="1" si="207"/>
        <v>-244050.54457772683</v>
      </c>
      <c r="S603" s="369">
        <f t="shared" ca="1" si="207"/>
        <v>-1245581.0549959231</v>
      </c>
      <c r="T603" s="293"/>
      <c r="U603" s="97">
        <f t="shared" ca="1" si="209"/>
        <v>-525569091.13999981</v>
      </c>
      <c r="V603" s="41"/>
      <c r="W603" s="41"/>
      <c r="X603" s="305">
        <f t="shared" ca="1" si="210"/>
        <v>0</v>
      </c>
    </row>
    <row r="604" spans="1:24" x14ac:dyDescent="0.2">
      <c r="A604" s="38"/>
      <c r="B604" s="16">
        <f t="shared" si="201"/>
        <v>15</v>
      </c>
      <c r="C604" s="41">
        <v>254</v>
      </c>
      <c r="D604" s="611" t="s">
        <v>1334</v>
      </c>
      <c r="E604" s="293"/>
      <c r="F604" s="97">
        <f>' WP II-I-1.4'!G604</f>
        <v>0</v>
      </c>
      <c r="G604" s="293">
        <v>64</v>
      </c>
      <c r="H604" s="45" t="str">
        <f t="shared" si="206"/>
        <v>PLANT</v>
      </c>
      <c r="I604" s="293"/>
      <c r="J604" s="369">
        <f t="shared" ca="1" si="207"/>
        <v>0</v>
      </c>
      <c r="K604" s="369">
        <f t="shared" ca="1" si="207"/>
        <v>0</v>
      </c>
      <c r="L604" s="369">
        <f t="shared" ca="1" si="207"/>
        <v>0</v>
      </c>
      <c r="M604" s="369">
        <f t="shared" ca="1" si="207"/>
        <v>0</v>
      </c>
      <c r="N604" s="369">
        <f t="shared" ca="1" si="207"/>
        <v>0</v>
      </c>
      <c r="O604" s="369">
        <f t="shared" ca="1" si="207"/>
        <v>0</v>
      </c>
      <c r="P604" s="369">
        <f t="shared" ca="1" si="207"/>
        <v>0</v>
      </c>
      <c r="Q604" s="369">
        <f t="shared" ca="1" si="207"/>
        <v>0</v>
      </c>
      <c r="R604" s="369">
        <f t="shared" ca="1" si="207"/>
        <v>0</v>
      </c>
      <c r="S604" s="369">
        <f t="shared" ca="1" si="207"/>
        <v>0</v>
      </c>
      <c r="T604" s="293"/>
      <c r="U604" s="97">
        <f t="shared" ca="1" si="209"/>
        <v>0</v>
      </c>
      <c r="V604" s="41"/>
      <c r="W604" s="41"/>
      <c r="X604" s="305">
        <f t="shared" ca="1" si="210"/>
        <v>0</v>
      </c>
    </row>
    <row r="605" spans="1:24" x14ac:dyDescent="0.2">
      <c r="A605" s="38"/>
      <c r="B605" s="16">
        <f t="shared" si="201"/>
        <v>16</v>
      </c>
      <c r="C605" s="41">
        <v>254</v>
      </c>
      <c r="D605" s="41" t="s">
        <v>1125</v>
      </c>
      <c r="E605" s="293"/>
      <c r="F605" s="97">
        <f>' WP II-I-1.4'!G605</f>
        <v>28226615.820000011</v>
      </c>
      <c r="G605" s="293">
        <v>64</v>
      </c>
      <c r="H605" s="45" t="str">
        <f t="shared" si="206"/>
        <v>PLANT</v>
      </c>
      <c r="I605" s="293"/>
      <c r="J605" s="369">
        <f t="shared" ca="1" si="207"/>
        <v>15164580.28165888</v>
      </c>
      <c r="K605" s="369">
        <f t="shared" ca="1" si="207"/>
        <v>489946.95689033257</v>
      </c>
      <c r="L605" s="369">
        <f t="shared" ca="1" si="207"/>
        <v>9588418.5850019008</v>
      </c>
      <c r="M605" s="369">
        <f t="shared" ca="1" si="207"/>
        <v>2773.5813260007076</v>
      </c>
      <c r="N605" s="369">
        <f t="shared" ca="1" si="207"/>
        <v>1743437.3841558613</v>
      </c>
      <c r="O605" s="369">
        <f t="shared" ca="1" si="207"/>
        <v>189618.41009418378</v>
      </c>
      <c r="P605" s="369">
        <f t="shared" ca="1" si="207"/>
        <v>32849.489917188876</v>
      </c>
      <c r="Q605" s="369">
        <f t="shared" ca="1" si="207"/>
        <v>934987.83627313678</v>
      </c>
      <c r="R605" s="369">
        <f t="shared" ca="1" si="207"/>
        <v>13107.165315820062</v>
      </c>
      <c r="S605" s="369">
        <f t="shared" ca="1" si="207"/>
        <v>66896.129366699693</v>
      </c>
      <c r="T605" s="293"/>
      <c r="U605" s="97">
        <f t="shared" ca="1" si="208"/>
        <v>28226615.820000008</v>
      </c>
      <c r="V605" s="41"/>
      <c r="W605" s="41"/>
      <c r="X605" s="305">
        <f t="shared" ca="1" si="199"/>
        <v>0</v>
      </c>
    </row>
    <row r="606" spans="1:24" x14ac:dyDescent="0.2">
      <c r="A606" s="38"/>
      <c r="B606" s="16">
        <f t="shared" si="201"/>
        <v>17</v>
      </c>
      <c r="C606" s="41">
        <v>254</v>
      </c>
      <c r="D606" s="41" t="s">
        <v>1126</v>
      </c>
      <c r="E606" s="293"/>
      <c r="F606" s="97">
        <f>' WP II-I-1.4'!G606</f>
        <v>12959024.599999996</v>
      </c>
      <c r="G606" s="293">
        <v>64</v>
      </c>
      <c r="H606" s="45" t="str">
        <f t="shared" si="206"/>
        <v>PLANT</v>
      </c>
      <c r="I606" s="293"/>
      <c r="J606" s="369">
        <f t="shared" ca="1" si="207"/>
        <v>6962158.3462885069</v>
      </c>
      <c r="K606" s="369">
        <f t="shared" ca="1" si="207"/>
        <v>224937.86387733373</v>
      </c>
      <c r="L606" s="369">
        <f t="shared" ca="1" si="207"/>
        <v>4402105.9099155134</v>
      </c>
      <c r="M606" s="369">
        <f t="shared" ca="1" si="207"/>
        <v>1273.3693923122153</v>
      </c>
      <c r="N606" s="369">
        <f t="shared" ca="1" si="207"/>
        <v>800423.54683649214</v>
      </c>
      <c r="O606" s="369">
        <f t="shared" ca="1" si="207"/>
        <v>87055.056712902617</v>
      </c>
      <c r="P606" s="369">
        <f t="shared" ca="1" si="207"/>
        <v>15081.416442160733</v>
      </c>
      <c r="Q606" s="369">
        <f t="shared" ca="1" si="207"/>
        <v>429259.05281139514</v>
      </c>
      <c r="R606" s="369">
        <f t="shared" ca="1" si="207"/>
        <v>6017.5856307799795</v>
      </c>
      <c r="S606" s="369">
        <f t="shared" ca="1" si="207"/>
        <v>30712.452092595318</v>
      </c>
      <c r="T606" s="293"/>
      <c r="U606" s="97">
        <f t="shared" ca="1" si="208"/>
        <v>12959024.599999994</v>
      </c>
      <c r="V606" s="41"/>
      <c r="W606" s="41"/>
      <c r="X606" s="305">
        <f t="shared" ca="1" si="199"/>
        <v>0</v>
      </c>
    </row>
    <row r="607" spans="1:24" x14ac:dyDescent="0.2">
      <c r="A607" s="38"/>
      <c r="B607" s="16">
        <f t="shared" si="201"/>
        <v>18</v>
      </c>
      <c r="C607" s="41">
        <v>254</v>
      </c>
      <c r="D607" s="41" t="s">
        <v>1127</v>
      </c>
      <c r="E607" s="293"/>
      <c r="F607" s="97">
        <f>' WP II-I-1.4'!G607</f>
        <v>0</v>
      </c>
      <c r="G607" s="293">
        <v>64</v>
      </c>
      <c r="H607" s="45" t="str">
        <f t="shared" si="206"/>
        <v>PLANT</v>
      </c>
      <c r="I607" s="293"/>
      <c r="J607" s="369">
        <f t="shared" ca="1" si="207"/>
        <v>0</v>
      </c>
      <c r="K607" s="369">
        <f t="shared" ca="1" si="207"/>
        <v>0</v>
      </c>
      <c r="L607" s="369">
        <f t="shared" ca="1" si="207"/>
        <v>0</v>
      </c>
      <c r="M607" s="369">
        <f t="shared" ca="1" si="207"/>
        <v>0</v>
      </c>
      <c r="N607" s="369">
        <f t="shared" ca="1" si="207"/>
        <v>0</v>
      </c>
      <c r="O607" s="369">
        <f t="shared" ca="1" si="207"/>
        <v>0</v>
      </c>
      <c r="P607" s="369">
        <f t="shared" ca="1" si="207"/>
        <v>0</v>
      </c>
      <c r="Q607" s="369">
        <f t="shared" ca="1" si="207"/>
        <v>0</v>
      </c>
      <c r="R607" s="369">
        <f t="shared" ca="1" si="207"/>
        <v>0</v>
      </c>
      <c r="S607" s="369">
        <f t="shared" ca="1" si="207"/>
        <v>0</v>
      </c>
      <c r="T607" s="293"/>
      <c r="U607" s="97">
        <f t="shared" ca="1" si="208"/>
        <v>0</v>
      </c>
      <c r="V607" s="41"/>
      <c r="W607" s="41"/>
      <c r="X607" s="305">
        <f t="shared" ca="1" si="199"/>
        <v>0</v>
      </c>
    </row>
    <row r="608" spans="1:24" x14ac:dyDescent="0.2">
      <c r="A608" s="38"/>
      <c r="B608" s="16">
        <f t="shared" si="201"/>
        <v>19</v>
      </c>
      <c r="C608" s="41">
        <v>254</v>
      </c>
      <c r="D608" s="41" t="s">
        <v>1213</v>
      </c>
      <c r="E608" s="293"/>
      <c r="F608" s="97">
        <f>' WP II-I-1.4'!G608</f>
        <v>0</v>
      </c>
      <c r="G608" s="293">
        <v>37</v>
      </c>
      <c r="H608" s="45" t="str">
        <f t="shared" si="206"/>
        <v>OPEB TOTAL</v>
      </c>
      <c r="I608" s="293"/>
      <c r="J608" s="369">
        <f t="shared" ca="1" si="207"/>
        <v>0</v>
      </c>
      <c r="K608" s="369">
        <f t="shared" ca="1" si="207"/>
        <v>0</v>
      </c>
      <c r="L608" s="369">
        <f t="shared" ca="1" si="207"/>
        <v>0</v>
      </c>
      <c r="M608" s="369">
        <f t="shared" ca="1" si="207"/>
        <v>0</v>
      </c>
      <c r="N608" s="369">
        <f t="shared" ca="1" si="207"/>
        <v>0</v>
      </c>
      <c r="O608" s="369">
        <f t="shared" ca="1" si="207"/>
        <v>0</v>
      </c>
      <c r="P608" s="369">
        <f t="shared" ca="1" si="207"/>
        <v>0</v>
      </c>
      <c r="Q608" s="369">
        <f t="shared" ca="1" si="207"/>
        <v>0</v>
      </c>
      <c r="R608" s="369">
        <f t="shared" ca="1" si="207"/>
        <v>0</v>
      </c>
      <c r="S608" s="369">
        <f t="shared" ca="1" si="207"/>
        <v>0</v>
      </c>
      <c r="T608" s="293"/>
      <c r="U608" s="97">
        <f t="shared" ca="1" si="208"/>
        <v>0</v>
      </c>
      <c r="V608" s="41"/>
      <c r="W608" s="41"/>
      <c r="X608" s="305">
        <f t="shared" ca="1" si="199"/>
        <v>0</v>
      </c>
    </row>
    <row r="609" spans="1:24" x14ac:dyDescent="0.2">
      <c r="A609" s="38"/>
      <c r="B609" s="16">
        <f t="shared" si="201"/>
        <v>20</v>
      </c>
      <c r="C609" s="41">
        <v>254</v>
      </c>
      <c r="D609" s="41" t="s">
        <v>139</v>
      </c>
      <c r="E609" s="293"/>
      <c r="F609" s="97">
        <f>' WP II-I-1.4'!G609</f>
        <v>0</v>
      </c>
      <c r="G609" s="293">
        <v>37</v>
      </c>
      <c r="H609" s="45" t="str">
        <f t="shared" si="206"/>
        <v>OPEB TOTAL</v>
      </c>
      <c r="I609" s="293"/>
      <c r="J609" s="370">
        <f t="shared" ca="1" si="207"/>
        <v>0</v>
      </c>
      <c r="K609" s="370">
        <f t="shared" ca="1" si="207"/>
        <v>0</v>
      </c>
      <c r="L609" s="370">
        <f t="shared" ca="1" si="207"/>
        <v>0</v>
      </c>
      <c r="M609" s="370">
        <f t="shared" ca="1" si="207"/>
        <v>0</v>
      </c>
      <c r="N609" s="370">
        <f t="shared" ca="1" si="207"/>
        <v>0</v>
      </c>
      <c r="O609" s="370">
        <f t="shared" ca="1" si="207"/>
        <v>0</v>
      </c>
      <c r="P609" s="370">
        <f t="shared" ca="1" si="207"/>
        <v>0</v>
      </c>
      <c r="Q609" s="370">
        <f t="shared" ca="1" si="207"/>
        <v>0</v>
      </c>
      <c r="R609" s="370">
        <f t="shared" ca="1" si="207"/>
        <v>0</v>
      </c>
      <c r="S609" s="370">
        <f t="shared" ca="1" si="207"/>
        <v>0</v>
      </c>
      <c r="T609" s="293"/>
      <c r="U609" s="97">
        <f t="shared" ca="1" si="208"/>
        <v>0</v>
      </c>
      <c r="V609" s="41"/>
      <c r="W609" s="41"/>
      <c r="X609" s="305">
        <f t="shared" ca="1" si="199"/>
        <v>0</v>
      </c>
    </row>
    <row r="610" spans="1:24" ht="15" x14ac:dyDescent="0.25">
      <c r="A610" s="36"/>
      <c r="B610" s="16">
        <f t="shared" si="201"/>
        <v>21</v>
      </c>
      <c r="C610" s="33"/>
      <c r="D610" s="42" t="s">
        <v>567</v>
      </c>
      <c r="E610" s="35"/>
      <c r="F610" s="20">
        <f>SUM(F600:F609)</f>
        <v>-516105960.89000005</v>
      </c>
      <c r="G610" s="35"/>
      <c r="H610" s="35"/>
      <c r="I610" s="35"/>
      <c r="J610" s="804">
        <f t="shared" ref="J610:Q610" ca="1" si="211">SUM(J600:J609)</f>
        <v>-277274836.19249898</v>
      </c>
      <c r="K610" s="804">
        <f t="shared" ca="1" si="211"/>
        <v>-8958372.7140201107</v>
      </c>
      <c r="L610" s="804">
        <f t="shared" ca="1" si="211"/>
        <v>-175318218.05296171</v>
      </c>
      <c r="M610" s="804">
        <f t="shared" ca="1" si="211"/>
        <v>-50713.194401005429</v>
      </c>
      <c r="N610" s="804">
        <f t="shared" ca="1" si="211"/>
        <v>-31877658.73667914</v>
      </c>
      <c r="O610" s="804">
        <f ca="1">SUM(O600:O609)</f>
        <v>-3467053.6619820963</v>
      </c>
      <c r="P610" s="804">
        <f t="shared" ca="1" si="211"/>
        <v>-600632.31336590042</v>
      </c>
      <c r="Q610" s="804">
        <f t="shared" ca="1" si="211"/>
        <v>-17095665.974887989</v>
      </c>
      <c r="R610" s="804">
        <f ca="1">SUM(R600:R609)</f>
        <v>-239656.29436428106</v>
      </c>
      <c r="S610" s="804">
        <f ca="1">SUM(S600:S609)</f>
        <v>-1223153.7548386941</v>
      </c>
      <c r="T610" s="806"/>
      <c r="U610" s="20">
        <f t="shared" ca="1" si="208"/>
        <v>-516105960.88999993</v>
      </c>
      <c r="V610" s="34"/>
      <c r="W610" s="34"/>
      <c r="X610" s="305">
        <f t="shared" ca="1" si="199"/>
        <v>0</v>
      </c>
    </row>
    <row r="611" spans="1:24" ht="15.75" thickBot="1" x14ac:dyDescent="0.3">
      <c r="A611" s="38"/>
      <c r="B611" s="16">
        <f t="shared" si="201"/>
        <v>22</v>
      </c>
      <c r="C611" s="33"/>
      <c r="D611" s="41"/>
      <c r="E611" s="293"/>
      <c r="F611" s="281"/>
      <c r="G611" s="293"/>
      <c r="H611" s="293"/>
      <c r="I611" s="293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93"/>
      <c r="U611" s="41"/>
      <c r="V611" s="41"/>
      <c r="W611" s="41"/>
      <c r="X611" s="305">
        <f t="shared" si="199"/>
        <v>0</v>
      </c>
    </row>
    <row r="612" spans="1:24" ht="15.75" thickBot="1" x14ac:dyDescent="0.3">
      <c r="A612" s="36"/>
      <c r="B612" s="16">
        <f t="shared" si="201"/>
        <v>23</v>
      </c>
      <c r="C612" s="291" t="s">
        <v>568</v>
      </c>
      <c r="D612" s="217"/>
      <c r="E612" s="272" t="s">
        <v>127</v>
      </c>
      <c r="F612" s="217">
        <f>F597+F610</f>
        <v>-489654274.89000005</v>
      </c>
      <c r="G612" s="272"/>
      <c r="H612" s="392"/>
      <c r="I612" s="568"/>
      <c r="J612" s="291">
        <f t="shared" ref="J612:Q612" ca="1" si="212">J597+J610</f>
        <v>-263063826.32542127</v>
      </c>
      <c r="K612" s="814">
        <f t="shared" ca="1" si="212"/>
        <v>-8499234.3198547065</v>
      </c>
      <c r="L612" s="814">
        <f t="shared" ca="1" si="212"/>
        <v>-166332732.89014864</v>
      </c>
      <c r="M612" s="814">
        <f t="shared" ca="1" si="212"/>
        <v>-48114.019820578011</v>
      </c>
      <c r="N612" s="814">
        <f t="shared" ca="1" si="212"/>
        <v>-30243851.17928588</v>
      </c>
      <c r="O612" s="814">
        <f ca="1">O597+O610</f>
        <v>-3289358.727682651</v>
      </c>
      <c r="P612" s="814">
        <f t="shared" ca="1" si="212"/>
        <v>-569848.44617860659</v>
      </c>
      <c r="Q612" s="814">
        <f t="shared" ca="1" si="212"/>
        <v>-16219471.505928926</v>
      </c>
      <c r="R612" s="814">
        <f ca="1">R597+R610</f>
        <v>-227373.32627858856</v>
      </c>
      <c r="S612" s="218">
        <f ca="1">S597+S610</f>
        <v>-1160464.1494000738</v>
      </c>
      <c r="T612" s="392"/>
      <c r="U612" s="218">
        <f ca="1">SUM(I612:T612)</f>
        <v>-489654274.88999987</v>
      </c>
      <c r="V612" s="34"/>
      <c r="W612" s="34"/>
      <c r="X612" s="305">
        <f t="shared" ca="1" si="199"/>
        <v>0</v>
      </c>
    </row>
    <row r="613" spans="1:24" ht="15.75" thickBot="1" x14ac:dyDescent="0.3">
      <c r="A613" s="38"/>
      <c r="B613" s="16">
        <f t="shared" si="201"/>
        <v>24</v>
      </c>
      <c r="C613" s="44"/>
      <c r="D613" s="34"/>
      <c r="E613" s="35"/>
      <c r="F613" s="37"/>
      <c r="G613" s="35"/>
      <c r="H613" s="35"/>
      <c r="I613" s="35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5"/>
      <c r="U613" s="41"/>
      <c r="V613" s="34"/>
      <c r="W613" s="34"/>
      <c r="X613" s="305">
        <f t="shared" si="199"/>
        <v>0</v>
      </c>
    </row>
    <row r="614" spans="1:24" ht="15.75" thickBot="1" x14ac:dyDescent="0.3">
      <c r="A614" s="36"/>
      <c r="B614" s="16">
        <f t="shared" si="201"/>
        <v>25</v>
      </c>
      <c r="C614" s="270" t="s">
        <v>569</v>
      </c>
      <c r="D614" s="271"/>
      <c r="E614" s="271"/>
      <c r="F614" s="295">
        <f>F575+F612</f>
        <v>626025299.63999987</v>
      </c>
      <c r="G614" s="271"/>
      <c r="H614" s="399"/>
      <c r="I614" s="270"/>
      <c r="J614" s="400">
        <f t="shared" ref="J614:S614" ca="1" si="213">J575+J612</f>
        <v>336190669.46444732</v>
      </c>
      <c r="K614" s="295">
        <f t="shared" ca="1" si="213"/>
        <v>10846281.922786169</v>
      </c>
      <c r="L614" s="295">
        <f t="shared" ca="1" si="213"/>
        <v>212580793.60945839</v>
      </c>
      <c r="M614" s="295">
        <f t="shared" ca="1" si="213"/>
        <v>66295.92329336048</v>
      </c>
      <c r="N614" s="295">
        <f t="shared" ca="1" si="213"/>
        <v>38900487.868911758</v>
      </c>
      <c r="O614" s="295">
        <f t="shared" ca="1" si="213"/>
        <v>4245256.0125274062</v>
      </c>
      <c r="P614" s="295">
        <f t="shared" ca="1" si="213"/>
        <v>717130.51219344733</v>
      </c>
      <c r="Q614" s="295">
        <f t="shared" ca="1" si="213"/>
        <v>20754208.585542493</v>
      </c>
      <c r="R614" s="295">
        <f t="shared" ca="1" si="213"/>
        <v>283460.15960585914</v>
      </c>
      <c r="S614" s="296">
        <f t="shared" ca="1" si="213"/>
        <v>1440715.5812335031</v>
      </c>
      <c r="T614" s="926"/>
      <c r="U614" s="296">
        <f ca="1">SUM(I614:T614)</f>
        <v>626025299.63999975</v>
      </c>
      <c r="V614" s="34"/>
      <c r="W614" s="34"/>
      <c r="X614" s="305">
        <f t="shared" ca="1" si="199"/>
        <v>0</v>
      </c>
    </row>
    <row r="615" spans="1:24" ht="15.75" thickBot="1" x14ac:dyDescent="0.3">
      <c r="A615" s="38"/>
      <c r="B615" s="16">
        <f t="shared" si="201"/>
        <v>26</v>
      </c>
      <c r="C615" s="297"/>
      <c r="D615" s="297"/>
      <c r="E615" s="297"/>
      <c r="F615" s="297"/>
      <c r="G615" s="297"/>
      <c r="H615" s="297"/>
      <c r="I615" s="297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297"/>
      <c r="U615" s="297"/>
      <c r="V615" s="34"/>
      <c r="W615" s="34"/>
      <c r="X615" s="305">
        <f t="shared" si="199"/>
        <v>0</v>
      </c>
    </row>
    <row r="616" spans="1:24" ht="15.75" thickBot="1" x14ac:dyDescent="0.3">
      <c r="A616" s="118"/>
      <c r="B616" s="16">
        <f t="shared" si="201"/>
        <v>27</v>
      </c>
      <c r="C616" s="276" t="s">
        <v>570</v>
      </c>
      <c r="D616" s="271"/>
      <c r="E616" s="272" t="s">
        <v>571</v>
      </c>
      <c r="F616" s="217">
        <f>F614+F499+F476+F455+F435+F388</f>
        <v>890840335.54948807</v>
      </c>
      <c r="G616" s="272"/>
      <c r="H616" s="392"/>
      <c r="I616" s="568"/>
      <c r="J616" s="291">
        <f t="shared" ref="J616:S616" ca="1" si="214">J614+J499+J476+J455+J435+J388</f>
        <v>462138365.46702749</v>
      </c>
      <c r="K616" s="814">
        <f t="shared" ca="1" si="214"/>
        <v>14917156.078478383</v>
      </c>
      <c r="L616" s="814">
        <f t="shared" ca="1" si="214"/>
        <v>313276925.47290456</v>
      </c>
      <c r="M616" s="814">
        <f t="shared" ca="1" si="214"/>
        <v>79858.581561859959</v>
      </c>
      <c r="N616" s="814">
        <f t="shared" ca="1" si="214"/>
        <v>55578928.782630883</v>
      </c>
      <c r="O616" s="814">
        <f t="shared" ca="1" si="214"/>
        <v>6413751.6580722881</v>
      </c>
      <c r="P616" s="814">
        <f t="shared" ca="1" si="214"/>
        <v>9679019.6915814877</v>
      </c>
      <c r="Q616" s="814">
        <f t="shared" ca="1" si="214"/>
        <v>26288174.679525543</v>
      </c>
      <c r="R616" s="814">
        <f t="shared" ca="1" si="214"/>
        <v>496307.2263326504</v>
      </c>
      <c r="S616" s="218">
        <f t="shared" ca="1" si="214"/>
        <v>1971847.9113726944</v>
      </c>
      <c r="T616" s="392"/>
      <c r="U616" s="218">
        <f ca="1">SUM(I616:T616)</f>
        <v>890840335.54948771</v>
      </c>
      <c r="V616" s="104"/>
      <c r="W616" s="104"/>
      <c r="X616" s="305">
        <f t="shared" ca="1" si="199"/>
        <v>0</v>
      </c>
    </row>
    <row r="617" spans="1:24" ht="15.75" thickBot="1" x14ac:dyDescent="0.3">
      <c r="A617" s="45"/>
      <c r="B617" s="16">
        <f t="shared" si="201"/>
        <v>28</v>
      </c>
      <c r="C617" s="34"/>
      <c r="D617" s="34"/>
      <c r="E617" s="298"/>
      <c r="F617" s="37"/>
      <c r="G617" s="298"/>
      <c r="H617" s="298"/>
      <c r="I617" s="298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298"/>
      <c r="U617" s="37"/>
      <c r="V617" s="64"/>
      <c r="W617" s="64"/>
      <c r="X617" s="305">
        <f t="shared" si="199"/>
        <v>0</v>
      </c>
    </row>
    <row r="618" spans="1:24" ht="15.75" thickBot="1" x14ac:dyDescent="0.3">
      <c r="A618" s="118"/>
      <c r="B618" s="16">
        <f t="shared" si="201"/>
        <v>29</v>
      </c>
      <c r="C618" s="276" t="s">
        <v>572</v>
      </c>
      <c r="D618" s="271"/>
      <c r="E618" s="272" t="s">
        <v>573</v>
      </c>
      <c r="F618" s="217">
        <f>F366+F616+F411</f>
        <v>13507608593.429489</v>
      </c>
      <c r="G618" s="272"/>
      <c r="H618" s="392"/>
      <c r="I618" s="393"/>
      <c r="J618" s="291">
        <f t="shared" ref="J618:S618" ca="1" si="215">J366+J616+J411</f>
        <v>7357582873.6704121</v>
      </c>
      <c r="K618" s="814">
        <f t="shared" ca="1" si="215"/>
        <v>192947772.43513933</v>
      </c>
      <c r="L618" s="814">
        <f t="shared" ca="1" si="215"/>
        <v>4706603529.2625856</v>
      </c>
      <c r="M618" s="814">
        <f t="shared" ca="1" si="215"/>
        <v>1409363.7147611827</v>
      </c>
      <c r="N618" s="814">
        <f t="shared" ca="1" si="215"/>
        <v>891288677.01239192</v>
      </c>
      <c r="O618" s="814">
        <f t="shared" ca="1" si="215"/>
        <v>104779262.53622663</v>
      </c>
      <c r="P618" s="814">
        <f t="shared" ca="1" si="215"/>
        <v>26237684.492605682</v>
      </c>
      <c r="Q618" s="814">
        <f t="shared" ca="1" si="215"/>
        <v>185425474.27335429</v>
      </c>
      <c r="R618" s="814">
        <f t="shared" ca="1" si="215"/>
        <v>7295715.6372283641</v>
      </c>
      <c r="S618" s="218">
        <f t="shared" ca="1" si="215"/>
        <v>34038240.394781895</v>
      </c>
      <c r="T618" s="393"/>
      <c r="U618" s="218">
        <f ca="1">SUM(I618:T618)</f>
        <v>13507608593.429485</v>
      </c>
      <c r="V618" s="104"/>
      <c r="W618" s="104"/>
      <c r="X618" s="305">
        <f t="shared" ca="1" si="199"/>
        <v>0</v>
      </c>
    </row>
    <row r="619" spans="1:24" x14ac:dyDescent="0.2">
      <c r="A619" s="64"/>
      <c r="B619" s="16">
        <f t="shared" si="201"/>
        <v>30</v>
      </c>
      <c r="C619" s="41"/>
      <c r="D619" s="41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41"/>
      <c r="V619" s="64"/>
      <c r="W619" s="64"/>
      <c r="X619" s="305">
        <f t="shared" si="199"/>
        <v>0</v>
      </c>
    </row>
    <row r="620" spans="1:24" ht="15" x14ac:dyDescent="0.25">
      <c r="A620" s="64"/>
      <c r="B620" s="16">
        <f t="shared" si="201"/>
        <v>31</v>
      </c>
      <c r="C620" s="299" t="s">
        <v>140</v>
      </c>
      <c r="D620" s="300"/>
      <c r="E620" s="34"/>
      <c r="F620" s="146">
        <f>' WP II-I-1.4'!G620</f>
        <v>7.4700000000000003E-2</v>
      </c>
      <c r="G620" s="293">
        <v>1</v>
      </c>
      <c r="H620" s="45" t="str">
        <f>VLOOKUP(G620,FactorTable,2)</f>
        <v>ASSIGNED</v>
      </c>
      <c r="I620" s="34"/>
      <c r="J620" s="300">
        <f t="shared" ref="J620:S620" si="216">$F620</f>
        <v>7.4700000000000003E-2</v>
      </c>
      <c r="K620" s="300">
        <f t="shared" si="216"/>
        <v>7.4700000000000003E-2</v>
      </c>
      <c r="L620" s="300">
        <f t="shared" si="216"/>
        <v>7.4700000000000003E-2</v>
      </c>
      <c r="M620" s="300">
        <f t="shared" si="216"/>
        <v>7.4700000000000003E-2</v>
      </c>
      <c r="N620" s="300">
        <f t="shared" si="216"/>
        <v>7.4700000000000003E-2</v>
      </c>
      <c r="O620" s="300">
        <f t="shared" si="216"/>
        <v>7.4700000000000003E-2</v>
      </c>
      <c r="P620" s="300">
        <f t="shared" si="216"/>
        <v>7.4700000000000003E-2</v>
      </c>
      <c r="Q620" s="300">
        <f t="shared" si="216"/>
        <v>7.4700000000000003E-2</v>
      </c>
      <c r="R620" s="300">
        <f t="shared" si="216"/>
        <v>7.4700000000000003E-2</v>
      </c>
      <c r="S620" s="300">
        <f t="shared" si="216"/>
        <v>7.4700000000000003E-2</v>
      </c>
      <c r="T620" s="34"/>
      <c r="U620" s="221">
        <f ca="1">U622/U618</f>
        <v>7.4700000000000003E-2</v>
      </c>
      <c r="V620" s="64"/>
      <c r="W620" s="64"/>
      <c r="X620" s="305">
        <f t="shared" ca="1" si="199"/>
        <v>0</v>
      </c>
    </row>
    <row r="621" spans="1:24" ht="15" thickBot="1" x14ac:dyDescent="0.25">
      <c r="A621" s="64"/>
      <c r="B621" s="16">
        <f t="shared" si="201"/>
        <v>32</v>
      </c>
      <c r="C621" s="1"/>
      <c r="D621" s="202"/>
      <c r="E621" s="202"/>
      <c r="F621" s="1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11"/>
      <c r="V621" s="64"/>
      <c r="W621" s="64"/>
      <c r="X621" s="305">
        <f t="shared" si="199"/>
        <v>0</v>
      </c>
    </row>
    <row r="622" spans="1:24" ht="15.75" thickBot="1" x14ac:dyDescent="0.3">
      <c r="A622" s="45"/>
      <c r="B622" s="16">
        <f t="shared" si="201"/>
        <v>33</v>
      </c>
      <c r="C622" s="276" t="s">
        <v>574</v>
      </c>
      <c r="D622" s="271"/>
      <c r="E622" s="272"/>
      <c r="F622" s="217">
        <f>+F618*F620</f>
        <v>1009018361.9291829</v>
      </c>
      <c r="G622" s="272"/>
      <c r="H622" s="392"/>
      <c r="I622" s="393"/>
      <c r="J622" s="291">
        <f t="shared" ref="J622:Q622" ca="1" si="217">+J618*J620</f>
        <v>549611440.66317976</v>
      </c>
      <c r="K622" s="814">
        <f t="shared" ca="1" si="217"/>
        <v>14413198.600904908</v>
      </c>
      <c r="L622" s="814">
        <f t="shared" ca="1" si="217"/>
        <v>351583283.63591516</v>
      </c>
      <c r="M622" s="814">
        <f t="shared" ca="1" si="217"/>
        <v>105279.46949266036</v>
      </c>
      <c r="N622" s="814">
        <f t="shared" ca="1" si="217"/>
        <v>66579264.172825679</v>
      </c>
      <c r="O622" s="814">
        <f ca="1">+O618*O620</f>
        <v>7827010.9114561295</v>
      </c>
      <c r="P622" s="814">
        <f t="shared" ca="1" si="217"/>
        <v>1959955.0315976446</v>
      </c>
      <c r="Q622" s="814">
        <f t="shared" ca="1" si="217"/>
        <v>13851282.928219566</v>
      </c>
      <c r="R622" s="814">
        <f ca="1">+R618*R620</f>
        <v>544989.95810095884</v>
      </c>
      <c r="S622" s="218">
        <f ca="1">+S618*S620</f>
        <v>2542656.5574902077</v>
      </c>
      <c r="T622" s="393"/>
      <c r="U622" s="195">
        <f ca="1">SUM(I622:T622)</f>
        <v>1009018361.9291826</v>
      </c>
      <c r="V622" s="64"/>
      <c r="W622" s="64"/>
      <c r="X622" s="305">
        <f t="shared" ca="1" si="199"/>
        <v>0</v>
      </c>
    </row>
    <row r="623" spans="1:24" x14ac:dyDescent="0.2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305">
        <f t="shared" si="199"/>
        <v>0</v>
      </c>
    </row>
    <row r="624" spans="1:24" x14ac:dyDescent="0.2">
      <c r="A624" s="64"/>
      <c r="B624" s="64"/>
      <c r="C624" s="64"/>
      <c r="D624" s="64"/>
      <c r="E624" s="64"/>
      <c r="F624" s="64"/>
      <c r="G624" s="64"/>
      <c r="H624" s="105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105"/>
      <c r="V624" s="105">
        <f>$H$2</f>
        <v>0</v>
      </c>
      <c r="W624" s="105"/>
      <c r="X624" s="305"/>
    </row>
    <row r="625" spans="1:24" ht="15" thickBo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305">
        <f t="shared" si="199"/>
        <v>0</v>
      </c>
    </row>
    <row r="626" spans="1:24" ht="15" x14ac:dyDescent="0.25">
      <c r="A626" s="64"/>
      <c r="B626" s="829" t="str">
        <f>+$B$4</f>
        <v>2025 RATE CASE</v>
      </c>
      <c r="C626" s="844"/>
      <c r="D626" s="872"/>
      <c r="F626" s="267"/>
      <c r="U626" s="105" t="s">
        <v>0</v>
      </c>
      <c r="X626" s="305"/>
    </row>
    <row r="627" spans="1:24" ht="15" x14ac:dyDescent="0.25">
      <c r="A627" s="64"/>
      <c r="B627" s="826" t="str">
        <f>+$B$5</f>
        <v>ONCOR ELECTRIC DELIVERY COMPANY LLC</v>
      </c>
      <c r="C627" s="8"/>
      <c r="D627" s="873"/>
      <c r="F627" s="267"/>
      <c r="U627" s="105"/>
      <c r="V627" s="64"/>
      <c r="W627" s="64"/>
      <c r="X627" s="305">
        <f t="shared" si="199"/>
        <v>0</v>
      </c>
    </row>
    <row r="628" spans="1:24" ht="15" x14ac:dyDescent="0.25">
      <c r="A628" s="64"/>
      <c r="B628" s="826" t="str">
        <f>+$B$6</f>
        <v>II-I-1-DIST:  CLASS REVENUE REQUIREMENT</v>
      </c>
      <c r="C628" s="82"/>
      <c r="D628" s="873"/>
      <c r="F628" s="267"/>
      <c r="U628" s="267"/>
      <c r="V628" s="64"/>
      <c r="W628" s="64"/>
      <c r="X628" s="305">
        <f t="shared" si="199"/>
        <v>0</v>
      </c>
    </row>
    <row r="629" spans="1:24" ht="15" x14ac:dyDescent="0.25">
      <c r="A629" s="64"/>
      <c r="B629" s="341" t="str">
        <f>+$B$7</f>
        <v>TEST YEAR ENDING 12/31/2024</v>
      </c>
      <c r="C629" s="82"/>
      <c r="D629" s="873"/>
      <c r="F629" s="267"/>
      <c r="U629" s="267"/>
      <c r="V629" s="64"/>
      <c r="W629" s="64"/>
      <c r="X629" s="305">
        <f t="shared" si="199"/>
        <v>0</v>
      </c>
    </row>
    <row r="630" spans="1:24" ht="15" x14ac:dyDescent="0.25">
      <c r="A630" s="64"/>
      <c r="B630" s="341" t="str">
        <f>+$B$8</f>
        <v>SPONSOR:  MATTHEW A. TROXLE</v>
      </c>
      <c r="C630" s="82"/>
      <c r="D630" s="873"/>
      <c r="F630" s="267"/>
      <c r="U630" s="267"/>
      <c r="V630" s="64"/>
      <c r="W630" s="64"/>
      <c r="X630" s="305">
        <f t="shared" si="199"/>
        <v>0</v>
      </c>
    </row>
    <row r="631" spans="1:24" ht="15.75" thickBot="1" x14ac:dyDescent="0.3">
      <c r="A631" s="64"/>
      <c r="B631" s="345"/>
      <c r="C631" s="843"/>
      <c r="D631" s="845"/>
      <c r="F631" s="267"/>
      <c r="U631" s="267"/>
      <c r="V631" s="64"/>
      <c r="W631" s="64"/>
      <c r="X631" s="305">
        <f t="shared" si="199"/>
        <v>0</v>
      </c>
    </row>
    <row r="632" spans="1:24" ht="15" thickBot="1" x14ac:dyDescent="0.25">
      <c r="A632" s="64"/>
      <c r="B632" s="12"/>
      <c r="C632" s="13"/>
      <c r="D632" s="13"/>
      <c r="E632" s="13"/>
      <c r="F632" s="12"/>
      <c r="G632" s="13"/>
      <c r="H632" s="13"/>
      <c r="I632" s="13"/>
      <c r="J632" s="177"/>
      <c r="K632" s="177"/>
      <c r="L632" s="13"/>
      <c r="M632" s="177"/>
      <c r="N632" s="177"/>
      <c r="O632" s="177"/>
      <c r="P632" s="177"/>
      <c r="Q632" s="13"/>
      <c r="R632" s="328" t="str">
        <f>R$10</f>
        <v xml:space="preserve"> </v>
      </c>
      <c r="S632" s="329"/>
      <c r="T632" s="177"/>
      <c r="U632" s="12"/>
      <c r="V632" s="64"/>
      <c r="W632" s="64"/>
      <c r="X632" s="305">
        <f t="shared" si="199"/>
        <v>0</v>
      </c>
    </row>
    <row r="633" spans="1:24" ht="15" x14ac:dyDescent="0.25">
      <c r="A633" s="64"/>
      <c r="B633" s="14" t="s">
        <v>2</v>
      </c>
      <c r="C633" s="14" t="s">
        <v>349</v>
      </c>
      <c r="D633" s="226" t="s">
        <v>575</v>
      </c>
      <c r="E633" s="14" t="s">
        <v>350</v>
      </c>
      <c r="F633" s="226" t="str">
        <f>F$11</f>
        <v>DIST</v>
      </c>
      <c r="G633" s="181" t="s">
        <v>688</v>
      </c>
      <c r="H633" s="181" t="s">
        <v>355</v>
      </c>
      <c r="I633" s="14"/>
      <c r="J633" s="181" t="s">
        <v>679</v>
      </c>
      <c r="K633" s="181" t="s">
        <v>388</v>
      </c>
      <c r="L633" s="14" t="s">
        <v>388</v>
      </c>
      <c r="M633" s="181" t="s">
        <v>389</v>
      </c>
      <c r="N633" s="181" t="s">
        <v>389</v>
      </c>
      <c r="O633" s="181" t="s">
        <v>389</v>
      </c>
      <c r="P633" s="181" t="s">
        <v>390</v>
      </c>
      <c r="Q633" s="14" t="s">
        <v>391</v>
      </c>
      <c r="R633" s="331" t="str">
        <f>R$11</f>
        <v>Wholesale</v>
      </c>
      <c r="S633" s="12" t="str">
        <f>S$11</f>
        <v>Wholesale</v>
      </c>
      <c r="T633" s="181"/>
      <c r="U633" s="14" t="s">
        <v>10</v>
      </c>
      <c r="V633" s="64"/>
      <c r="W633" s="64"/>
      <c r="X633" s="305"/>
    </row>
    <row r="634" spans="1:24" x14ac:dyDescent="0.2">
      <c r="A634" s="64"/>
      <c r="B634" s="14"/>
      <c r="C634" s="14"/>
      <c r="D634" s="14"/>
      <c r="E634" s="14"/>
      <c r="F634" s="14"/>
      <c r="G634" s="181" t="s">
        <v>689</v>
      </c>
      <c r="H634" s="181" t="s">
        <v>690</v>
      </c>
      <c r="I634" s="14"/>
      <c r="J634" s="181"/>
      <c r="K634" s="181" t="s">
        <v>680</v>
      </c>
      <c r="L634" s="14" t="s">
        <v>681</v>
      </c>
      <c r="M634" s="181" t="s">
        <v>680</v>
      </c>
      <c r="N634" s="181" t="s">
        <v>681</v>
      </c>
      <c r="O634" s="181" t="s">
        <v>393</v>
      </c>
      <c r="P634" s="181"/>
      <c r="Q634" s="14"/>
      <c r="R634" s="174" t="str">
        <f>R$12</f>
        <v>XFMR</v>
      </c>
      <c r="S634" s="14" t="str">
        <f>S$12</f>
        <v>DLS</v>
      </c>
      <c r="T634" s="181"/>
      <c r="U634" s="14"/>
      <c r="V634" s="64"/>
      <c r="W634" s="64"/>
      <c r="X634" s="305">
        <f t="shared" si="199"/>
        <v>0</v>
      </c>
    </row>
    <row r="635" spans="1:24" ht="15" thickBot="1" x14ac:dyDescent="0.25">
      <c r="A635" s="64"/>
      <c r="B635" s="15"/>
      <c r="C635" s="15"/>
      <c r="D635" s="15"/>
      <c r="E635" s="15"/>
      <c r="F635" s="15" t="s">
        <v>13</v>
      </c>
      <c r="G635" s="15" t="s">
        <v>14</v>
      </c>
      <c r="H635" s="15" t="s">
        <v>15</v>
      </c>
      <c r="I635" s="15"/>
      <c r="J635" s="182" t="str">
        <f t="shared" ref="J635:Q635" si="218">J$13</f>
        <v>(d)</v>
      </c>
      <c r="K635" s="182" t="str">
        <f t="shared" si="218"/>
        <v>(e)</v>
      </c>
      <c r="L635" s="15" t="str">
        <f t="shared" si="218"/>
        <v>(f)</v>
      </c>
      <c r="M635" s="182" t="str">
        <f t="shared" si="218"/>
        <v>(g)</v>
      </c>
      <c r="N635" s="182" t="str">
        <f t="shared" si="218"/>
        <v>(h)</v>
      </c>
      <c r="O635" s="182" t="str">
        <f>O$13</f>
        <v>(i)</v>
      </c>
      <c r="P635" s="182" t="str">
        <f t="shared" si="218"/>
        <v>(j)</v>
      </c>
      <c r="Q635" s="182" t="str">
        <f t="shared" si="218"/>
        <v>(k)</v>
      </c>
      <c r="R635" s="182" t="str">
        <f>R$13</f>
        <v>(l)</v>
      </c>
      <c r="S635" s="15" t="str">
        <f>S$13</f>
        <v>(m)</v>
      </c>
      <c r="T635" s="15"/>
      <c r="U635" s="15" t="s">
        <v>683</v>
      </c>
      <c r="V635" s="64"/>
      <c r="W635" s="64"/>
      <c r="X635" s="305"/>
    </row>
    <row r="636" spans="1:24" x14ac:dyDescent="0.2">
      <c r="A636" s="45"/>
      <c r="B636" s="45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41"/>
      <c r="V636" s="64"/>
      <c r="W636" s="64"/>
      <c r="X636" s="305">
        <f t="shared" si="199"/>
        <v>0</v>
      </c>
    </row>
    <row r="637" spans="1:24" ht="15" x14ac:dyDescent="0.25">
      <c r="A637" s="64"/>
      <c r="B637" s="16">
        <f t="shared" ref="B637:B663" si="219">B636+1</f>
        <v>1</v>
      </c>
      <c r="C637" s="8" t="s">
        <v>575</v>
      </c>
      <c r="D637" s="8"/>
      <c r="E637" s="19"/>
      <c r="F637" s="8"/>
      <c r="G637" s="961"/>
      <c r="H637" s="961"/>
      <c r="I637" s="961"/>
      <c r="J637" s="961"/>
      <c r="K637" s="961"/>
      <c r="L637" s="961"/>
      <c r="M637" s="961"/>
      <c r="N637" s="961"/>
      <c r="O637" s="961"/>
      <c r="P637" s="961"/>
      <c r="Q637" s="961"/>
      <c r="R637" s="961"/>
      <c r="S637" s="961"/>
      <c r="T637" s="19"/>
      <c r="U637" s="8"/>
      <c r="V637" s="64"/>
      <c r="W637" s="64"/>
      <c r="X637" s="305">
        <f t="shared" si="199"/>
        <v>0</v>
      </c>
    </row>
    <row r="638" spans="1:24" ht="15" x14ac:dyDescent="0.25">
      <c r="A638" s="64"/>
      <c r="B638" s="16">
        <f t="shared" si="219"/>
        <v>2</v>
      </c>
      <c r="C638" s="8"/>
      <c r="D638" s="8"/>
      <c r="E638" s="19"/>
      <c r="F638" s="8"/>
      <c r="G638" s="961"/>
      <c r="H638" s="961"/>
      <c r="I638" s="961"/>
      <c r="J638" s="961"/>
      <c r="K638" s="961"/>
      <c r="L638" s="961"/>
      <c r="M638" s="961"/>
      <c r="N638" s="961"/>
      <c r="O638" s="961"/>
      <c r="P638" s="961"/>
      <c r="Q638" s="961"/>
      <c r="R638" s="961"/>
      <c r="S638" s="961"/>
      <c r="T638" s="19"/>
      <c r="U638" s="8"/>
      <c r="V638" s="64"/>
      <c r="W638" s="64"/>
      <c r="X638" s="305">
        <f t="shared" si="199"/>
        <v>0</v>
      </c>
    </row>
    <row r="639" spans="1:24" ht="15" x14ac:dyDescent="0.25">
      <c r="A639" s="64"/>
      <c r="B639" s="16">
        <f t="shared" si="219"/>
        <v>3</v>
      </c>
      <c r="C639" s="8"/>
      <c r="D639" s="301" t="s">
        <v>576</v>
      </c>
      <c r="E639" s="19" t="s">
        <v>143</v>
      </c>
      <c r="F639" s="8"/>
      <c r="G639" s="961"/>
      <c r="H639" s="961"/>
      <c r="I639" s="961"/>
      <c r="J639" s="961"/>
      <c r="K639" s="961"/>
      <c r="L639" s="961"/>
      <c r="M639" s="961"/>
      <c r="N639" s="961"/>
      <c r="O639" s="961"/>
      <c r="P639" s="961"/>
      <c r="Q639" s="961"/>
      <c r="R639" s="961"/>
      <c r="S639" s="961"/>
      <c r="T639" s="913"/>
      <c r="U639" s="8"/>
      <c r="V639" s="64"/>
      <c r="W639" s="64"/>
      <c r="X639" s="305">
        <f t="shared" si="199"/>
        <v>0</v>
      </c>
    </row>
    <row r="640" spans="1:24" x14ac:dyDescent="0.2">
      <c r="A640" s="64"/>
      <c r="B640" s="16">
        <f t="shared" si="219"/>
        <v>4</v>
      </c>
      <c r="C640" s="26" t="s">
        <v>144</v>
      </c>
      <c r="D640" s="1" t="s">
        <v>145</v>
      </c>
      <c r="E640" s="16"/>
      <c r="F640" s="23">
        <f>' WP II-I-1.4'!G640</f>
        <v>61587.37</v>
      </c>
      <c r="G640" s="16">
        <v>28</v>
      </c>
      <c r="H640" s="1" t="str">
        <f t="shared" ref="H640:H647" si="220">VLOOKUP(G640,FactorTable,2)</f>
        <v>NCP XHV</v>
      </c>
      <c r="I640" s="16"/>
      <c r="J640" s="369">
        <f t="shared" ref="J640:S647" si="221">$F640*HLOOKUP(J$1354,FactorTable,$G640+1)</f>
        <v>31579.940552552864</v>
      </c>
      <c r="K640" s="369">
        <f t="shared" si="221"/>
        <v>596.62930722258989</v>
      </c>
      <c r="L640" s="369">
        <f t="shared" si="221"/>
        <v>20283.929175573572</v>
      </c>
      <c r="M640" s="369">
        <f t="shared" si="221"/>
        <v>9.4916764433753631</v>
      </c>
      <c r="N640" s="369">
        <f t="shared" si="221"/>
        <v>5966.3451706149563</v>
      </c>
      <c r="O640" s="369">
        <f t="shared" si="221"/>
        <v>2564.4525915599811</v>
      </c>
      <c r="P640" s="369">
        <f t="shared" si="221"/>
        <v>0</v>
      </c>
      <c r="Q640" s="369">
        <f t="shared" si="221"/>
        <v>180.38638451073388</v>
      </c>
      <c r="R640" s="369">
        <f t="shared" si="221"/>
        <v>177.26498205245139</v>
      </c>
      <c r="S640" s="369">
        <f t="shared" si="221"/>
        <v>228.93015946947301</v>
      </c>
      <c r="T640" s="16"/>
      <c r="U640" s="98">
        <f t="shared" ref="U640:U648" si="222">SUM(I640:T640)</f>
        <v>61587.369999999995</v>
      </c>
      <c r="V640" s="64"/>
      <c r="W640" s="64"/>
      <c r="X640" s="305">
        <f t="shared" si="199"/>
        <v>0</v>
      </c>
    </row>
    <row r="641" spans="1:24" x14ac:dyDescent="0.2">
      <c r="A641" s="64"/>
      <c r="B641" s="16">
        <f t="shared" si="219"/>
        <v>5</v>
      </c>
      <c r="C641" s="1" t="s">
        <v>146</v>
      </c>
      <c r="D641" s="1" t="s">
        <v>147</v>
      </c>
      <c r="E641" s="16"/>
      <c r="F641" s="23">
        <f>' WP II-I-1.4'!G641</f>
        <v>0</v>
      </c>
      <c r="G641" s="16">
        <v>28</v>
      </c>
      <c r="H641" s="1" t="str">
        <f t="shared" si="220"/>
        <v>NCP XHV</v>
      </c>
      <c r="I641" s="16"/>
      <c r="J641" s="369">
        <f t="shared" si="221"/>
        <v>0</v>
      </c>
      <c r="K641" s="369">
        <f t="shared" si="221"/>
        <v>0</v>
      </c>
      <c r="L641" s="369">
        <f t="shared" si="221"/>
        <v>0</v>
      </c>
      <c r="M641" s="369">
        <f t="shared" si="221"/>
        <v>0</v>
      </c>
      <c r="N641" s="369">
        <f t="shared" si="221"/>
        <v>0</v>
      </c>
      <c r="O641" s="369">
        <f t="shared" si="221"/>
        <v>0</v>
      </c>
      <c r="P641" s="369">
        <f t="shared" si="221"/>
        <v>0</v>
      </c>
      <c r="Q641" s="369">
        <f t="shared" si="221"/>
        <v>0</v>
      </c>
      <c r="R641" s="369">
        <f t="shared" si="221"/>
        <v>0</v>
      </c>
      <c r="S641" s="369">
        <f t="shared" si="221"/>
        <v>0</v>
      </c>
      <c r="T641" s="16"/>
      <c r="U641" s="98">
        <f t="shared" si="222"/>
        <v>0</v>
      </c>
      <c r="V641" s="64"/>
      <c r="W641" s="64"/>
      <c r="X641" s="305">
        <f t="shared" si="199"/>
        <v>0</v>
      </c>
    </row>
    <row r="642" spans="1:24" x14ac:dyDescent="0.2">
      <c r="A642" s="64"/>
      <c r="B642" s="16">
        <f t="shared" si="219"/>
        <v>6</v>
      </c>
      <c r="C642" s="1" t="s">
        <v>148</v>
      </c>
      <c r="D642" s="1" t="s">
        <v>149</v>
      </c>
      <c r="E642" s="16"/>
      <c r="F642" s="23">
        <f>' WP II-I-1.4'!G642</f>
        <v>187768.98</v>
      </c>
      <c r="G642" s="16">
        <v>28</v>
      </c>
      <c r="H642" s="1" t="str">
        <f t="shared" si="220"/>
        <v>NCP XHV</v>
      </c>
      <c r="I642" s="16"/>
      <c r="J642" s="369">
        <f t="shared" si="221"/>
        <v>96281.643882722827</v>
      </c>
      <c r="K642" s="369">
        <f t="shared" si="221"/>
        <v>1819.017055855646</v>
      </c>
      <c r="L642" s="369">
        <f t="shared" si="221"/>
        <v>61842.106452827757</v>
      </c>
      <c r="M642" s="369">
        <f t="shared" si="221"/>
        <v>28.938439882440502</v>
      </c>
      <c r="N642" s="369">
        <f t="shared" si="221"/>
        <v>18190.329397314683</v>
      </c>
      <c r="O642" s="369">
        <f t="shared" si="221"/>
        <v>7818.561620273349</v>
      </c>
      <c r="P642" s="369">
        <f t="shared" si="221"/>
        <v>0</v>
      </c>
      <c r="Q642" s="369">
        <f t="shared" si="221"/>
        <v>549.96612820888924</v>
      </c>
      <c r="R642" s="369">
        <f t="shared" si="221"/>
        <v>540.44952511703468</v>
      </c>
      <c r="S642" s="369">
        <f t="shared" si="221"/>
        <v>697.96749779736149</v>
      </c>
      <c r="T642" s="16"/>
      <c r="U642" s="98">
        <f t="shared" si="222"/>
        <v>187768.97999999998</v>
      </c>
      <c r="V642" s="64"/>
      <c r="W642" s="64"/>
      <c r="X642" s="305">
        <f t="shared" ref="X642:X705" si="223">U642-F642</f>
        <v>0</v>
      </c>
    </row>
    <row r="643" spans="1:24" x14ac:dyDescent="0.2">
      <c r="A643" s="64"/>
      <c r="B643" s="16">
        <f t="shared" si="219"/>
        <v>7</v>
      </c>
      <c r="C643" s="1" t="s">
        <v>150</v>
      </c>
      <c r="D643" s="1" t="s">
        <v>151</v>
      </c>
      <c r="E643" s="16"/>
      <c r="F643" s="23">
        <f>' WP II-I-1.4'!G643</f>
        <v>-1237.3399999999999</v>
      </c>
      <c r="G643" s="16">
        <v>28</v>
      </c>
      <c r="H643" s="1" t="str">
        <f t="shared" si="220"/>
        <v>NCP XHV</v>
      </c>
      <c r="I643" s="16"/>
      <c r="J643" s="369">
        <f t="shared" si="221"/>
        <v>-634.46650901468524</v>
      </c>
      <c r="K643" s="369">
        <f t="shared" si="221"/>
        <v>-11.986764607723943</v>
      </c>
      <c r="L643" s="369">
        <f t="shared" si="221"/>
        <v>-407.52051802348763</v>
      </c>
      <c r="M643" s="369">
        <f t="shared" si="221"/>
        <v>-0.1906954450311171</v>
      </c>
      <c r="N643" s="369">
        <f t="shared" si="221"/>
        <v>-119.86869277594919</v>
      </c>
      <c r="O643" s="369">
        <f t="shared" si="221"/>
        <v>-51.521923563886986</v>
      </c>
      <c r="P643" s="369">
        <f t="shared" si="221"/>
        <v>0</v>
      </c>
      <c r="Q643" s="369">
        <f t="shared" si="221"/>
        <v>-3.6241081411742608</v>
      </c>
      <c r="R643" s="369">
        <f t="shared" si="221"/>
        <v>-3.5613966450066008</v>
      </c>
      <c r="S643" s="369">
        <f t="shared" si="221"/>
        <v>-4.5993917830548323</v>
      </c>
      <c r="T643" s="16"/>
      <c r="U643" s="98">
        <f t="shared" si="222"/>
        <v>-1237.3399999999999</v>
      </c>
      <c r="V643" s="64"/>
      <c r="W643" s="64"/>
      <c r="X643" s="305">
        <f t="shared" si="223"/>
        <v>0</v>
      </c>
    </row>
    <row r="644" spans="1:24" s="321" customFormat="1" ht="13.5" customHeight="1" x14ac:dyDescent="0.2">
      <c r="A644" s="45"/>
      <c r="B644" s="16">
        <f t="shared" si="219"/>
        <v>8</v>
      </c>
      <c r="C644" s="1" t="s">
        <v>152</v>
      </c>
      <c r="D644" s="1" t="s">
        <v>153</v>
      </c>
      <c r="E644" s="16"/>
      <c r="F644" s="23">
        <f>' WP II-I-1.4'!G644</f>
        <v>0</v>
      </c>
      <c r="G644" s="16">
        <v>28</v>
      </c>
      <c r="H644" s="1" t="str">
        <f t="shared" si="220"/>
        <v>NCP XHV</v>
      </c>
      <c r="I644" s="16"/>
      <c r="J644" s="369">
        <f t="shared" si="221"/>
        <v>0</v>
      </c>
      <c r="K644" s="369">
        <f t="shared" si="221"/>
        <v>0</v>
      </c>
      <c r="L644" s="369">
        <f t="shared" si="221"/>
        <v>0</v>
      </c>
      <c r="M644" s="369">
        <f t="shared" si="221"/>
        <v>0</v>
      </c>
      <c r="N644" s="369">
        <f t="shared" si="221"/>
        <v>0</v>
      </c>
      <c r="O644" s="369">
        <f t="shared" si="221"/>
        <v>0</v>
      </c>
      <c r="P644" s="369">
        <f t="shared" si="221"/>
        <v>0</v>
      </c>
      <c r="Q644" s="369">
        <f t="shared" si="221"/>
        <v>0</v>
      </c>
      <c r="R644" s="369">
        <f t="shared" si="221"/>
        <v>0</v>
      </c>
      <c r="S644" s="369">
        <f t="shared" si="221"/>
        <v>0</v>
      </c>
      <c r="T644" s="16"/>
      <c r="U644" s="23">
        <f t="shared" si="222"/>
        <v>0</v>
      </c>
      <c r="V644" s="45"/>
      <c r="W644" s="45"/>
      <c r="X644" s="751">
        <f t="shared" si="223"/>
        <v>0</v>
      </c>
    </row>
    <row r="645" spans="1:24" s="321" customFormat="1" ht="15" x14ac:dyDescent="0.25">
      <c r="A645" s="539"/>
      <c r="B645" s="16">
        <f t="shared" si="219"/>
        <v>9</v>
      </c>
      <c r="C645" s="1" t="s">
        <v>154</v>
      </c>
      <c r="D645" s="1" t="s">
        <v>155</v>
      </c>
      <c r="E645" s="16"/>
      <c r="F645" s="23">
        <f>' WP II-I-1.4'!G645</f>
        <v>2100841472.6600001</v>
      </c>
      <c r="G645" s="16">
        <v>23</v>
      </c>
      <c r="H645" s="1" t="str">
        <f t="shared" si="220"/>
        <v>4CP RTL</v>
      </c>
      <c r="I645" s="16"/>
      <c r="J645" s="369">
        <f t="shared" si="221"/>
        <v>921404987.56823277</v>
      </c>
      <c r="K645" s="369">
        <f t="shared" si="221"/>
        <v>18574877.225939702</v>
      </c>
      <c r="L645" s="369">
        <f t="shared" si="221"/>
        <v>641459520.33425462</v>
      </c>
      <c r="M645" s="369">
        <f t="shared" si="221"/>
        <v>202929.38868169783</v>
      </c>
      <c r="N645" s="369">
        <f t="shared" si="221"/>
        <v>199449419.61540604</v>
      </c>
      <c r="O645" s="369">
        <f t="shared" si="221"/>
        <v>72408095.541425809</v>
      </c>
      <c r="P645" s="369">
        <f t="shared" si="221"/>
        <v>247341642.9860594</v>
      </c>
      <c r="Q645" s="369">
        <f t="shared" si="221"/>
        <v>0</v>
      </c>
      <c r="R645" s="369">
        <f t="shared" si="221"/>
        <v>0</v>
      </c>
      <c r="S645" s="369">
        <f t="shared" si="221"/>
        <v>0</v>
      </c>
      <c r="T645" s="16"/>
      <c r="U645" s="23">
        <f t="shared" si="222"/>
        <v>2100841472.6599998</v>
      </c>
      <c r="V645" s="539"/>
      <c r="W645" s="539"/>
      <c r="X645" s="751">
        <f t="shared" si="223"/>
        <v>0</v>
      </c>
    </row>
    <row r="646" spans="1:24" s="321" customFormat="1" x14ac:dyDescent="0.2">
      <c r="A646" s="45"/>
      <c r="B646" s="16">
        <f t="shared" si="219"/>
        <v>10</v>
      </c>
      <c r="C646" s="1" t="s">
        <v>156</v>
      </c>
      <c r="D646" s="29" t="s">
        <v>157</v>
      </c>
      <c r="E646" s="16"/>
      <c r="F646" s="23">
        <f>' WP II-I-1.4'!G646</f>
        <v>595090.37</v>
      </c>
      <c r="G646" s="16">
        <v>28</v>
      </c>
      <c r="H646" s="1" t="str">
        <f t="shared" si="220"/>
        <v>NCP XHV</v>
      </c>
      <c r="I646" s="16"/>
      <c r="J646" s="369">
        <f t="shared" si="221"/>
        <v>305142.41001031036</v>
      </c>
      <c r="K646" s="369">
        <f t="shared" si="221"/>
        <v>5764.9540025484885</v>
      </c>
      <c r="L646" s="369">
        <f t="shared" si="221"/>
        <v>195994.25853297309</v>
      </c>
      <c r="M646" s="369">
        <f t="shared" si="221"/>
        <v>91.713694652142607</v>
      </c>
      <c r="N646" s="369">
        <f t="shared" si="221"/>
        <v>57650.043428205609</v>
      </c>
      <c r="O646" s="369">
        <f t="shared" si="221"/>
        <v>24779.123407264964</v>
      </c>
      <c r="P646" s="369">
        <f t="shared" si="221"/>
        <v>0</v>
      </c>
      <c r="Q646" s="369">
        <f t="shared" si="221"/>
        <v>1742.9904914182064</v>
      </c>
      <c r="R646" s="369">
        <f t="shared" si="221"/>
        <v>1712.8298181532457</v>
      </c>
      <c r="S646" s="369">
        <f t="shared" si="221"/>
        <v>2212.0466144738393</v>
      </c>
      <c r="T646" s="16"/>
      <c r="U646" s="23">
        <f t="shared" si="222"/>
        <v>595090.36999999988</v>
      </c>
      <c r="V646" s="45"/>
      <c r="W646" s="45"/>
      <c r="X646" s="751">
        <f t="shared" si="223"/>
        <v>0</v>
      </c>
    </row>
    <row r="647" spans="1:24" x14ac:dyDescent="0.2">
      <c r="A647" s="64"/>
      <c r="B647" s="16">
        <f t="shared" si="219"/>
        <v>11</v>
      </c>
      <c r="C647" s="1" t="s">
        <v>158</v>
      </c>
      <c r="D647" s="1" t="s">
        <v>159</v>
      </c>
      <c r="E647" s="16"/>
      <c r="F647" s="98">
        <f>' WP II-I-1.4'!G647</f>
        <v>0</v>
      </c>
      <c r="G647" s="16">
        <v>28</v>
      </c>
      <c r="H647" s="1" t="str">
        <f t="shared" si="220"/>
        <v>NCP XHV</v>
      </c>
      <c r="I647" s="16"/>
      <c r="J647" s="370">
        <f t="shared" si="221"/>
        <v>0</v>
      </c>
      <c r="K647" s="370">
        <f t="shared" si="221"/>
        <v>0</v>
      </c>
      <c r="L647" s="370">
        <f t="shared" si="221"/>
        <v>0</v>
      </c>
      <c r="M647" s="370">
        <f t="shared" si="221"/>
        <v>0</v>
      </c>
      <c r="N647" s="370">
        <f t="shared" si="221"/>
        <v>0</v>
      </c>
      <c r="O647" s="370">
        <f t="shared" si="221"/>
        <v>0</v>
      </c>
      <c r="P647" s="370">
        <f t="shared" si="221"/>
        <v>0</v>
      </c>
      <c r="Q647" s="370">
        <f t="shared" si="221"/>
        <v>0</v>
      </c>
      <c r="R647" s="370">
        <f t="shared" si="221"/>
        <v>0</v>
      </c>
      <c r="S647" s="370">
        <f t="shared" si="221"/>
        <v>0</v>
      </c>
      <c r="T647" s="16"/>
      <c r="U647" s="98">
        <f t="shared" si="222"/>
        <v>0</v>
      </c>
      <c r="V647" s="64"/>
      <c r="W647" s="64"/>
      <c r="X647" s="305">
        <f t="shared" si="223"/>
        <v>0</v>
      </c>
    </row>
    <row r="648" spans="1:24" ht="15" x14ac:dyDescent="0.25">
      <c r="A648" s="64"/>
      <c r="B648" s="16">
        <f t="shared" si="219"/>
        <v>12</v>
      </c>
      <c r="C648" s="8"/>
      <c r="D648" s="233" t="s">
        <v>444</v>
      </c>
      <c r="E648" s="19"/>
      <c r="F648" s="805">
        <f>SUM(F640:F647)</f>
        <v>2101684682.04</v>
      </c>
      <c r="G648" s="961"/>
      <c r="H648" s="961"/>
      <c r="I648" s="961"/>
      <c r="J648" s="805">
        <f t="shared" ref="J648:Q648" si="224">SUM(J640:J647)</f>
        <v>921837357.09616935</v>
      </c>
      <c r="K648" s="805">
        <f t="shared" si="224"/>
        <v>18583045.83954072</v>
      </c>
      <c r="L648" s="805">
        <f t="shared" si="224"/>
        <v>641737233.107898</v>
      </c>
      <c r="M648" s="805">
        <f t="shared" si="224"/>
        <v>203059.34179723077</v>
      </c>
      <c r="N648" s="805">
        <f t="shared" si="224"/>
        <v>199531106.4647094</v>
      </c>
      <c r="O648" s="805">
        <f>SUM(O640:O647)</f>
        <v>72443206.157121345</v>
      </c>
      <c r="P648" s="805">
        <f t="shared" si="224"/>
        <v>247341642.9860594</v>
      </c>
      <c r="Q648" s="805">
        <f t="shared" si="224"/>
        <v>2469.7188959966552</v>
      </c>
      <c r="R648" s="805">
        <f>SUM(R640:R647)</f>
        <v>2426.9829286777249</v>
      </c>
      <c r="S648" s="805">
        <f>SUM(S640:S647)</f>
        <v>3134.344879957619</v>
      </c>
      <c r="T648" s="913"/>
      <c r="U648" s="235">
        <f t="shared" si="222"/>
        <v>2101684682.0400002</v>
      </c>
      <c r="V648" s="64"/>
      <c r="W648" s="64"/>
      <c r="X648" s="305">
        <f t="shared" si="223"/>
        <v>0</v>
      </c>
    </row>
    <row r="649" spans="1:24" ht="15" x14ac:dyDescent="0.25">
      <c r="A649" s="64"/>
      <c r="B649" s="16">
        <f t="shared" si="219"/>
        <v>13</v>
      </c>
      <c r="C649" s="8"/>
      <c r="D649" s="19"/>
      <c r="E649" s="19"/>
      <c r="F649" s="805"/>
      <c r="G649" s="961"/>
      <c r="H649" s="961"/>
      <c r="I649" s="961"/>
      <c r="J649" s="805"/>
      <c r="K649" s="805"/>
      <c r="L649" s="805"/>
      <c r="M649" s="805"/>
      <c r="N649" s="805"/>
      <c r="O649" s="805"/>
      <c r="P649" s="805"/>
      <c r="Q649" s="805"/>
      <c r="R649" s="805"/>
      <c r="S649" s="805"/>
      <c r="T649" s="913"/>
      <c r="U649" s="8"/>
      <c r="V649" s="64"/>
      <c r="W649" s="64"/>
      <c r="X649" s="305">
        <f t="shared" si="223"/>
        <v>0</v>
      </c>
    </row>
    <row r="650" spans="1:24" ht="15" x14ac:dyDescent="0.25">
      <c r="A650" s="64"/>
      <c r="B650" s="16">
        <f t="shared" si="219"/>
        <v>14</v>
      </c>
      <c r="C650" s="8"/>
      <c r="D650" s="233" t="s">
        <v>577</v>
      </c>
      <c r="E650" s="19"/>
      <c r="F650" s="805">
        <f>F648-F645</f>
        <v>843209.37999987602</v>
      </c>
      <c r="G650" s="961"/>
      <c r="H650" s="961"/>
      <c r="I650" s="961"/>
      <c r="J650" s="805">
        <f t="shared" ref="J650:Q650" si="225">J648-J645</f>
        <v>432369.5279365778</v>
      </c>
      <c r="K650" s="805">
        <f t="shared" si="225"/>
        <v>8168.6136010177433</v>
      </c>
      <c r="L650" s="805">
        <f t="shared" si="225"/>
        <v>277712.77364337444</v>
      </c>
      <c r="M650" s="805">
        <f t="shared" si="225"/>
        <v>129.95311553293141</v>
      </c>
      <c r="N650" s="805">
        <f t="shared" si="225"/>
        <v>81686.849303364754</v>
      </c>
      <c r="O650" s="805">
        <f>O648-O645</f>
        <v>35110.615695536137</v>
      </c>
      <c r="P650" s="805">
        <f t="shared" si="225"/>
        <v>0</v>
      </c>
      <c r="Q650" s="805">
        <f t="shared" si="225"/>
        <v>2469.7188959966552</v>
      </c>
      <c r="R650" s="805">
        <f>R648-R645</f>
        <v>2426.9829286777249</v>
      </c>
      <c r="S650" s="805">
        <f>S648-S645</f>
        <v>3134.344879957619</v>
      </c>
      <c r="T650" s="913"/>
      <c r="U650" s="235">
        <f>SUM(I650:T650)</f>
        <v>843209.38000003574</v>
      </c>
      <c r="V650" s="64"/>
      <c r="W650" s="64"/>
      <c r="X650" s="305">
        <f t="shared" si="223"/>
        <v>1.5972182154655457E-7</v>
      </c>
    </row>
    <row r="651" spans="1:24" ht="15" x14ac:dyDescent="0.25">
      <c r="A651" s="64"/>
      <c r="B651" s="16">
        <f t="shared" si="219"/>
        <v>15</v>
      </c>
      <c r="C651" s="8"/>
      <c r="D651" s="19"/>
      <c r="E651" s="19"/>
      <c r="F651" s="805"/>
      <c r="G651" s="961"/>
      <c r="H651" s="961"/>
      <c r="I651" s="961"/>
      <c r="J651" s="961"/>
      <c r="K651" s="961"/>
      <c r="L651" s="961"/>
      <c r="M651" s="961"/>
      <c r="N651" s="961"/>
      <c r="O651" s="961"/>
      <c r="P651" s="961"/>
      <c r="Q651" s="961"/>
      <c r="R651" s="961"/>
      <c r="S651" s="961"/>
      <c r="T651" s="913"/>
      <c r="U651" s="8"/>
      <c r="V651" s="64"/>
      <c r="W651" s="64"/>
      <c r="X651" s="305">
        <f t="shared" si="223"/>
        <v>0</v>
      </c>
    </row>
    <row r="652" spans="1:24" ht="15" x14ac:dyDescent="0.25">
      <c r="A652" s="64"/>
      <c r="B652" s="16">
        <f t="shared" si="219"/>
        <v>16</v>
      </c>
      <c r="C652" s="8"/>
      <c r="D652" s="301" t="s">
        <v>578</v>
      </c>
      <c r="E652" s="19" t="s">
        <v>143</v>
      </c>
      <c r="F652" s="805"/>
      <c r="G652" s="1201"/>
      <c r="H652" s="1201"/>
      <c r="I652" s="961"/>
      <c r="J652" s="961"/>
      <c r="K652" s="961"/>
      <c r="L652" s="961"/>
      <c r="M652" s="961"/>
      <c r="N652" s="961"/>
      <c r="O652" s="961"/>
      <c r="P652" s="961"/>
      <c r="Q652" s="961"/>
      <c r="R652" s="961"/>
      <c r="S652" s="961"/>
      <c r="T652" s="913"/>
      <c r="U652" s="8"/>
      <c r="V652" s="64"/>
      <c r="W652" s="64"/>
      <c r="X652" s="305">
        <f t="shared" si="223"/>
        <v>0</v>
      </c>
    </row>
    <row r="653" spans="1:24" x14ac:dyDescent="0.2">
      <c r="A653" s="64"/>
      <c r="B653" s="16">
        <f t="shared" si="219"/>
        <v>17</v>
      </c>
      <c r="C653" s="1" t="s">
        <v>161</v>
      </c>
      <c r="D653" s="1" t="s">
        <v>162</v>
      </c>
      <c r="E653" s="16"/>
      <c r="F653" s="23">
        <f>' WP II-I-1.4'!G653</f>
        <v>43504.86</v>
      </c>
      <c r="G653" s="16">
        <v>28</v>
      </c>
      <c r="H653" s="1" t="str">
        <f t="shared" ref="H653:H658" si="226">VLOOKUP(G653,FactorTable,2)</f>
        <v>NCP XHV</v>
      </c>
      <c r="I653" s="16"/>
      <c r="J653" s="369">
        <f t="shared" ref="J653:S658" si="227">$F653*HLOOKUP(J$1354,FactorTable,$G653+1)</f>
        <v>22307.835073118644</v>
      </c>
      <c r="K653" s="369">
        <f t="shared" si="227"/>
        <v>421.45450410718564</v>
      </c>
      <c r="L653" s="369">
        <f t="shared" si="227"/>
        <v>14328.416671035695</v>
      </c>
      <c r="M653" s="369">
        <f t="shared" si="227"/>
        <v>6.7048496280055971</v>
      </c>
      <c r="N653" s="369">
        <f t="shared" si="227"/>
        <v>4214.5818429863102</v>
      </c>
      <c r="O653" s="369">
        <f t="shared" si="227"/>
        <v>1811.5102329009042</v>
      </c>
      <c r="P653" s="369">
        <f t="shared" si="227"/>
        <v>0</v>
      </c>
      <c r="Q653" s="369">
        <f t="shared" si="227"/>
        <v>127.42360006679367</v>
      </c>
      <c r="R653" s="369">
        <f t="shared" si="227"/>
        <v>125.21866459136687</v>
      </c>
      <c r="S653" s="369">
        <f t="shared" si="227"/>
        <v>161.71456156509194</v>
      </c>
      <c r="T653" s="16"/>
      <c r="U653" s="97">
        <f t="shared" ref="U653:U659" si="228">SUM(I653:T653)</f>
        <v>43504.860000000008</v>
      </c>
      <c r="V653" s="64"/>
      <c r="W653" s="64"/>
      <c r="X653" s="305">
        <f t="shared" si="223"/>
        <v>0</v>
      </c>
    </row>
    <row r="654" spans="1:24" x14ac:dyDescent="0.2">
      <c r="A654" s="64"/>
      <c r="B654" s="16">
        <f t="shared" si="219"/>
        <v>18</v>
      </c>
      <c r="C654" s="1" t="s">
        <v>163</v>
      </c>
      <c r="D654" s="29" t="s">
        <v>164</v>
      </c>
      <c r="E654" s="16"/>
      <c r="F654" s="23">
        <f>' WP II-I-1.4'!G654</f>
        <v>142.1</v>
      </c>
      <c r="G654" s="16">
        <v>28</v>
      </c>
      <c r="H654" s="1" t="str">
        <f t="shared" si="226"/>
        <v>NCP XHV</v>
      </c>
      <c r="I654" s="16"/>
      <c r="J654" s="369">
        <f t="shared" si="227"/>
        <v>72.864120557798799</v>
      </c>
      <c r="K654" s="369">
        <f t="shared" si="227"/>
        <v>1.3765975809054685</v>
      </c>
      <c r="L654" s="369">
        <f t="shared" si="227"/>
        <v>46.800932331564155</v>
      </c>
      <c r="M654" s="369">
        <f t="shared" si="227"/>
        <v>2.1900062019268543E-2</v>
      </c>
      <c r="N654" s="369">
        <f t="shared" si="227"/>
        <v>13.766096015211971</v>
      </c>
      <c r="O654" s="369">
        <f t="shared" si="227"/>
        <v>5.916939029230722</v>
      </c>
      <c r="P654" s="369">
        <f t="shared" si="227"/>
        <v>0</v>
      </c>
      <c r="Q654" s="369">
        <f t="shared" si="227"/>
        <v>0.41620392685992735</v>
      </c>
      <c r="R654" s="369">
        <f t="shared" si="227"/>
        <v>0.4090019422757189</v>
      </c>
      <c r="S654" s="369">
        <f t="shared" si="227"/>
        <v>0.52820855413394197</v>
      </c>
      <c r="T654" s="16"/>
      <c r="U654" s="97">
        <f t="shared" si="228"/>
        <v>142.1</v>
      </c>
      <c r="V654" s="64"/>
      <c r="W654" s="64"/>
      <c r="X654" s="305">
        <f t="shared" si="223"/>
        <v>0</v>
      </c>
    </row>
    <row r="655" spans="1:24" x14ac:dyDescent="0.2">
      <c r="A655" s="64"/>
      <c r="B655" s="16">
        <f t="shared" si="219"/>
        <v>19</v>
      </c>
      <c r="C655" s="1" t="s">
        <v>165</v>
      </c>
      <c r="D655" s="1" t="s">
        <v>166</v>
      </c>
      <c r="E655" s="16"/>
      <c r="F655" s="23">
        <f>' WP II-I-1.4'!G655</f>
        <v>150005.04999999999</v>
      </c>
      <c r="G655" s="16">
        <v>28</v>
      </c>
      <c r="H655" s="1" t="str">
        <f t="shared" si="226"/>
        <v>NCP XHV</v>
      </c>
      <c r="I655" s="16"/>
      <c r="J655" s="369">
        <f t="shared" si="227"/>
        <v>76917.565429124821</v>
      </c>
      <c r="K655" s="369">
        <f t="shared" si="227"/>
        <v>1453.1779658944674</v>
      </c>
      <c r="L655" s="369">
        <f t="shared" si="227"/>
        <v>49404.477089675558</v>
      </c>
      <c r="M655" s="369">
        <f t="shared" si="227"/>
        <v>23.118366630566353</v>
      </c>
      <c r="N655" s="369">
        <f t="shared" si="227"/>
        <v>14531.906552193332</v>
      </c>
      <c r="O655" s="369">
        <f t="shared" si="227"/>
        <v>6246.0994716868818</v>
      </c>
      <c r="P655" s="369">
        <f t="shared" si="227"/>
        <v>0</v>
      </c>
      <c r="Q655" s="369">
        <f t="shared" si="227"/>
        <v>439.35743039282016</v>
      </c>
      <c r="R655" s="369">
        <f t="shared" si="227"/>
        <v>431.75479803776443</v>
      </c>
      <c r="S655" s="369">
        <f t="shared" si="227"/>
        <v>557.59289636375559</v>
      </c>
      <c r="T655" s="16"/>
      <c r="U655" s="97">
        <f t="shared" si="228"/>
        <v>150005.04999999996</v>
      </c>
      <c r="V655" s="64"/>
      <c r="W655" s="64"/>
      <c r="X655" s="305">
        <f t="shared" si="223"/>
        <v>0</v>
      </c>
    </row>
    <row r="656" spans="1:24" x14ac:dyDescent="0.2">
      <c r="A656" s="64"/>
      <c r="B656" s="16">
        <f t="shared" si="219"/>
        <v>20</v>
      </c>
      <c r="C656" s="1" t="s">
        <v>167</v>
      </c>
      <c r="D656" s="1" t="s">
        <v>168</v>
      </c>
      <c r="E656" s="16"/>
      <c r="F656" s="23">
        <f>' WP II-I-1.4'!G656</f>
        <v>12682.44</v>
      </c>
      <c r="G656" s="16">
        <v>28</v>
      </c>
      <c r="H656" s="1" t="str">
        <f t="shared" si="226"/>
        <v>NCP XHV</v>
      </c>
      <c r="I656" s="16"/>
      <c r="J656" s="369">
        <f t="shared" si="227"/>
        <v>6503.1304512811394</v>
      </c>
      <c r="K656" s="369">
        <f t="shared" si="227"/>
        <v>122.86147940871746</v>
      </c>
      <c r="L656" s="369">
        <f t="shared" si="227"/>
        <v>4176.988150873487</v>
      </c>
      <c r="M656" s="369">
        <f t="shared" si="227"/>
        <v>1.9545828469785516</v>
      </c>
      <c r="N656" s="369">
        <f t="shared" si="227"/>
        <v>1228.6255224994013</v>
      </c>
      <c r="O656" s="369">
        <f t="shared" si="227"/>
        <v>528.08743294776127</v>
      </c>
      <c r="P656" s="369">
        <f t="shared" si="227"/>
        <v>0</v>
      </c>
      <c r="Q656" s="369">
        <f t="shared" si="227"/>
        <v>37.146244406512437</v>
      </c>
      <c r="R656" s="369">
        <f t="shared" si="227"/>
        <v>36.50346652213419</v>
      </c>
      <c r="S656" s="369">
        <f t="shared" si="227"/>
        <v>47.142669213866789</v>
      </c>
      <c r="T656" s="16"/>
      <c r="U656" s="97">
        <f t="shared" si="228"/>
        <v>12682.439999999997</v>
      </c>
      <c r="V656" s="64"/>
      <c r="W656" s="64"/>
      <c r="X656" s="305">
        <f t="shared" si="223"/>
        <v>0</v>
      </c>
    </row>
    <row r="657" spans="1:24" x14ac:dyDescent="0.2">
      <c r="A657" s="64"/>
      <c r="B657" s="16">
        <f t="shared" si="219"/>
        <v>21</v>
      </c>
      <c r="C657" s="1" t="s">
        <v>169</v>
      </c>
      <c r="D657" s="29" t="s">
        <v>170</v>
      </c>
      <c r="E657" s="16"/>
      <c r="F657" s="23">
        <f>' WP II-I-1.4'!G657</f>
        <v>0</v>
      </c>
      <c r="G657" s="16">
        <v>28</v>
      </c>
      <c r="H657" s="1" t="str">
        <f t="shared" si="226"/>
        <v>NCP XHV</v>
      </c>
      <c r="I657" s="16"/>
      <c r="J657" s="369">
        <f t="shared" si="227"/>
        <v>0</v>
      </c>
      <c r="K657" s="369">
        <f t="shared" si="227"/>
        <v>0</v>
      </c>
      <c r="L657" s="369">
        <f t="shared" si="227"/>
        <v>0</v>
      </c>
      <c r="M657" s="369">
        <f t="shared" si="227"/>
        <v>0</v>
      </c>
      <c r="N657" s="369">
        <f t="shared" si="227"/>
        <v>0</v>
      </c>
      <c r="O657" s="369">
        <f t="shared" si="227"/>
        <v>0</v>
      </c>
      <c r="P657" s="369">
        <f t="shared" si="227"/>
        <v>0</v>
      </c>
      <c r="Q657" s="369">
        <f t="shared" si="227"/>
        <v>0</v>
      </c>
      <c r="R657" s="369">
        <f t="shared" si="227"/>
        <v>0</v>
      </c>
      <c r="S657" s="369">
        <f t="shared" si="227"/>
        <v>0</v>
      </c>
      <c r="T657" s="16"/>
      <c r="U657" s="97">
        <f t="shared" si="228"/>
        <v>0</v>
      </c>
      <c r="V657" s="64"/>
      <c r="W657" s="64"/>
      <c r="X657" s="305">
        <f t="shared" si="223"/>
        <v>0</v>
      </c>
    </row>
    <row r="658" spans="1:24" x14ac:dyDescent="0.2">
      <c r="A658" s="64"/>
      <c r="B658" s="16">
        <f t="shared" si="219"/>
        <v>22</v>
      </c>
      <c r="C658" s="1" t="s">
        <v>171</v>
      </c>
      <c r="D658" s="29" t="s">
        <v>172</v>
      </c>
      <c r="E658" s="16"/>
      <c r="F658" s="23">
        <f>' WP II-I-1.4'!G658</f>
        <v>89251.47</v>
      </c>
      <c r="G658" s="16">
        <v>28</v>
      </c>
      <c r="H658" s="1" t="str">
        <f t="shared" si="226"/>
        <v>NCP XHV</v>
      </c>
      <c r="I658" s="16"/>
      <c r="J658" s="370">
        <f t="shared" si="227"/>
        <v>45765.164461933593</v>
      </c>
      <c r="K658" s="370">
        <f t="shared" si="227"/>
        <v>864.62602177520751</v>
      </c>
      <c r="L658" s="370">
        <f t="shared" si="227"/>
        <v>29395.158395233135</v>
      </c>
      <c r="M658" s="370">
        <f t="shared" si="227"/>
        <v>13.755191613728964</v>
      </c>
      <c r="N658" s="370">
        <f t="shared" si="227"/>
        <v>8646.3357179367395</v>
      </c>
      <c r="O658" s="370">
        <f t="shared" si="227"/>
        <v>3716.365279797431</v>
      </c>
      <c r="P658" s="370">
        <f t="shared" si="227"/>
        <v>0</v>
      </c>
      <c r="Q658" s="370">
        <f t="shared" si="227"/>
        <v>261.41317587629135</v>
      </c>
      <c r="R658" s="370">
        <f t="shared" si="227"/>
        <v>256.88968741001446</v>
      </c>
      <c r="S658" s="370">
        <f t="shared" si="227"/>
        <v>331.76206842384869</v>
      </c>
      <c r="T658" s="16"/>
      <c r="U658" s="97">
        <f t="shared" si="228"/>
        <v>89251.470000000016</v>
      </c>
      <c r="V658" s="64"/>
      <c r="W658" s="64"/>
      <c r="X658" s="305">
        <f t="shared" si="223"/>
        <v>0</v>
      </c>
    </row>
    <row r="659" spans="1:24" ht="15" x14ac:dyDescent="0.25">
      <c r="A659" s="64"/>
      <c r="B659" s="16">
        <f t="shared" si="219"/>
        <v>23</v>
      </c>
      <c r="C659" s="8"/>
      <c r="D659" s="233" t="s">
        <v>444</v>
      </c>
      <c r="E659" s="19"/>
      <c r="F659" s="805">
        <f>SUM(F653:F658)</f>
        <v>295585.91999999998</v>
      </c>
      <c r="G659" s="1201"/>
      <c r="H659" s="1201"/>
      <c r="I659" s="961"/>
      <c r="J659" s="805">
        <f t="shared" ref="J659:Q659" si="229">SUM(J653:J658)</f>
        <v>151566.55953601599</v>
      </c>
      <c r="K659" s="805">
        <f t="shared" si="229"/>
        <v>2863.4965687664835</v>
      </c>
      <c r="L659" s="805">
        <f t="shared" si="229"/>
        <v>97351.841239149449</v>
      </c>
      <c r="M659" s="805">
        <f t="shared" si="229"/>
        <v>45.554890781298738</v>
      </c>
      <c r="N659" s="805">
        <f t="shared" si="229"/>
        <v>28635.215731630997</v>
      </c>
      <c r="O659" s="805">
        <f>SUM(O653:O658)</f>
        <v>12307.979356362208</v>
      </c>
      <c r="P659" s="805">
        <f t="shared" si="229"/>
        <v>0</v>
      </c>
      <c r="Q659" s="805">
        <f t="shared" si="229"/>
        <v>865.75665466927751</v>
      </c>
      <c r="R659" s="805">
        <f>SUM(R653:R658)</f>
        <v>850.77561850355573</v>
      </c>
      <c r="S659" s="805">
        <f>SUM(S653:S658)</f>
        <v>1098.7404041206969</v>
      </c>
      <c r="T659" s="913"/>
      <c r="U659" s="235">
        <f t="shared" si="228"/>
        <v>295585.91999999998</v>
      </c>
      <c r="V659" s="64"/>
      <c r="W659" s="64"/>
      <c r="X659" s="305">
        <f t="shared" si="223"/>
        <v>0</v>
      </c>
    </row>
    <row r="660" spans="1:24" ht="15.75" thickBot="1" x14ac:dyDescent="0.3">
      <c r="A660" s="64"/>
      <c r="B660" s="16">
        <f t="shared" si="219"/>
        <v>24</v>
      </c>
      <c r="C660" s="8"/>
      <c r="D660" s="233"/>
      <c r="E660" s="19"/>
      <c r="F660" s="21"/>
      <c r="G660" s="19"/>
      <c r="H660" s="19"/>
      <c r="I660" s="19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19"/>
      <c r="U660" s="8"/>
      <c r="V660" s="64"/>
      <c r="W660" s="64"/>
      <c r="X660" s="305">
        <f t="shared" si="223"/>
        <v>0</v>
      </c>
    </row>
    <row r="661" spans="1:24" ht="15.75" thickBot="1" x14ac:dyDescent="0.3">
      <c r="A661" s="64"/>
      <c r="B661" s="16">
        <f t="shared" si="219"/>
        <v>25</v>
      </c>
      <c r="C661" s="779" t="s">
        <v>579</v>
      </c>
      <c r="D661" s="920"/>
      <c r="E661" s="916"/>
      <c r="F661" s="917">
        <f>+F659+F648</f>
        <v>2101980267.96</v>
      </c>
      <c r="G661" s="916"/>
      <c r="H661" s="916"/>
      <c r="I661" s="919"/>
      <c r="J661" s="917">
        <f t="shared" ref="J661:Q661" si="230">+J659+J648</f>
        <v>921988923.65570533</v>
      </c>
      <c r="K661" s="917">
        <f t="shared" si="230"/>
        <v>18585909.336109485</v>
      </c>
      <c r="L661" s="917">
        <f t="shared" si="230"/>
        <v>641834584.94913709</v>
      </c>
      <c r="M661" s="917">
        <f t="shared" si="230"/>
        <v>203104.89668801206</v>
      </c>
      <c r="N661" s="917">
        <f t="shared" si="230"/>
        <v>199559741.68044102</v>
      </c>
      <c r="O661" s="917">
        <f>+O659+O648</f>
        <v>72455514.136477709</v>
      </c>
      <c r="P661" s="917">
        <f t="shared" si="230"/>
        <v>247341642.9860594</v>
      </c>
      <c r="Q661" s="917">
        <f t="shared" si="230"/>
        <v>3335.4755506659326</v>
      </c>
      <c r="R661" s="917">
        <f>+R659+R648</f>
        <v>3277.7585471812808</v>
      </c>
      <c r="S661" s="917">
        <f>+S659+S648</f>
        <v>4233.0852840783155</v>
      </c>
      <c r="T661" s="919"/>
      <c r="U661" s="918">
        <f>SUM(I661:T661)</f>
        <v>2101980267.9599996</v>
      </c>
      <c r="V661" s="64"/>
      <c r="W661" s="64"/>
      <c r="X661" s="305">
        <f t="shared" si="223"/>
        <v>0</v>
      </c>
    </row>
    <row r="662" spans="1:24" ht="15.75" thickBot="1" x14ac:dyDescent="0.3">
      <c r="A662" s="64"/>
      <c r="B662" s="16">
        <f t="shared" si="219"/>
        <v>26</v>
      </c>
      <c r="C662" s="8"/>
      <c r="D662" s="8"/>
      <c r="E662" s="19"/>
      <c r="F662" s="21"/>
      <c r="G662" s="19"/>
      <c r="H662" s="19"/>
      <c r="I662" s="19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19"/>
      <c r="U662" s="8"/>
      <c r="V662" s="64"/>
      <c r="W662" s="64"/>
      <c r="X662" s="305">
        <f t="shared" si="223"/>
        <v>0</v>
      </c>
    </row>
    <row r="663" spans="1:24" ht="15.75" thickBot="1" x14ac:dyDescent="0.3">
      <c r="A663" s="64"/>
      <c r="B663" s="16">
        <f t="shared" si="219"/>
        <v>27</v>
      </c>
      <c r="C663" s="779" t="s">
        <v>580</v>
      </c>
      <c r="D663" s="920"/>
      <c r="E663" s="916"/>
      <c r="F663" s="917">
        <f>F661-F645</f>
        <v>1138795.2999999523</v>
      </c>
      <c r="G663" s="916"/>
      <c r="H663" s="916"/>
      <c r="I663" s="919"/>
      <c r="J663" s="917">
        <f t="shared" ref="J663:Q663" si="231">J661-J645</f>
        <v>583936.08747255802</v>
      </c>
      <c r="K663" s="917">
        <f t="shared" si="231"/>
        <v>11032.110169783235</v>
      </c>
      <c r="L663" s="917">
        <f t="shared" si="231"/>
        <v>375064.61488246918</v>
      </c>
      <c r="M663" s="917">
        <f t="shared" si="231"/>
        <v>175.50800631422317</v>
      </c>
      <c r="N663" s="917">
        <f t="shared" si="231"/>
        <v>110322.06503498554</v>
      </c>
      <c r="O663" s="917">
        <f>O661-O645</f>
        <v>47418.595051899552</v>
      </c>
      <c r="P663" s="917">
        <f t="shared" si="231"/>
        <v>0</v>
      </c>
      <c r="Q663" s="917">
        <f t="shared" si="231"/>
        <v>3335.4755506659326</v>
      </c>
      <c r="R663" s="917">
        <f>R661-R645</f>
        <v>3277.7585471812808</v>
      </c>
      <c r="S663" s="917">
        <f>S661-S645</f>
        <v>4233.0852840783155</v>
      </c>
      <c r="T663" s="919"/>
      <c r="U663" s="918">
        <f>SUM(I663:T663)</f>
        <v>1138795.2999999353</v>
      </c>
      <c r="V663" s="64"/>
      <c r="W663" s="64"/>
      <c r="X663" s="305">
        <f t="shared" si="223"/>
        <v>-1.6996636986732483E-8</v>
      </c>
    </row>
    <row r="664" spans="1:24" ht="15" x14ac:dyDescent="0.25">
      <c r="A664" s="64"/>
      <c r="B664" s="16"/>
      <c r="C664" s="8"/>
      <c r="D664" s="8"/>
      <c r="E664" s="19"/>
      <c r="F664" s="21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8"/>
      <c r="V664" s="64"/>
      <c r="W664" s="64"/>
      <c r="X664" s="305">
        <f t="shared" si="223"/>
        <v>0</v>
      </c>
    </row>
    <row r="665" spans="1:24" ht="15" x14ac:dyDescent="0.25">
      <c r="A665" s="64"/>
      <c r="B665" s="16"/>
      <c r="C665" s="8"/>
      <c r="D665" s="8"/>
      <c r="E665" s="19"/>
      <c r="F665" s="21"/>
      <c r="G665" s="19"/>
      <c r="H665" s="105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05"/>
      <c r="V665" s="105">
        <f>$H$2</f>
        <v>0</v>
      </c>
      <c r="W665" s="105"/>
      <c r="X665" s="305"/>
    </row>
    <row r="666" spans="1:24" ht="15.75" thickBot="1" x14ac:dyDescent="0.3">
      <c r="A666" s="64"/>
      <c r="B666" s="16"/>
      <c r="C666" s="8"/>
      <c r="D666" s="8"/>
      <c r="E666" s="19"/>
      <c r="F666" s="21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8"/>
      <c r="V666" s="64"/>
      <c r="W666" s="64"/>
      <c r="X666" s="305">
        <f t="shared" si="223"/>
        <v>0</v>
      </c>
    </row>
    <row r="667" spans="1:24" ht="15" x14ac:dyDescent="0.25">
      <c r="A667" s="64"/>
      <c r="B667" s="829" t="str">
        <f>+$B$4</f>
        <v>2025 RATE CASE</v>
      </c>
      <c r="C667" s="844"/>
      <c r="D667" s="872"/>
      <c r="F667" s="267"/>
      <c r="U667" s="105"/>
      <c r="X667" s="305">
        <f t="shared" si="223"/>
        <v>0</v>
      </c>
    </row>
    <row r="668" spans="1:24" ht="15" x14ac:dyDescent="0.25">
      <c r="A668" s="64"/>
      <c r="B668" s="826" t="str">
        <f>+$B$5</f>
        <v>ONCOR ELECTRIC DELIVERY COMPANY LLC</v>
      </c>
      <c r="C668" s="8"/>
      <c r="D668" s="873"/>
      <c r="F668" s="267"/>
      <c r="U668" s="105"/>
      <c r="V668" s="64"/>
      <c r="W668" s="64"/>
      <c r="X668" s="305">
        <f t="shared" si="223"/>
        <v>0</v>
      </c>
    </row>
    <row r="669" spans="1:24" ht="15" x14ac:dyDescent="0.25">
      <c r="A669" s="64"/>
      <c r="B669" s="826" t="str">
        <f>+$B$6</f>
        <v>II-I-1-DIST:  CLASS REVENUE REQUIREMENT</v>
      </c>
      <c r="C669" s="82"/>
      <c r="D669" s="873"/>
      <c r="F669" s="267"/>
      <c r="U669" s="267"/>
      <c r="V669" s="64"/>
      <c r="W669" s="64"/>
      <c r="X669" s="305">
        <f t="shared" si="223"/>
        <v>0</v>
      </c>
    </row>
    <row r="670" spans="1:24" ht="15" x14ac:dyDescent="0.25">
      <c r="A670" s="64"/>
      <c r="B670" s="341" t="str">
        <f>+$B$7</f>
        <v>TEST YEAR ENDING 12/31/2024</v>
      </c>
      <c r="C670" s="82"/>
      <c r="D670" s="873"/>
      <c r="F670" s="267"/>
      <c r="U670" s="267"/>
      <c r="V670" s="64"/>
      <c r="W670" s="64"/>
      <c r="X670" s="305">
        <f t="shared" si="223"/>
        <v>0</v>
      </c>
    </row>
    <row r="671" spans="1:24" ht="15" x14ac:dyDescent="0.25">
      <c r="A671" s="64"/>
      <c r="B671" s="341" t="str">
        <f>+$B$8</f>
        <v>SPONSOR:  MATTHEW A. TROXLE</v>
      </c>
      <c r="C671" s="82"/>
      <c r="D671" s="873"/>
      <c r="F671" s="267"/>
      <c r="U671" s="267"/>
      <c r="V671" s="64"/>
      <c r="W671" s="64"/>
      <c r="X671" s="305">
        <f t="shared" si="223"/>
        <v>0</v>
      </c>
    </row>
    <row r="672" spans="1:24" ht="15.75" thickBot="1" x14ac:dyDescent="0.3">
      <c r="A672" s="64"/>
      <c r="B672" s="345"/>
      <c r="C672" s="843"/>
      <c r="D672" s="845"/>
      <c r="F672" s="267"/>
      <c r="U672" s="267"/>
      <c r="V672" s="64"/>
      <c r="W672" s="64"/>
      <c r="X672" s="305">
        <f t="shared" si="223"/>
        <v>0</v>
      </c>
    </row>
    <row r="673" spans="1:24" ht="15" thickBot="1" x14ac:dyDescent="0.25">
      <c r="A673" s="64"/>
      <c r="B673" s="12"/>
      <c r="C673" s="13"/>
      <c r="D673" s="13"/>
      <c r="E673" s="13"/>
      <c r="F673" s="12"/>
      <c r="G673" s="13"/>
      <c r="H673" s="13"/>
      <c r="I673" s="13"/>
      <c r="J673" s="177"/>
      <c r="K673" s="177"/>
      <c r="L673" s="13"/>
      <c r="M673" s="177"/>
      <c r="N673" s="177"/>
      <c r="O673" s="177"/>
      <c r="P673" s="177"/>
      <c r="Q673" s="13"/>
      <c r="R673" s="328" t="str">
        <f>R$10</f>
        <v xml:space="preserve"> </v>
      </c>
      <c r="S673" s="329"/>
      <c r="T673" s="177"/>
      <c r="U673" s="12"/>
      <c r="V673" s="64"/>
      <c r="W673" s="64"/>
      <c r="X673" s="305">
        <f t="shared" si="223"/>
        <v>0</v>
      </c>
    </row>
    <row r="674" spans="1:24" ht="15" x14ac:dyDescent="0.25">
      <c r="A674" s="64"/>
      <c r="B674" s="14" t="s">
        <v>2</v>
      </c>
      <c r="C674" s="14" t="s">
        <v>349</v>
      </c>
      <c r="D674" s="226" t="s">
        <v>581</v>
      </c>
      <c r="E674" s="14" t="s">
        <v>350</v>
      </c>
      <c r="F674" s="226" t="str">
        <f>F$11</f>
        <v>DIST</v>
      </c>
      <c r="G674" s="181" t="s">
        <v>688</v>
      </c>
      <c r="H674" s="181" t="s">
        <v>355</v>
      </c>
      <c r="I674" s="14"/>
      <c r="J674" s="181" t="s">
        <v>679</v>
      </c>
      <c r="K674" s="181" t="s">
        <v>388</v>
      </c>
      <c r="L674" s="14" t="s">
        <v>388</v>
      </c>
      <c r="M674" s="181" t="s">
        <v>389</v>
      </c>
      <c r="N674" s="181" t="s">
        <v>389</v>
      </c>
      <c r="O674" s="181" t="s">
        <v>389</v>
      </c>
      <c r="P674" s="181" t="s">
        <v>390</v>
      </c>
      <c r="Q674" s="14" t="s">
        <v>391</v>
      </c>
      <c r="R674" s="331" t="str">
        <f>R$11</f>
        <v>Wholesale</v>
      </c>
      <c r="S674" s="12" t="str">
        <f>S$11</f>
        <v>Wholesale</v>
      </c>
      <c r="T674" s="181"/>
      <c r="U674" s="14" t="s">
        <v>10</v>
      </c>
      <c r="V674" s="64"/>
      <c r="W674" s="64"/>
      <c r="X674" s="305"/>
    </row>
    <row r="675" spans="1:24" x14ac:dyDescent="0.2">
      <c r="A675" s="64"/>
      <c r="B675" s="14"/>
      <c r="C675" s="14"/>
      <c r="D675" s="14"/>
      <c r="E675" s="14"/>
      <c r="F675" s="14"/>
      <c r="G675" s="181" t="s">
        <v>689</v>
      </c>
      <c r="H675" s="181" t="s">
        <v>690</v>
      </c>
      <c r="I675" s="14"/>
      <c r="J675" s="181"/>
      <c r="K675" s="181" t="s">
        <v>680</v>
      </c>
      <c r="L675" s="14" t="s">
        <v>681</v>
      </c>
      <c r="M675" s="181" t="s">
        <v>680</v>
      </c>
      <c r="N675" s="181" t="s">
        <v>681</v>
      </c>
      <c r="O675" s="181" t="s">
        <v>393</v>
      </c>
      <c r="P675" s="181"/>
      <c r="Q675" s="14"/>
      <c r="R675" s="174" t="str">
        <f>R$12</f>
        <v>XFMR</v>
      </c>
      <c r="S675" s="14" t="str">
        <f>S$12</f>
        <v>DLS</v>
      </c>
      <c r="T675" s="181"/>
      <c r="U675" s="14"/>
      <c r="V675" s="64"/>
      <c r="W675" s="64"/>
      <c r="X675" s="305">
        <f t="shared" si="223"/>
        <v>0</v>
      </c>
    </row>
    <row r="676" spans="1:24" ht="15" thickBot="1" x14ac:dyDescent="0.25">
      <c r="A676" s="64"/>
      <c r="B676" s="15"/>
      <c r="C676" s="15"/>
      <c r="D676" s="15"/>
      <c r="E676" s="15"/>
      <c r="F676" s="15" t="s">
        <v>13</v>
      </c>
      <c r="G676" s="15" t="s">
        <v>14</v>
      </c>
      <c r="H676" s="15" t="s">
        <v>15</v>
      </c>
      <c r="I676" s="15"/>
      <c r="J676" s="182" t="str">
        <f t="shared" ref="J676:Q676" si="232">J$13</f>
        <v>(d)</v>
      </c>
      <c r="K676" s="182" t="str">
        <f t="shared" si="232"/>
        <v>(e)</v>
      </c>
      <c r="L676" s="15" t="str">
        <f t="shared" si="232"/>
        <v>(f)</v>
      </c>
      <c r="M676" s="182" t="str">
        <f t="shared" si="232"/>
        <v>(g)</v>
      </c>
      <c r="N676" s="182" t="str">
        <f t="shared" si="232"/>
        <v>(h)</v>
      </c>
      <c r="O676" s="182" t="str">
        <f>O$13</f>
        <v>(i)</v>
      </c>
      <c r="P676" s="182" t="str">
        <f t="shared" si="232"/>
        <v>(j)</v>
      </c>
      <c r="Q676" s="182" t="str">
        <f t="shared" si="232"/>
        <v>(k)</v>
      </c>
      <c r="R676" s="182" t="str">
        <f>R$13</f>
        <v>(l)</v>
      </c>
      <c r="S676" s="15" t="str">
        <f>S$13</f>
        <v>(m)</v>
      </c>
      <c r="T676" s="15"/>
      <c r="U676" s="15" t="s">
        <v>683</v>
      </c>
      <c r="V676" s="64"/>
      <c r="W676" s="64"/>
      <c r="X676" s="305"/>
    </row>
    <row r="677" spans="1:24" x14ac:dyDescent="0.2">
      <c r="A677" s="45"/>
      <c r="B677" s="45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41"/>
      <c r="V677" s="64"/>
      <c r="W677" s="64"/>
      <c r="X677" s="305">
        <f t="shared" si="223"/>
        <v>0</v>
      </c>
    </row>
    <row r="678" spans="1:24" ht="15" x14ac:dyDescent="0.25">
      <c r="A678" s="64"/>
      <c r="B678" s="16">
        <f t="shared" ref="B678:B709" si="233">B677+1</f>
        <v>1</v>
      </c>
      <c r="C678" s="8" t="s">
        <v>581</v>
      </c>
      <c r="D678" s="8"/>
      <c r="E678" s="19"/>
      <c r="F678" s="8"/>
      <c r="G678" s="961"/>
      <c r="H678" s="961"/>
      <c r="I678" s="961"/>
      <c r="J678" s="961"/>
      <c r="K678" s="961"/>
      <c r="L678" s="961"/>
      <c r="M678" s="961"/>
      <c r="N678" s="961"/>
      <c r="O678" s="961"/>
      <c r="P678" s="961"/>
      <c r="Q678" s="961"/>
      <c r="R678" s="961"/>
      <c r="S678" s="961"/>
      <c r="T678" s="19"/>
      <c r="U678" s="8"/>
      <c r="V678" s="64"/>
      <c r="W678" s="64"/>
      <c r="X678" s="305">
        <f t="shared" si="223"/>
        <v>0</v>
      </c>
    </row>
    <row r="679" spans="1:24" ht="15" x14ac:dyDescent="0.25">
      <c r="A679" s="64"/>
      <c r="B679" s="16">
        <f t="shared" si="233"/>
        <v>2</v>
      </c>
      <c r="C679" s="8"/>
      <c r="D679" s="301" t="s">
        <v>576</v>
      </c>
      <c r="E679" s="19" t="s">
        <v>143</v>
      </c>
      <c r="F679" s="8"/>
      <c r="G679" s="961"/>
      <c r="H679" s="961"/>
      <c r="I679" s="961"/>
      <c r="J679" s="961"/>
      <c r="K679" s="961"/>
      <c r="L679" s="961"/>
      <c r="M679" s="961"/>
      <c r="N679" s="961"/>
      <c r="O679" s="961"/>
      <c r="P679" s="961"/>
      <c r="Q679" s="961"/>
      <c r="R679" s="961"/>
      <c r="S679" s="961"/>
      <c r="T679" s="913"/>
      <c r="U679" s="8"/>
      <c r="V679" s="64"/>
      <c r="W679" s="64"/>
      <c r="X679" s="305">
        <f t="shared" si="223"/>
        <v>0</v>
      </c>
    </row>
    <row r="680" spans="1:24" x14ac:dyDescent="0.2">
      <c r="A680" s="64"/>
      <c r="B680" s="16">
        <f t="shared" si="233"/>
        <v>3</v>
      </c>
      <c r="C680" s="1" t="s">
        <v>174</v>
      </c>
      <c r="D680" s="26" t="s">
        <v>145</v>
      </c>
      <c r="E680" s="64"/>
      <c r="F680" s="98">
        <f>' WP II-I-1.4'!G680</f>
        <v>11602331.33</v>
      </c>
      <c r="G680" s="10">
        <v>71</v>
      </c>
      <c r="H680" s="1" t="str">
        <f t="shared" ref="H680:H689" si="234">VLOOKUP(G680,FactorTable,2)</f>
        <v>DIST OPS</v>
      </c>
      <c r="I680" s="11"/>
      <c r="J680" s="369">
        <f t="shared" ref="J680:S689" si="235">$F680*HLOOKUP(J$1354,FactorTable,$G680+1)</f>
        <v>6189470.6030148286</v>
      </c>
      <c r="K680" s="369">
        <f t="shared" si="235"/>
        <v>154050.28016043076</v>
      </c>
      <c r="L680" s="369">
        <f t="shared" si="235"/>
        <v>3947820.3337110719</v>
      </c>
      <c r="M680" s="369">
        <f t="shared" si="235"/>
        <v>8682.9067777035598</v>
      </c>
      <c r="N680" s="369">
        <f t="shared" si="235"/>
        <v>1047620.2473739291</v>
      </c>
      <c r="O680" s="369">
        <f t="shared" si="235"/>
        <v>167439.86582159682</v>
      </c>
      <c r="P680" s="369">
        <f t="shared" si="235"/>
        <v>3743.7533709122399</v>
      </c>
      <c r="Q680" s="369">
        <f t="shared" si="235"/>
        <v>33954.674334086354</v>
      </c>
      <c r="R680" s="369">
        <f t="shared" si="235"/>
        <v>11450.0341402827</v>
      </c>
      <c r="S680" s="369">
        <f t="shared" si="235"/>
        <v>38098.631295156105</v>
      </c>
      <c r="T680" s="11"/>
      <c r="U680" s="97">
        <f t="shared" ref="U680:U690" si="236">SUM(I680:T680)</f>
        <v>11602331.329999998</v>
      </c>
      <c r="V680" s="64"/>
      <c r="W680" s="64"/>
      <c r="X680" s="305">
        <f t="shared" si="223"/>
        <v>0</v>
      </c>
    </row>
    <row r="681" spans="1:24" x14ac:dyDescent="0.2">
      <c r="A681" s="64"/>
      <c r="B681" s="16">
        <f t="shared" si="233"/>
        <v>4</v>
      </c>
      <c r="C681" s="1" t="s">
        <v>175</v>
      </c>
      <c r="D681" s="1" t="s">
        <v>176</v>
      </c>
      <c r="E681" s="18"/>
      <c r="F681" s="23">
        <f>' WP II-I-1.4'!G681</f>
        <v>12959390.869999999</v>
      </c>
      <c r="G681" s="16">
        <v>28</v>
      </c>
      <c r="H681" s="1" t="str">
        <f t="shared" si="234"/>
        <v>NCP XHV</v>
      </c>
      <c r="I681" s="18"/>
      <c r="J681" s="369">
        <f t="shared" si="235"/>
        <v>6645141.5813322812</v>
      </c>
      <c r="K681" s="369">
        <f t="shared" si="235"/>
        <v>125544.44842822247</v>
      </c>
      <c r="L681" s="369">
        <f t="shared" si="235"/>
        <v>4268202.499402958</v>
      </c>
      <c r="M681" s="369">
        <f t="shared" si="235"/>
        <v>1997.2657549960768</v>
      </c>
      <c r="N681" s="369">
        <f t="shared" si="235"/>
        <v>1255455.4469745348</v>
      </c>
      <c r="O681" s="369">
        <f t="shared" si="235"/>
        <v>539619.46258803154</v>
      </c>
      <c r="P681" s="369">
        <f t="shared" si="235"/>
        <v>0</v>
      </c>
      <c r="Q681" s="369">
        <f t="shared" si="235"/>
        <v>37957.419914192047</v>
      </c>
      <c r="R681" s="369">
        <f t="shared" si="235"/>
        <v>37300.605464744673</v>
      </c>
      <c r="S681" s="369">
        <f t="shared" si="235"/>
        <v>48172.140140037351</v>
      </c>
      <c r="T681" s="18"/>
      <c r="U681" s="97">
        <f t="shared" si="236"/>
        <v>12959390.869999997</v>
      </c>
      <c r="V681" s="64"/>
      <c r="W681" s="64"/>
      <c r="X681" s="305">
        <f t="shared" si="223"/>
        <v>0</v>
      </c>
    </row>
    <row r="682" spans="1:24" x14ac:dyDescent="0.2">
      <c r="A682" s="64"/>
      <c r="B682" s="16">
        <f t="shared" si="233"/>
        <v>5</v>
      </c>
      <c r="C682" s="1" t="s">
        <v>177</v>
      </c>
      <c r="D682" s="1" t="s">
        <v>149</v>
      </c>
      <c r="E682" s="18"/>
      <c r="F682" s="23">
        <f>' WP II-I-1.4'!G682</f>
        <v>5100475.93</v>
      </c>
      <c r="G682" s="16">
        <v>44</v>
      </c>
      <c r="H682" s="1" t="str">
        <f t="shared" si="234"/>
        <v>PLT 362</v>
      </c>
      <c r="I682" s="18"/>
      <c r="J682" s="369">
        <f t="shared" si="235"/>
        <v>2615353.2235444831</v>
      </c>
      <c r="K682" s="369">
        <f t="shared" si="235"/>
        <v>49410.99807673871</v>
      </c>
      <c r="L682" s="369">
        <f t="shared" si="235"/>
        <v>1679852.4198360436</v>
      </c>
      <c r="M682" s="369">
        <f t="shared" si="235"/>
        <v>786.07135253192416</v>
      </c>
      <c r="N682" s="369">
        <f t="shared" si="235"/>
        <v>494114.29539519764</v>
      </c>
      <c r="O682" s="369">
        <f t="shared" si="235"/>
        <v>212380.04994981611</v>
      </c>
      <c r="P682" s="369">
        <f t="shared" si="235"/>
        <v>0</v>
      </c>
      <c r="Q682" s="369">
        <f t="shared" si="235"/>
        <v>14939.043708096693</v>
      </c>
      <c r="R682" s="369">
        <f t="shared" si="235"/>
        <v>14680.538788884967</v>
      </c>
      <c r="S682" s="369">
        <f t="shared" si="235"/>
        <v>18959.289348207411</v>
      </c>
      <c r="T682" s="18"/>
      <c r="U682" s="97">
        <f t="shared" si="236"/>
        <v>5100475.93</v>
      </c>
      <c r="V682" s="64"/>
      <c r="W682" s="64"/>
      <c r="X682" s="305">
        <f t="shared" si="223"/>
        <v>0</v>
      </c>
    </row>
    <row r="683" spans="1:24" x14ac:dyDescent="0.2">
      <c r="A683" s="64"/>
      <c r="B683" s="16">
        <f t="shared" si="233"/>
        <v>6</v>
      </c>
      <c r="C683" s="1" t="s">
        <v>178</v>
      </c>
      <c r="D683" s="1" t="s">
        <v>151</v>
      </c>
      <c r="E683" s="18"/>
      <c r="F683" s="23">
        <f>' WP II-I-1.4'!G683</f>
        <v>22054638.640000001</v>
      </c>
      <c r="G683" s="16">
        <v>46</v>
      </c>
      <c r="H683" s="1" t="str">
        <f t="shared" si="234"/>
        <v>PLT 365</v>
      </c>
      <c r="I683" s="18"/>
      <c r="J683" s="369">
        <f t="shared" si="235"/>
        <v>12012634.485559998</v>
      </c>
      <c r="K683" s="369">
        <f t="shared" si="235"/>
        <v>226950.70559461453</v>
      </c>
      <c r="L683" s="369">
        <f t="shared" si="235"/>
        <v>7715765.8581296569</v>
      </c>
      <c r="M683" s="369">
        <f t="shared" si="235"/>
        <v>3106.3970195814422</v>
      </c>
      <c r="N683" s="369">
        <f t="shared" si="235"/>
        <v>1952641.0288382696</v>
      </c>
      <c r="O683" s="369">
        <f t="shared" si="235"/>
        <v>0</v>
      </c>
      <c r="P683" s="369">
        <f t="shared" si="235"/>
        <v>0</v>
      </c>
      <c r="Q683" s="369">
        <f t="shared" si="235"/>
        <v>68616.839214536099</v>
      </c>
      <c r="R683" s="369">
        <f t="shared" si="235"/>
        <v>0</v>
      </c>
      <c r="S683" s="369">
        <f t="shared" si="235"/>
        <v>74923.325643344608</v>
      </c>
      <c r="T683" s="18"/>
      <c r="U683" s="97">
        <f t="shared" si="236"/>
        <v>22054638.640000001</v>
      </c>
      <c r="V683" s="64"/>
      <c r="W683" s="64"/>
      <c r="X683" s="305">
        <f t="shared" si="223"/>
        <v>0</v>
      </c>
    </row>
    <row r="684" spans="1:24" x14ac:dyDescent="0.2">
      <c r="A684" s="64"/>
      <c r="B684" s="16">
        <f t="shared" si="233"/>
        <v>7</v>
      </c>
      <c r="C684" s="1" t="s">
        <v>179</v>
      </c>
      <c r="D684" s="1" t="s">
        <v>153</v>
      </c>
      <c r="E684" s="18"/>
      <c r="F684" s="23">
        <f>' WP II-I-1.4'!G684</f>
        <v>9701086.9600000009</v>
      </c>
      <c r="G684" s="16">
        <v>48</v>
      </c>
      <c r="H684" s="1" t="str">
        <f t="shared" si="234"/>
        <v>PLT 367</v>
      </c>
      <c r="I684" s="18"/>
      <c r="J684" s="369">
        <f t="shared" si="235"/>
        <v>5330006.0935391625</v>
      </c>
      <c r="K684" s="369">
        <f t="shared" si="235"/>
        <v>100698.03132746508</v>
      </c>
      <c r="L684" s="369">
        <f t="shared" si="235"/>
        <v>3423485.4219187009</v>
      </c>
      <c r="M684" s="369">
        <f t="shared" si="235"/>
        <v>1248.9589621599014</v>
      </c>
      <c r="N684" s="369">
        <f t="shared" si="235"/>
        <v>785079.46584924532</v>
      </c>
      <c r="O684" s="369">
        <f t="shared" si="235"/>
        <v>0</v>
      </c>
      <c r="P684" s="369">
        <f t="shared" si="235"/>
        <v>0</v>
      </c>
      <c r="Q684" s="369">
        <f t="shared" si="235"/>
        <v>30445.292543655134</v>
      </c>
      <c r="R684" s="369">
        <f t="shared" si="235"/>
        <v>0</v>
      </c>
      <c r="S684" s="369">
        <f t="shared" si="235"/>
        <v>30123.695859613104</v>
      </c>
      <c r="T684" s="18"/>
      <c r="U684" s="97">
        <f t="shared" si="236"/>
        <v>9701086.9600000009</v>
      </c>
      <c r="V684" s="64"/>
      <c r="W684" s="64"/>
      <c r="X684" s="305">
        <f t="shared" si="223"/>
        <v>0</v>
      </c>
    </row>
    <row r="685" spans="1:24" x14ac:dyDescent="0.2">
      <c r="A685" s="64"/>
      <c r="B685" s="16">
        <f t="shared" si="233"/>
        <v>8</v>
      </c>
      <c r="C685" s="1" t="s">
        <v>180</v>
      </c>
      <c r="D685" s="1" t="s">
        <v>181</v>
      </c>
      <c r="E685" s="18"/>
      <c r="F685" s="23">
        <f>' WP II-I-1.4'!G685</f>
        <v>157.6</v>
      </c>
      <c r="G685" s="16">
        <v>33</v>
      </c>
      <c r="H685" s="1" t="str">
        <f t="shared" si="234"/>
        <v>NCP LGT</v>
      </c>
      <c r="I685" s="18"/>
      <c r="J685" s="369">
        <f t="shared" si="235"/>
        <v>0</v>
      </c>
      <c r="K685" s="369">
        <f t="shared" si="235"/>
        <v>0</v>
      </c>
      <c r="L685" s="369">
        <f t="shared" si="235"/>
        <v>0</v>
      </c>
      <c r="M685" s="369">
        <f t="shared" si="235"/>
        <v>0</v>
      </c>
      <c r="N685" s="369">
        <f t="shared" si="235"/>
        <v>0</v>
      </c>
      <c r="O685" s="369">
        <f t="shared" si="235"/>
        <v>0</v>
      </c>
      <c r="P685" s="369">
        <f t="shared" si="235"/>
        <v>0</v>
      </c>
      <c r="Q685" s="369">
        <f t="shared" si="235"/>
        <v>157.6</v>
      </c>
      <c r="R685" s="369">
        <f t="shared" si="235"/>
        <v>0</v>
      </c>
      <c r="S685" s="369">
        <f t="shared" si="235"/>
        <v>0</v>
      </c>
      <c r="T685" s="18"/>
      <c r="U685" s="97">
        <f t="shared" si="236"/>
        <v>157.6</v>
      </c>
      <c r="V685" s="64"/>
      <c r="W685" s="64"/>
      <c r="X685" s="305">
        <f t="shared" si="223"/>
        <v>0</v>
      </c>
    </row>
    <row r="686" spans="1:24" x14ac:dyDescent="0.2">
      <c r="A686" s="64"/>
      <c r="B686" s="16">
        <f t="shared" si="233"/>
        <v>9</v>
      </c>
      <c r="C686" s="1" t="s">
        <v>182</v>
      </c>
      <c r="D686" s="1" t="s">
        <v>183</v>
      </c>
      <c r="E686" s="18"/>
      <c r="F686" s="23">
        <f>' WP II-I-1.4'!G686</f>
        <v>0</v>
      </c>
      <c r="G686" s="16">
        <v>6</v>
      </c>
      <c r="H686" s="1" t="str">
        <f t="shared" si="234"/>
        <v>CUS W ALL</v>
      </c>
      <c r="I686" s="18"/>
      <c r="J686" s="369">
        <f t="shared" si="235"/>
        <v>0</v>
      </c>
      <c r="K686" s="369">
        <f t="shared" si="235"/>
        <v>0</v>
      </c>
      <c r="L686" s="369">
        <f t="shared" si="235"/>
        <v>0</v>
      </c>
      <c r="M686" s="369">
        <f t="shared" si="235"/>
        <v>0</v>
      </c>
      <c r="N686" s="369">
        <f t="shared" si="235"/>
        <v>0</v>
      </c>
      <c r="O686" s="369">
        <f t="shared" si="235"/>
        <v>0</v>
      </c>
      <c r="P686" s="369">
        <f t="shared" si="235"/>
        <v>0</v>
      </c>
      <c r="Q686" s="369">
        <f t="shared" si="235"/>
        <v>0</v>
      </c>
      <c r="R686" s="369">
        <f t="shared" si="235"/>
        <v>0</v>
      </c>
      <c r="S686" s="369">
        <f t="shared" si="235"/>
        <v>0</v>
      </c>
      <c r="T686" s="18"/>
      <c r="U686" s="97">
        <f t="shared" si="236"/>
        <v>0</v>
      </c>
      <c r="V686" s="64"/>
      <c r="W686" s="64"/>
      <c r="X686" s="305">
        <f t="shared" si="223"/>
        <v>0</v>
      </c>
    </row>
    <row r="687" spans="1:24" x14ac:dyDescent="0.2">
      <c r="A687" s="64"/>
      <c r="B687" s="16">
        <f t="shared" si="233"/>
        <v>10</v>
      </c>
      <c r="C687" s="1" t="s">
        <v>184</v>
      </c>
      <c r="D687" s="1" t="s">
        <v>185</v>
      </c>
      <c r="E687" s="18"/>
      <c r="F687" s="23">
        <f>' WP II-I-1.4'!G687</f>
        <v>2655620.85</v>
      </c>
      <c r="G687" s="16">
        <v>8</v>
      </c>
      <c r="H687" s="1" t="str">
        <f t="shared" si="234"/>
        <v>CUS W RTL</v>
      </c>
      <c r="I687" s="18"/>
      <c r="J687" s="369">
        <f t="shared" si="235"/>
        <v>1388011.7326697786</v>
      </c>
      <c r="K687" s="369">
        <f t="shared" si="235"/>
        <v>194717.33636417441</v>
      </c>
      <c r="L687" s="369">
        <f t="shared" si="235"/>
        <v>765760.07701245195</v>
      </c>
      <c r="M687" s="369">
        <f t="shared" si="235"/>
        <v>32247.729636660941</v>
      </c>
      <c r="N687" s="369">
        <f t="shared" si="235"/>
        <v>248324.54176407534</v>
      </c>
      <c r="O687" s="369">
        <f t="shared" si="235"/>
        <v>8148.0741370269416</v>
      </c>
      <c r="P687" s="369">
        <f t="shared" si="235"/>
        <v>16995.982862510191</v>
      </c>
      <c r="Q687" s="369">
        <f t="shared" si="235"/>
        <v>1415.3755533209876</v>
      </c>
      <c r="R687" s="369">
        <f t="shared" si="235"/>
        <v>0</v>
      </c>
      <c r="S687" s="369">
        <f t="shared" si="235"/>
        <v>0</v>
      </c>
      <c r="T687" s="18"/>
      <c r="U687" s="97">
        <f t="shared" si="236"/>
        <v>2655620.8499999996</v>
      </c>
      <c r="V687" s="64"/>
      <c r="W687" s="64"/>
      <c r="X687" s="305">
        <f t="shared" si="223"/>
        <v>0</v>
      </c>
    </row>
    <row r="688" spans="1:24" x14ac:dyDescent="0.2">
      <c r="A688" s="64"/>
      <c r="B688" s="16">
        <f t="shared" si="233"/>
        <v>11</v>
      </c>
      <c r="C688" s="1" t="s">
        <v>186</v>
      </c>
      <c r="D688" s="1" t="s">
        <v>187</v>
      </c>
      <c r="E688" s="18"/>
      <c r="F688" s="23">
        <f>' WP II-I-1.4'!G688</f>
        <v>114338938.56</v>
      </c>
      <c r="G688" s="16">
        <v>71</v>
      </c>
      <c r="H688" s="1" t="str">
        <f t="shared" si="234"/>
        <v>DIST OPS</v>
      </c>
      <c r="I688" s="18"/>
      <c r="J688" s="369">
        <f t="shared" si="235"/>
        <v>60996146.280287161</v>
      </c>
      <c r="K688" s="369">
        <f t="shared" si="235"/>
        <v>1518138.4686774225</v>
      </c>
      <c r="L688" s="369">
        <f t="shared" si="235"/>
        <v>38905076.38020616</v>
      </c>
      <c r="M688" s="369">
        <f t="shared" si="235"/>
        <v>85568.522078920403</v>
      </c>
      <c r="N688" s="369">
        <f t="shared" si="235"/>
        <v>10324113.63645307</v>
      </c>
      <c r="O688" s="369">
        <f t="shared" si="235"/>
        <v>1650090.4849327556</v>
      </c>
      <c r="P688" s="369">
        <f t="shared" si="235"/>
        <v>36894.032284158835</v>
      </c>
      <c r="Q688" s="369">
        <f t="shared" si="235"/>
        <v>334617.35508891975</v>
      </c>
      <c r="R688" s="369">
        <f t="shared" si="235"/>
        <v>112838.07648989852</v>
      </c>
      <c r="S688" s="369">
        <f t="shared" si="235"/>
        <v>375455.323501518</v>
      </c>
      <c r="T688" s="18"/>
      <c r="U688" s="97">
        <f t="shared" si="236"/>
        <v>114338938.55999997</v>
      </c>
      <c r="V688" s="64"/>
      <c r="W688" s="64"/>
      <c r="X688" s="305">
        <f t="shared" si="223"/>
        <v>0</v>
      </c>
    </row>
    <row r="689" spans="1:24" x14ac:dyDescent="0.2">
      <c r="A689" s="64"/>
      <c r="B689" s="16">
        <f t="shared" si="233"/>
        <v>12</v>
      </c>
      <c r="C689" s="1" t="s">
        <v>188</v>
      </c>
      <c r="D689" s="647" t="s">
        <v>189</v>
      </c>
      <c r="E689" s="18"/>
      <c r="F689" s="23">
        <f>' WP II-I-1.4'!G689</f>
        <v>201175.9</v>
      </c>
      <c r="G689" s="16">
        <v>30</v>
      </c>
      <c r="H689" s="1" t="str">
        <f t="shared" si="234"/>
        <v>NCP XSS</v>
      </c>
      <c r="I689" s="18"/>
      <c r="J689" s="370">
        <f t="shared" si="235"/>
        <v>107962.48661791458</v>
      </c>
      <c r="K689" s="370">
        <f t="shared" si="235"/>
        <v>2039.6993303290883</v>
      </c>
      <c r="L689" s="370">
        <f t="shared" si="235"/>
        <v>69344.761068575244</v>
      </c>
      <c r="M689" s="370">
        <f t="shared" si="235"/>
        <v>32.44923749283781</v>
      </c>
      <c r="N689" s="370">
        <f t="shared" si="235"/>
        <v>20397.171412290871</v>
      </c>
      <c r="O689" s="370">
        <f t="shared" si="235"/>
        <v>0</v>
      </c>
      <c r="P689" s="370">
        <f t="shared" si="235"/>
        <v>0</v>
      </c>
      <c r="Q689" s="370">
        <f t="shared" si="235"/>
        <v>616.68775441123432</v>
      </c>
      <c r="R689" s="370">
        <f t="shared" si="235"/>
        <v>0</v>
      </c>
      <c r="S689" s="370">
        <f t="shared" si="235"/>
        <v>782.64457898613875</v>
      </c>
      <c r="T689" s="18"/>
      <c r="U689" s="97">
        <f t="shared" si="236"/>
        <v>201175.89999999997</v>
      </c>
      <c r="V689" s="64"/>
      <c r="W689" s="64"/>
      <c r="X689" s="305">
        <f t="shared" si="223"/>
        <v>0</v>
      </c>
    </row>
    <row r="690" spans="1:24" ht="15" x14ac:dyDescent="0.25">
      <c r="A690" s="64"/>
      <c r="B690" s="16">
        <f t="shared" si="233"/>
        <v>13</v>
      </c>
      <c r="C690" s="8"/>
      <c r="D690" s="233" t="s">
        <v>582</v>
      </c>
      <c r="E690" s="19"/>
      <c r="F690" s="805">
        <f>SUM(F680:F689)</f>
        <v>178613816.64000002</v>
      </c>
      <c r="G690" s="961"/>
      <c r="H690" s="1201"/>
      <c r="I690" s="961"/>
      <c r="J690" s="805">
        <f t="shared" ref="J690:Q690" si="237">SUM(J680:J689)</f>
        <v>95284726.486565605</v>
      </c>
      <c r="K690" s="805">
        <f t="shared" si="237"/>
        <v>2371549.9679593975</v>
      </c>
      <c r="L690" s="805">
        <f t="shared" si="237"/>
        <v>60775307.75128562</v>
      </c>
      <c r="M690" s="805">
        <f t="shared" si="237"/>
        <v>133670.30082004709</v>
      </c>
      <c r="N690" s="805">
        <f t="shared" si="237"/>
        <v>16127745.834060611</v>
      </c>
      <c r="O690" s="805">
        <f>SUM(O680:O689)</f>
        <v>2577677.9374292269</v>
      </c>
      <c r="P690" s="805">
        <f t="shared" si="237"/>
        <v>57633.768517581266</v>
      </c>
      <c r="Q690" s="805">
        <f t="shared" si="237"/>
        <v>522720.28811121837</v>
      </c>
      <c r="R690" s="805">
        <f>SUM(R680:R689)</f>
        <v>176269.25488381088</v>
      </c>
      <c r="S690" s="805">
        <f>SUM(S680:S689)</f>
        <v>586515.05036686268</v>
      </c>
      <c r="T690" s="913"/>
      <c r="U690" s="235">
        <f t="shared" si="236"/>
        <v>178613816.63999996</v>
      </c>
      <c r="V690" s="64"/>
      <c r="W690" s="64"/>
      <c r="X690" s="305">
        <f t="shared" si="223"/>
        <v>0</v>
      </c>
    </row>
    <row r="691" spans="1:24" ht="15" x14ac:dyDescent="0.25">
      <c r="A691" s="64"/>
      <c r="B691" s="16">
        <f t="shared" si="233"/>
        <v>14</v>
      </c>
      <c r="C691" s="8"/>
      <c r="D691" s="233"/>
      <c r="E691" s="19"/>
      <c r="F691" s="805"/>
      <c r="G691" s="961"/>
      <c r="H691" s="961"/>
      <c r="I691" s="961"/>
      <c r="J691" s="805"/>
      <c r="K691" s="805"/>
      <c r="L691" s="805"/>
      <c r="M691" s="805"/>
      <c r="N691" s="805"/>
      <c r="O691" s="805"/>
      <c r="P691" s="805"/>
      <c r="Q691" s="805"/>
      <c r="R691" s="805"/>
      <c r="S691" s="805"/>
      <c r="T691" s="913"/>
      <c r="U691" s="235"/>
      <c r="V691" s="64"/>
      <c r="W691" s="64"/>
      <c r="X691" s="305">
        <f t="shared" si="223"/>
        <v>0</v>
      </c>
    </row>
    <row r="692" spans="1:24" ht="15" x14ac:dyDescent="0.25">
      <c r="A692" s="64"/>
      <c r="B692" s="16">
        <f t="shared" si="233"/>
        <v>15</v>
      </c>
      <c r="C692" s="8"/>
      <c r="D692" s="233" t="s">
        <v>583</v>
      </c>
      <c r="E692" s="19"/>
      <c r="F692" s="805">
        <f>SUM(F681:F687)+F689</f>
        <v>52672546.75</v>
      </c>
      <c r="G692" s="961"/>
      <c r="H692" s="961"/>
      <c r="I692" s="961"/>
      <c r="J692" s="805">
        <f t="shared" ref="J692:Q692" si="238">SUM(J681:J687)+J689</f>
        <v>28099109.603263617</v>
      </c>
      <c r="K692" s="805">
        <f t="shared" si="238"/>
        <v>699361.21912154427</v>
      </c>
      <c r="L692" s="805">
        <f t="shared" si="238"/>
        <v>17922411.037368387</v>
      </c>
      <c r="M692" s="805">
        <f t="shared" si="238"/>
        <v>39418.871963423124</v>
      </c>
      <c r="N692" s="805">
        <f t="shared" si="238"/>
        <v>4756011.9502336131</v>
      </c>
      <c r="O692" s="805">
        <f>SUM(O681:O687)+O689</f>
        <v>760147.58667487453</v>
      </c>
      <c r="P692" s="805">
        <f t="shared" si="238"/>
        <v>16995.982862510191</v>
      </c>
      <c r="Q692" s="805">
        <f t="shared" si="238"/>
        <v>154148.2586882122</v>
      </c>
      <c r="R692" s="805">
        <f>SUM(R681:R687)+R689</f>
        <v>51981.144253629638</v>
      </c>
      <c r="S692" s="805">
        <f>SUM(S681:S687)+S689</f>
        <v>172961.0955701886</v>
      </c>
      <c r="T692" s="913"/>
      <c r="U692" s="235">
        <f>SUM(I692:T692)</f>
        <v>52672546.750000007</v>
      </c>
      <c r="V692" s="64"/>
      <c r="W692" s="64"/>
      <c r="X692" s="305">
        <f t="shared" si="223"/>
        <v>0</v>
      </c>
    </row>
    <row r="693" spans="1:24" x14ac:dyDescent="0.2">
      <c r="A693" s="64"/>
      <c r="B693" s="16">
        <f t="shared" si="233"/>
        <v>16</v>
      </c>
      <c r="C693" s="1"/>
      <c r="D693" s="28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"/>
      <c r="V693" s="64"/>
      <c r="W693" s="64"/>
      <c r="X693" s="305">
        <f t="shared" si="223"/>
        <v>0</v>
      </c>
    </row>
    <row r="694" spans="1:24" ht="15" x14ac:dyDescent="0.25">
      <c r="A694" s="64"/>
      <c r="B694" s="16">
        <f t="shared" si="233"/>
        <v>17</v>
      </c>
      <c r="C694" s="301"/>
      <c r="D694" s="8"/>
      <c r="E694" s="19"/>
      <c r="F694" s="805"/>
      <c r="G694" s="961"/>
      <c r="H694" s="961"/>
      <c r="I694" s="961"/>
      <c r="J694" s="961"/>
      <c r="K694" s="961"/>
      <c r="L694" s="961"/>
      <c r="M694" s="961"/>
      <c r="N694" s="961"/>
      <c r="O694" s="961"/>
      <c r="P694" s="961"/>
      <c r="Q694" s="961"/>
      <c r="R694" s="961"/>
      <c r="S694" s="961"/>
      <c r="T694" s="913"/>
      <c r="U694" s="8"/>
      <c r="V694" s="64"/>
      <c r="W694" s="64"/>
      <c r="X694" s="305">
        <f t="shared" si="223"/>
        <v>0</v>
      </c>
    </row>
    <row r="695" spans="1:24" ht="15" x14ac:dyDescent="0.25">
      <c r="A695" s="64"/>
      <c r="B695" s="16">
        <f t="shared" si="233"/>
        <v>18</v>
      </c>
      <c r="C695" s="8"/>
      <c r="D695" s="301" t="s">
        <v>578</v>
      </c>
      <c r="E695" s="19" t="s">
        <v>143</v>
      </c>
      <c r="F695" s="805"/>
      <c r="G695" s="961"/>
      <c r="H695" s="961"/>
      <c r="I695" s="961"/>
      <c r="J695" s="961"/>
      <c r="K695" s="961"/>
      <c r="L695" s="961"/>
      <c r="M695" s="961"/>
      <c r="N695" s="961"/>
      <c r="O695" s="961"/>
      <c r="P695" s="961"/>
      <c r="Q695" s="961"/>
      <c r="R695" s="961"/>
      <c r="S695" s="961"/>
      <c r="T695" s="913"/>
      <c r="U695" s="8"/>
      <c r="V695" s="64"/>
      <c r="W695" s="64"/>
      <c r="X695" s="305">
        <f t="shared" si="223"/>
        <v>0</v>
      </c>
    </row>
    <row r="696" spans="1:24" x14ac:dyDescent="0.2">
      <c r="A696" s="64"/>
      <c r="B696" s="16">
        <f t="shared" si="233"/>
        <v>19</v>
      </c>
      <c r="C696" s="1" t="s">
        <v>191</v>
      </c>
      <c r="D696" s="1" t="s">
        <v>162</v>
      </c>
      <c r="E696" s="16"/>
      <c r="F696" s="98">
        <f>' WP II-I-1.4'!G696</f>
        <v>2657755.9500000011</v>
      </c>
      <c r="G696" s="16">
        <v>72</v>
      </c>
      <c r="H696" s="1" t="str">
        <f t="shared" ref="H696:H704" si="239">VLOOKUP(G696,FactorTable,2)</f>
        <v>DIST MAINT</v>
      </c>
      <c r="I696" s="16"/>
      <c r="J696" s="369">
        <f t="shared" ref="J696:S704" ca="1" si="240">$F696*HLOOKUP(J$1354,FactorTable,$G696+1)</f>
        <v>1367350.2612829802</v>
      </c>
      <c r="K696" s="369">
        <f t="shared" ca="1" si="240"/>
        <v>25833.556392699487</v>
      </c>
      <c r="L696" s="369">
        <f t="shared" ca="1" si="240"/>
        <v>878254.35215905623</v>
      </c>
      <c r="M696" s="369">
        <f t="shared" ca="1" si="240"/>
        <v>332.91231798800629</v>
      </c>
      <c r="N696" s="369">
        <f t="shared" ca="1" si="240"/>
        <v>209264.38153633795</v>
      </c>
      <c r="O696" s="369">
        <f t="shared" ca="1" si="240"/>
        <v>5955.6478255711181</v>
      </c>
      <c r="P696" s="369">
        <f t="shared" ca="1" si="240"/>
        <v>396.09763401670762</v>
      </c>
      <c r="Q696" s="369">
        <f t="shared" ca="1" si="240"/>
        <v>161927.53644089116</v>
      </c>
      <c r="R696" s="369">
        <f t="shared" ca="1" si="240"/>
        <v>411.67764550811063</v>
      </c>
      <c r="S696" s="369">
        <f t="shared" ca="1" si="240"/>
        <v>8029.5267649519292</v>
      </c>
      <c r="T696" s="16"/>
      <c r="U696" s="97">
        <f t="shared" ref="U696:U705" ca="1" si="241">SUM(I696:T696)</f>
        <v>2657755.9500000011</v>
      </c>
      <c r="V696" s="64"/>
      <c r="W696" s="64"/>
      <c r="X696" s="305">
        <f t="shared" ca="1" si="223"/>
        <v>0</v>
      </c>
    </row>
    <row r="697" spans="1:24" x14ac:dyDescent="0.2">
      <c r="A697" s="64"/>
      <c r="B697" s="16">
        <f t="shared" si="233"/>
        <v>20</v>
      </c>
      <c r="C697" s="1" t="s">
        <v>192</v>
      </c>
      <c r="D697" s="29" t="s">
        <v>164</v>
      </c>
      <c r="E697" s="16"/>
      <c r="F697" s="98">
        <f>' WP II-I-1.4'!G697</f>
        <v>6007.63</v>
      </c>
      <c r="G697" s="16">
        <v>43</v>
      </c>
      <c r="H697" s="1" t="str">
        <f t="shared" si="239"/>
        <v>PLT 361</v>
      </c>
      <c r="I697" s="16"/>
      <c r="J697" s="369">
        <f t="shared" ca="1" si="240"/>
        <v>3229.4289192378751</v>
      </c>
      <c r="K697" s="369">
        <f t="shared" ca="1" si="240"/>
        <v>105.9780876189414</v>
      </c>
      <c r="L697" s="369">
        <f t="shared" ca="1" si="240"/>
        <v>2040.7130754729371</v>
      </c>
      <c r="M697" s="369">
        <f t="shared" ca="1" si="240"/>
        <v>0.58093218602951135</v>
      </c>
      <c r="N697" s="369">
        <f t="shared" ca="1" si="240"/>
        <v>365.16646592932074</v>
      </c>
      <c r="O697" s="369">
        <f t="shared" ca="1" si="240"/>
        <v>35.100514738718203</v>
      </c>
      <c r="P697" s="369">
        <f t="shared" ca="1" si="240"/>
        <v>7.1332953270580655</v>
      </c>
      <c r="Q697" s="369">
        <f t="shared" ca="1" si="240"/>
        <v>207.09089596307479</v>
      </c>
      <c r="R697" s="369">
        <f t="shared" ca="1" si="240"/>
        <v>2.4262847110796968</v>
      </c>
      <c r="S697" s="369">
        <f t="shared" ca="1" si="240"/>
        <v>14.011528814965756</v>
      </c>
      <c r="T697" s="16"/>
      <c r="U697" s="97">
        <f t="shared" ca="1" si="241"/>
        <v>6007.6300000000019</v>
      </c>
      <c r="V697" s="64"/>
      <c r="W697" s="64"/>
      <c r="X697" s="305">
        <f t="shared" ca="1" si="223"/>
        <v>0</v>
      </c>
    </row>
    <row r="698" spans="1:24" x14ac:dyDescent="0.2">
      <c r="A698" s="64"/>
      <c r="B698" s="16">
        <f t="shared" si="233"/>
        <v>21</v>
      </c>
      <c r="C698" s="1" t="s">
        <v>193</v>
      </c>
      <c r="D698" s="1" t="s">
        <v>166</v>
      </c>
      <c r="E698" s="16"/>
      <c r="F698" s="23">
        <f>' WP II-I-1.4'!G698</f>
        <v>9523942.879999999</v>
      </c>
      <c r="G698" s="16">
        <v>44</v>
      </c>
      <c r="H698" s="1" t="str">
        <f t="shared" si="239"/>
        <v>PLT 362</v>
      </c>
      <c r="I698" s="16"/>
      <c r="J698" s="369">
        <f t="shared" si="240"/>
        <v>4883558.9176207576</v>
      </c>
      <c r="K698" s="369">
        <f t="shared" si="240"/>
        <v>92263.453408091911</v>
      </c>
      <c r="L698" s="369">
        <f t="shared" si="240"/>
        <v>3136730.5155282356</v>
      </c>
      <c r="M698" s="369">
        <f t="shared" si="240"/>
        <v>1467.8039390567985</v>
      </c>
      <c r="N698" s="369">
        <f t="shared" si="240"/>
        <v>922642.59063669562</v>
      </c>
      <c r="O698" s="369">
        <f t="shared" si="240"/>
        <v>396569.94608610874</v>
      </c>
      <c r="P698" s="369">
        <f t="shared" si="240"/>
        <v>0</v>
      </c>
      <c r="Q698" s="369">
        <f t="shared" si="240"/>
        <v>27895.161336000325</v>
      </c>
      <c r="R698" s="369">
        <f t="shared" si="240"/>
        <v>27412.464011562311</v>
      </c>
      <c r="S698" s="369">
        <f t="shared" si="240"/>
        <v>35402.027433490861</v>
      </c>
      <c r="T698" s="16"/>
      <c r="U698" s="97">
        <f t="shared" si="241"/>
        <v>9523942.8800000008</v>
      </c>
      <c r="V698" s="64"/>
      <c r="W698" s="64"/>
      <c r="X698" s="305">
        <f t="shared" si="223"/>
        <v>0</v>
      </c>
    </row>
    <row r="699" spans="1:24" x14ac:dyDescent="0.2">
      <c r="A699" s="64"/>
      <c r="B699" s="16">
        <f t="shared" si="233"/>
        <v>22</v>
      </c>
      <c r="C699" s="1" t="s">
        <v>194</v>
      </c>
      <c r="D699" s="29" t="s">
        <v>168</v>
      </c>
      <c r="E699" s="16"/>
      <c r="F699" s="98">
        <f>' WP II-I-1.4'!G699</f>
        <v>124578101.33000012</v>
      </c>
      <c r="G699" s="16">
        <v>52</v>
      </c>
      <c r="H699" s="1" t="str">
        <f t="shared" si="239"/>
        <v>PLT OH</v>
      </c>
      <c r="I699" s="16"/>
      <c r="J699" s="369">
        <f t="shared" si="240"/>
        <v>67998177.886499211</v>
      </c>
      <c r="K699" s="369">
        <f t="shared" si="240"/>
        <v>1284666.9453765287</v>
      </c>
      <c r="L699" s="369">
        <f t="shared" si="240"/>
        <v>43675516.805439487</v>
      </c>
      <c r="M699" s="369">
        <f t="shared" si="240"/>
        <v>17181.00827070473</v>
      </c>
      <c r="N699" s="369">
        <f t="shared" si="240"/>
        <v>10799759.803628715</v>
      </c>
      <c r="O699" s="369">
        <f t="shared" si="240"/>
        <v>0</v>
      </c>
      <c r="P699" s="369">
        <f t="shared" si="240"/>
        <v>0</v>
      </c>
      <c r="Q699" s="369">
        <f t="shared" si="240"/>
        <v>388409.39050696767</v>
      </c>
      <c r="R699" s="369">
        <f t="shared" si="240"/>
        <v>0</v>
      </c>
      <c r="S699" s="369">
        <f t="shared" si="240"/>
        <v>414389.49027850066</v>
      </c>
      <c r="T699" s="16"/>
      <c r="U699" s="97">
        <f t="shared" si="241"/>
        <v>124578101.33000012</v>
      </c>
      <c r="V699" s="64"/>
      <c r="W699" s="64"/>
      <c r="X699" s="305">
        <f t="shared" si="223"/>
        <v>0</v>
      </c>
    </row>
    <row r="700" spans="1:24" x14ac:dyDescent="0.2">
      <c r="A700" s="64"/>
      <c r="B700" s="16">
        <f t="shared" si="233"/>
        <v>23</v>
      </c>
      <c r="C700" s="1" t="s">
        <v>195</v>
      </c>
      <c r="D700" s="1" t="s">
        <v>170</v>
      </c>
      <c r="E700" s="16"/>
      <c r="F700" s="98">
        <f>' WP II-I-1.4'!G700</f>
        <v>31871379.119999893</v>
      </c>
      <c r="G700" s="16">
        <v>53</v>
      </c>
      <c r="H700" s="1" t="str">
        <f t="shared" si="239"/>
        <v>PLT UG</v>
      </c>
      <c r="I700" s="16"/>
      <c r="J700" s="369">
        <f t="shared" si="240"/>
        <v>17605921.557513911</v>
      </c>
      <c r="K700" s="369">
        <f t="shared" si="240"/>
        <v>332622.81682875566</v>
      </c>
      <c r="L700" s="369">
        <f t="shared" si="240"/>
        <v>11308357.764291212</v>
      </c>
      <c r="M700" s="369">
        <f t="shared" si="240"/>
        <v>3860.9260124407974</v>
      </c>
      <c r="N700" s="369">
        <f t="shared" si="240"/>
        <v>2426928.2045012536</v>
      </c>
      <c r="O700" s="369">
        <f t="shared" si="240"/>
        <v>0</v>
      </c>
      <c r="P700" s="369">
        <f t="shared" si="240"/>
        <v>0</v>
      </c>
      <c r="Q700" s="369">
        <f t="shared" si="240"/>
        <v>100566.00741393073</v>
      </c>
      <c r="R700" s="369">
        <f t="shared" si="240"/>
        <v>0</v>
      </c>
      <c r="S700" s="369">
        <f t="shared" si="240"/>
        <v>93121.843438395619</v>
      </c>
      <c r="T700" s="16"/>
      <c r="U700" s="97">
        <f t="shared" si="241"/>
        <v>31871379.119999897</v>
      </c>
      <c r="V700" s="64"/>
      <c r="W700" s="64"/>
      <c r="X700" s="305">
        <f t="shared" si="223"/>
        <v>0</v>
      </c>
    </row>
    <row r="701" spans="1:24" x14ac:dyDescent="0.2">
      <c r="A701" s="64"/>
      <c r="B701" s="16">
        <f t="shared" si="233"/>
        <v>24</v>
      </c>
      <c r="C701" s="1" t="s">
        <v>196</v>
      </c>
      <c r="D701" s="1" t="s">
        <v>197</v>
      </c>
      <c r="E701" s="16"/>
      <c r="F701" s="98">
        <f>' WP II-I-1.4'!G701</f>
        <v>3832933.3499999968</v>
      </c>
      <c r="G701" s="16">
        <v>49</v>
      </c>
      <c r="H701" s="1" t="str">
        <f t="shared" si="239"/>
        <v>PLT 368</v>
      </c>
      <c r="I701" s="16"/>
      <c r="J701" s="369">
        <f t="shared" si="240"/>
        <v>2251213.5315008988</v>
      </c>
      <c r="K701" s="369">
        <f t="shared" si="240"/>
        <v>42531.428058718229</v>
      </c>
      <c r="L701" s="369">
        <f t="shared" si="240"/>
        <v>1445963.9579139655</v>
      </c>
      <c r="M701" s="369">
        <f t="shared" si="240"/>
        <v>69.841028733747024</v>
      </c>
      <c r="N701" s="369">
        <f t="shared" si="240"/>
        <v>43901.168248018119</v>
      </c>
      <c r="O701" s="369">
        <f t="shared" si="240"/>
        <v>7343.6048290569624</v>
      </c>
      <c r="P701" s="369">
        <f t="shared" si="240"/>
        <v>26858.643490304377</v>
      </c>
      <c r="Q701" s="369">
        <f t="shared" si="240"/>
        <v>12859.057446080618</v>
      </c>
      <c r="R701" s="369">
        <f t="shared" si="240"/>
        <v>507.61865612465942</v>
      </c>
      <c r="S701" s="369">
        <f t="shared" si="240"/>
        <v>1684.4988280956361</v>
      </c>
      <c r="T701" s="16"/>
      <c r="U701" s="97">
        <f t="shared" si="241"/>
        <v>3832933.3499999968</v>
      </c>
      <c r="V701" s="64"/>
      <c r="W701" s="64"/>
      <c r="X701" s="305">
        <f t="shared" si="223"/>
        <v>0</v>
      </c>
    </row>
    <row r="702" spans="1:24" x14ac:dyDescent="0.2">
      <c r="A702" s="64"/>
      <c r="B702" s="16">
        <f t="shared" si="233"/>
        <v>25</v>
      </c>
      <c r="C702" s="1" t="s">
        <v>198</v>
      </c>
      <c r="D702" s="1" t="s">
        <v>199</v>
      </c>
      <c r="E702" s="16"/>
      <c r="F702" s="98">
        <f>' WP II-I-1.4'!G702</f>
        <v>10452984.359999968</v>
      </c>
      <c r="G702" s="16">
        <v>33</v>
      </c>
      <c r="H702" s="1" t="str">
        <f t="shared" si="239"/>
        <v>NCP LGT</v>
      </c>
      <c r="I702" s="16"/>
      <c r="J702" s="369">
        <f t="shared" si="240"/>
        <v>0</v>
      </c>
      <c r="K702" s="369">
        <f t="shared" si="240"/>
        <v>0</v>
      </c>
      <c r="L702" s="369">
        <f t="shared" si="240"/>
        <v>0</v>
      </c>
      <c r="M702" s="369">
        <f t="shared" si="240"/>
        <v>0</v>
      </c>
      <c r="N702" s="369">
        <f t="shared" si="240"/>
        <v>0</v>
      </c>
      <c r="O702" s="369">
        <f t="shared" si="240"/>
        <v>0</v>
      </c>
      <c r="P702" s="369">
        <f t="shared" si="240"/>
        <v>0</v>
      </c>
      <c r="Q702" s="369">
        <f t="shared" si="240"/>
        <v>10452984.359999968</v>
      </c>
      <c r="R702" s="369">
        <f t="shared" si="240"/>
        <v>0</v>
      </c>
      <c r="S702" s="369">
        <f t="shared" si="240"/>
        <v>0</v>
      </c>
      <c r="T702" s="16"/>
      <c r="U702" s="97">
        <f t="shared" si="241"/>
        <v>10452984.359999968</v>
      </c>
      <c r="V702" s="64"/>
      <c r="W702" s="64"/>
      <c r="X702" s="305">
        <f t="shared" si="223"/>
        <v>0</v>
      </c>
    </row>
    <row r="703" spans="1:24" x14ac:dyDescent="0.2">
      <c r="A703" s="64"/>
      <c r="B703" s="16">
        <f t="shared" si="233"/>
        <v>26</v>
      </c>
      <c r="C703" s="1" t="s">
        <v>200</v>
      </c>
      <c r="D703" s="1" t="s">
        <v>201</v>
      </c>
      <c r="E703" s="16"/>
      <c r="F703" s="98">
        <f>' WP II-I-1.4'!G703</f>
        <v>0</v>
      </c>
      <c r="G703" s="16">
        <v>6</v>
      </c>
      <c r="H703" s="1" t="str">
        <f t="shared" si="239"/>
        <v>CUS W ALL</v>
      </c>
      <c r="I703" s="16"/>
      <c r="J703" s="369">
        <f t="shared" si="240"/>
        <v>0</v>
      </c>
      <c r="K703" s="369">
        <f t="shared" si="240"/>
        <v>0</v>
      </c>
      <c r="L703" s="369">
        <f t="shared" si="240"/>
        <v>0</v>
      </c>
      <c r="M703" s="369">
        <f t="shared" si="240"/>
        <v>0</v>
      </c>
      <c r="N703" s="369">
        <f t="shared" si="240"/>
        <v>0</v>
      </c>
      <c r="O703" s="369">
        <f t="shared" si="240"/>
        <v>0</v>
      </c>
      <c r="P703" s="369">
        <f t="shared" si="240"/>
        <v>0</v>
      </c>
      <c r="Q703" s="369">
        <f t="shared" si="240"/>
        <v>0</v>
      </c>
      <c r="R703" s="369">
        <f t="shared" si="240"/>
        <v>0</v>
      </c>
      <c r="S703" s="369">
        <f t="shared" si="240"/>
        <v>0</v>
      </c>
      <c r="T703" s="16"/>
      <c r="U703" s="97">
        <f t="shared" si="241"/>
        <v>0</v>
      </c>
      <c r="V703" s="64"/>
      <c r="W703" s="64"/>
      <c r="X703" s="305">
        <f t="shared" si="223"/>
        <v>0</v>
      </c>
    </row>
    <row r="704" spans="1:24" x14ac:dyDescent="0.2">
      <c r="A704" s="64"/>
      <c r="B704" s="16">
        <f t="shared" si="233"/>
        <v>27</v>
      </c>
      <c r="C704" s="1" t="s">
        <v>202</v>
      </c>
      <c r="D704" s="1" t="s">
        <v>203</v>
      </c>
      <c r="E704" s="16"/>
      <c r="F704" s="98">
        <f>' WP II-I-1.4'!G704</f>
        <v>2328747.8200000017</v>
      </c>
      <c r="G704" s="16">
        <v>72</v>
      </c>
      <c r="H704" s="1" t="str">
        <f t="shared" si="239"/>
        <v>DIST MAINT</v>
      </c>
      <c r="I704" s="16"/>
      <c r="J704" s="370">
        <f t="shared" ca="1" si="240"/>
        <v>1198083.646521108</v>
      </c>
      <c r="K704" s="370">
        <f t="shared" ca="1" si="240"/>
        <v>22635.576502931359</v>
      </c>
      <c r="L704" s="370">
        <f t="shared" ca="1" si="240"/>
        <v>769533.75195939839</v>
      </c>
      <c r="M704" s="370">
        <f t="shared" ca="1" si="240"/>
        <v>291.70053584706176</v>
      </c>
      <c r="N704" s="370">
        <f t="shared" ca="1" si="240"/>
        <v>183359.18777884604</v>
      </c>
      <c r="O704" s="370">
        <f t="shared" ca="1" si="240"/>
        <v>5218.3880504477793</v>
      </c>
      <c r="P704" s="370">
        <f t="shared" ca="1" si="240"/>
        <v>347.06403412381263</v>
      </c>
      <c r="Q704" s="370">
        <f t="shared" ca="1" si="240"/>
        <v>141882.25125963727</v>
      </c>
      <c r="R704" s="370">
        <f t="shared" ca="1" si="240"/>
        <v>360.71536949047027</v>
      </c>
      <c r="S704" s="370">
        <f t="shared" ca="1" si="240"/>
        <v>7035.5379881713607</v>
      </c>
      <c r="T704" s="16"/>
      <c r="U704" s="97">
        <f t="shared" ca="1" si="241"/>
        <v>2328747.8200000012</v>
      </c>
      <c r="V704" s="64"/>
      <c r="W704" s="64"/>
      <c r="X704" s="305">
        <f t="shared" ca="1" si="223"/>
        <v>0</v>
      </c>
    </row>
    <row r="705" spans="1:24" ht="15" x14ac:dyDescent="0.25">
      <c r="A705" s="64"/>
      <c r="B705" s="16">
        <f t="shared" si="233"/>
        <v>28</v>
      </c>
      <c r="C705" s="8"/>
      <c r="D705" s="233" t="s">
        <v>584</v>
      </c>
      <c r="E705" s="19"/>
      <c r="F705" s="805">
        <f>SUM(F696:F704)</f>
        <v>185251852.43999994</v>
      </c>
      <c r="G705" s="961"/>
      <c r="H705" s="961"/>
      <c r="I705" s="961"/>
      <c r="J705" s="805">
        <f t="shared" ref="J705:Q705" ca="1" si="242">SUM(J696:J704)</f>
        <v>95307535.2298581</v>
      </c>
      <c r="K705" s="805">
        <f t="shared" ca="1" si="242"/>
        <v>1800659.7546553444</v>
      </c>
      <c r="L705" s="805">
        <f t="shared" ca="1" si="242"/>
        <v>61216397.860366829</v>
      </c>
      <c r="M705" s="805">
        <f t="shared" ca="1" si="242"/>
        <v>23204.773036957173</v>
      </c>
      <c r="N705" s="805">
        <f t="shared" ca="1" si="242"/>
        <v>14586220.502795795</v>
      </c>
      <c r="O705" s="805">
        <f ca="1">SUM(O696:O704)</f>
        <v>415122.68730592332</v>
      </c>
      <c r="P705" s="805">
        <f t="shared" ca="1" si="242"/>
        <v>27608.938453771956</v>
      </c>
      <c r="Q705" s="805">
        <f t="shared" ca="1" si="242"/>
        <v>11286730.855299439</v>
      </c>
      <c r="R705" s="805">
        <f ca="1">SUM(R696:R704)</f>
        <v>28694.901967396629</v>
      </c>
      <c r="S705" s="805">
        <f ca="1">SUM(S696:S704)</f>
        <v>559676.93626042095</v>
      </c>
      <c r="T705" s="913"/>
      <c r="U705" s="235">
        <f t="shared" ca="1" si="241"/>
        <v>185251852.44</v>
      </c>
      <c r="V705" s="64"/>
      <c r="W705" s="64"/>
      <c r="X705" s="305">
        <f t="shared" ca="1" si="223"/>
        <v>0</v>
      </c>
    </row>
    <row r="706" spans="1:24" x14ac:dyDescent="0.2">
      <c r="A706" s="64"/>
      <c r="B706" s="16">
        <f t="shared" si="233"/>
        <v>29</v>
      </c>
      <c r="C706" s="1"/>
      <c r="D706" s="1"/>
      <c r="E706" s="16"/>
      <c r="F706" s="18"/>
      <c r="G706" s="16"/>
      <c r="H706" s="16"/>
      <c r="I706" s="1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6"/>
      <c r="U706" s="1"/>
      <c r="V706" s="64"/>
      <c r="W706" s="64"/>
      <c r="X706" s="305">
        <f t="shared" ref="X706:X769" si="243">U706-F706</f>
        <v>0</v>
      </c>
    </row>
    <row r="707" spans="1:24" ht="15" x14ac:dyDescent="0.25">
      <c r="A707" s="64"/>
      <c r="B707" s="16">
        <f t="shared" si="233"/>
        <v>30</v>
      </c>
      <c r="C707" s="8"/>
      <c r="D707" s="233" t="s">
        <v>585</v>
      </c>
      <c r="E707" s="19"/>
      <c r="F707" s="21">
        <f>SUM(F697:F703)</f>
        <v>180265348.66999996</v>
      </c>
      <c r="G707" s="19"/>
      <c r="H707" s="19"/>
      <c r="I707" s="19"/>
      <c r="J707" s="21">
        <f t="shared" ref="J707:Q707" ca="1" si="244">SUM(J697:J703)</f>
        <v>92742101.322054014</v>
      </c>
      <c r="K707" s="21">
        <f t="shared" ca="1" si="244"/>
        <v>1752190.6217597136</v>
      </c>
      <c r="L707" s="21">
        <f t="shared" ca="1" si="244"/>
        <v>59568609.75624837</v>
      </c>
      <c r="M707" s="21">
        <f t="shared" ca="1" si="244"/>
        <v>22580.160183122098</v>
      </c>
      <c r="N707" s="21">
        <f t="shared" ca="1" si="244"/>
        <v>14193596.933480611</v>
      </c>
      <c r="O707" s="21">
        <f ca="1">SUM(O697:O703)</f>
        <v>403948.65142990439</v>
      </c>
      <c r="P707" s="21">
        <f t="shared" ca="1" si="244"/>
        <v>26865.776785631435</v>
      </c>
      <c r="Q707" s="21">
        <f t="shared" ca="1" si="244"/>
        <v>10982921.067598911</v>
      </c>
      <c r="R707" s="21">
        <f ca="1">SUM(R697:R703)</f>
        <v>27922.50895239805</v>
      </c>
      <c r="S707" s="21">
        <f ca="1">SUM(S697:S703)</f>
        <v>544611.87150729774</v>
      </c>
      <c r="T707" s="19"/>
      <c r="U707" s="235">
        <f ca="1">SUM(I707:T707)</f>
        <v>180265348.66999999</v>
      </c>
      <c r="V707" s="64"/>
      <c r="W707" s="64"/>
      <c r="X707" s="305">
        <f t="shared" ca="1" si="243"/>
        <v>0</v>
      </c>
    </row>
    <row r="708" spans="1:24" ht="15" thickBot="1" x14ac:dyDescent="0.25">
      <c r="A708" s="64"/>
      <c r="B708" s="16">
        <f t="shared" si="233"/>
        <v>31</v>
      </c>
      <c r="C708" s="1"/>
      <c r="D708" s="1"/>
      <c r="E708" s="16"/>
      <c r="F708" s="18"/>
      <c r="G708" s="16"/>
      <c r="H708" s="16"/>
      <c r="I708" s="1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6"/>
      <c r="U708" s="1"/>
      <c r="V708" s="64"/>
      <c r="W708" s="64"/>
      <c r="X708" s="305">
        <f t="shared" si="243"/>
        <v>0</v>
      </c>
    </row>
    <row r="709" spans="1:24" ht="15.75" thickBot="1" x14ac:dyDescent="0.3">
      <c r="A709" s="64"/>
      <c r="B709" s="16">
        <f t="shared" si="233"/>
        <v>32</v>
      </c>
      <c r="C709" s="779" t="s">
        <v>586</v>
      </c>
      <c r="D709" s="920"/>
      <c r="E709" s="916" t="s">
        <v>143</v>
      </c>
      <c r="F709" s="917">
        <f>+F705+F690</f>
        <v>363865669.07999992</v>
      </c>
      <c r="G709" s="916"/>
      <c r="H709" s="916"/>
      <c r="I709" s="919"/>
      <c r="J709" s="917">
        <f t="shared" ref="J709:Q709" ca="1" si="245">+J705+J690</f>
        <v>190592261.71642369</v>
      </c>
      <c r="K709" s="917">
        <f t="shared" ca="1" si="245"/>
        <v>4172209.7226147419</v>
      </c>
      <c r="L709" s="917">
        <f t="shared" ca="1" si="245"/>
        <v>121991705.61165245</v>
      </c>
      <c r="M709" s="917">
        <f t="shared" ca="1" si="245"/>
        <v>156875.07385700426</v>
      </c>
      <c r="N709" s="917">
        <f t="shared" ca="1" si="245"/>
        <v>30713966.336856406</v>
      </c>
      <c r="O709" s="917">
        <f ca="1">+O705+O690</f>
        <v>2992800.6247351505</v>
      </c>
      <c r="P709" s="917">
        <f t="shared" ca="1" si="245"/>
        <v>85242.706971353226</v>
      </c>
      <c r="Q709" s="917">
        <f t="shared" ca="1" si="245"/>
        <v>11809451.143410658</v>
      </c>
      <c r="R709" s="917">
        <f ca="1">+R705+R690</f>
        <v>204964.15685120752</v>
      </c>
      <c r="S709" s="917">
        <f ca="1">+S705+S690</f>
        <v>1146191.9866272835</v>
      </c>
      <c r="T709" s="919"/>
      <c r="U709" s="918">
        <f ca="1">SUM(I709:T709)</f>
        <v>363865669.08000004</v>
      </c>
      <c r="V709" s="64"/>
      <c r="W709" s="64"/>
      <c r="X709" s="305">
        <f t="shared" ca="1" si="243"/>
        <v>0</v>
      </c>
    </row>
    <row r="710" spans="1:24" ht="15" x14ac:dyDescent="0.25">
      <c r="A710" s="64"/>
      <c r="B710" s="16"/>
      <c r="C710" s="1"/>
      <c r="D710" s="8"/>
      <c r="E710" s="19"/>
      <c r="F710" s="21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"/>
      <c r="V710" s="64"/>
      <c r="W710" s="64"/>
      <c r="X710" s="305">
        <f t="shared" si="243"/>
        <v>0</v>
      </c>
    </row>
    <row r="711" spans="1:24" ht="15.75" thickBot="1" x14ac:dyDescent="0.3">
      <c r="A711" s="64"/>
      <c r="B711" s="16"/>
      <c r="C711" s="1"/>
      <c r="D711" s="8"/>
      <c r="E711" s="19"/>
      <c r="F711" s="21"/>
      <c r="G711" s="19"/>
      <c r="H711" s="105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05"/>
      <c r="V711" s="105">
        <f>$H$2</f>
        <v>0</v>
      </c>
      <c r="W711" s="105"/>
      <c r="X711" s="305"/>
    </row>
    <row r="712" spans="1:24" ht="15" x14ac:dyDescent="0.25">
      <c r="A712" s="64"/>
      <c r="B712" s="829" t="str">
        <f>+$B$4</f>
        <v>2025 RATE CASE</v>
      </c>
      <c r="C712" s="844"/>
      <c r="D712" s="872"/>
      <c r="F712" s="267"/>
      <c r="U712" s="105"/>
      <c r="X712" s="305">
        <f t="shared" si="243"/>
        <v>0</v>
      </c>
    </row>
    <row r="713" spans="1:24" ht="15" x14ac:dyDescent="0.25">
      <c r="A713" s="64"/>
      <c r="B713" s="826" t="str">
        <f>+$B$5</f>
        <v>ONCOR ELECTRIC DELIVERY COMPANY LLC</v>
      </c>
      <c r="C713" s="8"/>
      <c r="D713" s="873"/>
      <c r="F713" s="267"/>
      <c r="U713" s="105"/>
      <c r="V713" s="64"/>
      <c r="W713" s="64"/>
      <c r="X713" s="305">
        <f t="shared" si="243"/>
        <v>0</v>
      </c>
    </row>
    <row r="714" spans="1:24" ht="15" x14ac:dyDescent="0.25">
      <c r="A714" s="64"/>
      <c r="B714" s="826" t="str">
        <f>+$B$6</f>
        <v>II-I-1-DIST:  CLASS REVENUE REQUIREMENT</v>
      </c>
      <c r="C714" s="82"/>
      <c r="D714" s="873"/>
      <c r="F714" s="267"/>
      <c r="U714" s="267"/>
      <c r="V714" s="64"/>
      <c r="W714" s="64"/>
      <c r="X714" s="305">
        <f t="shared" si="243"/>
        <v>0</v>
      </c>
    </row>
    <row r="715" spans="1:24" ht="15" x14ac:dyDescent="0.25">
      <c r="A715" s="64"/>
      <c r="B715" s="341" t="str">
        <f>+$B$7</f>
        <v>TEST YEAR ENDING 12/31/2024</v>
      </c>
      <c r="C715" s="82"/>
      <c r="D715" s="873"/>
      <c r="F715" s="267"/>
      <c r="U715" s="267"/>
      <c r="V715" s="64"/>
      <c r="W715" s="64"/>
      <c r="X715" s="305">
        <f t="shared" si="243"/>
        <v>0</v>
      </c>
    </row>
    <row r="716" spans="1:24" ht="15" x14ac:dyDescent="0.25">
      <c r="A716" s="64"/>
      <c r="B716" s="341" t="str">
        <f>+$B$8</f>
        <v>SPONSOR:  MATTHEW A. TROXLE</v>
      </c>
      <c r="C716" s="82"/>
      <c r="D716" s="873"/>
      <c r="F716" s="267"/>
      <c r="U716" s="267"/>
      <c r="V716" s="64"/>
      <c r="W716" s="64"/>
      <c r="X716" s="305">
        <f t="shared" si="243"/>
        <v>0</v>
      </c>
    </row>
    <row r="717" spans="1:24" ht="15.75" thickBot="1" x14ac:dyDescent="0.3">
      <c r="A717" s="64"/>
      <c r="B717" s="345"/>
      <c r="C717" s="843"/>
      <c r="D717" s="845"/>
      <c r="F717" s="267"/>
      <c r="U717" s="267"/>
      <c r="V717" s="64"/>
      <c r="W717" s="64"/>
      <c r="X717" s="305">
        <f t="shared" si="243"/>
        <v>0</v>
      </c>
    </row>
    <row r="718" spans="1:24" ht="15" thickBot="1" x14ac:dyDescent="0.25">
      <c r="A718" s="64"/>
      <c r="B718" s="12"/>
      <c r="C718" s="13"/>
      <c r="D718" s="13"/>
      <c r="E718" s="13"/>
      <c r="F718" s="12"/>
      <c r="G718" s="13"/>
      <c r="H718" s="13"/>
      <c r="I718" s="13"/>
      <c r="J718" s="177"/>
      <c r="K718" s="177"/>
      <c r="L718" s="13"/>
      <c r="M718" s="177"/>
      <c r="N718" s="177"/>
      <c r="O718" s="177"/>
      <c r="P718" s="177"/>
      <c r="Q718" s="13"/>
      <c r="R718" s="328" t="str">
        <f>R$10</f>
        <v xml:space="preserve"> </v>
      </c>
      <c r="S718" s="329"/>
      <c r="T718" s="177"/>
      <c r="U718" s="12"/>
      <c r="V718" s="64"/>
      <c r="W718" s="64"/>
      <c r="X718" s="305">
        <f t="shared" si="243"/>
        <v>0</v>
      </c>
    </row>
    <row r="719" spans="1:24" ht="15" x14ac:dyDescent="0.25">
      <c r="A719" s="64"/>
      <c r="B719" s="14" t="s">
        <v>2</v>
      </c>
      <c r="C719" s="14" t="s">
        <v>349</v>
      </c>
      <c r="D719" s="226" t="s">
        <v>587</v>
      </c>
      <c r="E719" s="14" t="s">
        <v>350</v>
      </c>
      <c r="F719" s="226" t="str">
        <f>F$11</f>
        <v>DIST</v>
      </c>
      <c r="G719" s="181" t="s">
        <v>688</v>
      </c>
      <c r="H719" s="181" t="s">
        <v>355</v>
      </c>
      <c r="I719" s="14"/>
      <c r="J719" s="181" t="s">
        <v>679</v>
      </c>
      <c r="K719" s="181" t="s">
        <v>388</v>
      </c>
      <c r="L719" s="14" t="s">
        <v>388</v>
      </c>
      <c r="M719" s="181" t="s">
        <v>389</v>
      </c>
      <c r="N719" s="181" t="s">
        <v>389</v>
      </c>
      <c r="O719" s="181" t="s">
        <v>389</v>
      </c>
      <c r="P719" s="181" t="s">
        <v>390</v>
      </c>
      <c r="Q719" s="14" t="s">
        <v>391</v>
      </c>
      <c r="R719" s="331" t="str">
        <f>R$11</f>
        <v>Wholesale</v>
      </c>
      <c r="S719" s="12" t="str">
        <f>S$11</f>
        <v>Wholesale</v>
      </c>
      <c r="T719" s="181"/>
      <c r="U719" s="14" t="s">
        <v>10</v>
      </c>
      <c r="V719" s="64"/>
      <c r="W719" s="64"/>
      <c r="X719" s="305"/>
    </row>
    <row r="720" spans="1:24" x14ac:dyDescent="0.2">
      <c r="A720" s="64"/>
      <c r="B720" s="14"/>
      <c r="C720" s="14"/>
      <c r="D720" s="14"/>
      <c r="E720" s="14"/>
      <c r="F720" s="14"/>
      <c r="G720" s="181" t="s">
        <v>689</v>
      </c>
      <c r="H720" s="181" t="s">
        <v>690</v>
      </c>
      <c r="I720" s="14"/>
      <c r="J720" s="181"/>
      <c r="K720" s="181" t="s">
        <v>680</v>
      </c>
      <c r="L720" s="14" t="s">
        <v>681</v>
      </c>
      <c r="M720" s="181" t="s">
        <v>680</v>
      </c>
      <c r="N720" s="181" t="s">
        <v>681</v>
      </c>
      <c r="O720" s="181" t="s">
        <v>393</v>
      </c>
      <c r="P720" s="181"/>
      <c r="Q720" s="14"/>
      <c r="R720" s="174" t="str">
        <f>R$12</f>
        <v>XFMR</v>
      </c>
      <c r="S720" s="14" t="str">
        <f>S$12</f>
        <v>DLS</v>
      </c>
      <c r="T720" s="181"/>
      <c r="U720" s="14"/>
      <c r="V720" s="64"/>
      <c r="W720" s="64"/>
      <c r="X720" s="305">
        <f t="shared" si="243"/>
        <v>0</v>
      </c>
    </row>
    <row r="721" spans="1:24" ht="15" thickBot="1" x14ac:dyDescent="0.25">
      <c r="A721" s="64"/>
      <c r="B721" s="15"/>
      <c r="C721" s="15"/>
      <c r="D721" s="15"/>
      <c r="E721" s="15"/>
      <c r="F721" s="15" t="s">
        <v>13</v>
      </c>
      <c r="G721" s="15" t="s">
        <v>14</v>
      </c>
      <c r="H721" s="15" t="s">
        <v>15</v>
      </c>
      <c r="I721" s="15"/>
      <c r="J721" s="182" t="str">
        <f t="shared" ref="J721:Q721" si="246">J$13</f>
        <v>(d)</v>
      </c>
      <c r="K721" s="182" t="str">
        <f t="shared" si="246"/>
        <v>(e)</v>
      </c>
      <c r="L721" s="15" t="str">
        <f t="shared" si="246"/>
        <v>(f)</v>
      </c>
      <c r="M721" s="182" t="str">
        <f t="shared" si="246"/>
        <v>(g)</v>
      </c>
      <c r="N721" s="182" t="str">
        <f t="shared" si="246"/>
        <v>(h)</v>
      </c>
      <c r="O721" s="182" t="str">
        <f>O$13</f>
        <v>(i)</v>
      </c>
      <c r="P721" s="182" t="str">
        <f t="shared" si="246"/>
        <v>(j)</v>
      </c>
      <c r="Q721" s="182" t="str">
        <f t="shared" si="246"/>
        <v>(k)</v>
      </c>
      <c r="R721" s="182" t="str">
        <f>R$13</f>
        <v>(l)</v>
      </c>
      <c r="S721" s="15" t="str">
        <f>S$13</f>
        <v>(m)</v>
      </c>
      <c r="T721" s="15"/>
      <c r="U721" s="15" t="s">
        <v>683</v>
      </c>
      <c r="V721" s="64"/>
      <c r="W721" s="64"/>
      <c r="X721" s="305"/>
    </row>
    <row r="722" spans="1:24" x14ac:dyDescent="0.2">
      <c r="A722" s="45"/>
      <c r="B722" s="45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41"/>
      <c r="V722" s="64"/>
      <c r="W722" s="64"/>
      <c r="X722" s="305">
        <f t="shared" si="243"/>
        <v>0</v>
      </c>
    </row>
    <row r="723" spans="1:24" ht="15" x14ac:dyDescent="0.25">
      <c r="A723" s="64"/>
      <c r="B723" s="16">
        <f>B710+1</f>
        <v>1</v>
      </c>
      <c r="C723" s="8"/>
      <c r="D723" s="301" t="s">
        <v>588</v>
      </c>
      <c r="E723" s="19" t="s">
        <v>143</v>
      </c>
      <c r="F723" s="8"/>
      <c r="G723" s="961"/>
      <c r="H723" s="961"/>
      <c r="I723" s="961"/>
      <c r="J723" s="961"/>
      <c r="K723" s="961"/>
      <c r="L723" s="961"/>
      <c r="M723" s="961"/>
      <c r="N723" s="961"/>
      <c r="O723" s="961"/>
      <c r="P723" s="961"/>
      <c r="Q723" s="961"/>
      <c r="R723" s="961"/>
      <c r="S723" s="961"/>
      <c r="T723" s="913"/>
      <c r="U723" s="8"/>
      <c r="V723" s="64"/>
      <c r="W723" s="64"/>
      <c r="X723" s="305">
        <f t="shared" si="243"/>
        <v>0</v>
      </c>
    </row>
    <row r="724" spans="1:24" x14ac:dyDescent="0.2">
      <c r="A724" s="64"/>
      <c r="B724" s="16">
        <f t="shared" ref="B724:B754" si="247">B723+1</f>
        <v>2</v>
      </c>
      <c r="C724" s="1" t="s">
        <v>205</v>
      </c>
      <c r="D724" s="1" t="s">
        <v>206</v>
      </c>
      <c r="E724" s="16"/>
      <c r="F724" s="98">
        <f>' WP II-I-1.4'!G724</f>
        <v>107858</v>
      </c>
      <c r="G724" s="16">
        <v>6</v>
      </c>
      <c r="H724" s="1" t="str">
        <f>VLOOKUP(G724,FactorTable,2)</f>
        <v>CUS W ALL</v>
      </c>
      <c r="I724" s="16"/>
      <c r="J724" s="369">
        <f t="shared" ref="J724:S728" si="248">$F724*HLOOKUP(J$1354,FactorTable,$G724+1)</f>
        <v>56306.564964207057</v>
      </c>
      <c r="K724" s="369">
        <f t="shared" si="248"/>
        <v>7898.9709464186153</v>
      </c>
      <c r="L724" s="369">
        <f t="shared" si="248"/>
        <v>31064.088658936325</v>
      </c>
      <c r="M724" s="369">
        <f t="shared" si="248"/>
        <v>1308.1725759207402</v>
      </c>
      <c r="N724" s="369">
        <f t="shared" si="248"/>
        <v>10073.619418296646</v>
      </c>
      <c r="O724" s="369">
        <f t="shared" si="248"/>
        <v>330.53759916511694</v>
      </c>
      <c r="P724" s="369">
        <f t="shared" si="248"/>
        <v>689.46493077386378</v>
      </c>
      <c r="Q724" s="369">
        <f t="shared" si="248"/>
        <v>57.416615195700857</v>
      </c>
      <c r="R724" s="369">
        <f t="shared" si="248"/>
        <v>36.501084570381025</v>
      </c>
      <c r="S724" s="369">
        <f t="shared" si="248"/>
        <v>92.663206515539358</v>
      </c>
      <c r="T724" s="16"/>
      <c r="U724" s="97">
        <f t="shared" ref="U724:U729" si="249">SUM(I724:T724)</f>
        <v>107857.99999999999</v>
      </c>
      <c r="V724" s="64"/>
      <c r="W724" s="64"/>
      <c r="X724" s="305">
        <f t="shared" si="243"/>
        <v>0</v>
      </c>
    </row>
    <row r="725" spans="1:24" x14ac:dyDescent="0.2">
      <c r="A725" s="64"/>
      <c r="B725" s="16">
        <f t="shared" si="247"/>
        <v>3</v>
      </c>
      <c r="C725" s="1" t="s">
        <v>207</v>
      </c>
      <c r="D725" s="1" t="s">
        <v>208</v>
      </c>
      <c r="E725" s="16"/>
      <c r="F725" s="98">
        <f>' WP II-I-1.4'!G725</f>
        <v>0</v>
      </c>
      <c r="G725" s="16">
        <v>6</v>
      </c>
      <c r="H725" s="1" t="str">
        <f>VLOOKUP(G725,FactorTable,2)</f>
        <v>CUS W ALL</v>
      </c>
      <c r="I725" s="16"/>
      <c r="J725" s="369">
        <f t="shared" si="248"/>
        <v>0</v>
      </c>
      <c r="K725" s="369">
        <f t="shared" si="248"/>
        <v>0</v>
      </c>
      <c r="L725" s="369">
        <f t="shared" si="248"/>
        <v>0</v>
      </c>
      <c r="M725" s="369">
        <f t="shared" si="248"/>
        <v>0</v>
      </c>
      <c r="N725" s="369">
        <f t="shared" si="248"/>
        <v>0</v>
      </c>
      <c r="O725" s="369">
        <f t="shared" si="248"/>
        <v>0</v>
      </c>
      <c r="P725" s="369">
        <f t="shared" si="248"/>
        <v>0</v>
      </c>
      <c r="Q725" s="369">
        <f t="shared" si="248"/>
        <v>0</v>
      </c>
      <c r="R725" s="369">
        <f t="shared" si="248"/>
        <v>0</v>
      </c>
      <c r="S725" s="369">
        <f t="shared" si="248"/>
        <v>0</v>
      </c>
      <c r="T725" s="16"/>
      <c r="U725" s="97">
        <f t="shared" si="249"/>
        <v>0</v>
      </c>
      <c r="V725" s="64"/>
      <c r="W725" s="64"/>
      <c r="X725" s="305">
        <f t="shared" si="243"/>
        <v>0</v>
      </c>
    </row>
    <row r="726" spans="1:24" x14ac:dyDescent="0.2">
      <c r="A726" s="64"/>
      <c r="B726" s="16">
        <f t="shared" si="247"/>
        <v>4</v>
      </c>
      <c r="C726" s="1" t="s">
        <v>209</v>
      </c>
      <c r="D726" s="1" t="s">
        <v>210</v>
      </c>
      <c r="E726" s="16"/>
      <c r="F726" s="98">
        <f>' WP II-I-1.4'!G726</f>
        <v>0</v>
      </c>
      <c r="G726" s="16">
        <v>6</v>
      </c>
      <c r="H726" s="1" t="str">
        <f>VLOOKUP(G726,FactorTable,2)</f>
        <v>CUS W ALL</v>
      </c>
      <c r="I726" s="16"/>
      <c r="J726" s="369">
        <f t="shared" si="248"/>
        <v>0</v>
      </c>
      <c r="K726" s="369">
        <f t="shared" si="248"/>
        <v>0</v>
      </c>
      <c r="L726" s="369">
        <f t="shared" si="248"/>
        <v>0</v>
      </c>
      <c r="M726" s="369">
        <f t="shared" si="248"/>
        <v>0</v>
      </c>
      <c r="N726" s="369">
        <f t="shared" si="248"/>
        <v>0</v>
      </c>
      <c r="O726" s="369">
        <f t="shared" si="248"/>
        <v>0</v>
      </c>
      <c r="P726" s="369">
        <f t="shared" si="248"/>
        <v>0</v>
      </c>
      <c r="Q726" s="369">
        <f t="shared" si="248"/>
        <v>0</v>
      </c>
      <c r="R726" s="369">
        <f t="shared" si="248"/>
        <v>0</v>
      </c>
      <c r="S726" s="369">
        <f t="shared" si="248"/>
        <v>0</v>
      </c>
      <c r="T726" s="16"/>
      <c r="U726" s="97">
        <f t="shared" si="249"/>
        <v>0</v>
      </c>
      <c r="V726" s="64"/>
      <c r="W726" s="64"/>
      <c r="X726" s="305">
        <f t="shared" si="243"/>
        <v>0</v>
      </c>
    </row>
    <row r="727" spans="1:24" x14ac:dyDescent="0.2">
      <c r="A727" s="64"/>
      <c r="B727" s="16">
        <f t="shared" si="247"/>
        <v>5</v>
      </c>
      <c r="C727" s="1" t="s">
        <v>211</v>
      </c>
      <c r="D727" s="1" t="s">
        <v>212</v>
      </c>
      <c r="E727" s="16"/>
      <c r="F727" s="98">
        <f>' WP II-I-1.4'!G727</f>
        <v>0</v>
      </c>
      <c r="G727" s="16">
        <v>15</v>
      </c>
      <c r="H727" s="1" t="str">
        <f>VLOOKUP(G727,FactorTable,2)</f>
        <v>REVENUE RTL</v>
      </c>
      <c r="I727" s="16"/>
      <c r="J727" s="369">
        <f t="shared" si="248"/>
        <v>0</v>
      </c>
      <c r="K727" s="369">
        <f t="shared" si="248"/>
        <v>0</v>
      </c>
      <c r="L727" s="369">
        <f t="shared" si="248"/>
        <v>0</v>
      </c>
      <c r="M727" s="369">
        <f t="shared" si="248"/>
        <v>0</v>
      </c>
      <c r="N727" s="369">
        <f t="shared" si="248"/>
        <v>0</v>
      </c>
      <c r="O727" s="369">
        <f t="shared" si="248"/>
        <v>0</v>
      </c>
      <c r="P727" s="369">
        <f t="shared" si="248"/>
        <v>0</v>
      </c>
      <c r="Q727" s="369">
        <f t="shared" si="248"/>
        <v>0</v>
      </c>
      <c r="R727" s="369">
        <f t="shared" si="248"/>
        <v>0</v>
      </c>
      <c r="S727" s="369">
        <f t="shared" si="248"/>
        <v>0</v>
      </c>
      <c r="T727" s="16"/>
      <c r="U727" s="97">
        <f t="shared" si="249"/>
        <v>0</v>
      </c>
      <c r="V727" s="64"/>
      <c r="W727" s="64"/>
      <c r="X727" s="305">
        <f t="shared" si="243"/>
        <v>0</v>
      </c>
    </row>
    <row r="728" spans="1:24" x14ac:dyDescent="0.2">
      <c r="A728" s="64"/>
      <c r="B728" s="16">
        <f t="shared" si="247"/>
        <v>6</v>
      </c>
      <c r="C728" s="1" t="s">
        <v>213</v>
      </c>
      <c r="D728" s="29" t="s">
        <v>214</v>
      </c>
      <c r="E728" s="16"/>
      <c r="F728" s="98">
        <f>' WP II-I-1.4'!G728</f>
        <v>0</v>
      </c>
      <c r="G728" s="16">
        <v>73</v>
      </c>
      <c r="H728" s="1" t="str">
        <f>VLOOKUP(G728,FactorTable,2)</f>
        <v>CUS ACCT</v>
      </c>
      <c r="I728" s="16"/>
      <c r="J728" s="370">
        <f t="shared" si="248"/>
        <v>0</v>
      </c>
      <c r="K728" s="370">
        <f t="shared" si="248"/>
        <v>0</v>
      </c>
      <c r="L728" s="370">
        <f t="shared" si="248"/>
        <v>0</v>
      </c>
      <c r="M728" s="370">
        <f t="shared" si="248"/>
        <v>0</v>
      </c>
      <c r="N728" s="370">
        <f t="shared" si="248"/>
        <v>0</v>
      </c>
      <c r="O728" s="370">
        <f t="shared" si="248"/>
        <v>0</v>
      </c>
      <c r="P728" s="370">
        <f t="shared" si="248"/>
        <v>0</v>
      </c>
      <c r="Q728" s="370">
        <f t="shared" si="248"/>
        <v>0</v>
      </c>
      <c r="R728" s="370">
        <f t="shared" si="248"/>
        <v>0</v>
      </c>
      <c r="S728" s="370">
        <f t="shared" si="248"/>
        <v>0</v>
      </c>
      <c r="T728" s="16"/>
      <c r="U728" s="97">
        <f t="shared" si="249"/>
        <v>0</v>
      </c>
      <c r="V728" s="64"/>
      <c r="W728" s="64"/>
      <c r="X728" s="305">
        <f t="shared" si="243"/>
        <v>0</v>
      </c>
    </row>
    <row r="729" spans="1:24" ht="15" x14ac:dyDescent="0.25">
      <c r="A729" s="64"/>
      <c r="B729" s="16">
        <f t="shared" si="247"/>
        <v>7</v>
      </c>
      <c r="C729" s="8"/>
      <c r="D729" s="233" t="s">
        <v>589</v>
      </c>
      <c r="E729" s="19"/>
      <c r="F729" s="805">
        <f>SUM(F724:F728)</f>
        <v>107858</v>
      </c>
      <c r="G729" s="961"/>
      <c r="H729" s="961"/>
      <c r="I729" s="961"/>
      <c r="J729" s="805">
        <f t="shared" ref="J729:Q729" si="250">SUM(J724:J728)</f>
        <v>56306.564964207057</v>
      </c>
      <c r="K729" s="805">
        <f t="shared" si="250"/>
        <v>7898.9709464186153</v>
      </c>
      <c r="L729" s="805">
        <f t="shared" si="250"/>
        <v>31064.088658936325</v>
      </c>
      <c r="M729" s="805">
        <f t="shared" si="250"/>
        <v>1308.1725759207402</v>
      </c>
      <c r="N729" s="805">
        <f t="shared" si="250"/>
        <v>10073.619418296646</v>
      </c>
      <c r="O729" s="805">
        <f>SUM(O724:O728)</f>
        <v>330.53759916511694</v>
      </c>
      <c r="P729" s="805">
        <f t="shared" si="250"/>
        <v>689.46493077386378</v>
      </c>
      <c r="Q729" s="805">
        <f t="shared" si="250"/>
        <v>57.416615195700857</v>
      </c>
      <c r="R729" s="805">
        <f>SUM(R724:R728)</f>
        <v>36.501084570381025</v>
      </c>
      <c r="S729" s="805">
        <f>SUM(S724:S728)</f>
        <v>92.663206515539358</v>
      </c>
      <c r="T729" s="913"/>
      <c r="U729" s="235">
        <f t="shared" si="249"/>
        <v>107857.99999999999</v>
      </c>
      <c r="V729" s="64"/>
      <c r="W729" s="64"/>
      <c r="X729" s="305">
        <f t="shared" si="243"/>
        <v>0</v>
      </c>
    </row>
    <row r="730" spans="1:24" x14ac:dyDescent="0.2">
      <c r="A730" s="64"/>
      <c r="B730" s="16">
        <f t="shared" si="247"/>
        <v>8</v>
      </c>
      <c r="C730" s="1"/>
      <c r="D730" s="1"/>
      <c r="E730" s="16"/>
      <c r="F730" s="18"/>
      <c r="G730" s="16"/>
      <c r="H730" s="16"/>
      <c r="I730" s="1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6"/>
      <c r="U730" s="1"/>
      <c r="V730" s="64"/>
      <c r="W730" s="64"/>
      <c r="X730" s="305">
        <f t="shared" si="243"/>
        <v>0</v>
      </c>
    </row>
    <row r="731" spans="1:24" ht="15" x14ac:dyDescent="0.25">
      <c r="A731" s="64"/>
      <c r="B731" s="16">
        <f t="shared" si="247"/>
        <v>9</v>
      </c>
      <c r="C731" s="8"/>
      <c r="D731" s="233" t="s">
        <v>598</v>
      </c>
      <c r="E731" s="19"/>
      <c r="F731" s="805">
        <f>F725+F726</f>
        <v>0</v>
      </c>
      <c r="G731" s="961"/>
      <c r="H731" s="961"/>
      <c r="I731" s="961"/>
      <c r="J731" s="805">
        <f t="shared" ref="J731:Q731" si="251">SUM(J725:J726)</f>
        <v>0</v>
      </c>
      <c r="K731" s="805">
        <f t="shared" si="251"/>
        <v>0</v>
      </c>
      <c r="L731" s="805">
        <f t="shared" si="251"/>
        <v>0</v>
      </c>
      <c r="M731" s="805">
        <f t="shared" si="251"/>
        <v>0</v>
      </c>
      <c r="N731" s="805">
        <f t="shared" si="251"/>
        <v>0</v>
      </c>
      <c r="O731" s="805">
        <f>SUM(O725:O726)</f>
        <v>0</v>
      </c>
      <c r="P731" s="805">
        <f t="shared" si="251"/>
        <v>0</v>
      </c>
      <c r="Q731" s="805">
        <f t="shared" si="251"/>
        <v>0</v>
      </c>
      <c r="R731" s="805">
        <f>SUM(R725:R726)</f>
        <v>0</v>
      </c>
      <c r="S731" s="805">
        <f>SUM(S725:S726)</f>
        <v>0</v>
      </c>
      <c r="T731" s="913"/>
      <c r="U731" s="235">
        <f>SUM(I731:T731)</f>
        <v>0</v>
      </c>
      <c r="V731" s="64"/>
      <c r="W731" s="64"/>
      <c r="X731" s="305">
        <f t="shared" si="243"/>
        <v>0</v>
      </c>
    </row>
    <row r="732" spans="1:24" x14ac:dyDescent="0.2">
      <c r="A732" s="64"/>
      <c r="B732" s="16">
        <f t="shared" si="247"/>
        <v>10</v>
      </c>
      <c r="C732" s="1"/>
      <c r="D732" s="1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"/>
      <c r="V732" s="64"/>
      <c r="W732" s="64"/>
      <c r="X732" s="305">
        <f t="shared" si="243"/>
        <v>0</v>
      </c>
    </row>
    <row r="733" spans="1:24" ht="15" x14ac:dyDescent="0.25">
      <c r="A733" s="64"/>
      <c r="B733" s="16">
        <f t="shared" si="247"/>
        <v>11</v>
      </c>
      <c r="C733" s="8"/>
      <c r="D733" s="301" t="s">
        <v>599</v>
      </c>
      <c r="E733" s="19" t="s">
        <v>143</v>
      </c>
      <c r="F733" s="805"/>
      <c r="G733" s="961"/>
      <c r="H733" s="961"/>
      <c r="I733" s="961"/>
      <c r="J733" s="961"/>
      <c r="K733" s="961"/>
      <c r="L733" s="961"/>
      <c r="M733" s="961"/>
      <c r="N733" s="961"/>
      <c r="O733" s="961"/>
      <c r="P733" s="961"/>
      <c r="Q733" s="961"/>
      <c r="R733" s="961"/>
      <c r="S733" s="961"/>
      <c r="T733" s="913"/>
      <c r="U733" s="8"/>
      <c r="V733" s="64"/>
      <c r="W733" s="64"/>
      <c r="X733" s="305">
        <f t="shared" si="243"/>
        <v>0</v>
      </c>
    </row>
    <row r="734" spans="1:24" x14ac:dyDescent="0.2">
      <c r="A734" s="64"/>
      <c r="B734" s="16">
        <f t="shared" si="247"/>
        <v>12</v>
      </c>
      <c r="C734" s="1" t="s">
        <v>216</v>
      </c>
      <c r="D734" s="1" t="s">
        <v>217</v>
      </c>
      <c r="E734" s="16"/>
      <c r="F734" s="98">
        <f>' WP II-I-1.4'!G734</f>
        <v>0</v>
      </c>
      <c r="G734" s="16">
        <v>9</v>
      </c>
      <c r="H734" s="1" t="str">
        <f>VLOOKUP(G734,FactorTable,2)</f>
        <v>CUS U ALL</v>
      </c>
      <c r="I734" s="16"/>
      <c r="J734" s="369">
        <f t="shared" ref="J734:S738" si="252">$F734*HLOOKUP(J$1354,FactorTable,$G734+1)</f>
        <v>0</v>
      </c>
      <c r="K734" s="369">
        <f t="shared" si="252"/>
        <v>0</v>
      </c>
      <c r="L734" s="369">
        <f t="shared" si="252"/>
        <v>0</v>
      </c>
      <c r="M734" s="369">
        <f t="shared" si="252"/>
        <v>0</v>
      </c>
      <c r="N734" s="369">
        <f t="shared" si="252"/>
        <v>0</v>
      </c>
      <c r="O734" s="369">
        <f t="shared" si="252"/>
        <v>0</v>
      </c>
      <c r="P734" s="369">
        <f t="shared" si="252"/>
        <v>0</v>
      </c>
      <c r="Q734" s="369">
        <f t="shared" si="252"/>
        <v>0</v>
      </c>
      <c r="R734" s="369">
        <f t="shared" si="252"/>
        <v>0</v>
      </c>
      <c r="S734" s="369">
        <f t="shared" si="252"/>
        <v>0</v>
      </c>
      <c r="T734" s="16"/>
      <c r="U734" s="97">
        <f t="shared" ref="U734:U739" si="253">SUM(I734:T734)</f>
        <v>0</v>
      </c>
      <c r="V734" s="64"/>
      <c r="W734" s="64"/>
      <c r="X734" s="305">
        <f t="shared" si="243"/>
        <v>0</v>
      </c>
    </row>
    <row r="735" spans="1:24" x14ac:dyDescent="0.2">
      <c r="A735" s="64"/>
      <c r="B735" s="16">
        <f t="shared" si="247"/>
        <v>13</v>
      </c>
      <c r="C735" s="1" t="s">
        <v>218</v>
      </c>
      <c r="D735" s="1" t="s">
        <v>206</v>
      </c>
      <c r="E735" s="16"/>
      <c r="F735" s="98">
        <f>' WP II-I-1.4'!G735</f>
        <v>0</v>
      </c>
      <c r="G735" s="16">
        <v>74</v>
      </c>
      <c r="H735" s="1" t="str">
        <f>VLOOKUP(G735,FactorTable,2)</f>
        <v>CUS SVC INFO</v>
      </c>
      <c r="I735" s="16"/>
      <c r="J735" s="369">
        <f t="shared" si="252"/>
        <v>0</v>
      </c>
      <c r="K735" s="369">
        <f t="shared" si="252"/>
        <v>0</v>
      </c>
      <c r="L735" s="369">
        <f t="shared" si="252"/>
        <v>0</v>
      </c>
      <c r="M735" s="369">
        <f t="shared" si="252"/>
        <v>0</v>
      </c>
      <c r="N735" s="369">
        <f t="shared" si="252"/>
        <v>0</v>
      </c>
      <c r="O735" s="369">
        <f t="shared" si="252"/>
        <v>0</v>
      </c>
      <c r="P735" s="369">
        <f t="shared" si="252"/>
        <v>0</v>
      </c>
      <c r="Q735" s="369">
        <f t="shared" si="252"/>
        <v>0</v>
      </c>
      <c r="R735" s="369">
        <f t="shared" si="252"/>
        <v>0</v>
      </c>
      <c r="S735" s="369">
        <f t="shared" si="252"/>
        <v>0</v>
      </c>
      <c r="T735" s="16"/>
      <c r="U735" s="97">
        <f t="shared" si="253"/>
        <v>0</v>
      </c>
      <c r="V735" s="64"/>
      <c r="W735" s="64"/>
      <c r="X735" s="305">
        <f t="shared" si="243"/>
        <v>0</v>
      </c>
    </row>
    <row r="736" spans="1:24" ht="15" x14ac:dyDescent="0.25">
      <c r="A736" s="64"/>
      <c r="B736" s="16">
        <f t="shared" si="247"/>
        <v>14</v>
      </c>
      <c r="C736" s="1" t="s">
        <v>219</v>
      </c>
      <c r="D736" s="1" t="s">
        <v>220</v>
      </c>
      <c r="E736" s="19"/>
      <c r="F736" s="98">
        <f>' WP II-I-1.4'!G736</f>
        <v>230789.12</v>
      </c>
      <c r="G736" s="16">
        <v>9</v>
      </c>
      <c r="H736" s="1" t="str">
        <f>VLOOKUP(G736,FactorTable,2)</f>
        <v>CUS U ALL</v>
      </c>
      <c r="I736" s="961"/>
      <c r="J736" s="369">
        <f t="shared" si="252"/>
        <v>197489.6260983902</v>
      </c>
      <c r="K736" s="369">
        <f t="shared" si="252"/>
        <v>16381.302010588081</v>
      </c>
      <c r="L736" s="369">
        <f t="shared" si="252"/>
        <v>13384.541506063835</v>
      </c>
      <c r="M736" s="369">
        <f t="shared" si="252"/>
        <v>178.83019285587702</v>
      </c>
      <c r="N736" s="369">
        <f t="shared" si="252"/>
        <v>400.32864225280542</v>
      </c>
      <c r="O736" s="369">
        <f t="shared" si="252"/>
        <v>9.2980291660312453</v>
      </c>
      <c r="P736" s="369">
        <f t="shared" si="252"/>
        <v>19.394662064114254</v>
      </c>
      <c r="Q736" s="369">
        <f t="shared" si="252"/>
        <v>2921.8058399588122</v>
      </c>
      <c r="R736" s="369">
        <f t="shared" si="252"/>
        <v>1.0267762269236957</v>
      </c>
      <c r="S736" s="369">
        <f t="shared" si="252"/>
        <v>2.9662424333351209</v>
      </c>
      <c r="T736" s="913"/>
      <c r="U736" s="97">
        <f t="shared" si="253"/>
        <v>230789.12000000002</v>
      </c>
      <c r="V736" s="64"/>
      <c r="W736" s="64"/>
      <c r="X736" s="305">
        <f t="shared" si="243"/>
        <v>0</v>
      </c>
    </row>
    <row r="737" spans="1:24" x14ac:dyDescent="0.2">
      <c r="A737" s="64"/>
      <c r="B737" s="16">
        <f t="shared" si="247"/>
        <v>15</v>
      </c>
      <c r="C737" s="1" t="s">
        <v>221</v>
      </c>
      <c r="D737" s="1" t="s">
        <v>222</v>
      </c>
      <c r="E737" s="16"/>
      <c r="F737" s="98">
        <f>' WP II-I-1.4'!G737</f>
        <v>0</v>
      </c>
      <c r="G737" s="16">
        <v>10</v>
      </c>
      <c r="H737" s="1" t="str">
        <f>VLOOKUP(G737,FactorTable,2)</f>
        <v>CUS U RTL</v>
      </c>
      <c r="I737" s="16"/>
      <c r="J737" s="369">
        <f t="shared" si="252"/>
        <v>0</v>
      </c>
      <c r="K737" s="369">
        <f t="shared" si="252"/>
        <v>0</v>
      </c>
      <c r="L737" s="369">
        <f t="shared" si="252"/>
        <v>0</v>
      </c>
      <c r="M737" s="369">
        <f t="shared" si="252"/>
        <v>0</v>
      </c>
      <c r="N737" s="369">
        <f t="shared" si="252"/>
        <v>0</v>
      </c>
      <c r="O737" s="369">
        <f t="shared" si="252"/>
        <v>0</v>
      </c>
      <c r="P737" s="369">
        <f t="shared" si="252"/>
        <v>0</v>
      </c>
      <c r="Q737" s="369">
        <f t="shared" si="252"/>
        <v>0</v>
      </c>
      <c r="R737" s="369">
        <f t="shared" si="252"/>
        <v>0</v>
      </c>
      <c r="S737" s="369">
        <f t="shared" si="252"/>
        <v>0</v>
      </c>
      <c r="T737" s="16"/>
      <c r="U737" s="97">
        <f t="shared" si="253"/>
        <v>0</v>
      </c>
      <c r="V737" s="64"/>
      <c r="W737" s="64"/>
      <c r="X737" s="305">
        <f t="shared" si="243"/>
        <v>0</v>
      </c>
    </row>
    <row r="738" spans="1:24" x14ac:dyDescent="0.2">
      <c r="A738" s="64"/>
      <c r="B738" s="16">
        <f t="shared" si="247"/>
        <v>16</v>
      </c>
      <c r="C738" s="1" t="s">
        <v>223</v>
      </c>
      <c r="D738" s="1" t="s">
        <v>224</v>
      </c>
      <c r="E738" s="16"/>
      <c r="F738" s="98">
        <f>' WP II-I-1.4'!G738</f>
        <v>1143</v>
      </c>
      <c r="G738" s="16">
        <v>74</v>
      </c>
      <c r="H738" s="1" t="str">
        <f>VLOOKUP(G738,FactorTable,2)</f>
        <v>CUS SVC INFO</v>
      </c>
      <c r="I738" s="16"/>
      <c r="J738" s="370">
        <f t="shared" si="252"/>
        <v>978.0818204534944</v>
      </c>
      <c r="K738" s="370">
        <f t="shared" si="252"/>
        <v>81.129596568946468</v>
      </c>
      <c r="L738" s="370">
        <f t="shared" si="252"/>
        <v>66.287920944587682</v>
      </c>
      <c r="M738" s="370">
        <f t="shared" si="252"/>
        <v>0.88566961230350638</v>
      </c>
      <c r="N738" s="370">
        <f t="shared" si="252"/>
        <v>1.982656886489955</v>
      </c>
      <c r="O738" s="370">
        <f t="shared" si="252"/>
        <v>4.6049169634919153E-2</v>
      </c>
      <c r="P738" s="370">
        <f t="shared" si="252"/>
        <v>9.6053482674064494E-2</v>
      </c>
      <c r="Q738" s="370">
        <f t="shared" si="252"/>
        <v>14.470457164847815</v>
      </c>
      <c r="R738" s="370">
        <f t="shared" si="252"/>
        <v>5.0851843768622371E-3</v>
      </c>
      <c r="S738" s="370">
        <f t="shared" si="252"/>
        <v>1.4690532644268686E-2</v>
      </c>
      <c r="T738" s="16"/>
      <c r="U738" s="97">
        <f t="shared" si="253"/>
        <v>1142.9999999999998</v>
      </c>
      <c r="V738" s="64"/>
      <c r="W738" s="64"/>
      <c r="X738" s="305">
        <f t="shared" si="243"/>
        <v>0</v>
      </c>
    </row>
    <row r="739" spans="1:24" ht="15" x14ac:dyDescent="0.25">
      <c r="A739" s="64"/>
      <c r="B739" s="16">
        <f t="shared" si="247"/>
        <v>17</v>
      </c>
      <c r="C739" s="8"/>
      <c r="D739" s="233" t="s">
        <v>600</v>
      </c>
      <c r="E739" s="19"/>
      <c r="F739" s="805">
        <f>SUM(F734:F738)</f>
        <v>231932.12</v>
      </c>
      <c r="G739" s="961"/>
      <c r="H739" s="961"/>
      <c r="I739" s="961"/>
      <c r="J739" s="805">
        <f t="shared" ref="J739:Q739" si="254">SUM(J734:J738)</f>
        <v>198467.70791884369</v>
      </c>
      <c r="K739" s="805">
        <f t="shared" si="254"/>
        <v>16462.431607157028</v>
      </c>
      <c r="L739" s="805">
        <f t="shared" si="254"/>
        <v>13450.829427008422</v>
      </c>
      <c r="M739" s="805">
        <f t="shared" si="254"/>
        <v>179.71586246818052</v>
      </c>
      <c r="N739" s="805">
        <f t="shared" si="254"/>
        <v>402.31129913929539</v>
      </c>
      <c r="O739" s="805">
        <f>SUM(O734:O738)</f>
        <v>9.3440783356661647</v>
      </c>
      <c r="P739" s="805">
        <f t="shared" si="254"/>
        <v>19.490715546788319</v>
      </c>
      <c r="Q739" s="805">
        <f t="shared" si="254"/>
        <v>2936.2762971236598</v>
      </c>
      <c r="R739" s="805">
        <f>SUM(R734:R738)</f>
        <v>1.031861411300558</v>
      </c>
      <c r="S739" s="805">
        <f>SUM(S734:S738)</f>
        <v>2.9809329659793895</v>
      </c>
      <c r="T739" s="913"/>
      <c r="U739" s="235">
        <f t="shared" si="253"/>
        <v>231932.12000000002</v>
      </c>
      <c r="V739" s="64"/>
      <c r="W739" s="64"/>
      <c r="X739" s="305">
        <f t="shared" si="243"/>
        <v>0</v>
      </c>
    </row>
    <row r="740" spans="1:24" ht="15" x14ac:dyDescent="0.25">
      <c r="A740" s="64"/>
      <c r="B740" s="16">
        <f t="shared" si="247"/>
        <v>18</v>
      </c>
      <c r="C740" s="8"/>
      <c r="D740" s="233"/>
      <c r="E740" s="19"/>
      <c r="F740" s="805"/>
      <c r="G740" s="961"/>
      <c r="H740" s="961"/>
      <c r="I740" s="961"/>
      <c r="J740" s="805"/>
      <c r="K740" s="805"/>
      <c r="L740" s="805"/>
      <c r="M740" s="805"/>
      <c r="N740" s="805"/>
      <c r="O740" s="805"/>
      <c r="P740" s="805"/>
      <c r="Q740" s="805"/>
      <c r="R740" s="805"/>
      <c r="S740" s="805"/>
      <c r="T740" s="913"/>
      <c r="U740" s="235"/>
      <c r="V740" s="64"/>
      <c r="W740" s="64"/>
      <c r="X740" s="305">
        <f t="shared" si="243"/>
        <v>0</v>
      </c>
    </row>
    <row r="741" spans="1:24" ht="15" x14ac:dyDescent="0.25">
      <c r="A741" s="64"/>
      <c r="B741" s="16">
        <f t="shared" si="247"/>
        <v>19</v>
      </c>
      <c r="C741" s="8"/>
      <c r="D741" s="233" t="s">
        <v>601</v>
      </c>
      <c r="E741" s="19"/>
      <c r="F741" s="805">
        <f>F734+F736+F737</f>
        <v>230789.12</v>
      </c>
      <c r="G741" s="961"/>
      <c r="H741" s="961"/>
      <c r="I741" s="961"/>
      <c r="J741" s="805">
        <f t="shared" ref="J741:Q741" si="255">J734+J736+J737</f>
        <v>197489.6260983902</v>
      </c>
      <c r="K741" s="805">
        <f t="shared" si="255"/>
        <v>16381.302010588081</v>
      </c>
      <c r="L741" s="805">
        <f t="shared" si="255"/>
        <v>13384.541506063835</v>
      </c>
      <c r="M741" s="805">
        <f t="shared" si="255"/>
        <v>178.83019285587702</v>
      </c>
      <c r="N741" s="805">
        <f t="shared" si="255"/>
        <v>400.32864225280542</v>
      </c>
      <c r="O741" s="805">
        <f>O734+O736+O737</f>
        <v>9.2980291660312453</v>
      </c>
      <c r="P741" s="805">
        <f t="shared" si="255"/>
        <v>19.394662064114254</v>
      </c>
      <c r="Q741" s="805">
        <f t="shared" si="255"/>
        <v>2921.8058399588122</v>
      </c>
      <c r="R741" s="805">
        <f>R734+R736+R737</f>
        <v>1.0267762269236957</v>
      </c>
      <c r="S741" s="805">
        <f>S734+S736+S737</f>
        <v>2.9662424333351209</v>
      </c>
      <c r="T741" s="913"/>
      <c r="U741" s="235">
        <f>SUM(I741:T741)</f>
        <v>230789.12000000002</v>
      </c>
      <c r="V741" s="64"/>
      <c r="W741" s="64"/>
      <c r="X741" s="305">
        <f t="shared" si="243"/>
        <v>0</v>
      </c>
    </row>
    <row r="742" spans="1:24" x14ac:dyDescent="0.2">
      <c r="A742" s="64"/>
      <c r="B742" s="16">
        <f t="shared" si="247"/>
        <v>20</v>
      </c>
      <c r="C742" s="1"/>
      <c r="D742" s="1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"/>
      <c r="V742" s="64"/>
      <c r="W742" s="64"/>
      <c r="X742" s="305">
        <f t="shared" si="243"/>
        <v>0</v>
      </c>
    </row>
    <row r="743" spans="1:24" ht="15" x14ac:dyDescent="0.25">
      <c r="A743" s="64"/>
      <c r="B743" s="16">
        <f t="shared" si="247"/>
        <v>21</v>
      </c>
      <c r="C743" s="8"/>
      <c r="D743" s="303" t="s">
        <v>225</v>
      </c>
      <c r="E743" s="19" t="s">
        <v>143</v>
      </c>
      <c r="F743" s="805"/>
      <c r="G743" s="961"/>
      <c r="H743" s="961"/>
      <c r="I743" s="961"/>
      <c r="J743" s="961"/>
      <c r="K743" s="961"/>
      <c r="L743" s="961"/>
      <c r="M743" s="961"/>
      <c r="N743" s="961"/>
      <c r="O743" s="961"/>
      <c r="P743" s="961"/>
      <c r="Q743" s="961"/>
      <c r="R743" s="961"/>
      <c r="S743" s="961"/>
      <c r="T743" s="913"/>
      <c r="U743" s="8"/>
      <c r="V743" s="64"/>
      <c r="W743" s="64"/>
      <c r="X743" s="305">
        <f t="shared" si="243"/>
        <v>0</v>
      </c>
    </row>
    <row r="744" spans="1:24" x14ac:dyDescent="0.2">
      <c r="A744" s="64"/>
      <c r="B744" s="16">
        <f t="shared" si="247"/>
        <v>22</v>
      </c>
      <c r="C744" s="1" t="s">
        <v>226</v>
      </c>
      <c r="D744" s="49" t="s">
        <v>206</v>
      </c>
      <c r="E744" s="16"/>
      <c r="F744" s="98">
        <f>' WP II-I-1.4'!G744</f>
        <v>0</v>
      </c>
      <c r="G744" s="16">
        <v>10</v>
      </c>
      <c r="H744" s="1" t="str">
        <f>VLOOKUP(G744,FactorTable,2)</f>
        <v>CUS U RTL</v>
      </c>
      <c r="I744" s="16"/>
      <c r="J744" s="369">
        <f t="shared" ref="J744:S748" si="256">$F744*HLOOKUP(J$1354,FactorTable,$G744+1)</f>
        <v>0</v>
      </c>
      <c r="K744" s="369">
        <f t="shared" si="256"/>
        <v>0</v>
      </c>
      <c r="L744" s="369">
        <f t="shared" si="256"/>
        <v>0</v>
      </c>
      <c r="M744" s="369">
        <f t="shared" si="256"/>
        <v>0</v>
      </c>
      <c r="N744" s="369">
        <f t="shared" si="256"/>
        <v>0</v>
      </c>
      <c r="O744" s="369">
        <f t="shared" si="256"/>
        <v>0</v>
      </c>
      <c r="P744" s="369">
        <f t="shared" si="256"/>
        <v>0</v>
      </c>
      <c r="Q744" s="369">
        <f t="shared" si="256"/>
        <v>0</v>
      </c>
      <c r="R744" s="369">
        <f t="shared" si="256"/>
        <v>0</v>
      </c>
      <c r="S744" s="369">
        <f t="shared" si="256"/>
        <v>0</v>
      </c>
      <c r="T744" s="16"/>
      <c r="U744" s="97">
        <f t="shared" ref="U744:U749" si="257">SUM(I744:T744)</f>
        <v>0</v>
      </c>
      <c r="V744" s="64"/>
      <c r="W744" s="64"/>
      <c r="X744" s="305">
        <f t="shared" si="243"/>
        <v>0</v>
      </c>
    </row>
    <row r="745" spans="1:24" x14ac:dyDescent="0.2">
      <c r="A745" s="64"/>
      <c r="B745" s="16">
        <f t="shared" si="247"/>
        <v>23</v>
      </c>
      <c r="C745" s="1" t="s">
        <v>227</v>
      </c>
      <c r="D745" s="49" t="s">
        <v>228</v>
      </c>
      <c r="E745" s="16"/>
      <c r="F745" s="98">
        <f>' WP II-I-1.4'!G745</f>
        <v>0</v>
      </c>
      <c r="G745" s="16">
        <v>10</v>
      </c>
      <c r="H745" s="1" t="str">
        <f>VLOOKUP(G745,FactorTable,2)</f>
        <v>CUS U RTL</v>
      </c>
      <c r="I745" s="16"/>
      <c r="J745" s="369">
        <f t="shared" si="256"/>
        <v>0</v>
      </c>
      <c r="K745" s="369">
        <f t="shared" si="256"/>
        <v>0</v>
      </c>
      <c r="L745" s="369">
        <f t="shared" si="256"/>
        <v>0</v>
      </c>
      <c r="M745" s="369">
        <f t="shared" si="256"/>
        <v>0</v>
      </c>
      <c r="N745" s="369">
        <f t="shared" si="256"/>
        <v>0</v>
      </c>
      <c r="O745" s="369">
        <f t="shared" si="256"/>
        <v>0</v>
      </c>
      <c r="P745" s="369">
        <f t="shared" si="256"/>
        <v>0</v>
      </c>
      <c r="Q745" s="369">
        <f t="shared" si="256"/>
        <v>0</v>
      </c>
      <c r="R745" s="369">
        <f t="shared" si="256"/>
        <v>0</v>
      </c>
      <c r="S745" s="369">
        <f t="shared" si="256"/>
        <v>0</v>
      </c>
      <c r="T745" s="16"/>
      <c r="U745" s="97">
        <f t="shared" si="257"/>
        <v>0</v>
      </c>
      <c r="V745" s="64"/>
      <c r="W745" s="64"/>
      <c r="X745" s="305">
        <f t="shared" si="243"/>
        <v>0</v>
      </c>
    </row>
    <row r="746" spans="1:24" x14ac:dyDescent="0.2">
      <c r="A746" s="64"/>
      <c r="B746" s="16">
        <f t="shared" si="247"/>
        <v>24</v>
      </c>
      <c r="C746" s="1" t="s">
        <v>229</v>
      </c>
      <c r="D746" s="49" t="s">
        <v>230</v>
      </c>
      <c r="E746" s="16"/>
      <c r="F746" s="98">
        <f>' WP II-I-1.4'!G746</f>
        <v>0</v>
      </c>
      <c r="G746" s="16">
        <v>10</v>
      </c>
      <c r="H746" s="1" t="str">
        <f>VLOOKUP(G746,FactorTable,2)</f>
        <v>CUS U RTL</v>
      </c>
      <c r="I746" s="16"/>
      <c r="J746" s="369">
        <f t="shared" si="256"/>
        <v>0</v>
      </c>
      <c r="K746" s="369">
        <f t="shared" si="256"/>
        <v>0</v>
      </c>
      <c r="L746" s="369">
        <f t="shared" si="256"/>
        <v>0</v>
      </c>
      <c r="M746" s="369">
        <f t="shared" si="256"/>
        <v>0</v>
      </c>
      <c r="N746" s="369">
        <f t="shared" si="256"/>
        <v>0</v>
      </c>
      <c r="O746" s="369">
        <f t="shared" si="256"/>
        <v>0</v>
      </c>
      <c r="P746" s="369">
        <f t="shared" si="256"/>
        <v>0</v>
      </c>
      <c r="Q746" s="369">
        <f t="shared" si="256"/>
        <v>0</v>
      </c>
      <c r="R746" s="369">
        <f t="shared" si="256"/>
        <v>0</v>
      </c>
      <c r="S746" s="369">
        <f t="shared" si="256"/>
        <v>0</v>
      </c>
      <c r="T746" s="16"/>
      <c r="U746" s="97">
        <f t="shared" si="257"/>
        <v>0</v>
      </c>
      <c r="V746" s="64"/>
      <c r="W746" s="64"/>
      <c r="X746" s="305">
        <f t="shared" si="243"/>
        <v>0</v>
      </c>
    </row>
    <row r="747" spans="1:24" x14ac:dyDescent="0.2">
      <c r="A747" s="64"/>
      <c r="B747" s="16">
        <f t="shared" si="247"/>
        <v>25</v>
      </c>
      <c r="C747" s="1" t="s">
        <v>231</v>
      </c>
      <c r="D747" s="49" t="s">
        <v>232</v>
      </c>
      <c r="E747" s="16"/>
      <c r="F747" s="98">
        <f>' WP II-I-1.4'!G747</f>
        <v>0</v>
      </c>
      <c r="G747" s="16">
        <v>10</v>
      </c>
      <c r="H747" s="1" t="str">
        <f>VLOOKUP(G747,FactorTable,2)</f>
        <v>CUS U RTL</v>
      </c>
      <c r="I747" s="16"/>
      <c r="J747" s="369">
        <f t="shared" si="256"/>
        <v>0</v>
      </c>
      <c r="K747" s="369">
        <f t="shared" si="256"/>
        <v>0</v>
      </c>
      <c r="L747" s="369">
        <f t="shared" si="256"/>
        <v>0</v>
      </c>
      <c r="M747" s="369">
        <f t="shared" si="256"/>
        <v>0</v>
      </c>
      <c r="N747" s="369">
        <f t="shared" si="256"/>
        <v>0</v>
      </c>
      <c r="O747" s="369">
        <f t="shared" si="256"/>
        <v>0</v>
      </c>
      <c r="P747" s="369">
        <f t="shared" si="256"/>
        <v>0</v>
      </c>
      <c r="Q747" s="369">
        <f t="shared" si="256"/>
        <v>0</v>
      </c>
      <c r="R747" s="369">
        <f t="shared" si="256"/>
        <v>0</v>
      </c>
      <c r="S747" s="369">
        <f t="shared" si="256"/>
        <v>0</v>
      </c>
      <c r="T747" s="16"/>
      <c r="U747" s="97">
        <f t="shared" si="257"/>
        <v>0</v>
      </c>
      <c r="V747" s="64"/>
      <c r="W747" s="64"/>
      <c r="X747" s="305">
        <f t="shared" si="243"/>
        <v>0</v>
      </c>
    </row>
    <row r="748" spans="1:24" x14ac:dyDescent="0.2">
      <c r="A748" s="64"/>
      <c r="B748" s="16">
        <f t="shared" si="247"/>
        <v>26</v>
      </c>
      <c r="C748" s="1" t="s">
        <v>233</v>
      </c>
      <c r="D748" s="49" t="s">
        <v>234</v>
      </c>
      <c r="E748" s="16"/>
      <c r="F748" s="98">
        <f>' WP II-I-1.4'!G748</f>
        <v>0</v>
      </c>
      <c r="G748" s="16">
        <v>10</v>
      </c>
      <c r="H748" s="1" t="str">
        <f>VLOOKUP(G748,FactorTable,2)</f>
        <v>CUS U RTL</v>
      </c>
      <c r="I748" s="16"/>
      <c r="J748" s="370">
        <f t="shared" si="256"/>
        <v>0</v>
      </c>
      <c r="K748" s="370">
        <f t="shared" si="256"/>
        <v>0</v>
      </c>
      <c r="L748" s="370">
        <f t="shared" si="256"/>
        <v>0</v>
      </c>
      <c r="M748" s="370">
        <f t="shared" si="256"/>
        <v>0</v>
      </c>
      <c r="N748" s="370">
        <f t="shared" si="256"/>
        <v>0</v>
      </c>
      <c r="O748" s="370">
        <f t="shared" si="256"/>
        <v>0</v>
      </c>
      <c r="P748" s="370">
        <f t="shared" si="256"/>
        <v>0</v>
      </c>
      <c r="Q748" s="370">
        <f t="shared" si="256"/>
        <v>0</v>
      </c>
      <c r="R748" s="370">
        <f t="shared" si="256"/>
        <v>0</v>
      </c>
      <c r="S748" s="370">
        <f t="shared" si="256"/>
        <v>0</v>
      </c>
      <c r="T748" s="16"/>
      <c r="U748" s="97">
        <f t="shared" si="257"/>
        <v>0</v>
      </c>
      <c r="V748" s="64"/>
      <c r="W748" s="64"/>
      <c r="X748" s="305">
        <f t="shared" si="243"/>
        <v>0</v>
      </c>
    </row>
    <row r="749" spans="1:24" ht="15" x14ac:dyDescent="0.25">
      <c r="A749" s="64"/>
      <c r="B749" s="16">
        <f t="shared" si="247"/>
        <v>27</v>
      </c>
      <c r="C749" s="8"/>
      <c r="D749" s="233" t="s">
        <v>602</v>
      </c>
      <c r="E749" s="19"/>
      <c r="F749" s="805">
        <f>SUM(F744:F748)</f>
        <v>0</v>
      </c>
      <c r="G749" s="961"/>
      <c r="H749" s="961"/>
      <c r="I749" s="961"/>
      <c r="J749" s="805">
        <f t="shared" ref="J749:Q749" si="258">SUM(J744:J748)</f>
        <v>0</v>
      </c>
      <c r="K749" s="805">
        <f t="shared" si="258"/>
        <v>0</v>
      </c>
      <c r="L749" s="805">
        <f t="shared" si="258"/>
        <v>0</v>
      </c>
      <c r="M749" s="805">
        <f t="shared" si="258"/>
        <v>0</v>
      </c>
      <c r="N749" s="805">
        <f t="shared" si="258"/>
        <v>0</v>
      </c>
      <c r="O749" s="805">
        <f>SUM(O744:O748)</f>
        <v>0</v>
      </c>
      <c r="P749" s="805">
        <f t="shared" si="258"/>
        <v>0</v>
      </c>
      <c r="Q749" s="805">
        <f t="shared" si="258"/>
        <v>0</v>
      </c>
      <c r="R749" s="805">
        <f>SUM(R744:R748)</f>
        <v>0</v>
      </c>
      <c r="S749" s="805">
        <f>SUM(S744:S748)</f>
        <v>0</v>
      </c>
      <c r="T749" s="913"/>
      <c r="U749" s="235">
        <f t="shared" si="257"/>
        <v>0</v>
      </c>
      <c r="V749" s="64"/>
      <c r="W749" s="64"/>
      <c r="X749" s="305">
        <f t="shared" si="243"/>
        <v>0</v>
      </c>
    </row>
    <row r="750" spans="1:24" ht="15" x14ac:dyDescent="0.25">
      <c r="A750" s="64"/>
      <c r="B750" s="16">
        <f t="shared" si="247"/>
        <v>28</v>
      </c>
      <c r="C750" s="8"/>
      <c r="D750" s="304"/>
      <c r="E750" s="19"/>
      <c r="F750" s="805"/>
      <c r="G750" s="961"/>
      <c r="H750" s="961"/>
      <c r="I750" s="961"/>
      <c r="J750" s="805"/>
      <c r="K750" s="805"/>
      <c r="L750" s="805"/>
      <c r="M750" s="805"/>
      <c r="N750" s="805"/>
      <c r="O750" s="805"/>
      <c r="P750" s="805"/>
      <c r="Q750" s="805"/>
      <c r="R750" s="805"/>
      <c r="S750" s="805"/>
      <c r="T750" s="913"/>
      <c r="U750" s="8"/>
      <c r="V750" s="64"/>
      <c r="W750" s="64"/>
      <c r="X750" s="305">
        <f t="shared" si="243"/>
        <v>0</v>
      </c>
    </row>
    <row r="751" spans="1:24" ht="15" x14ac:dyDescent="0.25">
      <c r="A751" s="64"/>
      <c r="B751" s="16">
        <f t="shared" si="247"/>
        <v>29</v>
      </c>
      <c r="C751" s="8"/>
      <c r="D751" s="233" t="s">
        <v>603</v>
      </c>
      <c r="E751" s="19"/>
      <c r="F751" s="21">
        <f>SUM(F745:F748)</f>
        <v>0</v>
      </c>
      <c r="G751" s="19"/>
      <c r="H751" s="19"/>
      <c r="I751" s="19"/>
      <c r="J751" s="21">
        <f t="shared" ref="J751:Q751" si="259">SUM(J745:J748)</f>
        <v>0</v>
      </c>
      <c r="K751" s="21">
        <f t="shared" si="259"/>
        <v>0</v>
      </c>
      <c r="L751" s="21">
        <f t="shared" si="259"/>
        <v>0</v>
      </c>
      <c r="M751" s="21">
        <f t="shared" si="259"/>
        <v>0</v>
      </c>
      <c r="N751" s="21">
        <f t="shared" si="259"/>
        <v>0</v>
      </c>
      <c r="O751" s="21">
        <f>SUM(O745:O748)</f>
        <v>0</v>
      </c>
      <c r="P751" s="21">
        <f t="shared" si="259"/>
        <v>0</v>
      </c>
      <c r="Q751" s="21">
        <f t="shared" si="259"/>
        <v>0</v>
      </c>
      <c r="R751" s="21">
        <f>SUM(R745:R748)</f>
        <v>0</v>
      </c>
      <c r="S751" s="21">
        <f>SUM(S745:S748)</f>
        <v>0</v>
      </c>
      <c r="T751" s="19"/>
      <c r="U751" s="235">
        <f>SUM(I751:T751)</f>
        <v>0</v>
      </c>
      <c r="V751" s="64"/>
      <c r="W751" s="64"/>
      <c r="X751" s="305">
        <f t="shared" si="243"/>
        <v>0</v>
      </c>
    </row>
    <row r="752" spans="1:24" ht="15.75" thickBot="1" x14ac:dyDescent="0.3">
      <c r="A752" s="64"/>
      <c r="B752" s="16">
        <f t="shared" si="247"/>
        <v>30</v>
      </c>
      <c r="C752" s="8"/>
      <c r="D752" s="304"/>
      <c r="E752" s="19"/>
      <c r="F752" s="21"/>
      <c r="G752" s="19"/>
      <c r="H752" s="19"/>
      <c r="I752" s="19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19"/>
      <c r="U752" s="8"/>
      <c r="V752" s="64"/>
      <c r="W752" s="64"/>
      <c r="X752" s="305">
        <f t="shared" si="243"/>
        <v>0</v>
      </c>
    </row>
    <row r="753" spans="1:24" ht="15" x14ac:dyDescent="0.25">
      <c r="A753" s="64"/>
      <c r="B753" s="16">
        <f t="shared" si="247"/>
        <v>31</v>
      </c>
      <c r="C753" s="255" t="s">
        <v>604</v>
      </c>
      <c r="D753" s="240"/>
      <c r="E753" s="241" t="s">
        <v>143</v>
      </c>
      <c r="F753" s="242">
        <f>+F749+F739+F729+F709+F661</f>
        <v>2466185727.1599998</v>
      </c>
      <c r="G753" s="241"/>
      <c r="H753" s="372"/>
      <c r="I753" s="769"/>
      <c r="J753" s="374">
        <f t="shared" ref="J753:Q753" ca="1" si="260">+J749+J739+J729+J709+J661</f>
        <v>1112835959.6450121</v>
      </c>
      <c r="K753" s="817">
        <f t="shared" ca="1" si="260"/>
        <v>22782480.461277805</v>
      </c>
      <c r="L753" s="817">
        <f t="shared" ca="1" si="260"/>
        <v>763870805.47887552</v>
      </c>
      <c r="M753" s="817">
        <f t="shared" ca="1" si="260"/>
        <v>361467.85898340523</v>
      </c>
      <c r="N753" s="817">
        <f t="shared" ca="1" si="260"/>
        <v>230284183.94801486</v>
      </c>
      <c r="O753" s="817">
        <f ca="1">+O749+O739+O729+O709+O661</f>
        <v>75448654.642890364</v>
      </c>
      <c r="P753" s="817">
        <f t="shared" ca="1" si="260"/>
        <v>247427594.64867708</v>
      </c>
      <c r="Q753" s="817">
        <f t="shared" ca="1" si="260"/>
        <v>11815780.311873645</v>
      </c>
      <c r="R753" s="817">
        <f ca="1">+R749+R739+R729+R709+R661</f>
        <v>208279.4483443705</v>
      </c>
      <c r="S753" s="566">
        <f ca="1">+S749+S739+S729+S709+S661</f>
        <v>1150520.7160508432</v>
      </c>
      <c r="T753" s="372"/>
      <c r="U753" s="243">
        <f ca="1">SUM(I753:T753)</f>
        <v>2466185727.1599994</v>
      </c>
      <c r="V753" s="64"/>
      <c r="W753" s="64"/>
      <c r="X753" s="305">
        <f t="shared" ca="1" si="243"/>
        <v>0</v>
      </c>
    </row>
    <row r="754" spans="1:24" ht="15.75" thickBot="1" x14ac:dyDescent="0.3">
      <c r="A754" s="64"/>
      <c r="B754" s="16">
        <f t="shared" si="247"/>
        <v>32</v>
      </c>
      <c r="C754" s="262" t="s">
        <v>605</v>
      </c>
      <c r="D754" s="246"/>
      <c r="E754" s="247" t="s">
        <v>143</v>
      </c>
      <c r="F754" s="248">
        <f>F753-F645</f>
        <v>365344254.49999976</v>
      </c>
      <c r="G754" s="247"/>
      <c r="H754" s="375"/>
      <c r="I754" s="964"/>
      <c r="J754" s="377">
        <f t="shared" ref="J754:Q754" ca="1" si="261">J753-J645</f>
        <v>191430972.07677937</v>
      </c>
      <c r="K754" s="248">
        <f t="shared" ca="1" si="261"/>
        <v>4207603.235338103</v>
      </c>
      <c r="L754" s="248">
        <f t="shared" ca="1" si="261"/>
        <v>122411285.1446209</v>
      </c>
      <c r="M754" s="248">
        <f t="shared" ca="1" si="261"/>
        <v>158538.47030170739</v>
      </c>
      <c r="N754" s="248">
        <f t="shared" ca="1" si="261"/>
        <v>30834764.332608819</v>
      </c>
      <c r="O754" s="248">
        <f ca="1">O753-O645</f>
        <v>3040559.1014645547</v>
      </c>
      <c r="P754" s="248">
        <f t="shared" ca="1" si="261"/>
        <v>85951.662617683411</v>
      </c>
      <c r="Q754" s="248">
        <f t="shared" ca="1" si="261"/>
        <v>11815780.311873645</v>
      </c>
      <c r="R754" s="248">
        <f ca="1">R753-R645</f>
        <v>208279.4483443705</v>
      </c>
      <c r="S754" s="378">
        <f ca="1">S753-S645</f>
        <v>1150520.7160508432</v>
      </c>
      <c r="T754" s="375"/>
      <c r="U754" s="249">
        <f ca="1">SUM(I754:T754)</f>
        <v>365344254.5</v>
      </c>
      <c r="V754" s="64"/>
      <c r="W754" s="64"/>
      <c r="X754" s="305">
        <f t="shared" ca="1" si="243"/>
        <v>0</v>
      </c>
    </row>
    <row r="755" spans="1:24" ht="15" x14ac:dyDescent="0.25">
      <c r="A755" s="64"/>
      <c r="B755" s="16"/>
      <c r="C755" s="8"/>
      <c r="D755" s="8"/>
      <c r="E755" s="19"/>
      <c r="F755" s="21"/>
      <c r="G755" s="19"/>
      <c r="H755" s="105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05"/>
      <c r="V755" s="105">
        <f>$H$2</f>
        <v>0</v>
      </c>
      <c r="W755" s="105"/>
      <c r="X755" s="305"/>
    </row>
    <row r="756" spans="1:24" ht="15.75" thickBot="1" x14ac:dyDescent="0.3">
      <c r="A756" s="64"/>
      <c r="B756" s="16"/>
      <c r="C756" s="8"/>
      <c r="D756" s="8"/>
      <c r="E756" s="19"/>
      <c r="F756" s="21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1"/>
      <c r="V756" s="64"/>
      <c r="W756" s="64"/>
      <c r="X756" s="305"/>
    </row>
    <row r="757" spans="1:24" ht="15" x14ac:dyDescent="0.25">
      <c r="A757" s="64"/>
      <c r="B757" s="829" t="str">
        <f>+$B$4</f>
        <v>2025 RATE CASE</v>
      </c>
      <c r="C757" s="844"/>
      <c r="D757" s="872"/>
      <c r="F757" s="267"/>
      <c r="U757" s="105"/>
      <c r="X757" s="305">
        <f t="shared" si="243"/>
        <v>0</v>
      </c>
    </row>
    <row r="758" spans="1:24" ht="15" x14ac:dyDescent="0.25">
      <c r="A758" s="64"/>
      <c r="B758" s="826" t="str">
        <f>+$B$5</f>
        <v>ONCOR ELECTRIC DELIVERY COMPANY LLC</v>
      </c>
      <c r="C758" s="8"/>
      <c r="D758" s="873"/>
      <c r="F758" s="306"/>
      <c r="U758" s="105"/>
      <c r="V758" s="64"/>
      <c r="W758" s="64"/>
      <c r="X758" s="305">
        <f t="shared" si="243"/>
        <v>0</v>
      </c>
    </row>
    <row r="759" spans="1:24" ht="15" x14ac:dyDescent="0.25">
      <c r="A759" s="64"/>
      <c r="B759" s="826" t="str">
        <f>+$B$6</f>
        <v>II-I-1-DIST:  CLASS REVENUE REQUIREMENT</v>
      </c>
      <c r="C759" s="82"/>
      <c r="D759" s="873"/>
      <c r="F759" s="306"/>
      <c r="U759" s="267"/>
      <c r="V759" s="64"/>
      <c r="W759" s="64"/>
      <c r="X759" s="305">
        <f t="shared" si="243"/>
        <v>0</v>
      </c>
    </row>
    <row r="760" spans="1:24" ht="15" x14ac:dyDescent="0.25">
      <c r="A760" s="64"/>
      <c r="B760" s="341" t="str">
        <f>+$B$7</f>
        <v>TEST YEAR ENDING 12/31/2024</v>
      </c>
      <c r="C760" s="82"/>
      <c r="D760" s="873"/>
      <c r="F760" s="306"/>
      <c r="U760" s="267"/>
      <c r="V760" s="64"/>
      <c r="W760" s="64"/>
      <c r="X760" s="305">
        <f t="shared" si="243"/>
        <v>0</v>
      </c>
    </row>
    <row r="761" spans="1:24" ht="15" x14ac:dyDescent="0.25">
      <c r="A761" s="64"/>
      <c r="B761" s="341" t="str">
        <f>+$B$8</f>
        <v>SPONSOR:  MATTHEW A. TROXLE</v>
      </c>
      <c r="C761" s="82"/>
      <c r="D761" s="873"/>
      <c r="F761" s="306"/>
      <c r="U761" s="267"/>
      <c r="V761" s="64"/>
      <c r="W761" s="64"/>
      <c r="X761" s="305">
        <f t="shared" si="243"/>
        <v>0</v>
      </c>
    </row>
    <row r="762" spans="1:24" ht="15.75" thickBot="1" x14ac:dyDescent="0.3">
      <c r="A762" s="64"/>
      <c r="B762" s="345"/>
      <c r="C762" s="843"/>
      <c r="D762" s="845"/>
      <c r="F762" s="306"/>
      <c r="U762" s="267"/>
      <c r="V762" s="64"/>
      <c r="W762" s="64"/>
      <c r="X762" s="305"/>
    </row>
    <row r="763" spans="1:24" ht="15" thickBot="1" x14ac:dyDescent="0.25">
      <c r="A763" s="64"/>
      <c r="B763" s="12"/>
      <c r="C763" s="13"/>
      <c r="D763" s="13"/>
      <c r="E763" s="13"/>
      <c r="F763" s="12"/>
      <c r="G763" s="13"/>
      <c r="H763" s="13"/>
      <c r="I763" s="13"/>
      <c r="J763" s="177"/>
      <c r="K763" s="177"/>
      <c r="L763" s="13"/>
      <c r="M763" s="177"/>
      <c r="N763" s="177"/>
      <c r="O763" s="177"/>
      <c r="P763" s="177"/>
      <c r="Q763" s="13"/>
      <c r="R763" s="328" t="str">
        <f>R$10</f>
        <v xml:space="preserve"> </v>
      </c>
      <c r="S763" s="329"/>
      <c r="T763" s="177"/>
      <c r="U763" s="12"/>
      <c r="V763" s="64"/>
      <c r="W763" s="64"/>
      <c r="X763" s="305"/>
    </row>
    <row r="764" spans="1:24" ht="15" x14ac:dyDescent="0.25">
      <c r="A764" s="64"/>
      <c r="B764" s="14" t="s">
        <v>2</v>
      </c>
      <c r="C764" s="14" t="s">
        <v>349</v>
      </c>
      <c r="D764" s="226" t="s">
        <v>1109</v>
      </c>
      <c r="E764" s="14" t="s">
        <v>350</v>
      </c>
      <c r="F764" s="226" t="str">
        <f>F$11</f>
        <v>DIST</v>
      </c>
      <c r="G764" s="181" t="s">
        <v>688</v>
      </c>
      <c r="H764" s="181" t="s">
        <v>355</v>
      </c>
      <c r="I764" s="14"/>
      <c r="J764" s="181" t="s">
        <v>679</v>
      </c>
      <c r="K764" s="181" t="s">
        <v>388</v>
      </c>
      <c r="L764" s="14" t="s">
        <v>388</v>
      </c>
      <c r="M764" s="181" t="s">
        <v>389</v>
      </c>
      <c r="N764" s="181" t="s">
        <v>389</v>
      </c>
      <c r="O764" s="181" t="s">
        <v>389</v>
      </c>
      <c r="P764" s="181" t="s">
        <v>390</v>
      </c>
      <c r="Q764" s="14" t="s">
        <v>391</v>
      </c>
      <c r="R764" s="331" t="str">
        <f>R$11</f>
        <v>Wholesale</v>
      </c>
      <c r="S764" s="12" t="str">
        <f>S$11</f>
        <v>Wholesale</v>
      </c>
      <c r="T764" s="181"/>
      <c r="U764" s="14" t="s">
        <v>10</v>
      </c>
      <c r="V764" s="64"/>
      <c r="W764" s="64"/>
      <c r="X764" s="305"/>
    </row>
    <row r="765" spans="1:24" x14ac:dyDescent="0.2">
      <c r="A765" s="64"/>
      <c r="B765" s="14"/>
      <c r="C765" s="14"/>
      <c r="D765" s="14"/>
      <c r="E765" s="14"/>
      <c r="F765" s="14"/>
      <c r="G765" s="181" t="s">
        <v>689</v>
      </c>
      <c r="H765" s="181" t="s">
        <v>690</v>
      </c>
      <c r="I765" s="14"/>
      <c r="J765" s="181"/>
      <c r="K765" s="181" t="s">
        <v>680</v>
      </c>
      <c r="L765" s="14" t="s">
        <v>681</v>
      </c>
      <c r="M765" s="181" t="s">
        <v>680</v>
      </c>
      <c r="N765" s="181" t="s">
        <v>681</v>
      </c>
      <c r="O765" s="181" t="s">
        <v>393</v>
      </c>
      <c r="P765" s="181"/>
      <c r="Q765" s="14"/>
      <c r="R765" s="174" t="str">
        <f>R$12</f>
        <v>XFMR</v>
      </c>
      <c r="S765" s="14" t="str">
        <f>S$12</f>
        <v>DLS</v>
      </c>
      <c r="T765" s="181"/>
      <c r="U765" s="14"/>
      <c r="V765" s="64"/>
      <c r="W765" s="64"/>
      <c r="X765" s="305"/>
    </row>
    <row r="766" spans="1:24" ht="15" thickBot="1" x14ac:dyDescent="0.25">
      <c r="A766" s="64"/>
      <c r="B766" s="15"/>
      <c r="C766" s="15"/>
      <c r="D766" s="15"/>
      <c r="E766" s="15"/>
      <c r="F766" s="15" t="s">
        <v>13</v>
      </c>
      <c r="G766" s="15" t="s">
        <v>14</v>
      </c>
      <c r="H766" s="15" t="s">
        <v>15</v>
      </c>
      <c r="I766" s="15"/>
      <c r="J766" s="182" t="str">
        <f t="shared" ref="J766:Q766" si="262">J$13</f>
        <v>(d)</v>
      </c>
      <c r="K766" s="182" t="str">
        <f t="shared" si="262"/>
        <v>(e)</v>
      </c>
      <c r="L766" s="15" t="str">
        <f t="shared" si="262"/>
        <v>(f)</v>
      </c>
      <c r="M766" s="182" t="str">
        <f t="shared" si="262"/>
        <v>(g)</v>
      </c>
      <c r="N766" s="182" t="str">
        <f t="shared" si="262"/>
        <v>(h)</v>
      </c>
      <c r="O766" s="182" t="str">
        <f>O$13</f>
        <v>(i)</v>
      </c>
      <c r="P766" s="182" t="str">
        <f t="shared" si="262"/>
        <v>(j)</v>
      </c>
      <c r="Q766" s="182" t="str">
        <f t="shared" si="262"/>
        <v>(k)</v>
      </c>
      <c r="R766" s="182" t="str">
        <f>R$13</f>
        <v>(l)</v>
      </c>
      <c r="S766" s="15" t="str">
        <f>S$13</f>
        <v>(m)</v>
      </c>
      <c r="T766" s="15"/>
      <c r="U766" s="15" t="s">
        <v>683</v>
      </c>
      <c r="V766" s="64"/>
      <c r="W766" s="64"/>
      <c r="X766" s="305"/>
    </row>
    <row r="767" spans="1:24" x14ac:dyDescent="0.2">
      <c r="A767" s="64"/>
      <c r="B767" s="64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41"/>
      <c r="V767" s="64"/>
      <c r="W767" s="64"/>
      <c r="X767" s="305">
        <f t="shared" si="243"/>
        <v>0</v>
      </c>
    </row>
    <row r="768" spans="1:24" ht="15" x14ac:dyDescent="0.25">
      <c r="A768" s="64"/>
      <c r="B768" s="16">
        <f t="shared" ref="B768:B787" si="263">B767+1</f>
        <v>1</v>
      </c>
      <c r="C768" s="8" t="s">
        <v>1109</v>
      </c>
      <c r="D768" s="8"/>
      <c r="E768" s="19" t="s">
        <v>236</v>
      </c>
      <c r="F768" s="8"/>
      <c r="G768" s="19"/>
      <c r="H768" s="961"/>
      <c r="I768" s="961"/>
      <c r="J768" s="961"/>
      <c r="K768" s="961"/>
      <c r="L768" s="961"/>
      <c r="M768" s="961"/>
      <c r="N768" s="961"/>
      <c r="O768" s="961"/>
      <c r="P768" s="961"/>
      <c r="Q768" s="961"/>
      <c r="R768" s="961"/>
      <c r="S768" s="961"/>
      <c r="T768" s="913"/>
      <c r="U768" s="8"/>
      <c r="V768" s="64"/>
      <c r="W768" s="64"/>
      <c r="X768" s="305">
        <f t="shared" si="243"/>
        <v>0</v>
      </c>
    </row>
    <row r="769" spans="1:24" x14ac:dyDescent="0.2">
      <c r="A769" s="64"/>
      <c r="B769" s="16">
        <f t="shared" si="263"/>
        <v>2</v>
      </c>
      <c r="C769" s="1" t="s">
        <v>237</v>
      </c>
      <c r="D769" s="1" t="s">
        <v>238</v>
      </c>
      <c r="E769" s="16"/>
      <c r="F769" s="97">
        <f>' WP II-I-1.4'!G769</f>
        <v>67366206.069999993</v>
      </c>
      <c r="G769" s="16">
        <v>77</v>
      </c>
      <c r="H769" s="1" t="str">
        <f t="shared" ref="H769:H781" si="264">VLOOKUP(G769,FactorTable,2)</f>
        <v>O&amp;M x565</v>
      </c>
      <c r="I769" s="16"/>
      <c r="J769" s="369">
        <f t="shared" ref="J769:S781" ca="1" si="265">$F769*HLOOKUP(J$1354,FactorTable,$G769+1)</f>
        <v>35298155.518426895</v>
      </c>
      <c r="K769" s="369">
        <f t="shared" ca="1" si="265"/>
        <v>775844.32523923903</v>
      </c>
      <c r="L769" s="369">
        <f t="shared" ca="1" si="265"/>
        <v>22571543.84877855</v>
      </c>
      <c r="M769" s="369">
        <f t="shared" ca="1" si="265"/>
        <v>29233.072995725444</v>
      </c>
      <c r="N769" s="369">
        <f t="shared" ca="1" si="265"/>
        <v>5685654.1811318165</v>
      </c>
      <c r="O769" s="369">
        <f t="shared" ca="1" si="265"/>
        <v>560651.84678379889</v>
      </c>
      <c r="P769" s="369">
        <f t="shared" ca="1" si="265"/>
        <v>15848.716230357404</v>
      </c>
      <c r="Q769" s="369">
        <f t="shared" ca="1" si="265"/>
        <v>2178723.9885759</v>
      </c>
      <c r="R769" s="369">
        <f t="shared" ca="1" si="265"/>
        <v>38404.863534846641</v>
      </c>
      <c r="S769" s="369">
        <f t="shared" ca="1" si="265"/>
        <v>212145.70830286606</v>
      </c>
      <c r="T769" s="16"/>
      <c r="U769" s="97">
        <f t="shared" ref="U769:U781" ca="1" si="266">SUM(I769:T769)</f>
        <v>67366206.070000008</v>
      </c>
      <c r="V769" s="64"/>
      <c r="W769" s="64"/>
      <c r="X769" s="305">
        <f t="shared" ca="1" si="243"/>
        <v>0</v>
      </c>
    </row>
    <row r="770" spans="1:24" x14ac:dyDescent="0.2">
      <c r="A770" s="64"/>
      <c r="B770" s="16">
        <f t="shared" si="263"/>
        <v>3</v>
      </c>
      <c r="C770" s="1" t="s">
        <v>239</v>
      </c>
      <c r="D770" s="1" t="s">
        <v>240</v>
      </c>
      <c r="E770" s="16"/>
      <c r="F770" s="97">
        <f>' WP II-I-1.4'!G770</f>
        <v>7078296.0300000003</v>
      </c>
      <c r="G770" s="16">
        <v>77</v>
      </c>
      <c r="H770" s="1" t="str">
        <f t="shared" si="264"/>
        <v>O&amp;M x565</v>
      </c>
      <c r="I770" s="16"/>
      <c r="J770" s="369">
        <f t="shared" ca="1" si="265"/>
        <v>3708844.6663121353</v>
      </c>
      <c r="K770" s="369">
        <f t="shared" ca="1" si="265"/>
        <v>81519.446137913328</v>
      </c>
      <c r="L770" s="369">
        <f t="shared" ca="1" si="265"/>
        <v>2371635.253583461</v>
      </c>
      <c r="M770" s="369">
        <f t="shared" ca="1" si="265"/>
        <v>3071.5748533520414</v>
      </c>
      <c r="N770" s="369">
        <f t="shared" ca="1" si="265"/>
        <v>597402.55190325051</v>
      </c>
      <c r="O770" s="369">
        <f t="shared" ca="1" si="265"/>
        <v>58908.76112539749</v>
      </c>
      <c r="P770" s="369">
        <f t="shared" ca="1" si="265"/>
        <v>1665.254906256225</v>
      </c>
      <c r="Q770" s="369">
        <f t="shared" ca="1" si="265"/>
        <v>228922.69371349149</v>
      </c>
      <c r="R770" s="369">
        <f t="shared" ca="1" si="265"/>
        <v>4035.2724155035203</v>
      </c>
      <c r="S770" s="369">
        <f t="shared" ca="1" si="265"/>
        <v>22290.555049239025</v>
      </c>
      <c r="T770" s="16"/>
      <c r="U770" s="97">
        <f t="shared" ca="1" si="266"/>
        <v>7078296.0300000012</v>
      </c>
      <c r="V770" s="64"/>
      <c r="W770" s="64"/>
      <c r="X770" s="305">
        <f t="shared" ref="X770:X833" ca="1" si="267">U770-F770</f>
        <v>0</v>
      </c>
    </row>
    <row r="771" spans="1:24" x14ac:dyDescent="0.2">
      <c r="A771" s="64"/>
      <c r="B771" s="16">
        <f t="shared" si="263"/>
        <v>4</v>
      </c>
      <c r="C771" s="1" t="s">
        <v>241</v>
      </c>
      <c r="D771" s="1" t="s">
        <v>242</v>
      </c>
      <c r="E771" s="16"/>
      <c r="F771" s="97">
        <f>' WP II-I-1.4'!G771</f>
        <v>0</v>
      </c>
      <c r="G771" s="16">
        <v>77</v>
      </c>
      <c r="H771" s="1" t="str">
        <f t="shared" si="264"/>
        <v>O&amp;M x565</v>
      </c>
      <c r="I771" s="16"/>
      <c r="J771" s="369">
        <f t="shared" ca="1" si="265"/>
        <v>0</v>
      </c>
      <c r="K771" s="369">
        <f t="shared" ca="1" si="265"/>
        <v>0</v>
      </c>
      <c r="L771" s="369">
        <f t="shared" ca="1" si="265"/>
        <v>0</v>
      </c>
      <c r="M771" s="369">
        <f t="shared" ca="1" si="265"/>
        <v>0</v>
      </c>
      <c r="N771" s="369">
        <f t="shared" ca="1" si="265"/>
        <v>0</v>
      </c>
      <c r="O771" s="369">
        <f t="shared" ca="1" si="265"/>
        <v>0</v>
      </c>
      <c r="P771" s="369">
        <f t="shared" ca="1" si="265"/>
        <v>0</v>
      </c>
      <c r="Q771" s="369">
        <f t="shared" ca="1" si="265"/>
        <v>0</v>
      </c>
      <c r="R771" s="369">
        <f t="shared" ca="1" si="265"/>
        <v>0</v>
      </c>
      <c r="S771" s="369">
        <f t="shared" ca="1" si="265"/>
        <v>0</v>
      </c>
      <c r="T771" s="16"/>
      <c r="U771" s="97">
        <f t="shared" ca="1" si="266"/>
        <v>0</v>
      </c>
      <c r="V771" s="64"/>
      <c r="W771" s="64"/>
      <c r="X771" s="305">
        <f t="shared" ca="1" si="267"/>
        <v>0</v>
      </c>
    </row>
    <row r="772" spans="1:24" x14ac:dyDescent="0.2">
      <c r="A772" s="64"/>
      <c r="B772" s="16">
        <f t="shared" si="263"/>
        <v>5</v>
      </c>
      <c r="C772" s="1" t="s">
        <v>243</v>
      </c>
      <c r="D772" s="29" t="s">
        <v>244</v>
      </c>
      <c r="E772" s="16"/>
      <c r="F772" s="97">
        <f>' WP II-I-1.4'!G772</f>
        <v>88216475.980000004</v>
      </c>
      <c r="G772" s="16">
        <v>77</v>
      </c>
      <c r="H772" s="1" t="str">
        <f t="shared" si="264"/>
        <v>O&amp;M x565</v>
      </c>
      <c r="I772" s="16"/>
      <c r="J772" s="369">
        <f t="shared" ca="1" si="265"/>
        <v>46223159.505138077</v>
      </c>
      <c r="K772" s="369">
        <f t="shared" ca="1" si="265"/>
        <v>1015973.0861282069</v>
      </c>
      <c r="L772" s="369">
        <f t="shared" ca="1" si="265"/>
        <v>29557580.45359211</v>
      </c>
      <c r="M772" s="369">
        <f t="shared" ca="1" si="265"/>
        <v>38280.895306310376</v>
      </c>
      <c r="N772" s="369">
        <f t="shared" ca="1" si="265"/>
        <v>7445400.3685352784</v>
      </c>
      <c r="O772" s="369">
        <f t="shared" ca="1" si="265"/>
        <v>734177.16478724126</v>
      </c>
      <c r="P772" s="369">
        <f t="shared" ca="1" si="265"/>
        <v>20753.994861999214</v>
      </c>
      <c r="Q772" s="369">
        <f t="shared" ca="1" si="265"/>
        <v>2853052.9417901612</v>
      </c>
      <c r="R772" s="369">
        <f t="shared" ca="1" si="265"/>
        <v>50291.413442766519</v>
      </c>
      <c r="S772" s="369">
        <f t="shared" ca="1" si="265"/>
        <v>277806.156417855</v>
      </c>
      <c r="T772" s="16"/>
      <c r="U772" s="97">
        <f t="shared" ca="1" si="266"/>
        <v>88216475.980000019</v>
      </c>
      <c r="V772" s="64"/>
      <c r="W772" s="64"/>
      <c r="X772" s="305">
        <f t="shared" ca="1" si="267"/>
        <v>0</v>
      </c>
    </row>
    <row r="773" spans="1:24" x14ac:dyDescent="0.2">
      <c r="A773" s="64"/>
      <c r="B773" s="16">
        <f t="shared" si="263"/>
        <v>6</v>
      </c>
      <c r="C773" s="1" t="s">
        <v>245</v>
      </c>
      <c r="D773" s="1" t="s">
        <v>246</v>
      </c>
      <c r="E773" s="16"/>
      <c r="F773" s="97">
        <f>' WP II-I-1.4'!G773</f>
        <v>581464952.13999999</v>
      </c>
      <c r="G773" s="16">
        <v>64</v>
      </c>
      <c r="H773" s="1" t="str">
        <f t="shared" si="264"/>
        <v>PLANT</v>
      </c>
      <c r="I773" s="16"/>
      <c r="J773" s="369">
        <f t="shared" ca="1" si="265"/>
        <v>312388562.76387882</v>
      </c>
      <c r="K773" s="369">
        <f t="shared" ca="1" si="265"/>
        <v>10092849.445930347</v>
      </c>
      <c r="L773" s="369">
        <f t="shared" ca="1" si="265"/>
        <v>197520290.39471349</v>
      </c>
      <c r="M773" s="369">
        <f t="shared" ca="1" si="265"/>
        <v>57135.447737120849</v>
      </c>
      <c r="N773" s="369">
        <f t="shared" ca="1" si="265"/>
        <v>35914604.202002212</v>
      </c>
      <c r="O773" s="369">
        <f t="shared" ca="1" si="265"/>
        <v>3906116.8527385094</v>
      </c>
      <c r="P773" s="369">
        <f t="shared" ca="1" si="265"/>
        <v>676695.61254975956</v>
      </c>
      <c r="Q773" s="369">
        <f t="shared" ca="1" si="265"/>
        <v>19260638.998913523</v>
      </c>
      <c r="R773" s="369">
        <f t="shared" ca="1" si="265"/>
        <v>270006.05746205879</v>
      </c>
      <c r="S773" s="369">
        <f t="shared" ca="1" si="265"/>
        <v>1378052.3640739894</v>
      </c>
      <c r="T773" s="16"/>
      <c r="U773" s="97">
        <f t="shared" ca="1" si="266"/>
        <v>581464952.13999987</v>
      </c>
      <c r="V773" s="64"/>
      <c r="W773" s="64"/>
      <c r="X773" s="305">
        <f t="shared" ca="1" si="267"/>
        <v>0</v>
      </c>
    </row>
    <row r="774" spans="1:24" x14ac:dyDescent="0.2">
      <c r="A774" s="64"/>
      <c r="B774" s="16">
        <f t="shared" si="263"/>
        <v>7</v>
      </c>
      <c r="C774" s="1" t="s">
        <v>247</v>
      </c>
      <c r="D774" s="1" t="s">
        <v>248</v>
      </c>
      <c r="E774" s="16"/>
      <c r="F774" s="97">
        <f>' WP II-I-1.4'!G774</f>
        <v>59852107.579999998</v>
      </c>
      <c r="G774" s="16">
        <v>77</v>
      </c>
      <c r="H774" s="1" t="str">
        <f t="shared" si="264"/>
        <v>O&amp;M x565</v>
      </c>
      <c r="I774" s="16"/>
      <c r="J774" s="369">
        <f t="shared" ca="1" si="265"/>
        <v>31360961.596519031</v>
      </c>
      <c r="K774" s="369">
        <f t="shared" ca="1" si="265"/>
        <v>689305.82154648937</v>
      </c>
      <c r="L774" s="369">
        <f t="shared" ca="1" si="265"/>
        <v>20053889.769003898</v>
      </c>
      <c r="M774" s="369">
        <f t="shared" ca="1" si="265"/>
        <v>25972.384848511214</v>
      </c>
      <c r="N774" s="369">
        <f t="shared" ca="1" si="265"/>
        <v>5051470.2484235996</v>
      </c>
      <c r="O774" s="369">
        <f t="shared" ca="1" si="265"/>
        <v>498116.14170109981</v>
      </c>
      <c r="P774" s="369">
        <f t="shared" ca="1" si="265"/>
        <v>14080.933514922574</v>
      </c>
      <c r="Q774" s="369">
        <f t="shared" ca="1" si="265"/>
        <v>1935706.7906699688</v>
      </c>
      <c r="R774" s="369">
        <f t="shared" ca="1" si="265"/>
        <v>34121.144086611923</v>
      </c>
      <c r="S774" s="369">
        <f t="shared" ca="1" si="265"/>
        <v>188482.74968586842</v>
      </c>
      <c r="T774" s="16"/>
      <c r="U774" s="97">
        <f t="shared" ca="1" si="266"/>
        <v>59852107.580000006</v>
      </c>
      <c r="V774" s="64"/>
      <c r="W774" s="64"/>
      <c r="X774" s="305">
        <f t="shared" ca="1" si="267"/>
        <v>0</v>
      </c>
    </row>
    <row r="775" spans="1:24" x14ac:dyDescent="0.2">
      <c r="A775" s="64"/>
      <c r="B775" s="16">
        <f t="shared" si="263"/>
        <v>8</v>
      </c>
      <c r="C775" s="1" t="s">
        <v>249</v>
      </c>
      <c r="D775" s="1" t="s">
        <v>250</v>
      </c>
      <c r="E775" s="16"/>
      <c r="F775" s="97">
        <f>' WP II-I-1.4'!G775</f>
        <v>41617959.450000018</v>
      </c>
      <c r="G775" s="16">
        <v>88</v>
      </c>
      <c r="H775" s="1" t="str">
        <f t="shared" si="264"/>
        <v>PAYROLL</v>
      </c>
      <c r="I775" s="16"/>
      <c r="J775" s="369">
        <f t="shared" ca="1" si="265"/>
        <v>22116801.997143202</v>
      </c>
      <c r="K775" s="369">
        <f t="shared" ca="1" si="265"/>
        <v>505757.48975125857</v>
      </c>
      <c r="L775" s="369">
        <f t="shared" ca="1" si="265"/>
        <v>14136490.776807209</v>
      </c>
      <c r="M775" s="369">
        <f t="shared" ca="1" si="265"/>
        <v>22144.530416351696</v>
      </c>
      <c r="N775" s="369">
        <f t="shared" ca="1" si="265"/>
        <v>3617979.8438412589</v>
      </c>
      <c r="O775" s="369">
        <f t="shared" ca="1" si="265"/>
        <v>475615.96875967883</v>
      </c>
      <c r="P775" s="369">
        <f t="shared" ca="1" si="265"/>
        <v>11880.379551570442</v>
      </c>
      <c r="Q775" s="369">
        <f t="shared" ca="1" si="265"/>
        <v>564751.34278854483</v>
      </c>
      <c r="R775" s="369">
        <f t="shared" ca="1" si="265"/>
        <v>32594.853303184405</v>
      </c>
      <c r="S775" s="369">
        <f t="shared" ca="1" si="265"/>
        <v>133942.2676377552</v>
      </c>
      <c r="T775" s="16"/>
      <c r="U775" s="97">
        <f t="shared" ca="1" si="266"/>
        <v>41617959.450000018</v>
      </c>
      <c r="V775" s="64"/>
      <c r="W775" s="64"/>
      <c r="X775" s="305">
        <f t="shared" ca="1" si="267"/>
        <v>0</v>
      </c>
    </row>
    <row r="776" spans="1:24" s="321" customFormat="1" x14ac:dyDescent="0.2">
      <c r="A776" s="45"/>
      <c r="B776" s="16">
        <f t="shared" si="263"/>
        <v>9</v>
      </c>
      <c r="C776" s="1" t="s">
        <v>251</v>
      </c>
      <c r="D776" s="1" t="s">
        <v>252</v>
      </c>
      <c r="E776" s="16"/>
      <c r="F776" s="229">
        <f>' WP II-I-1.4'!G776</f>
        <v>1604197.31</v>
      </c>
      <c r="G776" s="16">
        <v>17</v>
      </c>
      <c r="H776" s="1" t="str">
        <f t="shared" si="264"/>
        <v>REV_RCE</v>
      </c>
      <c r="I776" s="16"/>
      <c r="J776" s="369">
        <f t="shared" si="265"/>
        <v>787731.10554891068</v>
      </c>
      <c r="K776" s="369">
        <f t="shared" si="265"/>
        <v>24280.92125668814</v>
      </c>
      <c r="L776" s="369">
        <f t="shared" si="265"/>
        <v>528381.83581257076</v>
      </c>
      <c r="M776" s="369">
        <f t="shared" si="265"/>
        <v>1056.8935831212043</v>
      </c>
      <c r="N776" s="369">
        <f t="shared" si="265"/>
        <v>126702.02720924826</v>
      </c>
      <c r="O776" s="369">
        <f t="shared" si="265"/>
        <v>28094.679273183367</v>
      </c>
      <c r="P776" s="369">
        <f t="shared" si="265"/>
        <v>79187.226284583754</v>
      </c>
      <c r="Q776" s="369">
        <f t="shared" si="265"/>
        <v>25704.188140982696</v>
      </c>
      <c r="R776" s="369">
        <f t="shared" si="265"/>
        <v>602.56791096884444</v>
      </c>
      <c r="S776" s="369">
        <f t="shared" si="265"/>
        <v>2455.8649797420144</v>
      </c>
      <c r="T776" s="16"/>
      <c r="U776" s="229">
        <f t="shared" si="266"/>
        <v>1604197.31</v>
      </c>
      <c r="V776" s="45"/>
      <c r="W776" s="45"/>
      <c r="X776" s="751">
        <f t="shared" si="267"/>
        <v>0</v>
      </c>
    </row>
    <row r="777" spans="1:24" x14ac:dyDescent="0.2">
      <c r="A777" s="64"/>
      <c r="B777" s="16">
        <f t="shared" si="263"/>
        <v>10</v>
      </c>
      <c r="C777" s="26" t="s">
        <v>253</v>
      </c>
      <c r="D777" s="1" t="s">
        <v>254</v>
      </c>
      <c r="E777" s="16"/>
      <c r="F777" s="97">
        <f>' WP II-I-1.4'!G777</f>
        <v>160617.35</v>
      </c>
      <c r="G777" s="16">
        <v>10</v>
      </c>
      <c r="H777" s="1" t="str">
        <f t="shared" si="264"/>
        <v>CUS U RTL</v>
      </c>
      <c r="I777" s="16"/>
      <c r="J777" s="369">
        <f t="shared" si="265"/>
        <v>137444.99401375648</v>
      </c>
      <c r="K777" s="369">
        <f t="shared" si="265"/>
        <v>11400.740389579221</v>
      </c>
      <c r="L777" s="369">
        <f t="shared" si="265"/>
        <v>9315.1132214980425</v>
      </c>
      <c r="M777" s="369">
        <f t="shared" si="265"/>
        <v>124.45876409887684</v>
      </c>
      <c r="N777" s="369">
        <f t="shared" si="265"/>
        <v>278.61295261432781</v>
      </c>
      <c r="O777" s="369">
        <f t="shared" si="265"/>
        <v>6.4710617378363393</v>
      </c>
      <c r="P777" s="369">
        <f t="shared" si="265"/>
        <v>13.497920189351873</v>
      </c>
      <c r="Q777" s="369">
        <f t="shared" si="265"/>
        <v>2033.4616765258597</v>
      </c>
      <c r="R777" s="369">
        <f t="shared" si="265"/>
        <v>0</v>
      </c>
      <c r="S777" s="369">
        <f t="shared" si="265"/>
        <v>0</v>
      </c>
      <c r="T777" s="16"/>
      <c r="U777" s="97">
        <f t="shared" si="266"/>
        <v>160617.34999999995</v>
      </c>
      <c r="V777" s="64"/>
      <c r="W777" s="64"/>
      <c r="X777" s="305">
        <f t="shared" si="267"/>
        <v>0</v>
      </c>
    </row>
    <row r="778" spans="1:24" x14ac:dyDescent="0.2">
      <c r="A778" s="64"/>
      <c r="B778" s="16">
        <f t="shared" si="263"/>
        <v>11</v>
      </c>
      <c r="C778" s="1" t="s">
        <v>255</v>
      </c>
      <c r="D778" s="1" t="s">
        <v>256</v>
      </c>
      <c r="E778" s="16"/>
      <c r="F778" s="97">
        <f>' WP II-I-1.4'!G778</f>
        <v>12042134.73</v>
      </c>
      <c r="G778" s="16">
        <v>77</v>
      </c>
      <c r="H778" s="1" t="str">
        <f t="shared" si="264"/>
        <v>O&amp;M x565</v>
      </c>
      <c r="I778" s="16"/>
      <c r="J778" s="369">
        <f t="shared" ca="1" si="265"/>
        <v>6309768.1949270815</v>
      </c>
      <c r="K778" s="369">
        <f t="shared" ca="1" si="265"/>
        <v>138687.07233310366</v>
      </c>
      <c r="L778" s="369">
        <f t="shared" ca="1" si="265"/>
        <v>4034805.994694991</v>
      </c>
      <c r="M778" s="369">
        <f t="shared" ca="1" si="265"/>
        <v>5225.5963950331243</v>
      </c>
      <c r="N778" s="369">
        <f t="shared" ca="1" si="265"/>
        <v>1016346.5878757207</v>
      </c>
      <c r="O778" s="369">
        <f t="shared" ca="1" si="265"/>
        <v>100220.05794089726</v>
      </c>
      <c r="P778" s="369">
        <f t="shared" ca="1" si="265"/>
        <v>2833.0581055015555</v>
      </c>
      <c r="Q778" s="369">
        <f t="shared" ca="1" si="265"/>
        <v>389460.67086888826</v>
      </c>
      <c r="R778" s="369">
        <f t="shared" ca="1" si="265"/>
        <v>6865.1118706808211</v>
      </c>
      <c r="S778" s="369">
        <f t="shared" ca="1" si="265"/>
        <v>37922.384988102582</v>
      </c>
      <c r="T778" s="16"/>
      <c r="U778" s="97">
        <f t="shared" ca="1" si="266"/>
        <v>12042134.729999999</v>
      </c>
      <c r="V778" s="64"/>
      <c r="W778" s="64"/>
      <c r="X778" s="305">
        <f t="shared" ca="1" si="267"/>
        <v>0</v>
      </c>
    </row>
    <row r="779" spans="1:24" x14ac:dyDescent="0.2">
      <c r="A779" s="64"/>
      <c r="B779" s="16">
        <f t="shared" si="263"/>
        <v>12</v>
      </c>
      <c r="C779" s="1" t="s">
        <v>257</v>
      </c>
      <c r="D779" s="1" t="s">
        <v>189</v>
      </c>
      <c r="E779" s="16"/>
      <c r="F779" s="97">
        <f>' WP II-I-1.4'!G779</f>
        <v>1126885.27</v>
      </c>
      <c r="G779" s="16">
        <v>77</v>
      </c>
      <c r="H779" s="1" t="str">
        <f t="shared" si="264"/>
        <v>O&amp;M x565</v>
      </c>
      <c r="I779" s="16"/>
      <c r="J779" s="369">
        <f t="shared" ca="1" si="265"/>
        <v>590458.83436796733</v>
      </c>
      <c r="K779" s="369">
        <f t="shared" ca="1" si="265"/>
        <v>12978.13240390469</v>
      </c>
      <c r="L779" s="369">
        <f t="shared" ca="1" si="265"/>
        <v>377571.21512702783</v>
      </c>
      <c r="M779" s="369">
        <f t="shared" ca="1" si="265"/>
        <v>489.00363071489471</v>
      </c>
      <c r="N779" s="369">
        <f t="shared" ca="1" si="265"/>
        <v>95108.219993475373</v>
      </c>
      <c r="O779" s="369">
        <f t="shared" ca="1" si="265"/>
        <v>9378.4457311202696</v>
      </c>
      <c r="P779" s="369">
        <f t="shared" ca="1" si="265"/>
        <v>265.11341383603741</v>
      </c>
      <c r="Q779" s="369">
        <f t="shared" ca="1" si="265"/>
        <v>36445.157199006717</v>
      </c>
      <c r="R779" s="369">
        <f t="shared" ca="1" si="265"/>
        <v>642.42707936986869</v>
      </c>
      <c r="S779" s="369">
        <f t="shared" ca="1" si="265"/>
        <v>3548.7210535770118</v>
      </c>
      <c r="T779" s="16"/>
      <c r="U779" s="97">
        <f t="shared" ca="1" si="266"/>
        <v>1126885.27</v>
      </c>
      <c r="V779" s="64"/>
      <c r="W779" s="64"/>
      <c r="X779" s="305">
        <f t="shared" ca="1" si="267"/>
        <v>0</v>
      </c>
    </row>
    <row r="780" spans="1:24" x14ac:dyDescent="0.2">
      <c r="A780" s="64"/>
      <c r="B780" s="16">
        <f t="shared" si="263"/>
        <v>13</v>
      </c>
      <c r="C780" s="1" t="s">
        <v>258</v>
      </c>
      <c r="D780" s="1" t="s">
        <v>259</v>
      </c>
      <c r="E780" s="16"/>
      <c r="F780" s="97">
        <f>' WP II-I-1.4'!G780</f>
        <v>78960.899999999994</v>
      </c>
      <c r="G780" s="16">
        <v>62</v>
      </c>
      <c r="H780" s="1" t="str">
        <f t="shared" si="264"/>
        <v>PLTGEN</v>
      </c>
      <c r="I780" s="16"/>
      <c r="J780" s="369">
        <f t="shared" ca="1" si="265"/>
        <v>43079.665340556552</v>
      </c>
      <c r="K780" s="369">
        <f t="shared" ca="1" si="265"/>
        <v>1140.3600117560063</v>
      </c>
      <c r="L780" s="369">
        <f t="shared" ca="1" si="265"/>
        <v>27426.570237284264</v>
      </c>
      <c r="M780" s="369">
        <f t="shared" ca="1" si="265"/>
        <v>8.2632399129411631</v>
      </c>
      <c r="N780" s="369">
        <f t="shared" ca="1" si="265"/>
        <v>5194.1658401787117</v>
      </c>
      <c r="O780" s="369">
        <f t="shared" ca="1" si="265"/>
        <v>606.91708050878162</v>
      </c>
      <c r="P780" s="369">
        <f t="shared" ca="1" si="265"/>
        <v>102.43269689475397</v>
      </c>
      <c r="Q780" s="369">
        <f t="shared" ca="1" si="265"/>
        <v>1161.271628132406</v>
      </c>
      <c r="R780" s="369">
        <f t="shared" ca="1" si="265"/>
        <v>41.952479736921298</v>
      </c>
      <c r="S780" s="369">
        <f t="shared" ca="1" si="265"/>
        <v>199.30144503866168</v>
      </c>
      <c r="T780" s="16"/>
      <c r="U780" s="97">
        <f ca="1">SUM(I780:T780)</f>
        <v>78960.899999999994</v>
      </c>
      <c r="V780" s="64"/>
      <c r="W780" s="64"/>
      <c r="X780" s="305">
        <f t="shared" ca="1" si="267"/>
        <v>0</v>
      </c>
    </row>
    <row r="781" spans="1:24" x14ac:dyDescent="0.2">
      <c r="A781" s="64"/>
      <c r="B781" s="16">
        <f t="shared" si="263"/>
        <v>14</v>
      </c>
      <c r="C781" s="1" t="s">
        <v>260</v>
      </c>
      <c r="D781" s="1" t="s">
        <v>259</v>
      </c>
      <c r="E781" s="16"/>
      <c r="F781" s="97">
        <f>' WP II-I-1.4'!G781</f>
        <v>1645283.27</v>
      </c>
      <c r="G781" s="16">
        <v>62</v>
      </c>
      <c r="H781" s="1" t="str">
        <f t="shared" si="264"/>
        <v>PLTGEN</v>
      </c>
      <c r="I781" s="16"/>
      <c r="J781" s="369">
        <f t="shared" ca="1" si="265"/>
        <v>897637.34534455091</v>
      </c>
      <c r="K781" s="369">
        <f t="shared" ca="1" si="265"/>
        <v>23761.320465181638</v>
      </c>
      <c r="L781" s="369">
        <f t="shared" ca="1" si="265"/>
        <v>571478.75929585064</v>
      </c>
      <c r="M781" s="369">
        <f t="shared" ca="1" si="265"/>
        <v>172.17851347639595</v>
      </c>
      <c r="N781" s="369">
        <f t="shared" ca="1" si="265"/>
        <v>108229.18885741588</v>
      </c>
      <c r="O781" s="369">
        <f t="shared" ca="1" si="265"/>
        <v>12646.139023723661</v>
      </c>
      <c r="P781" s="369">
        <f t="shared" ca="1" si="265"/>
        <v>2134.3576694531052</v>
      </c>
      <c r="Q781" s="369">
        <f t="shared" ca="1" si="265"/>
        <v>24197.049193865689</v>
      </c>
      <c r="R781" s="369">
        <f t="shared" ca="1" si="265"/>
        <v>874.15053584964994</v>
      </c>
      <c r="S781" s="369">
        <f t="shared" ca="1" si="265"/>
        <v>4152.7811006325237</v>
      </c>
      <c r="T781" s="16"/>
      <c r="U781" s="97">
        <f t="shared" ca="1" si="266"/>
        <v>1645283.27</v>
      </c>
      <c r="V781" s="64"/>
      <c r="W781" s="64"/>
      <c r="X781" s="305">
        <f t="shared" ca="1" si="267"/>
        <v>0</v>
      </c>
    </row>
    <row r="782" spans="1:24" ht="15" thickBot="1" x14ac:dyDescent="0.25">
      <c r="A782" s="64"/>
      <c r="B782" s="16">
        <f t="shared" si="263"/>
        <v>15</v>
      </c>
      <c r="C782" s="1"/>
      <c r="D782" s="1"/>
      <c r="E782" s="16"/>
      <c r="F782" s="1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23"/>
      <c r="V782" s="64"/>
      <c r="W782" s="64"/>
      <c r="X782" s="305">
        <f t="shared" si="267"/>
        <v>0</v>
      </c>
    </row>
    <row r="783" spans="1:24" ht="15.75" thickBot="1" x14ac:dyDescent="0.3">
      <c r="A783" s="64"/>
      <c r="B783" s="16">
        <f t="shared" si="263"/>
        <v>16</v>
      </c>
      <c r="C783" s="223" t="s">
        <v>606</v>
      </c>
      <c r="D783" s="307"/>
      <c r="E783" s="252"/>
      <c r="F783" s="194">
        <f>SUM(F769:F781)</f>
        <v>862254076.08000004</v>
      </c>
      <c r="G783" s="252"/>
      <c r="H783" s="379"/>
      <c r="I783" s="963"/>
      <c r="J783" s="381">
        <f t="shared" ref="J783:Q783" ca="1" si="268">SUM(J769:J781)</f>
        <v>459862606.186961</v>
      </c>
      <c r="K783" s="812">
        <f t="shared" ca="1" si="268"/>
        <v>13373498.161593666</v>
      </c>
      <c r="L783" s="812">
        <f t="shared" ca="1" si="268"/>
        <v>291760409.98486793</v>
      </c>
      <c r="M783" s="812">
        <f t="shared" ca="1" si="268"/>
        <v>182914.30028372907</v>
      </c>
      <c r="N783" s="812">
        <f t="shared" ca="1" si="268"/>
        <v>59664370.198566064</v>
      </c>
      <c r="O783" s="812">
        <f ca="1">SUM(O769:O781)</f>
        <v>6384539.4460068978</v>
      </c>
      <c r="P783" s="812">
        <f t="shared" ca="1" si="268"/>
        <v>825460.57770532405</v>
      </c>
      <c r="Q783" s="812">
        <f t="shared" ca="1" si="268"/>
        <v>27500798.555158991</v>
      </c>
      <c r="R783" s="812">
        <f ca="1">SUM(R769:R781)</f>
        <v>438479.81412157789</v>
      </c>
      <c r="S783" s="315">
        <f ca="1">SUM(S769:S781)</f>
        <v>2260998.8547346657</v>
      </c>
      <c r="T783" s="379"/>
      <c r="U783" s="195">
        <f ca="1">SUM(I783:T783)</f>
        <v>862254076.07999992</v>
      </c>
      <c r="V783" s="64"/>
      <c r="W783" s="64"/>
      <c r="X783" s="305">
        <f t="shared" ca="1" si="267"/>
        <v>0</v>
      </c>
    </row>
    <row r="784" spans="1:24" ht="15.75" thickBot="1" x14ac:dyDescent="0.3">
      <c r="A784" s="64"/>
      <c r="B784" s="16">
        <f t="shared" si="263"/>
        <v>17</v>
      </c>
      <c r="C784" s="779" t="s">
        <v>1220</v>
      </c>
      <c r="D784" s="776"/>
      <c r="E784" s="777"/>
      <c r="F784" s="812">
        <f>SUM(F769:F782)-('WP II-I-2.2'!$P$45)*F776</f>
        <v>862254076.08000004</v>
      </c>
      <c r="G784" s="777"/>
      <c r="H784" s="777"/>
      <c r="I784" s="919"/>
      <c r="J784" s="812">
        <f ca="1">SUM(J769:J782)-('WP II-I-2.2'!$P$45*(J776))</f>
        <v>459862606.186961</v>
      </c>
      <c r="K784" s="812">
        <f ca="1">SUM(K769:K782)-('WP II-I-2.2'!$P$45)*(K776)</f>
        <v>13373498.161593666</v>
      </c>
      <c r="L784" s="812">
        <f ca="1">SUM(L769:L782)-('WP II-I-2.2'!$P$45)*(L776)</f>
        <v>291760409.98486793</v>
      </c>
      <c r="M784" s="812">
        <f ca="1">SUM(M769:M782)-('WP II-I-2.2'!$P$45)*(M776)</f>
        <v>182914.30028372907</v>
      </c>
      <c r="N784" s="812">
        <f ca="1">SUM(N769:N782)-('WP II-I-2.2'!$P$45)*(N776)</f>
        <v>59664370.198566064</v>
      </c>
      <c r="O784" s="812">
        <f ca="1">SUM(O769:O782)-('WP II-I-2.2'!$P$45)*(O776)</f>
        <v>6384539.4460068978</v>
      </c>
      <c r="P784" s="812">
        <f ca="1">SUM(P769:P782)-('WP II-I-2.2'!$P$45)*(P776)</f>
        <v>825460.57770532405</v>
      </c>
      <c r="Q784" s="812">
        <f ca="1">SUM(Q769:Q782)-('WP II-I-2.2'!$P$45)*(Q776)</f>
        <v>27500798.555158991</v>
      </c>
      <c r="R784" s="812">
        <f ca="1">SUM(R769:R782)-('WP II-I-2.2'!$P$45)*(R776)</f>
        <v>438479.81412157789</v>
      </c>
      <c r="S784" s="812">
        <f ca="1">SUM(S769:S782)-('WP II-I-2.2'!$P$45)*(S776)</f>
        <v>2260998.8547346657</v>
      </c>
      <c r="T784" s="778"/>
      <c r="U784" s="195">
        <f ca="1">SUM(I784:T784)</f>
        <v>862254076.07999992</v>
      </c>
      <c r="V784" s="64"/>
      <c r="W784" s="64"/>
      <c r="X784" s="305">
        <f t="shared" ca="1" si="267"/>
        <v>0</v>
      </c>
    </row>
    <row r="785" spans="1:24" ht="15.75" thickBot="1" x14ac:dyDescent="0.3">
      <c r="A785" s="45"/>
      <c r="B785" s="16">
        <f t="shared" si="263"/>
        <v>18</v>
      </c>
      <c r="C785" s="223" t="s">
        <v>607</v>
      </c>
      <c r="D785" s="307"/>
      <c r="E785" s="252"/>
      <c r="F785" s="194">
        <f>+F783+F753</f>
        <v>3328439803.2399998</v>
      </c>
      <c r="G785" s="252"/>
      <c r="H785" s="379"/>
      <c r="I785" s="963"/>
      <c r="J785" s="381">
        <f t="shared" ref="J785:Q785" ca="1" si="269">+J783+J753</f>
        <v>1572698565.8319731</v>
      </c>
      <c r="K785" s="812">
        <f t="shared" ca="1" si="269"/>
        <v>36155978.622871473</v>
      </c>
      <c r="L785" s="812">
        <f t="shared" ca="1" si="269"/>
        <v>1055631215.4637434</v>
      </c>
      <c r="M785" s="812">
        <f t="shared" ca="1" si="269"/>
        <v>544382.15926713427</v>
      </c>
      <c r="N785" s="812">
        <f t="shared" ca="1" si="269"/>
        <v>289948554.14658093</v>
      </c>
      <c r="O785" s="812">
        <f ca="1">+O783+O753</f>
        <v>81833194.088897258</v>
      </c>
      <c r="P785" s="812">
        <f t="shared" ca="1" si="269"/>
        <v>248253055.2263824</v>
      </c>
      <c r="Q785" s="812">
        <f t="shared" ca="1" si="269"/>
        <v>39316578.867032632</v>
      </c>
      <c r="R785" s="812">
        <f ca="1">+R783+R753</f>
        <v>646759.26246594836</v>
      </c>
      <c r="S785" s="315">
        <f ca="1">+S783+S753</f>
        <v>3411519.570785509</v>
      </c>
      <c r="T785" s="379"/>
      <c r="U785" s="195">
        <f ca="1">SUM(I785:T785)</f>
        <v>3328439803.2399993</v>
      </c>
      <c r="V785" s="64"/>
      <c r="W785" s="64"/>
      <c r="X785" s="305">
        <f t="shared" ca="1" si="267"/>
        <v>0</v>
      </c>
    </row>
    <row r="786" spans="1:24" ht="15.75" thickBot="1" x14ac:dyDescent="0.3">
      <c r="A786" s="64"/>
      <c r="B786" s="16">
        <f t="shared" si="263"/>
        <v>19</v>
      </c>
      <c r="C786" s="8"/>
      <c r="D786" s="8"/>
      <c r="E786" s="19"/>
      <c r="F786" s="21"/>
      <c r="G786" s="19"/>
      <c r="H786" s="19"/>
      <c r="I786" s="19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19"/>
      <c r="U786" s="8"/>
      <c r="V786" s="64"/>
      <c r="W786" s="64"/>
      <c r="X786" s="305">
        <f>U786-F786</f>
        <v>0</v>
      </c>
    </row>
    <row r="787" spans="1:24" ht="15.75" thickBot="1" x14ac:dyDescent="0.3">
      <c r="A787" s="64"/>
      <c r="B787" s="16">
        <f t="shared" si="263"/>
        <v>20</v>
      </c>
      <c r="C787" s="223" t="s">
        <v>1221</v>
      </c>
      <c r="D787" s="307"/>
      <c r="E787" s="252"/>
      <c r="F787" s="812">
        <f>F785-F645-('WP II-I-2.2'!$P$45)*F776</f>
        <v>1227598330.5799997</v>
      </c>
      <c r="G787" s="252"/>
      <c r="H787" s="379"/>
      <c r="I787" s="380"/>
      <c r="J787" s="812">
        <f ca="1">J785-J645-('WP II-I-2.2'!$P$45)*J776</f>
        <v>651293578.2637403</v>
      </c>
      <c r="K787" s="812">
        <f ca="1">K785-K645-('WP II-I-2.2'!$P$45)*K776</f>
        <v>17581101.396931771</v>
      </c>
      <c r="L787" s="812">
        <f ca="1">L785-L645-('WP II-I-2.2'!$P$45)*L776</f>
        <v>414171695.12948883</v>
      </c>
      <c r="M787" s="812">
        <f ca="1">M785-M645-('WP II-I-2.2'!$P$45)*M776</f>
        <v>341452.77058543643</v>
      </c>
      <c r="N787" s="812">
        <f ca="1">N785-N645-('WP II-I-2.2'!$P$45)*N776</f>
        <v>90499134.531174898</v>
      </c>
      <c r="O787" s="812">
        <f ca="1">O785-O645-('WP II-I-2.2'!$P$45)*O776</f>
        <v>9425098.5474714488</v>
      </c>
      <c r="P787" s="812">
        <f ca="1">P785-P645-('WP II-I-2.2'!$P$45)*P776</f>
        <v>911412.24032300711</v>
      </c>
      <c r="Q787" s="812">
        <f ca="1">Q785-Q645-('WP II-I-2.2'!$P$45)*Q776</f>
        <v>39316578.867032632</v>
      </c>
      <c r="R787" s="812">
        <f ca="1">R785-R645-('WP II-I-2.2'!$P$45)*R776</f>
        <v>646759.26246594836</v>
      </c>
      <c r="S787" s="812">
        <f ca="1">S785-S645-('WP II-I-2.2'!$P$45)*S776</f>
        <v>3411519.570785509</v>
      </c>
      <c r="T787" s="380"/>
      <c r="U787" s="195">
        <f ca="1">SUM(I787:T787)</f>
        <v>1227598330.5799999</v>
      </c>
      <c r="V787" s="64"/>
      <c r="W787" s="64"/>
      <c r="X787" s="305">
        <f t="shared" ca="1" si="267"/>
        <v>0</v>
      </c>
    </row>
    <row r="788" spans="1:24" x14ac:dyDescent="0.2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305">
        <f t="shared" si="267"/>
        <v>0</v>
      </c>
    </row>
    <row r="789" spans="1:24" x14ac:dyDescent="0.2">
      <c r="A789" s="64"/>
      <c r="B789" s="64"/>
      <c r="C789" s="64"/>
      <c r="D789" s="64"/>
      <c r="E789" s="64"/>
      <c r="F789" s="64"/>
      <c r="G789" s="64"/>
      <c r="H789" s="105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105"/>
      <c r="V789" s="105">
        <f>$H$2</f>
        <v>0</v>
      </c>
      <c r="W789" s="105"/>
      <c r="X789" s="305"/>
    </row>
    <row r="790" spans="1:24" s="321" customFormat="1" ht="15" thickBot="1" x14ac:dyDescent="0.25">
      <c r="A790" s="45"/>
      <c r="B790" s="45"/>
      <c r="C790" s="45"/>
      <c r="D790" s="45"/>
      <c r="F790" s="538"/>
      <c r="G790" s="538"/>
      <c r="H790" s="538"/>
      <c r="I790" s="538"/>
      <c r="J790" s="538"/>
      <c r="K790" s="538"/>
      <c r="L790" s="538"/>
      <c r="M790" s="538"/>
      <c r="N790" s="538"/>
      <c r="O790" s="538"/>
      <c r="P790" s="538"/>
      <c r="Q790" s="538"/>
      <c r="R790" s="538"/>
      <c r="S790" s="538"/>
      <c r="T790" s="45"/>
      <c r="U790" s="538"/>
      <c r="V790" s="45"/>
      <c r="W790" s="45"/>
      <c r="X790" s="751"/>
    </row>
    <row r="791" spans="1:24" ht="15" x14ac:dyDescent="0.25">
      <c r="A791" s="64"/>
      <c r="B791" s="829" t="str">
        <f>+$B$4</f>
        <v>2025 RATE CASE</v>
      </c>
      <c r="C791" s="844"/>
      <c r="D791" s="547"/>
      <c r="F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U791" s="105"/>
      <c r="X791" s="305"/>
    </row>
    <row r="792" spans="1:24" ht="15" x14ac:dyDescent="0.25">
      <c r="A792" s="64"/>
      <c r="B792" s="826" t="str">
        <f>+$B$5</f>
        <v>ONCOR ELECTRIC DELIVERY COMPANY LLC</v>
      </c>
      <c r="C792" s="8"/>
      <c r="D792" s="548"/>
      <c r="F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U792" s="105"/>
      <c r="V792" s="64"/>
      <c r="W792" s="64"/>
      <c r="X792" s="305"/>
    </row>
    <row r="793" spans="1:24" ht="15" x14ac:dyDescent="0.25">
      <c r="A793" s="64"/>
      <c r="B793" s="826" t="str">
        <f>+$B$6</f>
        <v>II-I-1-DIST:  CLASS REVENUE REQUIREMENT</v>
      </c>
      <c r="C793" s="82"/>
      <c r="D793" s="548"/>
      <c r="F793" s="11"/>
      <c r="U793" s="11"/>
      <c r="V793" s="64"/>
      <c r="W793" s="64"/>
      <c r="X793" s="305"/>
    </row>
    <row r="794" spans="1:24" ht="15" x14ac:dyDescent="0.25">
      <c r="A794" s="64"/>
      <c r="B794" s="341" t="str">
        <f>+$B$7</f>
        <v>TEST YEAR ENDING 12/31/2024</v>
      </c>
      <c r="C794" s="82"/>
      <c r="D794" s="548"/>
      <c r="F794" s="11"/>
      <c r="U794" s="11"/>
      <c r="V794" s="64"/>
      <c r="W794" s="64"/>
      <c r="X794" s="305"/>
    </row>
    <row r="795" spans="1:24" ht="15" x14ac:dyDescent="0.25">
      <c r="A795" s="64"/>
      <c r="B795" s="341" t="str">
        <f>+$B$8</f>
        <v>SPONSOR:  MATTHEW A. TROXLE</v>
      </c>
      <c r="C795" s="82"/>
      <c r="D795" s="548"/>
      <c r="F795" s="11"/>
      <c r="U795" s="11"/>
      <c r="V795" s="64"/>
      <c r="W795" s="64"/>
      <c r="X795" s="305"/>
    </row>
    <row r="796" spans="1:24" ht="15.75" thickBot="1" x14ac:dyDescent="0.3">
      <c r="A796" s="64"/>
      <c r="B796" s="345"/>
      <c r="C796" s="843"/>
      <c r="D796" s="549"/>
      <c r="F796" s="11"/>
      <c r="U796" s="11"/>
      <c r="V796" s="64"/>
      <c r="W796" s="64"/>
      <c r="X796" s="305"/>
    </row>
    <row r="797" spans="1:24" ht="15" thickBot="1" x14ac:dyDescent="0.25">
      <c r="A797" s="64"/>
      <c r="B797" s="12"/>
      <c r="C797" s="13"/>
      <c r="D797" s="13"/>
      <c r="E797" s="13"/>
      <c r="F797" s="12"/>
      <c r="G797" s="13"/>
      <c r="H797" s="13"/>
      <c r="I797" s="13"/>
      <c r="J797" s="177"/>
      <c r="K797" s="177"/>
      <c r="L797" s="13"/>
      <c r="M797" s="177"/>
      <c r="N797" s="177"/>
      <c r="O797" s="177"/>
      <c r="P797" s="177"/>
      <c r="Q797" s="13"/>
      <c r="R797" s="328" t="str">
        <f>R$10</f>
        <v xml:space="preserve"> </v>
      </c>
      <c r="S797" s="329"/>
      <c r="T797" s="177"/>
      <c r="U797" s="12"/>
      <c r="V797" s="64"/>
      <c r="W797" s="64"/>
      <c r="X797" s="305"/>
    </row>
    <row r="798" spans="1:24" ht="15" x14ac:dyDescent="0.25">
      <c r="A798" s="64"/>
      <c r="B798" s="14" t="s">
        <v>2</v>
      </c>
      <c r="C798" s="14" t="s">
        <v>349</v>
      </c>
      <c r="D798" s="226" t="s">
        <v>608</v>
      </c>
      <c r="E798" s="14" t="s">
        <v>350</v>
      </c>
      <c r="F798" s="226" t="str">
        <f>F$11</f>
        <v>DIST</v>
      </c>
      <c r="G798" s="181" t="s">
        <v>688</v>
      </c>
      <c r="H798" s="181" t="s">
        <v>355</v>
      </c>
      <c r="I798" s="14"/>
      <c r="J798" s="181" t="s">
        <v>679</v>
      </c>
      <c r="K798" s="181" t="s">
        <v>388</v>
      </c>
      <c r="L798" s="14" t="s">
        <v>388</v>
      </c>
      <c r="M798" s="181" t="s">
        <v>389</v>
      </c>
      <c r="N798" s="181" t="s">
        <v>389</v>
      </c>
      <c r="O798" s="181" t="s">
        <v>389</v>
      </c>
      <c r="P798" s="181" t="s">
        <v>390</v>
      </c>
      <c r="Q798" s="14" t="s">
        <v>391</v>
      </c>
      <c r="R798" s="331" t="str">
        <f>R$11</f>
        <v>Wholesale</v>
      </c>
      <c r="S798" s="12" t="str">
        <f>S$11</f>
        <v>Wholesale</v>
      </c>
      <c r="T798" s="181"/>
      <c r="U798" s="14" t="s">
        <v>10</v>
      </c>
      <c r="V798" s="64"/>
      <c r="W798" s="64"/>
      <c r="X798" s="305"/>
    </row>
    <row r="799" spans="1:24" x14ac:dyDescent="0.2">
      <c r="A799" s="64"/>
      <c r="B799" s="14"/>
      <c r="C799" s="14"/>
      <c r="D799" s="14"/>
      <c r="E799" s="14"/>
      <c r="F799" s="14"/>
      <c r="G799" s="181" t="s">
        <v>689</v>
      </c>
      <c r="H799" s="181" t="s">
        <v>690</v>
      </c>
      <c r="I799" s="14"/>
      <c r="J799" s="181"/>
      <c r="K799" s="181" t="s">
        <v>680</v>
      </c>
      <c r="L799" s="14" t="s">
        <v>681</v>
      </c>
      <c r="M799" s="181" t="s">
        <v>680</v>
      </c>
      <c r="N799" s="181" t="s">
        <v>681</v>
      </c>
      <c r="O799" s="181" t="s">
        <v>393</v>
      </c>
      <c r="P799" s="181"/>
      <c r="Q799" s="14"/>
      <c r="R799" s="174" t="str">
        <f>R$12</f>
        <v>XFMR</v>
      </c>
      <c r="S799" s="14" t="str">
        <f>S$12</f>
        <v>DLS</v>
      </c>
      <c r="T799" s="181"/>
      <c r="U799" s="14"/>
      <c r="V799" s="64"/>
      <c r="W799" s="64"/>
      <c r="X799" s="305"/>
    </row>
    <row r="800" spans="1:24" ht="15" thickBot="1" x14ac:dyDescent="0.25">
      <c r="A800" s="64"/>
      <c r="B800" s="15"/>
      <c r="C800" s="15"/>
      <c r="D800" s="15"/>
      <c r="E800" s="15"/>
      <c r="F800" s="15" t="s">
        <v>13</v>
      </c>
      <c r="G800" s="15" t="s">
        <v>14</v>
      </c>
      <c r="H800" s="15" t="s">
        <v>15</v>
      </c>
      <c r="I800" s="15"/>
      <c r="J800" s="182" t="str">
        <f t="shared" ref="J800:Q800" si="270">J$13</f>
        <v>(d)</v>
      </c>
      <c r="K800" s="182" t="str">
        <f t="shared" si="270"/>
        <v>(e)</v>
      </c>
      <c r="L800" s="15" t="str">
        <f t="shared" si="270"/>
        <v>(f)</v>
      </c>
      <c r="M800" s="182" t="str">
        <f t="shared" si="270"/>
        <v>(g)</v>
      </c>
      <c r="N800" s="182" t="str">
        <f t="shared" si="270"/>
        <v>(h)</v>
      </c>
      <c r="O800" s="182" t="str">
        <f>O$13</f>
        <v>(i)</v>
      </c>
      <c r="P800" s="182" t="str">
        <f t="shared" si="270"/>
        <v>(j)</v>
      </c>
      <c r="Q800" s="182" t="str">
        <f t="shared" si="270"/>
        <v>(k)</v>
      </c>
      <c r="R800" s="182" t="str">
        <f>R$13</f>
        <v>(l)</v>
      </c>
      <c r="S800" s="15" t="str">
        <f>S$13</f>
        <v>(m)</v>
      </c>
      <c r="T800" s="15"/>
      <c r="U800" s="15" t="s">
        <v>683</v>
      </c>
      <c r="V800" s="64"/>
      <c r="W800" s="64"/>
      <c r="X800" s="305"/>
    </row>
    <row r="801" spans="1:24" x14ac:dyDescent="0.2">
      <c r="A801" s="64"/>
      <c r="B801" s="64"/>
      <c r="C801" s="96"/>
      <c r="D801" s="96"/>
      <c r="E801" s="251"/>
      <c r="F801" s="308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1"/>
      <c r="V801" s="64"/>
      <c r="W801" s="64"/>
      <c r="X801" s="305">
        <f t="shared" si="267"/>
        <v>0</v>
      </c>
    </row>
    <row r="802" spans="1:24" ht="15" x14ac:dyDescent="0.25">
      <c r="A802" s="64"/>
      <c r="B802" s="16">
        <f t="shared" ref="B802:B826" si="271">B801+1</f>
        <v>1</v>
      </c>
      <c r="C802" s="8" t="s">
        <v>608</v>
      </c>
      <c r="D802" s="1"/>
      <c r="E802" s="19"/>
      <c r="F802" s="18"/>
      <c r="G802" s="961"/>
      <c r="H802" s="961"/>
      <c r="I802" s="961"/>
      <c r="J802" s="961"/>
      <c r="K802" s="961"/>
      <c r="L802" s="961"/>
      <c r="M802" s="961"/>
      <c r="N802" s="961"/>
      <c r="O802" s="961"/>
      <c r="P802" s="961"/>
      <c r="Q802" s="961"/>
      <c r="R802" s="961"/>
      <c r="S802" s="961"/>
      <c r="T802" s="19"/>
      <c r="U802" s="1"/>
      <c r="V802" s="64"/>
      <c r="W802" s="64"/>
      <c r="X802" s="305">
        <f t="shared" si="267"/>
        <v>0</v>
      </c>
    </row>
    <row r="803" spans="1:24" ht="15" x14ac:dyDescent="0.25">
      <c r="A803" s="64"/>
      <c r="B803" s="16">
        <f t="shared" si="271"/>
        <v>2</v>
      </c>
      <c r="C803" s="8"/>
      <c r="D803" s="301" t="s">
        <v>609</v>
      </c>
      <c r="E803" s="19" t="s">
        <v>262</v>
      </c>
      <c r="F803" s="805"/>
      <c r="G803" s="961"/>
      <c r="H803" s="961"/>
      <c r="I803" s="961"/>
      <c r="J803" s="961"/>
      <c r="K803" s="961"/>
      <c r="L803" s="961"/>
      <c r="M803" s="961"/>
      <c r="N803" s="961"/>
      <c r="O803" s="961"/>
      <c r="P803" s="961"/>
      <c r="Q803" s="961"/>
      <c r="R803" s="961"/>
      <c r="S803" s="961"/>
      <c r="T803" s="913"/>
      <c r="U803" s="8"/>
      <c r="V803" s="64"/>
      <c r="W803" s="64"/>
      <c r="X803" s="305">
        <f t="shared" si="267"/>
        <v>0</v>
      </c>
    </row>
    <row r="804" spans="1:24" x14ac:dyDescent="0.2">
      <c r="A804" s="64"/>
      <c r="B804" s="16">
        <f t="shared" si="271"/>
        <v>3</v>
      </c>
      <c r="C804" s="1" t="s">
        <v>144</v>
      </c>
      <c r="D804" s="1" t="s">
        <v>145</v>
      </c>
      <c r="E804" s="16"/>
      <c r="F804" s="98">
        <f>' WP II-I-1.4'!G804</f>
        <v>17081.400000000001</v>
      </c>
      <c r="G804" s="16">
        <v>80</v>
      </c>
      <c r="H804" s="1" t="str">
        <f t="shared" ref="H804:H811" si="272">VLOOKUP(G804,FactorTable,2)</f>
        <v>PAY TR OPS</v>
      </c>
      <c r="I804" s="16"/>
      <c r="J804" s="369">
        <f t="shared" ref="J804:S811" si="273">$F804*HLOOKUP(J$1354,FactorTable,$G804+1)</f>
        <v>8758.7698022236782</v>
      </c>
      <c r="K804" s="369">
        <f t="shared" si="273"/>
        <v>165.47652300125736</v>
      </c>
      <c r="L804" s="369">
        <f t="shared" si="273"/>
        <v>5625.7948313045745</v>
      </c>
      <c r="M804" s="369">
        <f t="shared" si="273"/>
        <v>2.6325384896265573</v>
      </c>
      <c r="N804" s="369">
        <f t="shared" si="273"/>
        <v>1654.7796796216876</v>
      </c>
      <c r="O804" s="369">
        <f t="shared" si="273"/>
        <v>711.25687778959662</v>
      </c>
      <c r="P804" s="369">
        <f t="shared" si="273"/>
        <v>0</v>
      </c>
      <c r="Q804" s="369">
        <f t="shared" si="273"/>
        <v>50.030582380472659</v>
      </c>
      <c r="R804" s="369">
        <f t="shared" si="273"/>
        <v>49.164854164591596</v>
      </c>
      <c r="S804" s="369">
        <f t="shared" si="273"/>
        <v>63.494311024514552</v>
      </c>
      <c r="T804" s="16"/>
      <c r="U804" s="97">
        <f t="shared" ref="U804:U812" si="274">SUM(I804:T804)</f>
        <v>17081.400000000001</v>
      </c>
      <c r="V804" s="64"/>
      <c r="W804" s="64"/>
      <c r="X804" s="305">
        <f t="shared" si="267"/>
        <v>0</v>
      </c>
    </row>
    <row r="805" spans="1:24" x14ac:dyDescent="0.2">
      <c r="A805" s="64"/>
      <c r="B805" s="16">
        <f t="shared" si="271"/>
        <v>4</v>
      </c>
      <c r="C805" s="1" t="s">
        <v>146</v>
      </c>
      <c r="D805" s="1" t="s">
        <v>147</v>
      </c>
      <c r="E805" s="16"/>
      <c r="F805" s="23">
        <f>' WP II-I-1.4'!G805</f>
        <v>0</v>
      </c>
      <c r="G805" s="16">
        <v>28</v>
      </c>
      <c r="H805" s="1" t="str">
        <f t="shared" si="272"/>
        <v>NCP XHV</v>
      </c>
      <c r="I805" s="16"/>
      <c r="J805" s="369">
        <f t="shared" si="273"/>
        <v>0</v>
      </c>
      <c r="K805" s="369">
        <f t="shared" si="273"/>
        <v>0</v>
      </c>
      <c r="L805" s="369">
        <f t="shared" si="273"/>
        <v>0</v>
      </c>
      <c r="M805" s="369">
        <f t="shared" si="273"/>
        <v>0</v>
      </c>
      <c r="N805" s="369">
        <f t="shared" si="273"/>
        <v>0</v>
      </c>
      <c r="O805" s="369">
        <f t="shared" si="273"/>
        <v>0</v>
      </c>
      <c r="P805" s="369">
        <f t="shared" si="273"/>
        <v>0</v>
      </c>
      <c r="Q805" s="369">
        <f t="shared" si="273"/>
        <v>0</v>
      </c>
      <c r="R805" s="369">
        <f t="shared" si="273"/>
        <v>0</v>
      </c>
      <c r="S805" s="369">
        <f t="shared" si="273"/>
        <v>0</v>
      </c>
      <c r="T805" s="16"/>
      <c r="U805" s="97">
        <f t="shared" si="274"/>
        <v>0</v>
      </c>
      <c r="V805" s="64"/>
      <c r="W805" s="64"/>
      <c r="X805" s="305">
        <f t="shared" si="267"/>
        <v>0</v>
      </c>
    </row>
    <row r="806" spans="1:24" x14ac:dyDescent="0.2">
      <c r="A806" s="64"/>
      <c r="B806" s="16">
        <f t="shared" si="271"/>
        <v>5</v>
      </c>
      <c r="C806" s="1" t="s">
        <v>148</v>
      </c>
      <c r="D806" s="1" t="s">
        <v>149</v>
      </c>
      <c r="E806" s="16"/>
      <c r="F806" s="23">
        <f>' WP II-I-1.4'!G806</f>
        <v>142759.42000000001</v>
      </c>
      <c r="G806" s="16">
        <v>28</v>
      </c>
      <c r="H806" s="1" t="str">
        <f t="shared" si="272"/>
        <v>NCP XHV</v>
      </c>
      <c r="I806" s="16"/>
      <c r="J806" s="369">
        <f t="shared" si="273"/>
        <v>73202.249047441481</v>
      </c>
      <c r="K806" s="369">
        <f t="shared" si="273"/>
        <v>1382.985729932919</v>
      </c>
      <c r="L806" s="369">
        <f t="shared" si="273"/>
        <v>47018.11368834164</v>
      </c>
      <c r="M806" s="369">
        <f t="shared" si="273"/>
        <v>22.001690019949375</v>
      </c>
      <c r="N806" s="369">
        <f t="shared" si="273"/>
        <v>13829.978063307335</v>
      </c>
      <c r="O806" s="369">
        <f t="shared" si="273"/>
        <v>5944.3967909102112</v>
      </c>
      <c r="P806" s="369">
        <f t="shared" si="273"/>
        <v>0</v>
      </c>
      <c r="Q806" s="369">
        <f t="shared" si="273"/>
        <v>418.13533568082801</v>
      </c>
      <c r="R806" s="369">
        <f t="shared" si="273"/>
        <v>410.89993003627808</v>
      </c>
      <c r="S806" s="369">
        <f t="shared" si="273"/>
        <v>530.65972432934666</v>
      </c>
      <c r="T806" s="16"/>
      <c r="U806" s="97">
        <f t="shared" si="274"/>
        <v>142759.41999999998</v>
      </c>
      <c r="V806" s="64"/>
      <c r="W806" s="64"/>
      <c r="X806" s="305">
        <f t="shared" si="267"/>
        <v>0</v>
      </c>
    </row>
    <row r="807" spans="1:24" x14ac:dyDescent="0.2">
      <c r="A807" s="64"/>
      <c r="B807" s="16">
        <f t="shared" si="271"/>
        <v>6</v>
      </c>
      <c r="C807" s="1" t="s">
        <v>150</v>
      </c>
      <c r="D807" s="1" t="s">
        <v>151</v>
      </c>
      <c r="E807" s="16"/>
      <c r="F807" s="23">
        <f>' WP II-I-1.4'!G807</f>
        <v>0</v>
      </c>
      <c r="G807" s="16">
        <v>28</v>
      </c>
      <c r="H807" s="1" t="str">
        <f t="shared" si="272"/>
        <v>NCP XHV</v>
      </c>
      <c r="I807" s="16"/>
      <c r="J807" s="369">
        <f t="shared" si="273"/>
        <v>0</v>
      </c>
      <c r="K807" s="369">
        <f t="shared" si="273"/>
        <v>0</v>
      </c>
      <c r="L807" s="369">
        <f t="shared" si="273"/>
        <v>0</v>
      </c>
      <c r="M807" s="369">
        <f t="shared" si="273"/>
        <v>0</v>
      </c>
      <c r="N807" s="369">
        <f t="shared" si="273"/>
        <v>0</v>
      </c>
      <c r="O807" s="369">
        <f t="shared" si="273"/>
        <v>0</v>
      </c>
      <c r="P807" s="369">
        <f t="shared" si="273"/>
        <v>0</v>
      </c>
      <c r="Q807" s="369">
        <f t="shared" si="273"/>
        <v>0</v>
      </c>
      <c r="R807" s="369">
        <f t="shared" si="273"/>
        <v>0</v>
      </c>
      <c r="S807" s="369">
        <f t="shared" si="273"/>
        <v>0</v>
      </c>
      <c r="T807" s="16"/>
      <c r="U807" s="97">
        <f t="shared" si="274"/>
        <v>0</v>
      </c>
      <c r="V807" s="64"/>
      <c r="W807" s="64"/>
      <c r="X807" s="305">
        <f t="shared" si="267"/>
        <v>0</v>
      </c>
    </row>
    <row r="808" spans="1:24" x14ac:dyDescent="0.2">
      <c r="A808" s="64"/>
      <c r="B808" s="16">
        <f t="shared" si="271"/>
        <v>7</v>
      </c>
      <c r="C808" s="1" t="s">
        <v>152</v>
      </c>
      <c r="D808" s="1" t="s">
        <v>153</v>
      </c>
      <c r="E808" s="16"/>
      <c r="F808" s="23">
        <f>' WP II-I-1.4'!G808</f>
        <v>0</v>
      </c>
      <c r="G808" s="16">
        <v>28</v>
      </c>
      <c r="H808" s="1" t="str">
        <f t="shared" si="272"/>
        <v>NCP XHV</v>
      </c>
      <c r="I808" s="16"/>
      <c r="J808" s="369">
        <f t="shared" si="273"/>
        <v>0</v>
      </c>
      <c r="K808" s="369">
        <f t="shared" si="273"/>
        <v>0</v>
      </c>
      <c r="L808" s="369">
        <f t="shared" si="273"/>
        <v>0</v>
      </c>
      <c r="M808" s="369">
        <f t="shared" si="273"/>
        <v>0</v>
      </c>
      <c r="N808" s="369">
        <f t="shared" si="273"/>
        <v>0</v>
      </c>
      <c r="O808" s="369">
        <f t="shared" si="273"/>
        <v>0</v>
      </c>
      <c r="P808" s="369">
        <f t="shared" si="273"/>
        <v>0</v>
      </c>
      <c r="Q808" s="369">
        <f t="shared" si="273"/>
        <v>0</v>
      </c>
      <c r="R808" s="369">
        <f t="shared" si="273"/>
        <v>0</v>
      </c>
      <c r="S808" s="369">
        <f t="shared" si="273"/>
        <v>0</v>
      </c>
      <c r="T808" s="16"/>
      <c r="U808" s="97">
        <f t="shared" si="274"/>
        <v>0</v>
      </c>
      <c r="V808" s="64"/>
      <c r="W808" s="64"/>
      <c r="X808" s="305">
        <f t="shared" si="267"/>
        <v>0</v>
      </c>
    </row>
    <row r="809" spans="1:24" ht="15" x14ac:dyDescent="0.25">
      <c r="A809" s="104"/>
      <c r="B809" s="16">
        <f t="shared" si="271"/>
        <v>8</v>
      </c>
      <c r="C809" s="1" t="s">
        <v>154</v>
      </c>
      <c r="D809" s="29" t="s">
        <v>155</v>
      </c>
      <c r="E809" s="19"/>
      <c r="F809" s="23">
        <f>' WP II-I-1.4'!G809</f>
        <v>0</v>
      </c>
      <c r="G809" s="16">
        <v>23</v>
      </c>
      <c r="H809" s="1" t="str">
        <f t="shared" si="272"/>
        <v>4CP RTL</v>
      </c>
      <c r="I809" s="961"/>
      <c r="J809" s="369">
        <f t="shared" si="273"/>
        <v>0</v>
      </c>
      <c r="K809" s="369">
        <f t="shared" si="273"/>
        <v>0</v>
      </c>
      <c r="L809" s="369">
        <f t="shared" si="273"/>
        <v>0</v>
      </c>
      <c r="M809" s="369">
        <f t="shared" si="273"/>
        <v>0</v>
      </c>
      <c r="N809" s="369">
        <f t="shared" si="273"/>
        <v>0</v>
      </c>
      <c r="O809" s="369">
        <f t="shared" si="273"/>
        <v>0</v>
      </c>
      <c r="P809" s="369">
        <f t="shared" si="273"/>
        <v>0</v>
      </c>
      <c r="Q809" s="369">
        <f t="shared" si="273"/>
        <v>0</v>
      </c>
      <c r="R809" s="369">
        <f t="shared" si="273"/>
        <v>0</v>
      </c>
      <c r="S809" s="369">
        <f t="shared" si="273"/>
        <v>0</v>
      </c>
      <c r="T809" s="913"/>
      <c r="U809" s="235">
        <f t="shared" si="274"/>
        <v>0</v>
      </c>
      <c r="V809" s="104"/>
      <c r="W809" s="104"/>
      <c r="X809" s="305">
        <f t="shared" si="267"/>
        <v>0</v>
      </c>
    </row>
    <row r="810" spans="1:24" x14ac:dyDescent="0.2">
      <c r="A810" s="64"/>
      <c r="B810" s="16">
        <f t="shared" si="271"/>
        <v>9</v>
      </c>
      <c r="C810" s="1" t="s">
        <v>156</v>
      </c>
      <c r="D810" s="29" t="s">
        <v>157</v>
      </c>
      <c r="E810" s="16"/>
      <c r="F810" s="23">
        <f>' WP II-I-1.4'!G810</f>
        <v>328543.03000000003</v>
      </c>
      <c r="G810" s="16">
        <v>28</v>
      </c>
      <c r="H810" s="1" t="str">
        <f t="shared" si="272"/>
        <v>NCP XHV</v>
      </c>
      <c r="I810" s="16"/>
      <c r="J810" s="369">
        <f t="shared" si="273"/>
        <v>168465.86169137587</v>
      </c>
      <c r="K810" s="369">
        <f t="shared" si="273"/>
        <v>3182.7694603895343</v>
      </c>
      <c r="L810" s="369">
        <f t="shared" si="273"/>
        <v>108206.33437745992</v>
      </c>
      <c r="M810" s="369">
        <f t="shared" si="273"/>
        <v>50.634150126660145</v>
      </c>
      <c r="N810" s="369">
        <f t="shared" si="273"/>
        <v>31827.97252715459</v>
      </c>
      <c r="O810" s="369">
        <f t="shared" si="273"/>
        <v>13680.289070997327</v>
      </c>
      <c r="P810" s="369">
        <f t="shared" si="273"/>
        <v>0</v>
      </c>
      <c r="Q810" s="369">
        <f t="shared" si="273"/>
        <v>962.2864125859179</v>
      </c>
      <c r="R810" s="369">
        <f t="shared" si="273"/>
        <v>945.63502738317948</v>
      </c>
      <c r="S810" s="369">
        <f t="shared" si="273"/>
        <v>1221.2472825269833</v>
      </c>
      <c r="T810" s="16"/>
      <c r="U810" s="97">
        <f t="shared" si="274"/>
        <v>328543.02999999997</v>
      </c>
      <c r="V810" s="64"/>
      <c r="W810" s="64"/>
      <c r="X810" s="305">
        <f t="shared" si="267"/>
        <v>0</v>
      </c>
    </row>
    <row r="811" spans="1:24" x14ac:dyDescent="0.2">
      <c r="A811" s="64"/>
      <c r="B811" s="16">
        <f t="shared" si="271"/>
        <v>10</v>
      </c>
      <c r="C811" s="1" t="s">
        <v>158</v>
      </c>
      <c r="D811" s="1" t="s">
        <v>159</v>
      </c>
      <c r="E811" s="16"/>
      <c r="F811" s="23">
        <f>' WP II-I-1.4'!G811</f>
        <v>0</v>
      </c>
      <c r="G811" s="16">
        <v>28</v>
      </c>
      <c r="H811" s="1" t="str">
        <f t="shared" si="272"/>
        <v>NCP XHV</v>
      </c>
      <c r="I811" s="16"/>
      <c r="J811" s="370">
        <f t="shared" si="273"/>
        <v>0</v>
      </c>
      <c r="K811" s="370">
        <f t="shared" si="273"/>
        <v>0</v>
      </c>
      <c r="L811" s="370">
        <f t="shared" si="273"/>
        <v>0</v>
      </c>
      <c r="M811" s="370">
        <f t="shared" si="273"/>
        <v>0</v>
      </c>
      <c r="N811" s="370">
        <f t="shared" si="273"/>
        <v>0</v>
      </c>
      <c r="O811" s="370">
        <f t="shared" si="273"/>
        <v>0</v>
      </c>
      <c r="P811" s="370">
        <f t="shared" si="273"/>
        <v>0</v>
      </c>
      <c r="Q811" s="370">
        <f t="shared" si="273"/>
        <v>0</v>
      </c>
      <c r="R811" s="370">
        <f t="shared" si="273"/>
        <v>0</v>
      </c>
      <c r="S811" s="370">
        <f t="shared" si="273"/>
        <v>0</v>
      </c>
      <c r="T811" s="16"/>
      <c r="U811" s="97">
        <f t="shared" si="274"/>
        <v>0</v>
      </c>
      <c r="V811" s="64"/>
      <c r="W811" s="64"/>
      <c r="X811" s="305">
        <f t="shared" si="267"/>
        <v>0</v>
      </c>
    </row>
    <row r="812" spans="1:24" ht="15" x14ac:dyDescent="0.25">
      <c r="A812" s="64"/>
      <c r="B812" s="16">
        <f t="shared" si="271"/>
        <v>11</v>
      </c>
      <c r="C812" s="8"/>
      <c r="D812" s="24" t="s">
        <v>444</v>
      </c>
      <c r="E812" s="19"/>
      <c r="F812" s="805">
        <f>SUM(F804:F811)</f>
        <v>488383.85000000003</v>
      </c>
      <c r="G812" s="961"/>
      <c r="H812" s="961"/>
      <c r="I812" s="961"/>
      <c r="J812" s="805">
        <f t="shared" ref="J812:Q812" si="275">SUM(J804:J811)</f>
        <v>250426.88054104103</v>
      </c>
      <c r="K812" s="805">
        <f t="shared" si="275"/>
        <v>4731.2317133237102</v>
      </c>
      <c r="L812" s="805">
        <f t="shared" si="275"/>
        <v>160850.24289710613</v>
      </c>
      <c r="M812" s="805">
        <f t="shared" si="275"/>
        <v>75.268378636236079</v>
      </c>
      <c r="N812" s="805">
        <f t="shared" si="275"/>
        <v>47312.730270083615</v>
      </c>
      <c r="O812" s="805">
        <f>SUM(O804:O811)</f>
        <v>20335.942739697137</v>
      </c>
      <c r="P812" s="805">
        <f t="shared" si="275"/>
        <v>0</v>
      </c>
      <c r="Q812" s="805">
        <f t="shared" si="275"/>
        <v>1430.4523306472186</v>
      </c>
      <c r="R812" s="805">
        <f>SUM(R804:R811)</f>
        <v>1405.6998115840493</v>
      </c>
      <c r="S812" s="805">
        <f>SUM(S804:S811)</f>
        <v>1815.4013178808445</v>
      </c>
      <c r="T812" s="913"/>
      <c r="U812" s="235">
        <f t="shared" si="274"/>
        <v>488383.84999999992</v>
      </c>
      <c r="V812" s="64"/>
      <c r="W812" s="64"/>
      <c r="X812" s="305">
        <f t="shared" si="267"/>
        <v>0</v>
      </c>
    </row>
    <row r="813" spans="1:24" x14ac:dyDescent="0.2">
      <c r="A813" s="64"/>
      <c r="B813" s="16">
        <f t="shared" si="271"/>
        <v>12</v>
      </c>
      <c r="C813" s="1"/>
      <c r="D813" s="1"/>
      <c r="E813" s="16"/>
      <c r="F813" s="18"/>
      <c r="G813" s="16"/>
      <c r="H813" s="16"/>
      <c r="I813" s="1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6"/>
      <c r="U813" s="1"/>
      <c r="V813" s="64"/>
      <c r="W813" s="64"/>
      <c r="X813" s="305">
        <f t="shared" si="267"/>
        <v>0</v>
      </c>
    </row>
    <row r="814" spans="1:24" ht="15" x14ac:dyDescent="0.25">
      <c r="A814" s="64"/>
      <c r="B814" s="16">
        <f t="shared" si="271"/>
        <v>13</v>
      </c>
      <c r="C814" s="8"/>
      <c r="D814" s="24" t="s">
        <v>610</v>
      </c>
      <c r="E814" s="19"/>
      <c r="F814" s="805">
        <f>SUM(F805:F811)</f>
        <v>471302.45000000007</v>
      </c>
      <c r="G814" s="961"/>
      <c r="H814" s="961"/>
      <c r="I814" s="961"/>
      <c r="J814" s="805">
        <f t="shared" ref="J814:Q814" si="276">SUM(J805:J811)</f>
        <v>241668.11073881737</v>
      </c>
      <c r="K814" s="805">
        <f t="shared" si="276"/>
        <v>4565.755190322453</v>
      </c>
      <c r="L814" s="805">
        <f t="shared" si="276"/>
        <v>155224.44806580155</v>
      </c>
      <c r="M814" s="805">
        <f t="shared" si="276"/>
        <v>72.635840146609524</v>
      </c>
      <c r="N814" s="805">
        <f t="shared" si="276"/>
        <v>45657.950590461929</v>
      </c>
      <c r="O814" s="805">
        <f>SUM(O805:O811)</f>
        <v>19624.685861907539</v>
      </c>
      <c r="P814" s="805">
        <f t="shared" si="276"/>
        <v>0</v>
      </c>
      <c r="Q814" s="805">
        <f t="shared" si="276"/>
        <v>1380.4217482667459</v>
      </c>
      <c r="R814" s="805">
        <f>SUM(R805:R811)</f>
        <v>1356.5349574194574</v>
      </c>
      <c r="S814" s="805">
        <f>SUM(S805:S811)</f>
        <v>1751.9070068563301</v>
      </c>
      <c r="T814" s="913"/>
      <c r="U814" s="235">
        <f>SUM(I814:T814)</f>
        <v>471302.45</v>
      </c>
      <c r="V814" s="64"/>
      <c r="W814" s="64"/>
      <c r="X814" s="305">
        <f t="shared" si="267"/>
        <v>0</v>
      </c>
    </row>
    <row r="815" spans="1:24" x14ac:dyDescent="0.2">
      <c r="A815" s="64"/>
      <c r="B815" s="16">
        <f t="shared" si="271"/>
        <v>14</v>
      </c>
      <c r="C815" s="1"/>
      <c r="D815" s="1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"/>
      <c r="V815" s="64"/>
      <c r="W815" s="64"/>
      <c r="X815" s="305">
        <f t="shared" si="267"/>
        <v>0</v>
      </c>
    </row>
    <row r="816" spans="1:24" ht="15" x14ac:dyDescent="0.25">
      <c r="A816" s="64"/>
      <c r="B816" s="16">
        <f t="shared" si="271"/>
        <v>15</v>
      </c>
      <c r="C816" s="8"/>
      <c r="D816" s="301" t="s">
        <v>611</v>
      </c>
      <c r="E816" s="19" t="s">
        <v>262</v>
      </c>
      <c r="F816" s="805"/>
      <c r="G816" s="961"/>
      <c r="H816" s="961"/>
      <c r="I816" s="961"/>
      <c r="J816" s="961"/>
      <c r="K816" s="961"/>
      <c r="L816" s="961"/>
      <c r="M816" s="961"/>
      <c r="N816" s="961"/>
      <c r="O816" s="961"/>
      <c r="P816" s="961"/>
      <c r="Q816" s="961"/>
      <c r="R816" s="961"/>
      <c r="S816" s="961"/>
      <c r="T816" s="913"/>
      <c r="U816" s="8"/>
      <c r="V816" s="64"/>
      <c r="W816" s="64"/>
      <c r="X816" s="305">
        <f t="shared" si="267"/>
        <v>0</v>
      </c>
    </row>
    <row r="817" spans="1:24" x14ac:dyDescent="0.2">
      <c r="A817" s="64"/>
      <c r="B817" s="16">
        <f t="shared" si="271"/>
        <v>16</v>
      </c>
      <c r="C817" s="1" t="s">
        <v>161</v>
      </c>
      <c r="D817" s="1" t="s">
        <v>162</v>
      </c>
      <c r="E817" s="16"/>
      <c r="F817" s="23">
        <f>' WP II-I-1.4'!G817</f>
        <v>43419.67</v>
      </c>
      <c r="G817" s="16">
        <v>81</v>
      </c>
      <c r="H817" s="1" t="str">
        <f t="shared" ref="H817:H822" si="277">VLOOKUP(G817,FactorTable,2)</f>
        <v>PAY TR MNT</v>
      </c>
      <c r="I817" s="16"/>
      <c r="J817" s="369">
        <f t="shared" ref="J817:S822" si="278">$F817*HLOOKUP(J$1354,FactorTable,$G817+1)</f>
        <v>22264.152494439408</v>
      </c>
      <c r="K817" s="369">
        <f t="shared" si="278"/>
        <v>420.6292236855295</v>
      </c>
      <c r="L817" s="369">
        <f t="shared" si="278"/>
        <v>14300.359166283226</v>
      </c>
      <c r="M817" s="369">
        <f t="shared" si="278"/>
        <v>6.6917203790019277</v>
      </c>
      <c r="N817" s="369">
        <f t="shared" si="278"/>
        <v>4206.3289667052704</v>
      </c>
      <c r="O817" s="369">
        <f t="shared" si="278"/>
        <v>1807.9629842316558</v>
      </c>
      <c r="P817" s="369">
        <f t="shared" si="278"/>
        <v>0</v>
      </c>
      <c r="Q817" s="369">
        <f t="shared" si="278"/>
        <v>127.17408273724267</v>
      </c>
      <c r="R817" s="369">
        <f t="shared" si="278"/>
        <v>124.97346490479073</v>
      </c>
      <c r="S817" s="369">
        <f t="shared" si="278"/>
        <v>161.39789663386978</v>
      </c>
      <c r="T817" s="16"/>
      <c r="U817" s="97">
        <f t="shared" ref="U817:U823" si="279">SUM(I817:T817)</f>
        <v>43419.669999999984</v>
      </c>
      <c r="V817" s="64"/>
      <c r="W817" s="64"/>
      <c r="X817" s="305">
        <f t="shared" si="267"/>
        <v>0</v>
      </c>
    </row>
    <row r="818" spans="1:24" x14ac:dyDescent="0.2">
      <c r="A818" s="64"/>
      <c r="B818" s="16">
        <f t="shared" si="271"/>
        <v>17</v>
      </c>
      <c r="C818" s="1" t="s">
        <v>163</v>
      </c>
      <c r="D818" s="29" t="s">
        <v>164</v>
      </c>
      <c r="E818" s="16"/>
      <c r="F818" s="23">
        <f>' WP II-I-1.4'!G818</f>
        <v>0</v>
      </c>
      <c r="G818" s="16">
        <v>28</v>
      </c>
      <c r="H818" s="1" t="str">
        <f t="shared" si="277"/>
        <v>NCP XHV</v>
      </c>
      <c r="I818" s="16"/>
      <c r="J818" s="369">
        <f t="shared" si="278"/>
        <v>0</v>
      </c>
      <c r="K818" s="369">
        <f t="shared" si="278"/>
        <v>0</v>
      </c>
      <c r="L818" s="369">
        <f t="shared" si="278"/>
        <v>0</v>
      </c>
      <c r="M818" s="369">
        <f t="shared" si="278"/>
        <v>0</v>
      </c>
      <c r="N818" s="369">
        <f t="shared" si="278"/>
        <v>0</v>
      </c>
      <c r="O818" s="369">
        <f t="shared" si="278"/>
        <v>0</v>
      </c>
      <c r="P818" s="369">
        <f t="shared" si="278"/>
        <v>0</v>
      </c>
      <c r="Q818" s="369">
        <f t="shared" si="278"/>
        <v>0</v>
      </c>
      <c r="R818" s="369">
        <f t="shared" si="278"/>
        <v>0</v>
      </c>
      <c r="S818" s="369">
        <f t="shared" si="278"/>
        <v>0</v>
      </c>
      <c r="T818" s="16"/>
      <c r="U818" s="97">
        <f t="shared" si="279"/>
        <v>0</v>
      </c>
      <c r="V818" s="64"/>
      <c r="W818" s="64"/>
      <c r="X818" s="305">
        <f t="shared" si="267"/>
        <v>0</v>
      </c>
    </row>
    <row r="819" spans="1:24" x14ac:dyDescent="0.2">
      <c r="A819" s="64"/>
      <c r="B819" s="16">
        <f t="shared" si="271"/>
        <v>18</v>
      </c>
      <c r="C819" s="1" t="s">
        <v>165</v>
      </c>
      <c r="D819" s="1" t="s">
        <v>166</v>
      </c>
      <c r="E819" s="16"/>
      <c r="F819" s="23">
        <f>' WP II-I-1.4'!G819</f>
        <v>51182.04</v>
      </c>
      <c r="G819" s="16">
        <v>28</v>
      </c>
      <c r="H819" s="1" t="str">
        <f t="shared" si="277"/>
        <v>NCP XHV</v>
      </c>
      <c r="I819" s="16"/>
      <c r="J819" s="369">
        <f t="shared" si="278"/>
        <v>26244.435840633927</v>
      </c>
      <c r="K819" s="369">
        <f t="shared" si="278"/>
        <v>495.82739232798679</v>
      </c>
      <c r="L819" s="369">
        <f t="shared" si="278"/>
        <v>16856.911967849472</v>
      </c>
      <c r="M819" s="369">
        <f t="shared" si="278"/>
        <v>7.8880355402722264</v>
      </c>
      <c r="N819" s="369">
        <f t="shared" si="278"/>
        <v>4958.3172195244179</v>
      </c>
      <c r="O819" s="369">
        <f t="shared" si="278"/>
        <v>2131.1823368870373</v>
      </c>
      <c r="P819" s="369">
        <f t="shared" si="278"/>
        <v>0</v>
      </c>
      <c r="Q819" s="369">
        <f t="shared" si="278"/>
        <v>149.90968355173734</v>
      </c>
      <c r="R819" s="369">
        <f t="shared" si="278"/>
        <v>147.31564932887781</v>
      </c>
      <c r="S819" s="369">
        <f t="shared" si="278"/>
        <v>190.25187435626731</v>
      </c>
      <c r="T819" s="16"/>
      <c r="U819" s="97">
        <f t="shared" si="279"/>
        <v>51182.039999999994</v>
      </c>
      <c r="V819" s="64"/>
      <c r="W819" s="64"/>
      <c r="X819" s="305">
        <f t="shared" si="267"/>
        <v>0</v>
      </c>
    </row>
    <row r="820" spans="1:24" x14ac:dyDescent="0.2">
      <c r="A820" s="64"/>
      <c r="B820" s="16">
        <f t="shared" si="271"/>
        <v>19</v>
      </c>
      <c r="C820" s="1" t="s">
        <v>167</v>
      </c>
      <c r="D820" s="1" t="s">
        <v>168</v>
      </c>
      <c r="E820" s="16"/>
      <c r="F820" s="23">
        <f>' WP II-I-1.4'!G820</f>
        <v>11104.72</v>
      </c>
      <c r="G820" s="16">
        <v>28</v>
      </c>
      <c r="H820" s="1" t="str">
        <f t="shared" si="277"/>
        <v>NCP XHV</v>
      </c>
      <c r="I820" s="16"/>
      <c r="J820" s="369">
        <f t="shared" si="278"/>
        <v>5694.1284788219527</v>
      </c>
      <c r="K820" s="369">
        <f t="shared" si="278"/>
        <v>107.57727437461347</v>
      </c>
      <c r="L820" s="369">
        <f t="shared" si="278"/>
        <v>3657.3627676352362</v>
      </c>
      <c r="M820" s="369">
        <f t="shared" si="278"/>
        <v>1.7114289704898789</v>
      </c>
      <c r="N820" s="369">
        <f t="shared" si="278"/>
        <v>1075.7821375231856</v>
      </c>
      <c r="O820" s="369">
        <f t="shared" si="278"/>
        <v>462.39233762617158</v>
      </c>
      <c r="P820" s="369">
        <f t="shared" si="278"/>
        <v>0</v>
      </c>
      <c r="Q820" s="369">
        <f t="shared" si="278"/>
        <v>32.525179948486787</v>
      </c>
      <c r="R820" s="369">
        <f t="shared" si="278"/>
        <v>31.962364872822103</v>
      </c>
      <c r="S820" s="369">
        <f t="shared" si="278"/>
        <v>41.278030227039181</v>
      </c>
      <c r="T820" s="16"/>
      <c r="U820" s="97">
        <f t="shared" si="279"/>
        <v>11104.719999999998</v>
      </c>
      <c r="V820" s="64"/>
      <c r="W820" s="64"/>
      <c r="X820" s="305">
        <f t="shared" si="267"/>
        <v>0</v>
      </c>
    </row>
    <row r="821" spans="1:24" x14ac:dyDescent="0.2">
      <c r="A821" s="64"/>
      <c r="B821" s="16">
        <f t="shared" si="271"/>
        <v>20</v>
      </c>
      <c r="C821" s="1" t="s">
        <v>169</v>
      </c>
      <c r="D821" s="29" t="s">
        <v>170</v>
      </c>
      <c r="E821" s="16"/>
      <c r="F821" s="23">
        <f>' WP II-I-1.4'!G821</f>
        <v>0</v>
      </c>
      <c r="G821" s="16">
        <v>28</v>
      </c>
      <c r="H821" s="1" t="str">
        <f t="shared" si="277"/>
        <v>NCP XHV</v>
      </c>
      <c r="I821" s="16"/>
      <c r="J821" s="369">
        <f t="shared" si="278"/>
        <v>0</v>
      </c>
      <c r="K821" s="369">
        <f t="shared" si="278"/>
        <v>0</v>
      </c>
      <c r="L821" s="369">
        <f t="shared" si="278"/>
        <v>0</v>
      </c>
      <c r="M821" s="369">
        <f t="shared" si="278"/>
        <v>0</v>
      </c>
      <c r="N821" s="369">
        <f t="shared" si="278"/>
        <v>0</v>
      </c>
      <c r="O821" s="369">
        <f t="shared" si="278"/>
        <v>0</v>
      </c>
      <c r="P821" s="369">
        <f t="shared" si="278"/>
        <v>0</v>
      </c>
      <c r="Q821" s="369">
        <f t="shared" si="278"/>
        <v>0</v>
      </c>
      <c r="R821" s="369">
        <f t="shared" si="278"/>
        <v>0</v>
      </c>
      <c r="S821" s="369">
        <f t="shared" si="278"/>
        <v>0</v>
      </c>
      <c r="T821" s="16"/>
      <c r="U821" s="97">
        <f t="shared" si="279"/>
        <v>0</v>
      </c>
      <c r="V821" s="64"/>
      <c r="W821" s="64"/>
      <c r="X821" s="305">
        <f t="shared" si="267"/>
        <v>0</v>
      </c>
    </row>
    <row r="822" spans="1:24" x14ac:dyDescent="0.2">
      <c r="A822" s="64"/>
      <c r="B822" s="16">
        <f t="shared" si="271"/>
        <v>21</v>
      </c>
      <c r="C822" s="1" t="s">
        <v>171</v>
      </c>
      <c r="D822" s="29" t="s">
        <v>172</v>
      </c>
      <c r="E822" s="16"/>
      <c r="F822" s="23">
        <f>' WP II-I-1.4'!G822</f>
        <v>0</v>
      </c>
      <c r="G822" s="16">
        <v>28</v>
      </c>
      <c r="H822" s="1" t="str">
        <f t="shared" si="277"/>
        <v>NCP XHV</v>
      </c>
      <c r="I822" s="16"/>
      <c r="J822" s="370">
        <f t="shared" si="278"/>
        <v>0</v>
      </c>
      <c r="K822" s="370">
        <f t="shared" si="278"/>
        <v>0</v>
      </c>
      <c r="L822" s="370">
        <f t="shared" si="278"/>
        <v>0</v>
      </c>
      <c r="M822" s="370">
        <f t="shared" si="278"/>
        <v>0</v>
      </c>
      <c r="N822" s="370">
        <f t="shared" si="278"/>
        <v>0</v>
      </c>
      <c r="O822" s="370">
        <f t="shared" si="278"/>
        <v>0</v>
      </c>
      <c r="P822" s="370">
        <f t="shared" si="278"/>
        <v>0</v>
      </c>
      <c r="Q822" s="370">
        <f t="shared" si="278"/>
        <v>0</v>
      </c>
      <c r="R822" s="370">
        <f t="shared" si="278"/>
        <v>0</v>
      </c>
      <c r="S822" s="370">
        <f t="shared" si="278"/>
        <v>0</v>
      </c>
      <c r="T822" s="16"/>
      <c r="U822" s="97">
        <f t="shared" si="279"/>
        <v>0</v>
      </c>
      <c r="V822" s="64"/>
      <c r="W822" s="64"/>
      <c r="X822" s="305">
        <f t="shared" si="267"/>
        <v>0</v>
      </c>
    </row>
    <row r="823" spans="1:24" ht="15" x14ac:dyDescent="0.25">
      <c r="A823" s="64"/>
      <c r="B823" s="16">
        <f t="shared" si="271"/>
        <v>22</v>
      </c>
      <c r="C823" s="8"/>
      <c r="D823" s="24" t="s">
        <v>444</v>
      </c>
      <c r="E823" s="19"/>
      <c r="F823" s="21">
        <f>SUM(F817:F822)</f>
        <v>105706.43</v>
      </c>
      <c r="G823" s="19"/>
      <c r="H823" s="19"/>
      <c r="I823" s="913"/>
      <c r="J823" s="21">
        <f t="shared" ref="J823:Q823" si="280">SUM(J817:J822)</f>
        <v>54202.716813895284</v>
      </c>
      <c r="K823" s="21">
        <f t="shared" si="280"/>
        <v>1024.0338903881297</v>
      </c>
      <c r="L823" s="21">
        <f t="shared" si="280"/>
        <v>34814.633901767935</v>
      </c>
      <c r="M823" s="21">
        <f t="shared" si="280"/>
        <v>16.291184889764033</v>
      </c>
      <c r="N823" s="21">
        <f t="shared" si="280"/>
        <v>10240.428323752874</v>
      </c>
      <c r="O823" s="21">
        <f>SUM(O817:O822)</f>
        <v>4401.5376587448645</v>
      </c>
      <c r="P823" s="21">
        <f t="shared" si="280"/>
        <v>0</v>
      </c>
      <c r="Q823" s="21">
        <f t="shared" si="280"/>
        <v>309.6089462374668</v>
      </c>
      <c r="R823" s="21">
        <f>SUM(R817:R822)</f>
        <v>304.25147910649065</v>
      </c>
      <c r="S823" s="21">
        <f>SUM(S817:S822)</f>
        <v>392.92780121717624</v>
      </c>
      <c r="T823" s="913"/>
      <c r="U823" s="235">
        <f t="shared" si="279"/>
        <v>105706.42999999998</v>
      </c>
      <c r="V823" s="64"/>
      <c r="W823" s="64"/>
      <c r="X823" s="305">
        <f t="shared" si="267"/>
        <v>0</v>
      </c>
    </row>
    <row r="824" spans="1:24" x14ac:dyDescent="0.2">
      <c r="A824" s="64"/>
      <c r="B824" s="16">
        <f t="shared" si="271"/>
        <v>23</v>
      </c>
      <c r="C824" s="1"/>
      <c r="D824" s="1"/>
      <c r="E824" s="16"/>
      <c r="F824" s="18"/>
      <c r="G824" s="16"/>
      <c r="H824" s="16"/>
      <c r="I824" s="1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6"/>
      <c r="U824" s="1"/>
      <c r="V824" s="64"/>
      <c r="W824" s="64"/>
      <c r="X824" s="305">
        <f t="shared" si="267"/>
        <v>0</v>
      </c>
    </row>
    <row r="825" spans="1:24" ht="15" x14ac:dyDescent="0.25">
      <c r="A825" s="64"/>
      <c r="B825" s="16">
        <f t="shared" si="271"/>
        <v>24</v>
      </c>
      <c r="C825" s="8"/>
      <c r="D825" s="24" t="s">
        <v>612</v>
      </c>
      <c r="E825" s="19"/>
      <c r="F825" s="21">
        <f>SUM(F818:F822)</f>
        <v>62286.76</v>
      </c>
      <c r="G825" s="19"/>
      <c r="H825" s="19"/>
      <c r="I825" s="19"/>
      <c r="J825" s="21">
        <f t="shared" ref="J825:Q825" si="281">SUM(J818:J822)</f>
        <v>31938.56431945588</v>
      </c>
      <c r="K825" s="21">
        <f t="shared" si="281"/>
        <v>603.40466670260025</v>
      </c>
      <c r="L825" s="21">
        <f t="shared" si="281"/>
        <v>20514.274735484709</v>
      </c>
      <c r="M825" s="21">
        <f t="shared" si="281"/>
        <v>9.5994645107621057</v>
      </c>
      <c r="N825" s="21">
        <f t="shared" si="281"/>
        <v>6034.0993570476039</v>
      </c>
      <c r="O825" s="21">
        <f>SUM(O818:O822)</f>
        <v>2593.5746745132087</v>
      </c>
      <c r="P825" s="21">
        <f t="shared" si="281"/>
        <v>0</v>
      </c>
      <c r="Q825" s="21">
        <f t="shared" si="281"/>
        <v>182.43486350022414</v>
      </c>
      <c r="R825" s="21">
        <f>SUM(R818:R822)</f>
        <v>179.2780142016999</v>
      </c>
      <c r="S825" s="21">
        <f>SUM(S818:S822)</f>
        <v>231.52990458330649</v>
      </c>
      <c r="T825" s="19"/>
      <c r="U825" s="235">
        <f>SUM(I825:T825)</f>
        <v>62286.759999999995</v>
      </c>
      <c r="V825" s="64"/>
      <c r="W825" s="64"/>
      <c r="X825" s="305">
        <f t="shared" si="267"/>
        <v>0</v>
      </c>
    </row>
    <row r="826" spans="1:24" ht="15" thickBot="1" x14ac:dyDescent="0.25">
      <c r="A826" s="64"/>
      <c r="B826" s="16">
        <f t="shared" si="271"/>
        <v>25</v>
      </c>
      <c r="C826" s="1"/>
      <c r="D826" s="1"/>
      <c r="E826" s="16"/>
      <c r="F826" s="18"/>
      <c r="G826" s="16"/>
      <c r="H826" s="16"/>
      <c r="I826" s="1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6"/>
      <c r="U826" s="1"/>
      <c r="V826" s="64"/>
      <c r="W826" s="64"/>
      <c r="X826" s="305">
        <f t="shared" si="267"/>
        <v>0</v>
      </c>
    </row>
    <row r="827" spans="1:24" ht="15.75" thickBot="1" x14ac:dyDescent="0.3">
      <c r="A827" s="64"/>
      <c r="B827" s="16">
        <f>B824+1</f>
        <v>24</v>
      </c>
      <c r="C827" s="779" t="s">
        <v>613</v>
      </c>
      <c r="D827" s="920"/>
      <c r="E827" s="916"/>
      <c r="F827" s="917">
        <f>+F823+F812</f>
        <v>594090.28</v>
      </c>
      <c r="G827" s="916"/>
      <c r="H827" s="916"/>
      <c r="I827" s="919"/>
      <c r="J827" s="917">
        <f t="shared" ref="J827:Q827" si="282">+J823+J812</f>
        <v>304629.5973549363</v>
      </c>
      <c r="K827" s="917">
        <f t="shared" si="282"/>
        <v>5755.2656037118395</v>
      </c>
      <c r="L827" s="917">
        <f t="shared" si="282"/>
        <v>195664.87679887406</v>
      </c>
      <c r="M827" s="917">
        <f t="shared" si="282"/>
        <v>91.559563526000119</v>
      </c>
      <c r="N827" s="917">
        <f t="shared" si="282"/>
        <v>57553.158593836488</v>
      </c>
      <c r="O827" s="917">
        <f>+O823+O812</f>
        <v>24737.480398442</v>
      </c>
      <c r="P827" s="917">
        <f t="shared" si="282"/>
        <v>0</v>
      </c>
      <c r="Q827" s="917">
        <f t="shared" si="282"/>
        <v>1740.0612768846854</v>
      </c>
      <c r="R827" s="917">
        <f>+R823+R812</f>
        <v>1709.95129069054</v>
      </c>
      <c r="S827" s="917">
        <f>+S823+S812</f>
        <v>2208.3291190980208</v>
      </c>
      <c r="T827" s="919"/>
      <c r="U827" s="918">
        <f>SUM(I827:T827)</f>
        <v>594090.27999999991</v>
      </c>
      <c r="V827" s="64"/>
      <c r="W827" s="64"/>
      <c r="X827" s="305">
        <f t="shared" si="267"/>
        <v>0</v>
      </c>
    </row>
    <row r="828" spans="1:24" x14ac:dyDescent="0.2">
      <c r="A828" s="64"/>
      <c r="B828" s="16"/>
      <c r="C828" s="1"/>
      <c r="D828" s="1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"/>
      <c r="V828" s="64"/>
      <c r="W828" s="64"/>
      <c r="X828" s="305">
        <f t="shared" si="267"/>
        <v>0</v>
      </c>
    </row>
    <row r="829" spans="1:24" x14ac:dyDescent="0.2">
      <c r="A829" s="64"/>
      <c r="B829" s="16"/>
      <c r="C829" s="1"/>
      <c r="D829" s="1"/>
      <c r="E829" s="16"/>
      <c r="F829" s="18"/>
      <c r="G829" s="16"/>
      <c r="H829" s="105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05"/>
      <c r="V829" s="105">
        <f>$H$2</f>
        <v>0</v>
      </c>
      <c r="W829" s="105"/>
      <c r="X829" s="305"/>
    </row>
    <row r="830" spans="1:24" ht="15" thickBot="1" x14ac:dyDescent="0.25">
      <c r="A830" s="64"/>
      <c r="B830" s="16"/>
      <c r="C830" s="1"/>
      <c r="D830" s="1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"/>
      <c r="V830" s="64"/>
      <c r="W830" s="64"/>
      <c r="X830" s="305">
        <f t="shared" si="267"/>
        <v>0</v>
      </c>
    </row>
    <row r="831" spans="1:24" ht="15" x14ac:dyDescent="0.25">
      <c r="A831" s="64"/>
      <c r="B831" s="829" t="str">
        <f>+$B$4</f>
        <v>2025 RATE CASE</v>
      </c>
      <c r="C831" s="844"/>
      <c r="D831" s="547"/>
      <c r="F831" s="11"/>
      <c r="U831" s="105"/>
      <c r="X831" s="305">
        <f t="shared" si="267"/>
        <v>0</v>
      </c>
    </row>
    <row r="832" spans="1:24" ht="15" x14ac:dyDescent="0.25">
      <c r="A832" s="64"/>
      <c r="B832" s="826" t="str">
        <f>+$B$5</f>
        <v>ONCOR ELECTRIC DELIVERY COMPANY LLC</v>
      </c>
      <c r="C832" s="8"/>
      <c r="D832" s="548"/>
      <c r="F832" s="11"/>
      <c r="U832" s="105"/>
      <c r="V832" s="64"/>
      <c r="W832" s="64"/>
      <c r="X832" s="305">
        <f t="shared" si="267"/>
        <v>0</v>
      </c>
    </row>
    <row r="833" spans="1:24" ht="15" x14ac:dyDescent="0.25">
      <c r="A833" s="64"/>
      <c r="B833" s="826" t="str">
        <f>+$B$6</f>
        <v>II-I-1-DIST:  CLASS REVENUE REQUIREMENT</v>
      </c>
      <c r="C833" s="82"/>
      <c r="D833" s="548"/>
      <c r="F833" s="11"/>
      <c r="U833" s="11"/>
      <c r="V833" s="64"/>
      <c r="W833" s="64"/>
      <c r="X833" s="305">
        <f t="shared" si="267"/>
        <v>0</v>
      </c>
    </row>
    <row r="834" spans="1:24" ht="15" x14ac:dyDescent="0.25">
      <c r="A834" s="64"/>
      <c r="B834" s="341" t="str">
        <f>+$B$7</f>
        <v>TEST YEAR ENDING 12/31/2024</v>
      </c>
      <c r="C834" s="82"/>
      <c r="D834" s="548"/>
      <c r="F834" s="11"/>
      <c r="U834" s="11"/>
      <c r="V834" s="64"/>
      <c r="W834" s="64"/>
      <c r="X834" s="305">
        <f t="shared" ref="X834:X897" si="283">U834-F834</f>
        <v>0</v>
      </c>
    </row>
    <row r="835" spans="1:24" ht="15" x14ac:dyDescent="0.25">
      <c r="A835" s="64"/>
      <c r="B835" s="341" t="str">
        <f>+$B$8</f>
        <v>SPONSOR:  MATTHEW A. TROXLE</v>
      </c>
      <c r="C835" s="82"/>
      <c r="D835" s="548"/>
      <c r="F835" s="11"/>
      <c r="U835" s="11"/>
      <c r="V835" s="64"/>
      <c r="W835" s="64"/>
      <c r="X835" s="305">
        <f t="shared" si="283"/>
        <v>0</v>
      </c>
    </row>
    <row r="836" spans="1:24" ht="15.75" thickBot="1" x14ac:dyDescent="0.3">
      <c r="A836" s="64"/>
      <c r="B836" s="345"/>
      <c r="C836" s="843"/>
      <c r="D836" s="549"/>
      <c r="F836" s="11"/>
      <c r="U836" s="11"/>
      <c r="V836" s="64"/>
      <c r="W836" s="64"/>
      <c r="X836" s="305">
        <f t="shared" si="283"/>
        <v>0</v>
      </c>
    </row>
    <row r="837" spans="1:24" ht="15" thickBot="1" x14ac:dyDescent="0.25">
      <c r="A837" s="64"/>
      <c r="B837" s="12"/>
      <c r="C837" s="13"/>
      <c r="D837" s="13"/>
      <c r="E837" s="13"/>
      <c r="F837" s="12"/>
      <c r="G837" s="13"/>
      <c r="H837" s="13"/>
      <c r="I837" s="13"/>
      <c r="J837" s="177"/>
      <c r="K837" s="177"/>
      <c r="L837" s="13"/>
      <c r="M837" s="177"/>
      <c r="N837" s="177"/>
      <c r="O837" s="177"/>
      <c r="P837" s="177"/>
      <c r="Q837" s="13"/>
      <c r="R837" s="328" t="str">
        <f>R$10</f>
        <v xml:space="preserve"> </v>
      </c>
      <c r="S837" s="329"/>
      <c r="T837" s="177"/>
      <c r="U837" s="12"/>
      <c r="V837" s="64"/>
      <c r="W837" s="64"/>
      <c r="X837" s="305">
        <f t="shared" si="283"/>
        <v>0</v>
      </c>
    </row>
    <row r="838" spans="1:24" ht="15" x14ac:dyDescent="0.25">
      <c r="A838" s="64"/>
      <c r="B838" s="14" t="s">
        <v>2</v>
      </c>
      <c r="C838" s="14" t="s">
        <v>349</v>
      </c>
      <c r="D838" s="226" t="s">
        <v>614</v>
      </c>
      <c r="E838" s="14" t="s">
        <v>350</v>
      </c>
      <c r="F838" s="226" t="str">
        <f>F$11</f>
        <v>DIST</v>
      </c>
      <c r="G838" s="181" t="s">
        <v>688</v>
      </c>
      <c r="H838" s="181" t="s">
        <v>355</v>
      </c>
      <c r="I838" s="14"/>
      <c r="J838" s="181" t="s">
        <v>679</v>
      </c>
      <c r="K838" s="181" t="s">
        <v>388</v>
      </c>
      <c r="L838" s="14" t="s">
        <v>388</v>
      </c>
      <c r="M838" s="181" t="s">
        <v>389</v>
      </c>
      <c r="N838" s="181" t="s">
        <v>389</v>
      </c>
      <c r="O838" s="181" t="s">
        <v>389</v>
      </c>
      <c r="P838" s="181" t="s">
        <v>390</v>
      </c>
      <c r="Q838" s="14" t="s">
        <v>391</v>
      </c>
      <c r="R838" s="331" t="str">
        <f>R$11</f>
        <v>Wholesale</v>
      </c>
      <c r="S838" s="12" t="str">
        <f>S$11</f>
        <v>Wholesale</v>
      </c>
      <c r="T838" s="181"/>
      <c r="U838" s="14" t="s">
        <v>10</v>
      </c>
      <c r="V838" s="64"/>
      <c r="W838" s="64"/>
      <c r="X838" s="305"/>
    </row>
    <row r="839" spans="1:24" x14ac:dyDescent="0.2">
      <c r="A839" s="64"/>
      <c r="B839" s="14"/>
      <c r="C839" s="14"/>
      <c r="D839" s="14"/>
      <c r="E839" s="14"/>
      <c r="F839" s="14"/>
      <c r="G839" s="181" t="s">
        <v>689</v>
      </c>
      <c r="H839" s="181" t="s">
        <v>690</v>
      </c>
      <c r="I839" s="14"/>
      <c r="J839" s="181"/>
      <c r="K839" s="181" t="s">
        <v>680</v>
      </c>
      <c r="L839" s="14" t="s">
        <v>681</v>
      </c>
      <c r="M839" s="181" t="s">
        <v>680</v>
      </c>
      <c r="N839" s="181" t="s">
        <v>681</v>
      </c>
      <c r="O839" s="181" t="s">
        <v>393</v>
      </c>
      <c r="P839" s="181"/>
      <c r="Q839" s="14"/>
      <c r="R839" s="174" t="str">
        <f>R$12</f>
        <v>XFMR</v>
      </c>
      <c r="S839" s="14" t="str">
        <f>S$12</f>
        <v>DLS</v>
      </c>
      <c r="T839" s="181"/>
      <c r="U839" s="14"/>
      <c r="V839" s="64"/>
      <c r="W839" s="64"/>
      <c r="X839" s="305">
        <f t="shared" si="283"/>
        <v>0</v>
      </c>
    </row>
    <row r="840" spans="1:24" ht="15" thickBot="1" x14ac:dyDescent="0.25">
      <c r="A840" s="64"/>
      <c r="B840" s="15"/>
      <c r="C840" s="15"/>
      <c r="D840" s="15"/>
      <c r="E840" s="15"/>
      <c r="F840" s="15" t="s">
        <v>13</v>
      </c>
      <c r="G840" s="15" t="s">
        <v>14</v>
      </c>
      <c r="H840" s="15" t="s">
        <v>15</v>
      </c>
      <c r="I840" s="15"/>
      <c r="J840" s="182" t="str">
        <f t="shared" ref="J840:Q840" si="284">J$13</f>
        <v>(d)</v>
      </c>
      <c r="K840" s="182" t="str">
        <f t="shared" si="284"/>
        <v>(e)</v>
      </c>
      <c r="L840" s="15" t="str">
        <f t="shared" si="284"/>
        <v>(f)</v>
      </c>
      <c r="M840" s="182" t="str">
        <f t="shared" si="284"/>
        <v>(g)</v>
      </c>
      <c r="N840" s="182" t="str">
        <f t="shared" si="284"/>
        <v>(h)</v>
      </c>
      <c r="O840" s="182" t="str">
        <f>O$13</f>
        <v>(i)</v>
      </c>
      <c r="P840" s="182" t="str">
        <f t="shared" si="284"/>
        <v>(j)</v>
      </c>
      <c r="Q840" s="182" t="str">
        <f t="shared" si="284"/>
        <v>(k)</v>
      </c>
      <c r="R840" s="182" t="str">
        <f>R$13</f>
        <v>(l)</v>
      </c>
      <c r="S840" s="15" t="str">
        <f>S$13</f>
        <v>(m)</v>
      </c>
      <c r="T840" s="15"/>
      <c r="U840" s="15" t="s">
        <v>683</v>
      </c>
      <c r="V840" s="64"/>
      <c r="W840" s="64"/>
      <c r="X840" s="305"/>
    </row>
    <row r="841" spans="1:24" x14ac:dyDescent="0.2">
      <c r="A841" s="64"/>
      <c r="B841" s="64"/>
      <c r="C841" s="96"/>
      <c r="D841" s="96"/>
      <c r="E841" s="251"/>
      <c r="F841" s="308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1"/>
      <c r="V841" s="64"/>
      <c r="W841" s="64"/>
      <c r="X841" s="305">
        <f t="shared" si="283"/>
        <v>0</v>
      </c>
    </row>
    <row r="842" spans="1:24" ht="15" x14ac:dyDescent="0.25">
      <c r="A842" s="64"/>
      <c r="B842" s="16">
        <f>B828+1</f>
        <v>1</v>
      </c>
      <c r="C842" s="8" t="s">
        <v>614</v>
      </c>
      <c r="D842" s="8"/>
      <c r="E842" s="19"/>
      <c r="F842" s="21"/>
      <c r="G842" s="19"/>
      <c r="H842" s="961"/>
      <c r="I842" s="961"/>
      <c r="J842" s="961"/>
      <c r="K842" s="961"/>
      <c r="L842" s="961"/>
      <c r="M842" s="961"/>
      <c r="N842" s="961"/>
      <c r="O842" s="961"/>
      <c r="P842" s="961"/>
      <c r="Q842" s="961"/>
      <c r="R842" s="961"/>
      <c r="S842" s="961"/>
      <c r="T842" s="19"/>
      <c r="U842" s="8"/>
      <c r="V842" s="64"/>
      <c r="W842" s="64"/>
      <c r="X842" s="305">
        <f t="shared" si="283"/>
        <v>0</v>
      </c>
    </row>
    <row r="843" spans="1:24" ht="15" x14ac:dyDescent="0.25">
      <c r="A843" s="64"/>
      <c r="B843" s="16">
        <f t="shared" ref="B843:B874" si="285">B842+1</f>
        <v>2</v>
      </c>
      <c r="C843" s="8"/>
      <c r="D843" s="301" t="s">
        <v>609</v>
      </c>
      <c r="E843" s="19" t="s">
        <v>262</v>
      </c>
      <c r="F843" s="21"/>
      <c r="G843" s="19"/>
      <c r="H843" s="961"/>
      <c r="I843" s="961"/>
      <c r="J843" s="961"/>
      <c r="K843" s="961"/>
      <c r="L843" s="961"/>
      <c r="M843" s="961"/>
      <c r="N843" s="961"/>
      <c r="O843" s="961"/>
      <c r="P843" s="961"/>
      <c r="Q843" s="961"/>
      <c r="R843" s="961"/>
      <c r="S843" s="961"/>
      <c r="T843" s="913"/>
      <c r="U843" s="8"/>
      <c r="V843" s="64"/>
      <c r="W843" s="64"/>
      <c r="X843" s="305">
        <f t="shared" si="283"/>
        <v>0</v>
      </c>
    </row>
    <row r="844" spans="1:24" x14ac:dyDescent="0.2">
      <c r="A844" s="64"/>
      <c r="B844" s="16">
        <f t="shared" si="285"/>
        <v>3</v>
      </c>
      <c r="C844" s="1" t="s">
        <v>175</v>
      </c>
      <c r="D844" s="1" t="s">
        <v>176</v>
      </c>
      <c r="E844" s="16"/>
      <c r="F844" s="229">
        <f>' WP II-I-1.4'!G844</f>
        <v>12872276.280000001</v>
      </c>
      <c r="G844" s="16">
        <v>28</v>
      </c>
      <c r="H844" s="1" t="str">
        <f t="shared" ref="H844:H852" si="286">VLOOKUP(G844,FactorTable,2)</f>
        <v>NCP XHV</v>
      </c>
      <c r="I844" s="16"/>
      <c r="J844" s="369">
        <f t="shared" ref="J844:S852" si="287">$F844*HLOOKUP(J$1354,FactorTable,$G844+1)</f>
        <v>6600472.1373625202</v>
      </c>
      <c r="K844" s="369">
        <f t="shared" si="287"/>
        <v>124700.52348905591</v>
      </c>
      <c r="L844" s="369">
        <f t="shared" si="287"/>
        <v>4239511.1269069556</v>
      </c>
      <c r="M844" s="369">
        <f t="shared" si="287"/>
        <v>1983.8398934634722</v>
      </c>
      <c r="N844" s="369">
        <f t="shared" si="287"/>
        <v>1247016.123890328</v>
      </c>
      <c r="O844" s="369">
        <f t="shared" si="287"/>
        <v>535992.07541289832</v>
      </c>
      <c r="P844" s="369">
        <f t="shared" si="287"/>
        <v>0</v>
      </c>
      <c r="Q844" s="369">
        <f t="shared" si="287"/>
        <v>37702.265554974656</v>
      </c>
      <c r="R844" s="369">
        <f t="shared" si="287"/>
        <v>37049.866291552891</v>
      </c>
      <c r="S844" s="369">
        <f t="shared" si="287"/>
        <v>47848.321198250793</v>
      </c>
      <c r="T844" s="16"/>
      <c r="U844" s="97">
        <f t="shared" ref="U844:U853" si="288">SUM(I844:T844)</f>
        <v>12872276.279999999</v>
      </c>
      <c r="V844" s="64"/>
      <c r="W844" s="64"/>
      <c r="X844" s="305">
        <f t="shared" si="283"/>
        <v>0</v>
      </c>
    </row>
    <row r="845" spans="1:24" x14ac:dyDescent="0.2">
      <c r="A845" s="64"/>
      <c r="B845" s="16">
        <f t="shared" si="285"/>
        <v>4</v>
      </c>
      <c r="C845" s="1" t="s">
        <v>177</v>
      </c>
      <c r="D845" s="1" t="s">
        <v>149</v>
      </c>
      <c r="E845" s="16"/>
      <c r="F845" s="97">
        <f>' WP II-I-1.4'!G845</f>
        <v>3113325.23</v>
      </c>
      <c r="G845" s="16">
        <v>44</v>
      </c>
      <c r="H845" s="1" t="str">
        <f t="shared" si="286"/>
        <v>PLT 362</v>
      </c>
      <c r="I845" s="16"/>
      <c r="J845" s="369">
        <f t="shared" si="287"/>
        <v>1596408.9014381194</v>
      </c>
      <c r="K845" s="369">
        <f t="shared" si="287"/>
        <v>30160.422098451527</v>
      </c>
      <c r="L845" s="369">
        <f t="shared" si="287"/>
        <v>1025380.1788556047</v>
      </c>
      <c r="M845" s="369">
        <f t="shared" si="287"/>
        <v>479.81714020516199</v>
      </c>
      <c r="N845" s="369">
        <f t="shared" si="287"/>
        <v>301606.85462886631</v>
      </c>
      <c r="O845" s="369">
        <f t="shared" si="287"/>
        <v>129636.56273100435</v>
      </c>
      <c r="P845" s="369">
        <f t="shared" si="287"/>
        <v>0</v>
      </c>
      <c r="Q845" s="369">
        <f t="shared" si="287"/>
        <v>9118.7768213799209</v>
      </c>
      <c r="R845" s="369">
        <f t="shared" si="287"/>
        <v>8960.985686178743</v>
      </c>
      <c r="S845" s="369">
        <f t="shared" si="287"/>
        <v>11572.730600190165</v>
      </c>
      <c r="T845" s="16"/>
      <c r="U845" s="97">
        <f t="shared" si="288"/>
        <v>3113325.2300000004</v>
      </c>
      <c r="V845" s="64"/>
      <c r="W845" s="64"/>
      <c r="X845" s="305">
        <f t="shared" si="283"/>
        <v>0</v>
      </c>
    </row>
    <row r="846" spans="1:24" x14ac:dyDescent="0.2">
      <c r="A846" s="64"/>
      <c r="B846" s="16">
        <f t="shared" si="285"/>
        <v>5</v>
      </c>
      <c r="C846" s="1" t="s">
        <v>178</v>
      </c>
      <c r="D846" s="1" t="s">
        <v>151</v>
      </c>
      <c r="E846" s="16"/>
      <c r="F846" s="97">
        <f>' WP II-I-1.4'!G846</f>
        <v>4010911.3399999519</v>
      </c>
      <c r="G846" s="16">
        <v>46</v>
      </c>
      <c r="H846" s="1" t="str">
        <f t="shared" si="286"/>
        <v>PLT 365</v>
      </c>
      <c r="I846" s="16"/>
      <c r="J846" s="369">
        <f t="shared" si="287"/>
        <v>2184647.5323345894</v>
      </c>
      <c r="K846" s="369">
        <f t="shared" si="287"/>
        <v>41273.818789280784</v>
      </c>
      <c r="L846" s="369">
        <f t="shared" si="287"/>
        <v>1403208.3355484395</v>
      </c>
      <c r="M846" s="369">
        <f t="shared" si="287"/>
        <v>564.93707449750616</v>
      </c>
      <c r="N846" s="369">
        <f t="shared" si="287"/>
        <v>355112.14549269935</v>
      </c>
      <c r="O846" s="369">
        <f t="shared" si="287"/>
        <v>0</v>
      </c>
      <c r="P846" s="369">
        <f t="shared" si="287"/>
        <v>0</v>
      </c>
      <c r="Q846" s="369">
        <f t="shared" si="287"/>
        <v>12478.828740425746</v>
      </c>
      <c r="R846" s="369">
        <f t="shared" si="287"/>
        <v>0</v>
      </c>
      <c r="S846" s="369">
        <f t="shared" si="287"/>
        <v>13625.742020019788</v>
      </c>
      <c r="T846" s="16"/>
      <c r="U846" s="97">
        <f t="shared" si="288"/>
        <v>4010911.3399999524</v>
      </c>
      <c r="V846" s="64"/>
      <c r="W846" s="64"/>
      <c r="X846" s="305">
        <f t="shared" si="283"/>
        <v>0</v>
      </c>
    </row>
    <row r="847" spans="1:24" x14ac:dyDescent="0.2">
      <c r="A847" s="64"/>
      <c r="B847" s="16">
        <f t="shared" si="285"/>
        <v>6</v>
      </c>
      <c r="C847" s="1" t="s">
        <v>179</v>
      </c>
      <c r="D847" s="1" t="s">
        <v>153</v>
      </c>
      <c r="E847" s="16"/>
      <c r="F847" s="97">
        <f>' WP II-I-1.4'!G847</f>
        <v>4506617.859999991</v>
      </c>
      <c r="G847" s="16">
        <v>48</v>
      </c>
      <c r="H847" s="1" t="str">
        <f t="shared" si="286"/>
        <v>PLT 367</v>
      </c>
      <c r="I847" s="16"/>
      <c r="J847" s="369">
        <f t="shared" si="287"/>
        <v>2476042.1954873777</v>
      </c>
      <c r="K847" s="369">
        <f t="shared" si="287"/>
        <v>46779.041185627379</v>
      </c>
      <c r="L847" s="369">
        <f t="shared" si="287"/>
        <v>1590372.3582195805</v>
      </c>
      <c r="M847" s="369">
        <f t="shared" si="287"/>
        <v>580.20104226308922</v>
      </c>
      <c r="N847" s="369">
        <f t="shared" si="287"/>
        <v>364706.87840483611</v>
      </c>
      <c r="O847" s="369">
        <f t="shared" si="287"/>
        <v>0</v>
      </c>
      <c r="P847" s="369">
        <f t="shared" si="287"/>
        <v>0</v>
      </c>
      <c r="Q847" s="369">
        <f t="shared" si="287"/>
        <v>14143.291333836345</v>
      </c>
      <c r="R847" s="369">
        <f t="shared" si="287"/>
        <v>0</v>
      </c>
      <c r="S847" s="369">
        <f t="shared" si="287"/>
        <v>13993.894326470421</v>
      </c>
      <c r="T847" s="16"/>
      <c r="U847" s="97">
        <f t="shared" si="288"/>
        <v>4506617.859999992</v>
      </c>
      <c r="V847" s="64"/>
      <c r="W847" s="64"/>
      <c r="X847" s="305">
        <f t="shared" si="283"/>
        <v>0</v>
      </c>
    </row>
    <row r="848" spans="1:24" x14ac:dyDescent="0.2">
      <c r="A848" s="64"/>
      <c r="B848" s="16">
        <f t="shared" si="285"/>
        <v>7</v>
      </c>
      <c r="C848" s="1" t="s">
        <v>180</v>
      </c>
      <c r="D848" s="1" t="s">
        <v>181</v>
      </c>
      <c r="E848" s="16"/>
      <c r="F848" s="97">
        <f>' WP II-I-1.4'!G848</f>
        <v>0</v>
      </c>
      <c r="G848" s="16">
        <v>33</v>
      </c>
      <c r="H848" s="1" t="str">
        <f t="shared" si="286"/>
        <v>NCP LGT</v>
      </c>
      <c r="I848" s="16"/>
      <c r="J848" s="369">
        <f t="shared" si="287"/>
        <v>0</v>
      </c>
      <c r="K848" s="369">
        <f t="shared" si="287"/>
        <v>0</v>
      </c>
      <c r="L848" s="369">
        <f t="shared" si="287"/>
        <v>0</v>
      </c>
      <c r="M848" s="369">
        <f t="shared" si="287"/>
        <v>0</v>
      </c>
      <c r="N848" s="369">
        <f t="shared" si="287"/>
        <v>0</v>
      </c>
      <c r="O848" s="369">
        <f t="shared" si="287"/>
        <v>0</v>
      </c>
      <c r="P848" s="369">
        <f t="shared" si="287"/>
        <v>0</v>
      </c>
      <c r="Q848" s="369">
        <f t="shared" si="287"/>
        <v>0</v>
      </c>
      <c r="R848" s="369">
        <f t="shared" si="287"/>
        <v>0</v>
      </c>
      <c r="S848" s="369">
        <f t="shared" si="287"/>
        <v>0</v>
      </c>
      <c r="T848" s="16"/>
      <c r="U848" s="97">
        <f t="shared" si="288"/>
        <v>0</v>
      </c>
      <c r="V848" s="64"/>
      <c r="W848" s="64"/>
      <c r="X848" s="305">
        <f t="shared" si="283"/>
        <v>0</v>
      </c>
    </row>
    <row r="849" spans="1:24" x14ac:dyDescent="0.2">
      <c r="A849" s="64"/>
      <c r="B849" s="16">
        <f t="shared" si="285"/>
        <v>8</v>
      </c>
      <c r="C849" s="1" t="s">
        <v>182</v>
      </c>
      <c r="D849" s="1" t="s">
        <v>183</v>
      </c>
      <c r="E849" s="16"/>
      <c r="F849" s="97">
        <f>' WP II-I-1.4'!G849</f>
        <v>0</v>
      </c>
      <c r="G849" s="16">
        <v>6</v>
      </c>
      <c r="H849" s="1" t="str">
        <f t="shared" si="286"/>
        <v>CUS W ALL</v>
      </c>
      <c r="I849" s="16"/>
      <c r="J849" s="369">
        <f t="shared" si="287"/>
        <v>0</v>
      </c>
      <c r="K849" s="369">
        <f t="shared" si="287"/>
        <v>0</v>
      </c>
      <c r="L849" s="369">
        <f t="shared" si="287"/>
        <v>0</v>
      </c>
      <c r="M849" s="369">
        <f t="shared" si="287"/>
        <v>0</v>
      </c>
      <c r="N849" s="369">
        <f t="shared" si="287"/>
        <v>0</v>
      </c>
      <c r="O849" s="369">
        <f t="shared" si="287"/>
        <v>0</v>
      </c>
      <c r="P849" s="369">
        <f t="shared" si="287"/>
        <v>0</v>
      </c>
      <c r="Q849" s="369">
        <f t="shared" si="287"/>
        <v>0</v>
      </c>
      <c r="R849" s="369">
        <f t="shared" si="287"/>
        <v>0</v>
      </c>
      <c r="S849" s="369">
        <f t="shared" si="287"/>
        <v>0</v>
      </c>
      <c r="T849" s="16"/>
      <c r="U849" s="97">
        <f t="shared" si="288"/>
        <v>0</v>
      </c>
      <c r="V849" s="64"/>
      <c r="W849" s="64"/>
      <c r="X849" s="305">
        <f t="shared" si="283"/>
        <v>0</v>
      </c>
    </row>
    <row r="850" spans="1:24" x14ac:dyDescent="0.2">
      <c r="A850" s="64"/>
      <c r="B850" s="16">
        <f t="shared" si="285"/>
        <v>9</v>
      </c>
      <c r="C850" s="1" t="s">
        <v>184</v>
      </c>
      <c r="D850" s="1" t="s">
        <v>185</v>
      </c>
      <c r="E850" s="16"/>
      <c r="F850" s="97">
        <f>' WP II-I-1.4'!G850</f>
        <v>2034184.280000001</v>
      </c>
      <c r="G850" s="16">
        <v>8</v>
      </c>
      <c r="H850" s="1" t="str">
        <f t="shared" si="286"/>
        <v>CUS W RTL</v>
      </c>
      <c r="I850" s="16"/>
      <c r="J850" s="369">
        <f t="shared" si="287"/>
        <v>1063205.859018778</v>
      </c>
      <c r="K850" s="369">
        <f t="shared" si="287"/>
        <v>149151.91853365517</v>
      </c>
      <c r="L850" s="369">
        <f t="shared" si="287"/>
        <v>586566.07960820908</v>
      </c>
      <c r="M850" s="369">
        <f t="shared" si="287"/>
        <v>24701.502359640621</v>
      </c>
      <c r="N850" s="369">
        <f t="shared" si="287"/>
        <v>190214.6080810767</v>
      </c>
      <c r="O850" s="369">
        <f t="shared" si="287"/>
        <v>6241.3594628219525</v>
      </c>
      <c r="P850" s="369">
        <f t="shared" si="287"/>
        <v>13018.786609567267</v>
      </c>
      <c r="Q850" s="369">
        <f t="shared" si="287"/>
        <v>1084.1663262516772</v>
      </c>
      <c r="R850" s="369">
        <f t="shared" si="287"/>
        <v>0</v>
      </c>
      <c r="S850" s="369">
        <f t="shared" si="287"/>
        <v>0</v>
      </c>
      <c r="T850" s="16"/>
      <c r="U850" s="97">
        <f t="shared" si="288"/>
        <v>2034184.2800000003</v>
      </c>
      <c r="V850" s="64"/>
      <c r="W850" s="64"/>
      <c r="X850" s="305">
        <f t="shared" si="283"/>
        <v>0</v>
      </c>
    </row>
    <row r="851" spans="1:24" x14ac:dyDescent="0.2">
      <c r="A851" s="64"/>
      <c r="B851" s="16">
        <f t="shared" si="285"/>
        <v>10</v>
      </c>
      <c r="C851" s="1" t="s">
        <v>186</v>
      </c>
      <c r="D851" s="1" t="s">
        <v>187</v>
      </c>
      <c r="E851" s="16"/>
      <c r="F851" s="97">
        <f>' WP II-I-1.4'!G851</f>
        <v>59212445.600000031</v>
      </c>
      <c r="G851" s="16">
        <v>71</v>
      </c>
      <c r="H851" s="1" t="str">
        <f t="shared" si="286"/>
        <v>DIST OPS</v>
      </c>
      <c r="I851" s="16"/>
      <c r="J851" s="369">
        <f t="shared" si="287"/>
        <v>31587935.299363233</v>
      </c>
      <c r="K851" s="369">
        <f t="shared" si="287"/>
        <v>786194.90981768677</v>
      </c>
      <c r="L851" s="369">
        <f t="shared" si="287"/>
        <v>20147683.26293271</v>
      </c>
      <c r="M851" s="369">
        <f t="shared" si="287"/>
        <v>44313.175568021259</v>
      </c>
      <c r="N851" s="369">
        <f t="shared" si="287"/>
        <v>5346525.2062481269</v>
      </c>
      <c r="O851" s="369">
        <f t="shared" si="287"/>
        <v>854528.59983378928</v>
      </c>
      <c r="P851" s="369">
        <f t="shared" si="287"/>
        <v>19106.228438914761</v>
      </c>
      <c r="Q851" s="369">
        <f t="shared" si="287"/>
        <v>173287.52728119216</v>
      </c>
      <c r="R851" s="369">
        <f t="shared" si="287"/>
        <v>58435.197579349981</v>
      </c>
      <c r="S851" s="369">
        <f t="shared" si="287"/>
        <v>194436.19293700086</v>
      </c>
      <c r="T851" s="16"/>
      <c r="U851" s="97">
        <f t="shared" si="288"/>
        <v>59212445.600000024</v>
      </c>
      <c r="V851" s="64"/>
      <c r="W851" s="64"/>
      <c r="X851" s="305">
        <f t="shared" si="283"/>
        <v>0</v>
      </c>
    </row>
    <row r="852" spans="1:24" x14ac:dyDescent="0.2">
      <c r="A852" s="64"/>
      <c r="B852" s="16">
        <f t="shared" si="285"/>
        <v>11</v>
      </c>
      <c r="C852" s="1" t="s">
        <v>188</v>
      </c>
      <c r="D852" s="1" t="s">
        <v>189</v>
      </c>
      <c r="E852" s="16"/>
      <c r="F852" s="97">
        <f>' WP II-I-1.4'!G852</f>
        <v>0</v>
      </c>
      <c r="G852" s="16">
        <v>28</v>
      </c>
      <c r="H852" s="1" t="str">
        <f t="shared" si="286"/>
        <v>NCP XHV</v>
      </c>
      <c r="I852" s="16"/>
      <c r="J852" s="370">
        <f t="shared" si="287"/>
        <v>0</v>
      </c>
      <c r="K852" s="370">
        <f t="shared" si="287"/>
        <v>0</v>
      </c>
      <c r="L852" s="370">
        <f t="shared" si="287"/>
        <v>0</v>
      </c>
      <c r="M852" s="370">
        <f t="shared" si="287"/>
        <v>0</v>
      </c>
      <c r="N852" s="370">
        <f t="shared" si="287"/>
        <v>0</v>
      </c>
      <c r="O852" s="370">
        <f t="shared" si="287"/>
        <v>0</v>
      </c>
      <c r="P852" s="370">
        <f t="shared" si="287"/>
        <v>0</v>
      </c>
      <c r="Q852" s="370">
        <f t="shared" si="287"/>
        <v>0</v>
      </c>
      <c r="R852" s="370">
        <f t="shared" si="287"/>
        <v>0</v>
      </c>
      <c r="S852" s="370">
        <f t="shared" si="287"/>
        <v>0</v>
      </c>
      <c r="T852" s="16"/>
      <c r="U852" s="97">
        <f t="shared" si="288"/>
        <v>0</v>
      </c>
      <c r="V852" s="64"/>
      <c r="W852" s="64"/>
      <c r="X852" s="305">
        <f t="shared" si="283"/>
        <v>0</v>
      </c>
    </row>
    <row r="853" spans="1:24" ht="15" x14ac:dyDescent="0.25">
      <c r="A853" s="64"/>
      <c r="B853" s="16">
        <f t="shared" si="285"/>
        <v>12</v>
      </c>
      <c r="C853" s="8"/>
      <c r="D853" s="24" t="s">
        <v>615</v>
      </c>
      <c r="E853" s="19"/>
      <c r="F853" s="21">
        <f>SUM(F844:F852)</f>
        <v>85749760.589999974</v>
      </c>
      <c r="G853" s="19"/>
      <c r="H853" s="961"/>
      <c r="I853" s="961"/>
      <c r="J853" s="805">
        <f t="shared" ref="J853:Q853" si="289">SUM(J844:J852)</f>
        <v>45508711.925004616</v>
      </c>
      <c r="K853" s="805">
        <f t="shared" si="289"/>
        <v>1178260.6339137575</v>
      </c>
      <c r="L853" s="805">
        <f t="shared" si="289"/>
        <v>28992721.3420715</v>
      </c>
      <c r="M853" s="805">
        <f t="shared" si="289"/>
        <v>72623.473078091105</v>
      </c>
      <c r="N853" s="805">
        <f t="shared" si="289"/>
        <v>7805181.8167459331</v>
      </c>
      <c r="O853" s="805">
        <f>SUM(O844:O852)</f>
        <v>1526398.5974405138</v>
      </c>
      <c r="P853" s="805">
        <f t="shared" si="289"/>
        <v>32125.015048482026</v>
      </c>
      <c r="Q853" s="805">
        <f t="shared" si="289"/>
        <v>247814.85605806051</v>
      </c>
      <c r="R853" s="805">
        <f>SUM(R844:R852)</f>
        <v>104446.04955708161</v>
      </c>
      <c r="S853" s="805">
        <f>SUM(S844:S852)</f>
        <v>281476.88108193199</v>
      </c>
      <c r="T853" s="913"/>
      <c r="U853" s="235">
        <f t="shared" si="288"/>
        <v>85749760.589999974</v>
      </c>
      <c r="V853" s="64"/>
      <c r="W853" s="64"/>
      <c r="X853" s="305">
        <f t="shared" si="283"/>
        <v>0</v>
      </c>
    </row>
    <row r="854" spans="1:24" ht="15" x14ac:dyDescent="0.25">
      <c r="A854" s="64"/>
      <c r="B854" s="16">
        <f t="shared" si="285"/>
        <v>13</v>
      </c>
      <c r="C854" s="1"/>
      <c r="D854" s="301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"/>
      <c r="V854" s="64"/>
      <c r="W854" s="64"/>
      <c r="X854" s="305">
        <f t="shared" si="283"/>
        <v>0</v>
      </c>
    </row>
    <row r="855" spans="1:24" x14ac:dyDescent="0.2">
      <c r="A855" s="64"/>
      <c r="B855" s="16">
        <f t="shared" si="285"/>
        <v>14</v>
      </c>
      <c r="C855" s="1" t="s">
        <v>174</v>
      </c>
      <c r="D855" s="29" t="s">
        <v>145</v>
      </c>
      <c r="E855" s="16"/>
      <c r="F855" s="97">
        <f>' WP II-I-1.4'!G855</f>
        <v>8430729.4500000011</v>
      </c>
      <c r="G855" s="16">
        <v>82</v>
      </c>
      <c r="H855" s="1" t="str">
        <f>VLOOKUP(G855,FactorTable,2)</f>
        <v>PAY DISTR OPS</v>
      </c>
      <c r="I855" s="16"/>
      <c r="J855" s="369">
        <f t="shared" ref="J855:S855" si="290">$F855*HLOOKUP(J$1354,FactorTable,$G855+1)</f>
        <v>4474317.3067522943</v>
      </c>
      <c r="K855" s="369">
        <f t="shared" si="290"/>
        <v>115844.01586388603</v>
      </c>
      <c r="L855" s="369">
        <f t="shared" si="290"/>
        <v>2850501.1322766403</v>
      </c>
      <c r="M855" s="369">
        <f t="shared" si="290"/>
        <v>7140.1814888815788</v>
      </c>
      <c r="N855" s="369">
        <f t="shared" si="290"/>
        <v>767388.45394185686</v>
      </c>
      <c r="O855" s="369">
        <f t="shared" si="290"/>
        <v>150072.18118555495</v>
      </c>
      <c r="P855" s="369">
        <f t="shared" si="290"/>
        <v>3158.4614182877999</v>
      </c>
      <c r="Q855" s="369">
        <f t="shared" si="290"/>
        <v>24364.616189492299</v>
      </c>
      <c r="R855" s="369">
        <f t="shared" si="290"/>
        <v>10268.907806603682</v>
      </c>
      <c r="S855" s="369">
        <f t="shared" si="290"/>
        <v>27674.193076503292</v>
      </c>
      <c r="T855" s="16"/>
      <c r="U855" s="97">
        <f>SUM(I855:T855)</f>
        <v>8430729.4499999993</v>
      </c>
      <c r="V855" s="64"/>
      <c r="W855" s="64"/>
      <c r="X855" s="305">
        <f t="shared" si="283"/>
        <v>0</v>
      </c>
    </row>
    <row r="856" spans="1:24" ht="15" x14ac:dyDescent="0.25">
      <c r="A856" s="64"/>
      <c r="B856" s="16">
        <f t="shared" si="285"/>
        <v>15</v>
      </c>
      <c r="C856" s="1"/>
      <c r="D856" s="301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"/>
      <c r="V856" s="64"/>
      <c r="W856" s="64"/>
      <c r="X856" s="305">
        <f t="shared" si="283"/>
        <v>0</v>
      </c>
    </row>
    <row r="857" spans="1:24" ht="15" x14ac:dyDescent="0.25">
      <c r="A857" s="64"/>
      <c r="B857" s="16">
        <f t="shared" si="285"/>
        <v>16</v>
      </c>
      <c r="C857" s="1"/>
      <c r="D857" s="301" t="s">
        <v>616</v>
      </c>
      <c r="E857" s="19" t="s">
        <v>262</v>
      </c>
      <c r="F857" s="21">
        <f>F853+F855</f>
        <v>94180490.039999977</v>
      </c>
      <c r="G857" s="19"/>
      <c r="H857" s="961"/>
      <c r="I857" s="961"/>
      <c r="J857" s="805">
        <f t="shared" ref="J857:Q857" si="291">J853+J855</f>
        <v>49983029.231756911</v>
      </c>
      <c r="K857" s="805">
        <f t="shared" si="291"/>
        <v>1294104.6497776436</v>
      </c>
      <c r="L857" s="805">
        <f t="shared" si="291"/>
        <v>31843222.474348139</v>
      </c>
      <c r="M857" s="805">
        <f t="shared" si="291"/>
        <v>79763.654566972691</v>
      </c>
      <c r="N857" s="805">
        <f t="shared" si="291"/>
        <v>8572570.2706877906</v>
      </c>
      <c r="O857" s="805">
        <f>O853+O855</f>
        <v>1676470.7786260687</v>
      </c>
      <c r="P857" s="805">
        <f t="shared" si="291"/>
        <v>35283.476466769825</v>
      </c>
      <c r="Q857" s="805">
        <f t="shared" si="291"/>
        <v>272179.47224755283</v>
      </c>
      <c r="R857" s="805">
        <f>R853+R855</f>
        <v>114714.9573636853</v>
      </c>
      <c r="S857" s="805">
        <f>S853+S855</f>
        <v>309151.07415843528</v>
      </c>
      <c r="T857" s="913"/>
      <c r="U857" s="235">
        <f>SUM(I857:T857)</f>
        <v>94180490.039999962</v>
      </c>
      <c r="V857" s="64"/>
      <c r="W857" s="64"/>
      <c r="X857" s="305">
        <f t="shared" si="283"/>
        <v>0</v>
      </c>
    </row>
    <row r="858" spans="1:24" ht="15" x14ac:dyDescent="0.25">
      <c r="A858" s="64"/>
      <c r="B858" s="16">
        <f t="shared" si="285"/>
        <v>17</v>
      </c>
      <c r="C858" s="1"/>
      <c r="D858" s="301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"/>
      <c r="V858" s="64"/>
      <c r="W858" s="64"/>
      <c r="X858" s="305">
        <f t="shared" si="283"/>
        <v>0</v>
      </c>
    </row>
    <row r="859" spans="1:24" ht="15" x14ac:dyDescent="0.25">
      <c r="A859" s="64"/>
      <c r="B859" s="16">
        <f t="shared" si="285"/>
        <v>18</v>
      </c>
      <c r="C859" s="8"/>
      <c r="D859" s="301" t="s">
        <v>611</v>
      </c>
      <c r="E859" s="19" t="s">
        <v>262</v>
      </c>
      <c r="F859" s="21"/>
      <c r="G859" s="19"/>
      <c r="H859" s="961"/>
      <c r="I859" s="961"/>
      <c r="J859" s="961"/>
      <c r="K859" s="961"/>
      <c r="L859" s="961"/>
      <c r="M859" s="961"/>
      <c r="N859" s="961"/>
      <c r="O859" s="961"/>
      <c r="P859" s="961"/>
      <c r="Q859" s="961"/>
      <c r="R859" s="961"/>
      <c r="S859" s="961"/>
      <c r="T859" s="913"/>
      <c r="U859" s="8"/>
      <c r="V859" s="64"/>
      <c r="W859" s="64"/>
      <c r="X859" s="305">
        <f t="shared" si="283"/>
        <v>0</v>
      </c>
    </row>
    <row r="860" spans="1:24" x14ac:dyDescent="0.2">
      <c r="A860" s="64"/>
      <c r="B860" s="16">
        <f t="shared" si="285"/>
        <v>19</v>
      </c>
      <c r="C860" s="1" t="s">
        <v>192</v>
      </c>
      <c r="D860" s="1" t="s">
        <v>164</v>
      </c>
      <c r="E860" s="16"/>
      <c r="F860" s="97">
        <f>' WP II-I-1.4'!G860</f>
        <v>0</v>
      </c>
      <c r="G860" s="16">
        <v>43</v>
      </c>
      <c r="H860" s="1" t="str">
        <f t="shared" ref="H860:H867" si="292">VLOOKUP(G860,FactorTable,2)</f>
        <v>PLT 361</v>
      </c>
      <c r="I860" s="16"/>
      <c r="J860" s="369">
        <f t="shared" ref="J860:S867" ca="1" si="293">$F860*HLOOKUP(J$1354,FactorTable,$G860+1)</f>
        <v>0</v>
      </c>
      <c r="K860" s="369">
        <f t="shared" ca="1" si="293"/>
        <v>0</v>
      </c>
      <c r="L860" s="369">
        <f t="shared" ca="1" si="293"/>
        <v>0</v>
      </c>
      <c r="M860" s="369">
        <f t="shared" ca="1" si="293"/>
        <v>0</v>
      </c>
      <c r="N860" s="369">
        <f t="shared" ca="1" si="293"/>
        <v>0</v>
      </c>
      <c r="O860" s="369">
        <f t="shared" ca="1" si="293"/>
        <v>0</v>
      </c>
      <c r="P860" s="369">
        <f t="shared" ca="1" si="293"/>
        <v>0</v>
      </c>
      <c r="Q860" s="369">
        <f t="shared" ca="1" si="293"/>
        <v>0</v>
      </c>
      <c r="R860" s="369">
        <f t="shared" ca="1" si="293"/>
        <v>0</v>
      </c>
      <c r="S860" s="369">
        <f t="shared" ca="1" si="293"/>
        <v>0</v>
      </c>
      <c r="T860" s="16"/>
      <c r="U860" s="97">
        <f t="shared" ref="U860:U868" ca="1" si="294">SUM(I860:T860)</f>
        <v>0</v>
      </c>
      <c r="V860" s="64"/>
      <c r="W860" s="64"/>
      <c r="X860" s="305">
        <f t="shared" ca="1" si="283"/>
        <v>0</v>
      </c>
    </row>
    <row r="861" spans="1:24" x14ac:dyDescent="0.2">
      <c r="A861" s="64"/>
      <c r="B861" s="16">
        <f t="shared" si="285"/>
        <v>20</v>
      </c>
      <c r="C861" s="1" t="s">
        <v>193</v>
      </c>
      <c r="D861" s="29" t="s">
        <v>166</v>
      </c>
      <c r="E861" s="16"/>
      <c r="F861" s="97">
        <f>' WP II-I-1.4'!G861</f>
        <v>6188260.0800000001</v>
      </c>
      <c r="G861" s="16">
        <v>44</v>
      </c>
      <c r="H861" s="1" t="str">
        <f t="shared" si="292"/>
        <v>PLT 362</v>
      </c>
      <c r="I861" s="16"/>
      <c r="J861" s="369">
        <f t="shared" si="293"/>
        <v>3173132.5018447135</v>
      </c>
      <c r="K861" s="369">
        <f t="shared" si="293"/>
        <v>59948.93635567827</v>
      </c>
      <c r="L861" s="369">
        <f t="shared" si="293"/>
        <v>2038116.4057297667</v>
      </c>
      <c r="M861" s="369">
        <f t="shared" si="293"/>
        <v>953.71766040368573</v>
      </c>
      <c r="N861" s="369">
        <f t="shared" si="293"/>
        <v>599494.59837004461</v>
      </c>
      <c r="O861" s="369">
        <f t="shared" si="293"/>
        <v>257674.57839818744</v>
      </c>
      <c r="P861" s="369">
        <f t="shared" si="293"/>
        <v>0</v>
      </c>
      <c r="Q861" s="369">
        <f t="shared" si="293"/>
        <v>18125.110103634965</v>
      </c>
      <c r="R861" s="369">
        <f t="shared" si="293"/>
        <v>17811.47355402742</v>
      </c>
      <c r="S861" s="369">
        <f t="shared" si="293"/>
        <v>23002.757983543928</v>
      </c>
      <c r="T861" s="16"/>
      <c r="U861" s="97">
        <f t="shared" si="294"/>
        <v>6188260.080000001</v>
      </c>
      <c r="V861" s="64"/>
      <c r="W861" s="64"/>
      <c r="X861" s="305">
        <f t="shared" si="283"/>
        <v>0</v>
      </c>
    </row>
    <row r="862" spans="1:24" x14ac:dyDescent="0.2">
      <c r="A862" s="64"/>
      <c r="B862" s="16">
        <f t="shared" si="285"/>
        <v>21</v>
      </c>
      <c r="C862" s="1" t="s">
        <v>194</v>
      </c>
      <c r="D862" s="1" t="s">
        <v>168</v>
      </c>
      <c r="E862" s="16"/>
      <c r="F862" s="97">
        <f>' WP II-I-1.4'!G862</f>
        <v>38786429.539999999</v>
      </c>
      <c r="G862" s="16">
        <v>52</v>
      </c>
      <c r="H862" s="1" t="str">
        <f t="shared" si="292"/>
        <v>PLT OH</v>
      </c>
      <c r="I862" s="16"/>
      <c r="J862" s="369">
        <f t="shared" si="293"/>
        <v>21170707.430006109</v>
      </c>
      <c r="K862" s="369">
        <f t="shared" si="293"/>
        <v>399971.12997591152</v>
      </c>
      <c r="L862" s="369">
        <f t="shared" si="293"/>
        <v>13598034.783897625</v>
      </c>
      <c r="M862" s="369">
        <f t="shared" si="293"/>
        <v>5349.1742096198604</v>
      </c>
      <c r="N862" s="369">
        <f t="shared" si="293"/>
        <v>3362421.7916339068</v>
      </c>
      <c r="O862" s="369">
        <f t="shared" si="293"/>
        <v>0</v>
      </c>
      <c r="P862" s="369">
        <f t="shared" si="293"/>
        <v>0</v>
      </c>
      <c r="Q862" s="369">
        <f t="shared" si="293"/>
        <v>120928.26344869798</v>
      </c>
      <c r="R862" s="369">
        <f t="shared" si="293"/>
        <v>0</v>
      </c>
      <c r="S862" s="369">
        <f t="shared" si="293"/>
        <v>129016.96682812629</v>
      </c>
      <c r="T862" s="16"/>
      <c r="U862" s="97">
        <f t="shared" si="294"/>
        <v>38786429.539999992</v>
      </c>
      <c r="V862" s="64"/>
      <c r="W862" s="64"/>
      <c r="X862" s="305">
        <f t="shared" si="283"/>
        <v>0</v>
      </c>
    </row>
    <row r="863" spans="1:24" x14ac:dyDescent="0.2">
      <c r="A863" s="64"/>
      <c r="B863" s="16">
        <f t="shared" si="285"/>
        <v>22</v>
      </c>
      <c r="C863" s="1" t="s">
        <v>195</v>
      </c>
      <c r="D863" s="1" t="s">
        <v>170</v>
      </c>
      <c r="E863" s="16"/>
      <c r="F863" s="97">
        <f>' WP II-I-1.4'!G863</f>
        <v>9743951.3100000005</v>
      </c>
      <c r="G863" s="16">
        <v>53</v>
      </c>
      <c r="H863" s="1" t="str">
        <f t="shared" si="292"/>
        <v>PLT UG</v>
      </c>
      <c r="I863" s="16"/>
      <c r="J863" s="369">
        <f t="shared" si="293"/>
        <v>5382611.2066936977</v>
      </c>
      <c r="K863" s="369">
        <f t="shared" si="293"/>
        <v>101691.88222359093</v>
      </c>
      <c r="L863" s="369">
        <f t="shared" si="293"/>
        <v>3457273.9082435537</v>
      </c>
      <c r="M863" s="369">
        <f t="shared" si="293"/>
        <v>1180.3905609195274</v>
      </c>
      <c r="N863" s="369">
        <f t="shared" si="293"/>
        <v>741978.25479997683</v>
      </c>
      <c r="O863" s="369">
        <f t="shared" si="293"/>
        <v>0</v>
      </c>
      <c r="P863" s="369">
        <f t="shared" si="293"/>
        <v>0</v>
      </c>
      <c r="Q863" s="369">
        <f t="shared" si="293"/>
        <v>30745.775888547221</v>
      </c>
      <c r="R863" s="369">
        <f t="shared" si="293"/>
        <v>0</v>
      </c>
      <c r="S863" s="369">
        <f t="shared" si="293"/>
        <v>28469.891589717092</v>
      </c>
      <c r="T863" s="16"/>
      <c r="U863" s="97">
        <f t="shared" si="294"/>
        <v>9743951.3100000042</v>
      </c>
      <c r="V863" s="64"/>
      <c r="W863" s="64"/>
      <c r="X863" s="305">
        <f t="shared" si="283"/>
        <v>0</v>
      </c>
    </row>
    <row r="864" spans="1:24" x14ac:dyDescent="0.2">
      <c r="A864" s="64"/>
      <c r="B864" s="16">
        <f t="shared" si="285"/>
        <v>23</v>
      </c>
      <c r="C864" s="1" t="s">
        <v>196</v>
      </c>
      <c r="D864" s="1" t="s">
        <v>197</v>
      </c>
      <c r="E864" s="16"/>
      <c r="F864" s="97">
        <f>' WP II-I-1.4'!G864</f>
        <v>1406918.11</v>
      </c>
      <c r="G864" s="16">
        <v>49</v>
      </c>
      <c r="H864" s="1" t="str">
        <f t="shared" si="292"/>
        <v>PLT 368</v>
      </c>
      <c r="I864" s="16"/>
      <c r="J864" s="369">
        <f t="shared" si="293"/>
        <v>826331.3754061684</v>
      </c>
      <c r="K864" s="369">
        <f t="shared" si="293"/>
        <v>15611.603676847884</v>
      </c>
      <c r="L864" s="369">
        <f t="shared" si="293"/>
        <v>530756.13193128898</v>
      </c>
      <c r="M864" s="369">
        <f t="shared" si="293"/>
        <v>25.635877061765019</v>
      </c>
      <c r="N864" s="369">
        <f t="shared" si="293"/>
        <v>16114.381080561632</v>
      </c>
      <c r="O864" s="369">
        <f t="shared" si="293"/>
        <v>2695.546643586616</v>
      </c>
      <c r="P864" s="369">
        <f t="shared" si="293"/>
        <v>9858.7448530882666</v>
      </c>
      <c r="Q864" s="369">
        <f t="shared" si="293"/>
        <v>4720.0509756897245</v>
      </c>
      <c r="R864" s="369">
        <f t="shared" si="293"/>
        <v>186.32671509293172</v>
      </c>
      <c r="S864" s="369">
        <f t="shared" si="293"/>
        <v>618.3128406137115</v>
      </c>
      <c r="T864" s="16"/>
      <c r="U864" s="97">
        <f t="shared" si="294"/>
        <v>1406918.1099999996</v>
      </c>
      <c r="V864" s="64"/>
      <c r="W864" s="64"/>
      <c r="X864" s="305">
        <f t="shared" si="283"/>
        <v>0</v>
      </c>
    </row>
    <row r="865" spans="1:24" x14ac:dyDescent="0.2">
      <c r="A865" s="64"/>
      <c r="B865" s="16">
        <f t="shared" si="285"/>
        <v>24</v>
      </c>
      <c r="C865" s="1" t="s">
        <v>198</v>
      </c>
      <c r="D865" s="1" t="s">
        <v>199</v>
      </c>
      <c r="E865" s="16"/>
      <c r="F865" s="97">
        <f>' WP II-I-1.4'!G865</f>
        <v>335973.77</v>
      </c>
      <c r="G865" s="16">
        <v>33</v>
      </c>
      <c r="H865" s="1" t="str">
        <f t="shared" si="292"/>
        <v>NCP LGT</v>
      </c>
      <c r="I865" s="16"/>
      <c r="J865" s="369">
        <f t="shared" si="293"/>
        <v>0</v>
      </c>
      <c r="K865" s="369">
        <f t="shared" si="293"/>
        <v>0</v>
      </c>
      <c r="L865" s="369">
        <f t="shared" si="293"/>
        <v>0</v>
      </c>
      <c r="M865" s="369">
        <f t="shared" si="293"/>
        <v>0</v>
      </c>
      <c r="N865" s="369">
        <f t="shared" si="293"/>
        <v>0</v>
      </c>
      <c r="O865" s="369">
        <f t="shared" si="293"/>
        <v>0</v>
      </c>
      <c r="P865" s="369">
        <f t="shared" si="293"/>
        <v>0</v>
      </c>
      <c r="Q865" s="369">
        <f t="shared" si="293"/>
        <v>335973.77</v>
      </c>
      <c r="R865" s="369">
        <f t="shared" si="293"/>
        <v>0</v>
      </c>
      <c r="S865" s="369">
        <f t="shared" si="293"/>
        <v>0</v>
      </c>
      <c r="T865" s="16"/>
      <c r="U865" s="97">
        <f t="shared" si="294"/>
        <v>335973.77</v>
      </c>
      <c r="V865" s="64"/>
      <c r="W865" s="64"/>
      <c r="X865" s="305">
        <f t="shared" si="283"/>
        <v>0</v>
      </c>
    </row>
    <row r="866" spans="1:24" x14ac:dyDescent="0.2">
      <c r="A866" s="64"/>
      <c r="B866" s="16">
        <f t="shared" si="285"/>
        <v>25</v>
      </c>
      <c r="C866" s="1" t="s">
        <v>200</v>
      </c>
      <c r="D866" s="1" t="s">
        <v>201</v>
      </c>
      <c r="E866" s="16"/>
      <c r="F866" s="97">
        <f>' WP II-I-1.4'!G866</f>
        <v>0</v>
      </c>
      <c r="G866" s="16">
        <v>6</v>
      </c>
      <c r="H866" s="1" t="str">
        <f t="shared" si="292"/>
        <v>CUS W ALL</v>
      </c>
      <c r="I866" s="16"/>
      <c r="J866" s="369">
        <f t="shared" si="293"/>
        <v>0</v>
      </c>
      <c r="K866" s="369">
        <f t="shared" si="293"/>
        <v>0</v>
      </c>
      <c r="L866" s="369">
        <f t="shared" si="293"/>
        <v>0</v>
      </c>
      <c r="M866" s="369">
        <f t="shared" si="293"/>
        <v>0</v>
      </c>
      <c r="N866" s="369">
        <f t="shared" si="293"/>
        <v>0</v>
      </c>
      <c r="O866" s="369">
        <f t="shared" si="293"/>
        <v>0</v>
      </c>
      <c r="P866" s="369">
        <f t="shared" si="293"/>
        <v>0</v>
      </c>
      <c r="Q866" s="369">
        <f t="shared" si="293"/>
        <v>0</v>
      </c>
      <c r="R866" s="369">
        <f t="shared" si="293"/>
        <v>0</v>
      </c>
      <c r="S866" s="369">
        <f t="shared" si="293"/>
        <v>0</v>
      </c>
      <c r="T866" s="16"/>
      <c r="U866" s="97">
        <f t="shared" si="294"/>
        <v>0</v>
      </c>
      <c r="V866" s="64"/>
      <c r="W866" s="64"/>
      <c r="X866" s="305">
        <f t="shared" si="283"/>
        <v>0</v>
      </c>
    </row>
    <row r="867" spans="1:24" x14ac:dyDescent="0.2">
      <c r="A867" s="64"/>
      <c r="B867" s="16">
        <f t="shared" si="285"/>
        <v>26</v>
      </c>
      <c r="C867" s="1" t="s">
        <v>202</v>
      </c>
      <c r="D867" s="1" t="s">
        <v>203</v>
      </c>
      <c r="E867" s="16"/>
      <c r="F867" s="97">
        <f>' WP II-I-1.4'!G867</f>
        <v>290636.13</v>
      </c>
      <c r="G867" s="16">
        <v>72</v>
      </c>
      <c r="H867" s="1" t="str">
        <f t="shared" si="292"/>
        <v>DIST MAINT</v>
      </c>
      <c r="I867" s="16"/>
      <c r="J867" s="370">
        <f t="shared" ca="1" si="293"/>
        <v>149525.16174172203</v>
      </c>
      <c r="K867" s="370">
        <f t="shared" ca="1" si="293"/>
        <v>2825.0016161607828</v>
      </c>
      <c r="L867" s="370">
        <f t="shared" ca="1" si="293"/>
        <v>96040.588703099376</v>
      </c>
      <c r="M867" s="370">
        <f t="shared" ca="1" si="293"/>
        <v>36.405279321964642</v>
      </c>
      <c r="N867" s="370">
        <f t="shared" ca="1" si="293"/>
        <v>22883.888190172122</v>
      </c>
      <c r="O867" s="370">
        <f t="shared" ca="1" si="293"/>
        <v>651.27365650969716</v>
      </c>
      <c r="P867" s="370">
        <f t="shared" ca="1" si="293"/>
        <v>43.314843657022841</v>
      </c>
      <c r="Q867" s="370">
        <f t="shared" ca="1" si="293"/>
        <v>17707.416864823332</v>
      </c>
      <c r="R867" s="370">
        <f t="shared" ca="1" si="293"/>
        <v>45.018579564458925</v>
      </c>
      <c r="S867" s="370">
        <f t="shared" ca="1" si="293"/>
        <v>878.06052496921222</v>
      </c>
      <c r="T867" s="16"/>
      <c r="U867" s="97">
        <f t="shared" ca="1" si="294"/>
        <v>290636.13</v>
      </c>
      <c r="V867" s="64"/>
      <c r="W867" s="64"/>
      <c r="X867" s="305">
        <f t="shared" ca="1" si="283"/>
        <v>0</v>
      </c>
    </row>
    <row r="868" spans="1:24" ht="15" x14ac:dyDescent="0.25">
      <c r="A868" s="64"/>
      <c r="B868" s="16">
        <f t="shared" si="285"/>
        <v>27</v>
      </c>
      <c r="C868" s="8"/>
      <c r="D868" s="24" t="s">
        <v>617</v>
      </c>
      <c r="E868" s="19"/>
      <c r="F868" s="21">
        <f>SUM(F860:F867)</f>
        <v>56752168.940000005</v>
      </c>
      <c r="G868" s="19"/>
      <c r="H868" s="961"/>
      <c r="I868" s="961"/>
      <c r="J868" s="805">
        <f t="shared" ref="J868:Q868" ca="1" si="295">SUM(J860:J867)</f>
        <v>30702307.675692409</v>
      </c>
      <c r="K868" s="805">
        <f t="shared" ca="1" si="295"/>
        <v>580048.5538481893</v>
      </c>
      <c r="L868" s="805">
        <f t="shared" ca="1" si="295"/>
        <v>19720221.818505336</v>
      </c>
      <c r="M868" s="805">
        <f t="shared" ca="1" si="295"/>
        <v>7545.3235873268031</v>
      </c>
      <c r="N868" s="805">
        <f t="shared" ca="1" si="295"/>
        <v>4742892.9140746612</v>
      </c>
      <c r="O868" s="805">
        <f ca="1">SUM(O860:O867)</f>
        <v>261021.39869828377</v>
      </c>
      <c r="P868" s="805">
        <f t="shared" ca="1" si="295"/>
        <v>9902.0596967452893</v>
      </c>
      <c r="Q868" s="805">
        <f t="shared" ca="1" si="295"/>
        <v>528200.38728139328</v>
      </c>
      <c r="R868" s="805">
        <f ca="1">SUM(R860:R867)</f>
        <v>18042.818848684808</v>
      </c>
      <c r="S868" s="805">
        <f ca="1">SUM(S860:S867)</f>
        <v>181985.98976697025</v>
      </c>
      <c r="T868" s="913"/>
      <c r="U868" s="235">
        <f t="shared" ca="1" si="294"/>
        <v>56752168.940000005</v>
      </c>
      <c r="V868" s="64"/>
      <c r="W868" s="64"/>
      <c r="X868" s="305">
        <f t="shared" ca="1" si="283"/>
        <v>0</v>
      </c>
    </row>
    <row r="869" spans="1:24" ht="15" x14ac:dyDescent="0.25">
      <c r="A869" s="64"/>
      <c r="B869" s="16">
        <f t="shared" si="285"/>
        <v>28</v>
      </c>
      <c r="C869" s="1"/>
      <c r="D869" s="301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"/>
      <c r="V869" s="64"/>
      <c r="W869" s="64"/>
      <c r="X869" s="305">
        <f t="shared" si="283"/>
        <v>0</v>
      </c>
    </row>
    <row r="870" spans="1:24" x14ac:dyDescent="0.2">
      <c r="A870" s="64"/>
      <c r="B870" s="16">
        <f t="shared" si="285"/>
        <v>29</v>
      </c>
      <c r="C870" s="1" t="s">
        <v>191</v>
      </c>
      <c r="D870" s="29" t="s">
        <v>162</v>
      </c>
      <c r="E870" s="16"/>
      <c r="F870" s="97">
        <f>' WP II-I-1.4'!G870</f>
        <v>2417660.5</v>
      </c>
      <c r="G870" s="16">
        <v>83</v>
      </c>
      <c r="H870" s="1" t="str">
        <f>VLOOKUP(G870,FactorTable,2)</f>
        <v>PAY DISTR MNT</v>
      </c>
      <c r="I870" s="16"/>
      <c r="J870" s="369">
        <f t="shared" ref="J870:S870" ca="1" si="296">$F870*HLOOKUP(J$1354,FactorTable,$G870+1)</f>
        <v>1307928.1005954861</v>
      </c>
      <c r="K870" s="369">
        <f t="shared" ca="1" si="296"/>
        <v>24710.253421389152</v>
      </c>
      <c r="L870" s="369">
        <f t="shared" ca="1" si="296"/>
        <v>840087.73994600587</v>
      </c>
      <c r="M870" s="369">
        <f t="shared" ca="1" si="296"/>
        <v>321.43319167386011</v>
      </c>
      <c r="N870" s="369">
        <f t="shared" ca="1" si="296"/>
        <v>202048.7510567416</v>
      </c>
      <c r="O870" s="369">
        <f t="shared" ca="1" si="296"/>
        <v>11119.594846758504</v>
      </c>
      <c r="P870" s="369">
        <f t="shared" ca="1" si="296"/>
        <v>421.83090170127099</v>
      </c>
      <c r="Q870" s="369">
        <f t="shared" ca="1" si="296"/>
        <v>22501.504986796492</v>
      </c>
      <c r="R870" s="369">
        <f t="shared" ca="1" si="296"/>
        <v>768.62983836333251</v>
      </c>
      <c r="S870" s="369">
        <f t="shared" ca="1" si="296"/>
        <v>7752.6612150835645</v>
      </c>
      <c r="T870" s="16"/>
      <c r="U870" s="97">
        <f ca="1">SUM(I870:T870)</f>
        <v>2417660.5</v>
      </c>
      <c r="V870" s="64"/>
      <c r="W870" s="64"/>
      <c r="X870" s="305">
        <f t="shared" ca="1" si="283"/>
        <v>0</v>
      </c>
    </row>
    <row r="871" spans="1:24" ht="15" x14ac:dyDescent="0.25">
      <c r="A871" s="64"/>
      <c r="B871" s="16">
        <f t="shared" si="285"/>
        <v>30</v>
      </c>
      <c r="C871" s="1"/>
      <c r="D871" s="301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"/>
      <c r="V871" s="64"/>
      <c r="W871" s="64"/>
      <c r="X871" s="305">
        <f t="shared" si="283"/>
        <v>0</v>
      </c>
    </row>
    <row r="872" spans="1:24" ht="15" x14ac:dyDescent="0.25">
      <c r="A872" s="64"/>
      <c r="B872" s="16">
        <f t="shared" si="285"/>
        <v>31</v>
      </c>
      <c r="C872" s="1"/>
      <c r="D872" s="301" t="s">
        <v>618</v>
      </c>
      <c r="E872" s="19" t="s">
        <v>262</v>
      </c>
      <c r="F872" s="21">
        <f>F868+F870</f>
        <v>59169829.440000005</v>
      </c>
      <c r="G872" s="19"/>
      <c r="H872" s="19"/>
      <c r="I872" s="913"/>
      <c r="J872" s="21">
        <f t="shared" ref="J872:Q872" ca="1" si="297">J868+J870</f>
        <v>32010235.776287895</v>
      </c>
      <c r="K872" s="21">
        <f t="shared" ca="1" si="297"/>
        <v>604758.80726957845</v>
      </c>
      <c r="L872" s="21">
        <f t="shared" ca="1" si="297"/>
        <v>20560309.55845134</v>
      </c>
      <c r="M872" s="21">
        <f t="shared" ca="1" si="297"/>
        <v>7866.7567790006633</v>
      </c>
      <c r="N872" s="21">
        <f t="shared" ca="1" si="297"/>
        <v>4944941.6651314031</v>
      </c>
      <c r="O872" s="21">
        <f ca="1">O868+O870</f>
        <v>272140.99354504229</v>
      </c>
      <c r="P872" s="21">
        <f t="shared" ca="1" si="297"/>
        <v>10323.89059844656</v>
      </c>
      <c r="Q872" s="21">
        <f t="shared" ca="1" si="297"/>
        <v>550701.89226818981</v>
      </c>
      <c r="R872" s="21">
        <f ca="1">R868+R870</f>
        <v>18811.448687048141</v>
      </c>
      <c r="S872" s="21">
        <f ca="1">S868+S870</f>
        <v>189738.6509820538</v>
      </c>
      <c r="T872" s="913"/>
      <c r="U872" s="235">
        <f ca="1">SUM(I872:T872)</f>
        <v>59169829.43999999</v>
      </c>
      <c r="V872" s="64"/>
      <c r="W872" s="64"/>
      <c r="X872" s="305">
        <f t="shared" ca="1" si="283"/>
        <v>0</v>
      </c>
    </row>
    <row r="873" spans="1:24" ht="15.75" thickBot="1" x14ac:dyDescent="0.3">
      <c r="A873" s="64"/>
      <c r="B873" s="16">
        <f t="shared" si="285"/>
        <v>32</v>
      </c>
      <c r="C873" s="1"/>
      <c r="D873" s="301"/>
      <c r="E873" s="16"/>
      <c r="F873" s="18"/>
      <c r="G873" s="16"/>
      <c r="H873" s="16"/>
      <c r="I873" s="1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6"/>
      <c r="U873" s="1"/>
      <c r="V873" s="64"/>
      <c r="W873" s="64"/>
      <c r="X873" s="305">
        <f t="shared" si="283"/>
        <v>0</v>
      </c>
    </row>
    <row r="874" spans="1:24" ht="15.75" thickBot="1" x14ac:dyDescent="0.3">
      <c r="A874" s="64"/>
      <c r="B874" s="16">
        <f t="shared" si="285"/>
        <v>33</v>
      </c>
      <c r="C874" s="779" t="s">
        <v>619</v>
      </c>
      <c r="D874" s="920"/>
      <c r="E874" s="916" t="s">
        <v>262</v>
      </c>
      <c r="F874" s="917">
        <f>F857+F872</f>
        <v>153350319.47999999</v>
      </c>
      <c r="G874" s="916"/>
      <c r="H874" s="916"/>
      <c r="I874" s="919"/>
      <c r="J874" s="917">
        <f t="shared" ref="J874:Q874" ca="1" si="298">J857+J872</f>
        <v>81993265.008044809</v>
      </c>
      <c r="K874" s="917">
        <f t="shared" ca="1" si="298"/>
        <v>1898863.4570472222</v>
      </c>
      <c r="L874" s="917">
        <f t="shared" ca="1" si="298"/>
        <v>52403532.032799482</v>
      </c>
      <c r="M874" s="917">
        <f t="shared" ca="1" si="298"/>
        <v>87630.411345973349</v>
      </c>
      <c r="N874" s="917">
        <f t="shared" ca="1" si="298"/>
        <v>13517511.935819194</v>
      </c>
      <c r="O874" s="917">
        <f ca="1">O857+O872</f>
        <v>1948611.7721711111</v>
      </c>
      <c r="P874" s="917">
        <f t="shared" ca="1" si="298"/>
        <v>45607.367065216386</v>
      </c>
      <c r="Q874" s="917">
        <f t="shared" ca="1" si="298"/>
        <v>822881.36451574264</v>
      </c>
      <c r="R874" s="917">
        <f ca="1">R857+R872</f>
        <v>133526.40605073344</v>
      </c>
      <c r="S874" s="917">
        <f ca="1">S857+S872</f>
        <v>498889.72514048906</v>
      </c>
      <c r="T874" s="919"/>
      <c r="U874" s="918">
        <f ca="1">SUM(I874:T874)</f>
        <v>153350319.47999996</v>
      </c>
      <c r="V874" s="64"/>
      <c r="W874" s="64"/>
      <c r="X874" s="305">
        <f t="shared" ca="1" si="283"/>
        <v>0</v>
      </c>
    </row>
    <row r="875" spans="1:24" ht="15" thickBot="1" x14ac:dyDescent="0.25">
      <c r="A875" s="64"/>
      <c r="B875" s="16"/>
      <c r="C875" s="1"/>
      <c r="D875" s="1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"/>
      <c r="V875" s="64"/>
      <c r="W875" s="64"/>
      <c r="X875" s="305">
        <f t="shared" si="283"/>
        <v>0</v>
      </c>
    </row>
    <row r="876" spans="1:24" ht="15" x14ac:dyDescent="0.25">
      <c r="A876" s="64"/>
      <c r="B876" s="829" t="str">
        <f>+$B$4</f>
        <v>2025 RATE CASE</v>
      </c>
      <c r="C876" s="844"/>
      <c r="D876" s="547"/>
      <c r="F876" s="11"/>
      <c r="H876" s="105"/>
      <c r="U876" s="105"/>
      <c r="V876" s="105">
        <f>$H$2</f>
        <v>0</v>
      </c>
      <c r="W876" s="105"/>
      <c r="X876" s="305"/>
    </row>
    <row r="877" spans="1:24" ht="15" x14ac:dyDescent="0.25">
      <c r="A877" s="64"/>
      <c r="B877" s="826" t="str">
        <f>+$B$5</f>
        <v>ONCOR ELECTRIC DELIVERY COMPANY LLC</v>
      </c>
      <c r="C877" s="8"/>
      <c r="D877" s="548"/>
      <c r="F877" s="11"/>
      <c r="U877" s="105"/>
      <c r="V877" s="64"/>
      <c r="W877" s="64"/>
      <c r="X877" s="305">
        <f t="shared" si="283"/>
        <v>0</v>
      </c>
    </row>
    <row r="878" spans="1:24" ht="15" x14ac:dyDescent="0.25">
      <c r="A878" s="64"/>
      <c r="B878" s="826" t="str">
        <f>+$B$6</f>
        <v>II-I-1-DIST:  CLASS REVENUE REQUIREMENT</v>
      </c>
      <c r="C878" s="82"/>
      <c r="D878" s="548"/>
      <c r="F878" s="11"/>
      <c r="U878" s="11"/>
      <c r="V878" s="64"/>
      <c r="W878" s="64"/>
      <c r="X878" s="305">
        <f t="shared" si="283"/>
        <v>0</v>
      </c>
    </row>
    <row r="879" spans="1:24" ht="15" x14ac:dyDescent="0.25">
      <c r="A879" s="64"/>
      <c r="B879" s="341" t="str">
        <f>+$B$7</f>
        <v>TEST YEAR ENDING 12/31/2024</v>
      </c>
      <c r="C879" s="82"/>
      <c r="D879" s="548"/>
      <c r="F879" s="11"/>
      <c r="U879" s="11"/>
      <c r="V879" s="64"/>
      <c r="W879" s="64"/>
      <c r="X879" s="305">
        <f t="shared" si="283"/>
        <v>0</v>
      </c>
    </row>
    <row r="880" spans="1:24" ht="15" x14ac:dyDescent="0.25">
      <c r="A880" s="64"/>
      <c r="B880" s="341" t="str">
        <f>+$B$8</f>
        <v>SPONSOR:  MATTHEW A. TROXLE</v>
      </c>
      <c r="C880" s="82"/>
      <c r="D880" s="548"/>
      <c r="F880" s="11"/>
      <c r="U880" s="11"/>
      <c r="V880" s="64"/>
      <c r="W880" s="64"/>
      <c r="X880" s="305">
        <f t="shared" si="283"/>
        <v>0</v>
      </c>
    </row>
    <row r="881" spans="1:24" ht="15.75" thickBot="1" x14ac:dyDescent="0.3">
      <c r="A881" s="64"/>
      <c r="B881" s="345"/>
      <c r="C881" s="843"/>
      <c r="D881" s="549"/>
      <c r="F881" s="11"/>
      <c r="U881" s="11"/>
      <c r="V881" s="64"/>
      <c r="W881" s="64"/>
      <c r="X881" s="305">
        <f t="shared" si="283"/>
        <v>0</v>
      </c>
    </row>
    <row r="882" spans="1:24" ht="15" thickBot="1" x14ac:dyDescent="0.25">
      <c r="A882" s="64"/>
      <c r="B882" s="12"/>
      <c r="C882" s="13"/>
      <c r="D882" s="13"/>
      <c r="E882" s="13"/>
      <c r="F882" s="12"/>
      <c r="G882" s="13"/>
      <c r="H882" s="13"/>
      <c r="I882" s="13"/>
      <c r="J882" s="177"/>
      <c r="K882" s="177"/>
      <c r="L882" s="13"/>
      <c r="M882" s="177"/>
      <c r="N882" s="177"/>
      <c r="O882" s="177"/>
      <c r="P882" s="177"/>
      <c r="Q882" s="13"/>
      <c r="R882" s="328" t="str">
        <f>R$10</f>
        <v xml:space="preserve"> </v>
      </c>
      <c r="S882" s="329"/>
      <c r="T882" s="177"/>
      <c r="U882" s="12"/>
      <c r="V882" s="64"/>
      <c r="W882" s="64"/>
      <c r="X882" s="305">
        <f t="shared" si="283"/>
        <v>0</v>
      </c>
    </row>
    <row r="883" spans="1:24" ht="15" x14ac:dyDescent="0.25">
      <c r="A883" s="64"/>
      <c r="B883" s="14" t="s">
        <v>2</v>
      </c>
      <c r="C883" s="14" t="s">
        <v>349</v>
      </c>
      <c r="D883" s="226" t="s">
        <v>620</v>
      </c>
      <c r="E883" s="14" t="s">
        <v>350</v>
      </c>
      <c r="F883" s="226" t="str">
        <f>F$11</f>
        <v>DIST</v>
      </c>
      <c r="G883" s="181" t="s">
        <v>688</v>
      </c>
      <c r="H883" s="181" t="s">
        <v>355</v>
      </c>
      <c r="I883" s="14"/>
      <c r="J883" s="181" t="s">
        <v>679</v>
      </c>
      <c r="K883" s="181" t="s">
        <v>388</v>
      </c>
      <c r="L883" s="14" t="s">
        <v>388</v>
      </c>
      <c r="M883" s="181" t="s">
        <v>389</v>
      </c>
      <c r="N883" s="181" t="s">
        <v>389</v>
      </c>
      <c r="O883" s="181" t="s">
        <v>389</v>
      </c>
      <c r="P883" s="181" t="s">
        <v>390</v>
      </c>
      <c r="Q883" s="14" t="s">
        <v>391</v>
      </c>
      <c r="R883" s="331" t="str">
        <f>R$11</f>
        <v>Wholesale</v>
      </c>
      <c r="S883" s="12" t="str">
        <f>S$11</f>
        <v>Wholesale</v>
      </c>
      <c r="T883" s="181"/>
      <c r="U883" s="14" t="s">
        <v>10</v>
      </c>
      <c r="V883" s="64"/>
      <c r="W883" s="64"/>
      <c r="X883" s="305"/>
    </row>
    <row r="884" spans="1:24" x14ac:dyDescent="0.2">
      <c r="A884" s="64"/>
      <c r="B884" s="14"/>
      <c r="C884" s="14"/>
      <c r="D884" s="14"/>
      <c r="E884" s="14"/>
      <c r="F884" s="14"/>
      <c r="G884" s="181" t="s">
        <v>689</v>
      </c>
      <c r="H884" s="181" t="s">
        <v>690</v>
      </c>
      <c r="I884" s="14"/>
      <c r="J884" s="181"/>
      <c r="K884" s="181" t="s">
        <v>680</v>
      </c>
      <c r="L884" s="14" t="s">
        <v>681</v>
      </c>
      <c r="M884" s="181" t="s">
        <v>680</v>
      </c>
      <c r="N884" s="181" t="s">
        <v>681</v>
      </c>
      <c r="O884" s="181" t="s">
        <v>393</v>
      </c>
      <c r="P884" s="181"/>
      <c r="Q884" s="14"/>
      <c r="R884" s="174" t="str">
        <f>R$12</f>
        <v>XFMR</v>
      </c>
      <c r="S884" s="14" t="str">
        <f>S$12</f>
        <v>DLS</v>
      </c>
      <c r="T884" s="181"/>
      <c r="U884" s="14"/>
      <c r="V884" s="64"/>
      <c r="W884" s="64"/>
      <c r="X884" s="305">
        <f t="shared" si="283"/>
        <v>0</v>
      </c>
    </row>
    <row r="885" spans="1:24" ht="15" thickBot="1" x14ac:dyDescent="0.25">
      <c r="A885" s="64"/>
      <c r="B885" s="15"/>
      <c r="C885" s="15"/>
      <c r="D885" s="15"/>
      <c r="E885" s="15"/>
      <c r="F885" s="15" t="s">
        <v>13</v>
      </c>
      <c r="G885" s="15" t="s">
        <v>14</v>
      </c>
      <c r="H885" s="15" t="s">
        <v>15</v>
      </c>
      <c r="I885" s="15"/>
      <c r="J885" s="182" t="str">
        <f t="shared" ref="J885:Q885" si="299">J$13</f>
        <v>(d)</v>
      </c>
      <c r="K885" s="182" t="str">
        <f t="shared" si="299"/>
        <v>(e)</v>
      </c>
      <c r="L885" s="15" t="str">
        <f t="shared" si="299"/>
        <v>(f)</v>
      </c>
      <c r="M885" s="182" t="str">
        <f t="shared" si="299"/>
        <v>(g)</v>
      </c>
      <c r="N885" s="182" t="str">
        <f t="shared" si="299"/>
        <v>(h)</v>
      </c>
      <c r="O885" s="182" t="str">
        <f>O$13</f>
        <v>(i)</v>
      </c>
      <c r="P885" s="182" t="str">
        <f t="shared" si="299"/>
        <v>(j)</v>
      </c>
      <c r="Q885" s="182" t="str">
        <f t="shared" si="299"/>
        <v>(k)</v>
      </c>
      <c r="R885" s="182" t="str">
        <f>R$13</f>
        <v>(l)</v>
      </c>
      <c r="S885" s="15" t="str">
        <f>S$13</f>
        <v>(m)</v>
      </c>
      <c r="T885" s="15"/>
      <c r="U885" s="15" t="s">
        <v>683</v>
      </c>
      <c r="V885" s="64"/>
      <c r="W885" s="64"/>
      <c r="X885" s="305"/>
    </row>
    <row r="886" spans="1:24" x14ac:dyDescent="0.2">
      <c r="A886" s="64"/>
      <c r="B886" s="64"/>
      <c r="C886" s="96"/>
      <c r="D886" s="96"/>
      <c r="E886" s="251"/>
      <c r="F886" s="308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1"/>
      <c r="V886" s="64"/>
      <c r="W886" s="64"/>
      <c r="X886" s="305">
        <f t="shared" si="283"/>
        <v>0</v>
      </c>
    </row>
    <row r="887" spans="1:24" ht="15" x14ac:dyDescent="0.25">
      <c r="A887" s="64"/>
      <c r="B887" s="16">
        <f t="shared" ref="B887:B925" si="300">B886+1</f>
        <v>1</v>
      </c>
      <c r="C887" s="8"/>
      <c r="D887" s="301" t="s">
        <v>266</v>
      </c>
      <c r="E887" s="19" t="s">
        <v>262</v>
      </c>
      <c r="F887" s="21"/>
      <c r="G887" s="19"/>
      <c r="H887" s="19"/>
      <c r="I887" s="913"/>
      <c r="J887" s="961"/>
      <c r="K887" s="961"/>
      <c r="L887" s="961"/>
      <c r="M887" s="961"/>
      <c r="N887" s="961"/>
      <c r="O887" s="961"/>
      <c r="P887" s="961"/>
      <c r="Q887" s="961"/>
      <c r="R887" s="961"/>
      <c r="S887" s="961"/>
      <c r="T887" s="19"/>
      <c r="U887" s="8"/>
      <c r="V887" s="64"/>
      <c r="W887" s="64"/>
      <c r="X887" s="305">
        <f t="shared" si="283"/>
        <v>0</v>
      </c>
    </row>
    <row r="888" spans="1:24" x14ac:dyDescent="0.2">
      <c r="A888" s="64"/>
      <c r="B888" s="16">
        <f t="shared" si="300"/>
        <v>2</v>
      </c>
      <c r="C888" s="1" t="s">
        <v>207</v>
      </c>
      <c r="D888" s="1" t="s">
        <v>208</v>
      </c>
      <c r="E888" s="16"/>
      <c r="F888" s="97">
        <f>' WP II-I-1.4'!G888</f>
        <v>0</v>
      </c>
      <c r="G888" s="16">
        <v>6</v>
      </c>
      <c r="H888" s="45" t="str">
        <f>VLOOKUP(G888,FactorTable,2)</f>
        <v>CUS W ALL</v>
      </c>
      <c r="I888" s="16"/>
      <c r="J888" s="369">
        <f t="shared" ref="J888:S889" si="301">$F888*HLOOKUP(J$1354,FactorTable,$G888+1)</f>
        <v>0</v>
      </c>
      <c r="K888" s="369">
        <f t="shared" si="301"/>
        <v>0</v>
      </c>
      <c r="L888" s="369">
        <f t="shared" si="301"/>
        <v>0</v>
      </c>
      <c r="M888" s="369">
        <f t="shared" si="301"/>
        <v>0</v>
      </c>
      <c r="N888" s="369">
        <f t="shared" si="301"/>
        <v>0</v>
      </c>
      <c r="O888" s="369">
        <f t="shared" si="301"/>
        <v>0</v>
      </c>
      <c r="P888" s="369">
        <f t="shared" si="301"/>
        <v>0</v>
      </c>
      <c r="Q888" s="369">
        <f t="shared" si="301"/>
        <v>0</v>
      </c>
      <c r="R888" s="369">
        <f t="shared" si="301"/>
        <v>0</v>
      </c>
      <c r="S888" s="369">
        <f t="shared" si="301"/>
        <v>0</v>
      </c>
      <c r="T888" s="16"/>
      <c r="U888" s="98">
        <f>SUM(I888:T888)</f>
        <v>0</v>
      </c>
      <c r="V888" s="64"/>
      <c r="W888" s="64"/>
      <c r="X888" s="305">
        <f t="shared" si="283"/>
        <v>0</v>
      </c>
    </row>
    <row r="889" spans="1:24" x14ac:dyDescent="0.2">
      <c r="A889" s="64"/>
      <c r="B889" s="16">
        <f t="shared" si="300"/>
        <v>3</v>
      </c>
      <c r="C889" s="1" t="s">
        <v>209</v>
      </c>
      <c r="D889" s="1" t="s">
        <v>210</v>
      </c>
      <c r="E889" s="16"/>
      <c r="F889" s="97">
        <f>' WP II-I-1.4'!G889</f>
        <v>0</v>
      </c>
      <c r="G889" s="16">
        <v>6</v>
      </c>
      <c r="H889" s="45" t="str">
        <f>VLOOKUP(G889,FactorTable,2)</f>
        <v>CUS W ALL</v>
      </c>
      <c r="I889" s="16"/>
      <c r="J889" s="370">
        <f t="shared" si="301"/>
        <v>0</v>
      </c>
      <c r="K889" s="370">
        <f t="shared" si="301"/>
        <v>0</v>
      </c>
      <c r="L889" s="370">
        <f t="shared" si="301"/>
        <v>0</v>
      </c>
      <c r="M889" s="370">
        <f t="shared" si="301"/>
        <v>0</v>
      </c>
      <c r="N889" s="370">
        <f t="shared" si="301"/>
        <v>0</v>
      </c>
      <c r="O889" s="370">
        <f t="shared" si="301"/>
        <v>0</v>
      </c>
      <c r="P889" s="370">
        <f t="shared" si="301"/>
        <v>0</v>
      </c>
      <c r="Q889" s="370">
        <f t="shared" si="301"/>
        <v>0</v>
      </c>
      <c r="R889" s="370">
        <f t="shared" si="301"/>
        <v>0</v>
      </c>
      <c r="S889" s="370">
        <f t="shared" si="301"/>
        <v>0</v>
      </c>
      <c r="T889" s="16"/>
      <c r="U889" s="98">
        <f>SUM(I889:T889)</f>
        <v>0</v>
      </c>
      <c r="V889" s="64"/>
      <c r="W889" s="64"/>
      <c r="X889" s="305">
        <f t="shared" si="283"/>
        <v>0</v>
      </c>
    </row>
    <row r="890" spans="1:24" ht="15" x14ac:dyDescent="0.25">
      <c r="A890" s="64"/>
      <c r="B890" s="16">
        <f t="shared" si="300"/>
        <v>4</v>
      </c>
      <c r="C890" s="8"/>
      <c r="D890" s="24" t="s">
        <v>598</v>
      </c>
      <c r="E890" s="19"/>
      <c r="F890" s="21">
        <f>+F888+F889</f>
        <v>0</v>
      </c>
      <c r="G890" s="19"/>
      <c r="H890" s="19"/>
      <c r="I890" s="913"/>
      <c r="J890" s="805">
        <f t="shared" ref="J890:Q890" si="302">+J888+J889</f>
        <v>0</v>
      </c>
      <c r="K890" s="805">
        <f t="shared" si="302"/>
        <v>0</v>
      </c>
      <c r="L890" s="805">
        <f t="shared" si="302"/>
        <v>0</v>
      </c>
      <c r="M890" s="805">
        <f t="shared" si="302"/>
        <v>0</v>
      </c>
      <c r="N890" s="805">
        <f t="shared" si="302"/>
        <v>0</v>
      </c>
      <c r="O890" s="805">
        <f>+O888+O889</f>
        <v>0</v>
      </c>
      <c r="P890" s="805">
        <f t="shared" si="302"/>
        <v>0</v>
      </c>
      <c r="Q890" s="805">
        <f t="shared" si="302"/>
        <v>0</v>
      </c>
      <c r="R890" s="805">
        <f>+R888+R889</f>
        <v>0</v>
      </c>
      <c r="S890" s="805">
        <f>+S888+S889</f>
        <v>0</v>
      </c>
      <c r="T890" s="19"/>
      <c r="U890" s="235">
        <f>SUM(I890:T890)</f>
        <v>0</v>
      </c>
      <c r="V890" s="64"/>
      <c r="W890" s="64"/>
      <c r="X890" s="305">
        <f t="shared" si="283"/>
        <v>0</v>
      </c>
    </row>
    <row r="891" spans="1:24" ht="15" x14ac:dyDescent="0.25">
      <c r="A891" s="64"/>
      <c r="B891" s="16">
        <f t="shared" si="300"/>
        <v>5</v>
      </c>
      <c r="C891" s="1"/>
      <c r="D891" s="24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"/>
      <c r="V891" s="64"/>
      <c r="W891" s="64"/>
      <c r="X891" s="305">
        <f t="shared" si="283"/>
        <v>0</v>
      </c>
    </row>
    <row r="892" spans="1:24" x14ac:dyDescent="0.2">
      <c r="A892" s="64"/>
      <c r="B892" s="16">
        <f t="shared" si="300"/>
        <v>6</v>
      </c>
      <c r="C892" s="1" t="s">
        <v>205</v>
      </c>
      <c r="D892" s="1" t="s">
        <v>206</v>
      </c>
      <c r="E892" s="16"/>
      <c r="F892" s="97">
        <f>' WP II-I-1.4'!G892</f>
        <v>107858</v>
      </c>
      <c r="G892" s="16">
        <v>6</v>
      </c>
      <c r="H892" s="45" t="str">
        <f>VLOOKUP(G892,FactorTable,2)</f>
        <v>CUS W ALL</v>
      </c>
      <c r="I892" s="16"/>
      <c r="J892" s="369">
        <f t="shared" ref="J892:S894" si="303">$F892*HLOOKUP(J$1354,FactorTable,$G892+1)</f>
        <v>56306.564964207057</v>
      </c>
      <c r="K892" s="369">
        <f t="shared" si="303"/>
        <v>7898.9709464186153</v>
      </c>
      <c r="L892" s="369">
        <f t="shared" si="303"/>
        <v>31064.088658936325</v>
      </c>
      <c r="M892" s="369">
        <f t="shared" si="303"/>
        <v>1308.1725759207402</v>
      </c>
      <c r="N892" s="369">
        <f t="shared" si="303"/>
        <v>10073.619418296646</v>
      </c>
      <c r="O892" s="369">
        <f t="shared" si="303"/>
        <v>330.53759916511694</v>
      </c>
      <c r="P892" s="369">
        <f t="shared" si="303"/>
        <v>689.46493077386378</v>
      </c>
      <c r="Q892" s="369">
        <f t="shared" si="303"/>
        <v>57.416615195700857</v>
      </c>
      <c r="R892" s="369">
        <f t="shared" si="303"/>
        <v>36.501084570381025</v>
      </c>
      <c r="S892" s="369">
        <f t="shared" si="303"/>
        <v>92.663206515539358</v>
      </c>
      <c r="T892" s="16"/>
      <c r="U892" s="97">
        <f>SUM(I892:T892)</f>
        <v>107857.99999999999</v>
      </c>
      <c r="V892" s="64"/>
      <c r="W892" s="64"/>
      <c r="X892" s="305">
        <f t="shared" si="283"/>
        <v>0</v>
      </c>
    </row>
    <row r="893" spans="1:24" x14ac:dyDescent="0.2">
      <c r="A893" s="64"/>
      <c r="B893" s="16">
        <f t="shared" si="300"/>
        <v>7</v>
      </c>
      <c r="C893" s="1" t="s">
        <v>211</v>
      </c>
      <c r="D893" s="1" t="s">
        <v>212</v>
      </c>
      <c r="E893" s="16"/>
      <c r="F893" s="97">
        <f>' WP II-I-1.4'!G893</f>
        <v>0</v>
      </c>
      <c r="G893" s="16">
        <v>14</v>
      </c>
      <c r="H893" s="45" t="str">
        <f>VLOOKUP(G893,FactorTable,2)</f>
        <v>REVENUE</v>
      </c>
      <c r="I893" s="16"/>
      <c r="J893" s="369">
        <f t="shared" si="303"/>
        <v>0</v>
      </c>
      <c r="K893" s="369">
        <f t="shared" si="303"/>
        <v>0</v>
      </c>
      <c r="L893" s="369">
        <f t="shared" si="303"/>
        <v>0</v>
      </c>
      <c r="M893" s="369">
        <f t="shared" si="303"/>
        <v>0</v>
      </c>
      <c r="N893" s="369">
        <f t="shared" si="303"/>
        <v>0</v>
      </c>
      <c r="O893" s="369">
        <f t="shared" si="303"/>
        <v>0</v>
      </c>
      <c r="P893" s="369">
        <f t="shared" si="303"/>
        <v>0</v>
      </c>
      <c r="Q893" s="369">
        <f t="shared" si="303"/>
        <v>0</v>
      </c>
      <c r="R893" s="369">
        <f t="shared" si="303"/>
        <v>0</v>
      </c>
      <c r="S893" s="369">
        <f t="shared" si="303"/>
        <v>0</v>
      </c>
      <c r="T893" s="16"/>
      <c r="U893" s="97">
        <f>SUM(I893:T893)</f>
        <v>0</v>
      </c>
      <c r="V893" s="64"/>
      <c r="W893" s="64"/>
      <c r="X893" s="305">
        <f t="shared" si="283"/>
        <v>0</v>
      </c>
    </row>
    <row r="894" spans="1:24" x14ac:dyDescent="0.2">
      <c r="A894" s="64"/>
      <c r="B894" s="16">
        <f t="shared" si="300"/>
        <v>8</v>
      </c>
      <c r="C894" s="1" t="s">
        <v>213</v>
      </c>
      <c r="D894" s="29" t="s">
        <v>214</v>
      </c>
      <c r="E894" s="16"/>
      <c r="F894" s="97">
        <f>' WP II-I-1.4'!G894</f>
        <v>0</v>
      </c>
      <c r="G894" s="16">
        <v>84</v>
      </c>
      <c r="H894" s="45" t="str">
        <f>VLOOKUP(G894,FactorTable,2)</f>
        <v>PAY CUS ACCT</v>
      </c>
      <c r="I894" s="16"/>
      <c r="J894" s="370">
        <f t="shared" si="303"/>
        <v>0</v>
      </c>
      <c r="K894" s="370">
        <f t="shared" si="303"/>
        <v>0</v>
      </c>
      <c r="L894" s="370">
        <f t="shared" si="303"/>
        <v>0</v>
      </c>
      <c r="M894" s="370">
        <f t="shared" si="303"/>
        <v>0</v>
      </c>
      <c r="N894" s="370">
        <f t="shared" si="303"/>
        <v>0</v>
      </c>
      <c r="O894" s="370">
        <f t="shared" si="303"/>
        <v>0</v>
      </c>
      <c r="P894" s="370">
        <f t="shared" si="303"/>
        <v>0</v>
      </c>
      <c r="Q894" s="370">
        <f t="shared" si="303"/>
        <v>0</v>
      </c>
      <c r="R894" s="370">
        <f t="shared" si="303"/>
        <v>0</v>
      </c>
      <c r="S894" s="370">
        <f t="shared" si="303"/>
        <v>0</v>
      </c>
      <c r="T894" s="16"/>
      <c r="U894" s="97">
        <f>SUM(I894:T894)</f>
        <v>0</v>
      </c>
      <c r="V894" s="64"/>
      <c r="W894" s="64"/>
      <c r="X894" s="305">
        <f t="shared" si="283"/>
        <v>0</v>
      </c>
    </row>
    <row r="895" spans="1:24" ht="15" x14ac:dyDescent="0.25">
      <c r="A895" s="64"/>
      <c r="B895" s="16">
        <f t="shared" si="300"/>
        <v>9</v>
      </c>
      <c r="C895" s="8"/>
      <c r="D895" s="24" t="s">
        <v>621</v>
      </c>
      <c r="E895" s="19"/>
      <c r="F895" s="21">
        <f>SUM(F892:F894)</f>
        <v>107858</v>
      </c>
      <c r="G895" s="19"/>
      <c r="H895" s="19"/>
      <c r="I895" s="913"/>
      <c r="J895" s="805">
        <f t="shared" ref="J895:Q895" si="304">SUM(J892:J894)</f>
        <v>56306.564964207057</v>
      </c>
      <c r="K895" s="805">
        <f t="shared" si="304"/>
        <v>7898.9709464186153</v>
      </c>
      <c r="L895" s="805">
        <f t="shared" si="304"/>
        <v>31064.088658936325</v>
      </c>
      <c r="M895" s="805">
        <f t="shared" si="304"/>
        <v>1308.1725759207402</v>
      </c>
      <c r="N895" s="805">
        <f t="shared" si="304"/>
        <v>10073.619418296646</v>
      </c>
      <c r="O895" s="805">
        <f>SUM(O892:O894)</f>
        <v>330.53759916511694</v>
      </c>
      <c r="P895" s="805">
        <f t="shared" si="304"/>
        <v>689.46493077386378</v>
      </c>
      <c r="Q895" s="805">
        <f t="shared" si="304"/>
        <v>57.416615195700857</v>
      </c>
      <c r="R895" s="805">
        <f>SUM(R892:R894)</f>
        <v>36.501084570381025</v>
      </c>
      <c r="S895" s="805">
        <f>SUM(S892:S894)</f>
        <v>92.663206515539358</v>
      </c>
      <c r="T895" s="19"/>
      <c r="U895" s="235">
        <f>SUM(I895:T895)</f>
        <v>107857.99999999999</v>
      </c>
      <c r="V895" s="64"/>
      <c r="W895" s="64"/>
      <c r="X895" s="305">
        <f t="shared" si="283"/>
        <v>0</v>
      </c>
    </row>
    <row r="896" spans="1:24" ht="15" x14ac:dyDescent="0.25">
      <c r="A896" s="64"/>
      <c r="B896" s="16">
        <f t="shared" si="300"/>
        <v>10</v>
      </c>
      <c r="C896" s="1"/>
      <c r="D896" s="24"/>
      <c r="E896" s="16"/>
      <c r="F896" s="18"/>
      <c r="G896" s="16"/>
      <c r="H896" s="16"/>
      <c r="I896" s="1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6"/>
      <c r="U896" s="1"/>
      <c r="V896" s="64"/>
      <c r="W896" s="64"/>
      <c r="X896" s="305">
        <f t="shared" si="283"/>
        <v>0</v>
      </c>
    </row>
    <row r="897" spans="1:24" ht="15" x14ac:dyDescent="0.25">
      <c r="A897" s="64"/>
      <c r="B897" s="16">
        <f t="shared" si="300"/>
        <v>11</v>
      </c>
      <c r="C897" s="8"/>
      <c r="D897" s="233" t="s">
        <v>622</v>
      </c>
      <c r="E897" s="19"/>
      <c r="F897" s="21">
        <f>+F890+F895</f>
        <v>107858</v>
      </c>
      <c r="G897" s="19"/>
      <c r="H897" s="19"/>
      <c r="I897" s="913"/>
      <c r="J897" s="805">
        <f t="shared" ref="J897:Q897" si="305">+J890+J895</f>
        <v>56306.564964207057</v>
      </c>
      <c r="K897" s="805">
        <f t="shared" si="305"/>
        <v>7898.9709464186153</v>
      </c>
      <c r="L897" s="805">
        <f t="shared" si="305"/>
        <v>31064.088658936325</v>
      </c>
      <c r="M897" s="805">
        <f t="shared" si="305"/>
        <v>1308.1725759207402</v>
      </c>
      <c r="N897" s="805">
        <f t="shared" si="305"/>
        <v>10073.619418296646</v>
      </c>
      <c r="O897" s="805">
        <f>+O890+O895</f>
        <v>330.53759916511694</v>
      </c>
      <c r="P897" s="805">
        <f t="shared" si="305"/>
        <v>689.46493077386378</v>
      </c>
      <c r="Q897" s="805">
        <f t="shared" si="305"/>
        <v>57.416615195700857</v>
      </c>
      <c r="R897" s="805">
        <f>+R890+R895</f>
        <v>36.501084570381025</v>
      </c>
      <c r="S897" s="805">
        <f>+S890+S895</f>
        <v>92.663206515539358</v>
      </c>
      <c r="T897" s="19"/>
      <c r="U897" s="235">
        <f>SUM(I897:T897)</f>
        <v>107857.99999999999</v>
      </c>
      <c r="V897" s="64"/>
      <c r="W897" s="64"/>
      <c r="X897" s="305">
        <f t="shared" si="283"/>
        <v>0</v>
      </c>
    </row>
    <row r="898" spans="1:24" x14ac:dyDescent="0.2">
      <c r="A898" s="64"/>
      <c r="B898" s="16">
        <f t="shared" si="300"/>
        <v>12</v>
      </c>
      <c r="C898" s="1"/>
      <c r="D898" s="1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"/>
      <c r="V898" s="64"/>
      <c r="W898" s="64"/>
      <c r="X898" s="305">
        <f t="shared" ref="X898:X961" si="306">U898-F898</f>
        <v>0</v>
      </c>
    </row>
    <row r="899" spans="1:24" ht="15" x14ac:dyDescent="0.25">
      <c r="A899" s="64"/>
      <c r="B899" s="16">
        <f t="shared" si="300"/>
        <v>13</v>
      </c>
      <c r="C899" s="8"/>
      <c r="D899" s="301" t="s">
        <v>623</v>
      </c>
      <c r="E899" s="19" t="s">
        <v>262</v>
      </c>
      <c r="F899" s="21"/>
      <c r="G899" s="19"/>
      <c r="H899" s="19"/>
      <c r="I899" s="913"/>
      <c r="J899" s="961"/>
      <c r="K899" s="961"/>
      <c r="L899" s="961"/>
      <c r="M899" s="961"/>
      <c r="N899" s="961"/>
      <c r="O899" s="961"/>
      <c r="P899" s="961"/>
      <c r="Q899" s="961"/>
      <c r="R899" s="961"/>
      <c r="S899" s="961"/>
      <c r="T899" s="913"/>
      <c r="U899" s="8"/>
      <c r="V899" s="64"/>
      <c r="W899" s="64"/>
      <c r="X899" s="305">
        <f t="shared" si="306"/>
        <v>0</v>
      </c>
    </row>
    <row r="900" spans="1:24" x14ac:dyDescent="0.2">
      <c r="A900" s="64"/>
      <c r="B900" s="16">
        <f t="shared" si="300"/>
        <v>14</v>
      </c>
      <c r="C900" s="1" t="s">
        <v>216</v>
      </c>
      <c r="D900" s="1" t="s">
        <v>217</v>
      </c>
      <c r="E900" s="16"/>
      <c r="F900" s="97">
        <f>' WP II-I-1.4'!G900</f>
        <v>0</v>
      </c>
      <c r="G900" s="16">
        <v>9</v>
      </c>
      <c r="H900" s="45" t="str">
        <f>VLOOKUP(G900,FactorTable,2)</f>
        <v>CUS U ALL</v>
      </c>
      <c r="I900" s="16"/>
      <c r="J900" s="369">
        <f t="shared" ref="J900:S902" si="307">$F900*HLOOKUP(J$1354,FactorTable,$G900+1)</f>
        <v>0</v>
      </c>
      <c r="K900" s="369">
        <f t="shared" si="307"/>
        <v>0</v>
      </c>
      <c r="L900" s="369">
        <f t="shared" si="307"/>
        <v>0</v>
      </c>
      <c r="M900" s="369">
        <f t="shared" si="307"/>
        <v>0</v>
      </c>
      <c r="N900" s="369">
        <f t="shared" si="307"/>
        <v>0</v>
      </c>
      <c r="O900" s="369">
        <f t="shared" si="307"/>
        <v>0</v>
      </c>
      <c r="P900" s="369">
        <f t="shared" si="307"/>
        <v>0</v>
      </c>
      <c r="Q900" s="369">
        <f t="shared" si="307"/>
        <v>0</v>
      </c>
      <c r="R900" s="369">
        <f t="shared" si="307"/>
        <v>0</v>
      </c>
      <c r="S900" s="369">
        <f t="shared" si="307"/>
        <v>0</v>
      </c>
      <c r="T900" s="16"/>
      <c r="U900" s="97">
        <f>SUM(I900:T900)</f>
        <v>0</v>
      </c>
      <c r="V900" s="64"/>
      <c r="W900" s="64"/>
      <c r="X900" s="305">
        <f t="shared" si="306"/>
        <v>0</v>
      </c>
    </row>
    <row r="901" spans="1:24" x14ac:dyDescent="0.2">
      <c r="A901" s="64"/>
      <c r="B901" s="16">
        <f t="shared" si="300"/>
        <v>15</v>
      </c>
      <c r="C901" s="1" t="s">
        <v>219</v>
      </c>
      <c r="D901" s="29" t="s">
        <v>220</v>
      </c>
      <c r="E901" s="16"/>
      <c r="F901" s="97">
        <f>' WP II-I-1.4'!G901</f>
        <v>0</v>
      </c>
      <c r="G901" s="16">
        <v>9</v>
      </c>
      <c r="H901" s="45" t="str">
        <f>VLOOKUP(G901,FactorTable,2)</f>
        <v>CUS U ALL</v>
      </c>
      <c r="I901" s="16"/>
      <c r="J901" s="369">
        <f t="shared" si="307"/>
        <v>0</v>
      </c>
      <c r="K901" s="369">
        <f t="shared" si="307"/>
        <v>0</v>
      </c>
      <c r="L901" s="369">
        <f t="shared" si="307"/>
        <v>0</v>
      </c>
      <c r="M901" s="369">
        <f t="shared" si="307"/>
        <v>0</v>
      </c>
      <c r="N901" s="369">
        <f t="shared" si="307"/>
        <v>0</v>
      </c>
      <c r="O901" s="369">
        <f t="shared" si="307"/>
        <v>0</v>
      </c>
      <c r="P901" s="369">
        <f t="shared" si="307"/>
        <v>0</v>
      </c>
      <c r="Q901" s="369">
        <f t="shared" si="307"/>
        <v>0</v>
      </c>
      <c r="R901" s="369">
        <f t="shared" si="307"/>
        <v>0</v>
      </c>
      <c r="S901" s="369">
        <f t="shared" si="307"/>
        <v>0</v>
      </c>
      <c r="T901" s="16"/>
      <c r="U901" s="97">
        <f>SUM(I901:T901)</f>
        <v>0</v>
      </c>
      <c r="V901" s="64"/>
      <c r="W901" s="64"/>
      <c r="X901" s="305">
        <f t="shared" si="306"/>
        <v>0</v>
      </c>
    </row>
    <row r="902" spans="1:24" x14ac:dyDescent="0.2">
      <c r="A902" s="64"/>
      <c r="B902" s="16">
        <f t="shared" si="300"/>
        <v>16</v>
      </c>
      <c r="C902" s="1" t="s">
        <v>221</v>
      </c>
      <c r="D902" s="1" t="s">
        <v>222</v>
      </c>
      <c r="E902" s="16"/>
      <c r="F902" s="97">
        <f>' WP II-I-1.4'!G902</f>
        <v>0</v>
      </c>
      <c r="G902" s="16">
        <v>9</v>
      </c>
      <c r="H902" s="45" t="str">
        <f>VLOOKUP(G902,FactorTable,2)</f>
        <v>CUS U ALL</v>
      </c>
      <c r="I902" s="16"/>
      <c r="J902" s="370">
        <f t="shared" si="307"/>
        <v>0</v>
      </c>
      <c r="K902" s="370">
        <f t="shared" si="307"/>
        <v>0</v>
      </c>
      <c r="L902" s="370">
        <f t="shared" si="307"/>
        <v>0</v>
      </c>
      <c r="M902" s="370">
        <f t="shared" si="307"/>
        <v>0</v>
      </c>
      <c r="N902" s="370">
        <f t="shared" si="307"/>
        <v>0</v>
      </c>
      <c r="O902" s="370">
        <f t="shared" si="307"/>
        <v>0</v>
      </c>
      <c r="P902" s="370">
        <f t="shared" si="307"/>
        <v>0</v>
      </c>
      <c r="Q902" s="370">
        <f t="shared" si="307"/>
        <v>0</v>
      </c>
      <c r="R902" s="370">
        <f t="shared" si="307"/>
        <v>0</v>
      </c>
      <c r="S902" s="370">
        <f t="shared" si="307"/>
        <v>0</v>
      </c>
      <c r="T902" s="16"/>
      <c r="U902" s="97">
        <f>SUM(I902:T902)</f>
        <v>0</v>
      </c>
      <c r="V902" s="64"/>
      <c r="W902" s="64"/>
      <c r="X902" s="305">
        <f t="shared" si="306"/>
        <v>0</v>
      </c>
    </row>
    <row r="903" spans="1:24" ht="15" x14ac:dyDescent="0.25">
      <c r="A903" s="64"/>
      <c r="B903" s="16">
        <f t="shared" si="300"/>
        <v>17</v>
      </c>
      <c r="C903" s="8"/>
      <c r="D903" s="24" t="s">
        <v>624</v>
      </c>
      <c r="E903" s="19"/>
      <c r="F903" s="21">
        <f>SUM(F900:F902)</f>
        <v>0</v>
      </c>
      <c r="G903" s="19"/>
      <c r="H903" s="19"/>
      <c r="I903" s="913"/>
      <c r="J903" s="805">
        <f t="shared" ref="J903:Q903" si="308">SUM(J900:J902)</f>
        <v>0</v>
      </c>
      <c r="K903" s="805">
        <f t="shared" si="308"/>
        <v>0</v>
      </c>
      <c r="L903" s="805">
        <f t="shared" si="308"/>
        <v>0</v>
      </c>
      <c r="M903" s="805">
        <f t="shared" si="308"/>
        <v>0</v>
      </c>
      <c r="N903" s="805">
        <f t="shared" si="308"/>
        <v>0</v>
      </c>
      <c r="O903" s="805">
        <f>SUM(O900:O902)</f>
        <v>0</v>
      </c>
      <c r="P903" s="805">
        <f t="shared" si="308"/>
        <v>0</v>
      </c>
      <c r="Q903" s="805">
        <f t="shared" si="308"/>
        <v>0</v>
      </c>
      <c r="R903" s="805">
        <f>SUM(R900:R902)</f>
        <v>0</v>
      </c>
      <c r="S903" s="805">
        <f>SUM(S900:S902)</f>
        <v>0</v>
      </c>
      <c r="T903" s="19"/>
      <c r="U903" s="235">
        <f>SUM(I903:T903)</f>
        <v>0</v>
      </c>
      <c r="V903" s="64"/>
      <c r="W903" s="64"/>
      <c r="X903" s="305">
        <f t="shared" si="306"/>
        <v>0</v>
      </c>
    </row>
    <row r="904" spans="1:24" x14ac:dyDescent="0.2">
      <c r="A904" s="64"/>
      <c r="B904" s="16">
        <f t="shared" si="300"/>
        <v>18</v>
      </c>
      <c r="C904" s="1"/>
      <c r="D904" s="1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"/>
      <c r="V904" s="64"/>
      <c r="W904" s="64"/>
      <c r="X904" s="305">
        <f t="shared" si="306"/>
        <v>0</v>
      </c>
    </row>
    <row r="905" spans="1:24" x14ac:dyDescent="0.2">
      <c r="A905" s="64"/>
      <c r="B905" s="16">
        <f t="shared" si="300"/>
        <v>19</v>
      </c>
      <c r="C905" s="1" t="s">
        <v>218</v>
      </c>
      <c r="D905" s="1" t="s">
        <v>206</v>
      </c>
      <c r="E905" s="16"/>
      <c r="F905" s="97">
        <f>' WP II-I-1.4'!G905</f>
        <v>0</v>
      </c>
      <c r="G905" s="16">
        <v>85</v>
      </c>
      <c r="H905" s="45" t="str">
        <f>VLOOKUP(G905,FactorTable,2)</f>
        <v>PAY CUS SV INF</v>
      </c>
      <c r="I905" s="16"/>
      <c r="J905" s="369">
        <f t="shared" ref="J905:S906" si="309">$F905*HLOOKUP(J$1354,FactorTable,$G905+1)</f>
        <v>0</v>
      </c>
      <c r="K905" s="369">
        <f t="shared" si="309"/>
        <v>0</v>
      </c>
      <c r="L905" s="369">
        <f t="shared" si="309"/>
        <v>0</v>
      </c>
      <c r="M905" s="369">
        <f t="shared" si="309"/>
        <v>0</v>
      </c>
      <c r="N905" s="369">
        <f t="shared" si="309"/>
        <v>0</v>
      </c>
      <c r="O905" s="369">
        <f t="shared" si="309"/>
        <v>0</v>
      </c>
      <c r="P905" s="369">
        <f t="shared" si="309"/>
        <v>0</v>
      </c>
      <c r="Q905" s="369">
        <f t="shared" si="309"/>
        <v>0</v>
      </c>
      <c r="R905" s="369">
        <f t="shared" si="309"/>
        <v>0</v>
      </c>
      <c r="S905" s="369">
        <f t="shared" si="309"/>
        <v>0</v>
      </c>
      <c r="T905" s="16"/>
      <c r="U905" s="97">
        <f>SUM(I905:T905)</f>
        <v>0</v>
      </c>
      <c r="V905" s="64"/>
      <c r="W905" s="64"/>
      <c r="X905" s="305">
        <f t="shared" si="306"/>
        <v>0</v>
      </c>
    </row>
    <row r="906" spans="1:24" x14ac:dyDescent="0.2">
      <c r="A906" s="64"/>
      <c r="B906" s="16">
        <f t="shared" si="300"/>
        <v>20</v>
      </c>
      <c r="C906" s="1" t="s">
        <v>223</v>
      </c>
      <c r="D906" s="1" t="s">
        <v>625</v>
      </c>
      <c r="E906" s="16"/>
      <c r="F906" s="97">
        <f>' WP II-I-1.4'!G906</f>
        <v>0</v>
      </c>
      <c r="G906" s="16">
        <v>85</v>
      </c>
      <c r="H906" s="45" t="str">
        <f>VLOOKUP(G906,FactorTable,2)</f>
        <v>PAY CUS SV INF</v>
      </c>
      <c r="I906" s="16"/>
      <c r="J906" s="370">
        <f t="shared" si="309"/>
        <v>0</v>
      </c>
      <c r="K906" s="370">
        <f t="shared" si="309"/>
        <v>0</v>
      </c>
      <c r="L906" s="370">
        <f t="shared" si="309"/>
        <v>0</v>
      </c>
      <c r="M906" s="370">
        <f t="shared" si="309"/>
        <v>0</v>
      </c>
      <c r="N906" s="370">
        <f t="shared" si="309"/>
        <v>0</v>
      </c>
      <c r="O906" s="370">
        <f t="shared" si="309"/>
        <v>0</v>
      </c>
      <c r="P906" s="370">
        <f t="shared" si="309"/>
        <v>0</v>
      </c>
      <c r="Q906" s="370">
        <f t="shared" si="309"/>
        <v>0</v>
      </c>
      <c r="R906" s="370">
        <f t="shared" si="309"/>
        <v>0</v>
      </c>
      <c r="S906" s="370">
        <f t="shared" si="309"/>
        <v>0</v>
      </c>
      <c r="T906" s="16"/>
      <c r="U906" s="97">
        <f>SUM(I906:T906)</f>
        <v>0</v>
      </c>
      <c r="V906" s="64"/>
      <c r="W906" s="64"/>
      <c r="X906" s="305">
        <f t="shared" si="306"/>
        <v>0</v>
      </c>
    </row>
    <row r="907" spans="1:24" ht="15" x14ac:dyDescent="0.25">
      <c r="A907" s="64"/>
      <c r="B907" s="16">
        <f t="shared" si="300"/>
        <v>21</v>
      </c>
      <c r="C907" s="8"/>
      <c r="D907" s="24" t="s">
        <v>626</v>
      </c>
      <c r="E907" s="19"/>
      <c r="F907" s="21">
        <f>SUM(F905:F906)</f>
        <v>0</v>
      </c>
      <c r="G907" s="19"/>
      <c r="H907" s="19"/>
      <c r="I907" s="913"/>
      <c r="J907" s="805">
        <f t="shared" ref="J907:Q907" si="310">SUM(J905:J906)</f>
        <v>0</v>
      </c>
      <c r="K907" s="805">
        <f t="shared" si="310"/>
        <v>0</v>
      </c>
      <c r="L907" s="805">
        <f t="shared" si="310"/>
        <v>0</v>
      </c>
      <c r="M907" s="805">
        <f t="shared" si="310"/>
        <v>0</v>
      </c>
      <c r="N907" s="805">
        <f t="shared" si="310"/>
        <v>0</v>
      </c>
      <c r="O907" s="805">
        <f>SUM(O905:O906)</f>
        <v>0</v>
      </c>
      <c r="P907" s="805">
        <f t="shared" si="310"/>
        <v>0</v>
      </c>
      <c r="Q907" s="805">
        <f t="shared" si="310"/>
        <v>0</v>
      </c>
      <c r="R907" s="805">
        <f>SUM(R905:R906)</f>
        <v>0</v>
      </c>
      <c r="S907" s="805">
        <f>SUM(S905:S906)</f>
        <v>0</v>
      </c>
      <c r="T907" s="19"/>
      <c r="U907" s="235">
        <f>SUM(I907:T907)</f>
        <v>0</v>
      </c>
      <c r="V907" s="64"/>
      <c r="W907" s="64"/>
      <c r="X907" s="305">
        <f t="shared" si="306"/>
        <v>0</v>
      </c>
    </row>
    <row r="908" spans="1:24" x14ac:dyDescent="0.2">
      <c r="A908" s="64"/>
      <c r="B908" s="16">
        <f t="shared" si="300"/>
        <v>22</v>
      </c>
      <c r="C908" s="1"/>
      <c r="D908" s="1"/>
      <c r="E908" s="16"/>
      <c r="F908" s="18"/>
      <c r="G908" s="16"/>
      <c r="H908" s="16"/>
      <c r="I908" s="1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6"/>
      <c r="U908" s="1"/>
      <c r="V908" s="64"/>
      <c r="W908" s="64"/>
      <c r="X908" s="305">
        <f t="shared" si="306"/>
        <v>0</v>
      </c>
    </row>
    <row r="909" spans="1:24" ht="15" x14ac:dyDescent="0.25">
      <c r="A909" s="64"/>
      <c r="B909" s="16">
        <f t="shared" si="300"/>
        <v>23</v>
      </c>
      <c r="C909" s="8"/>
      <c r="D909" s="233" t="s">
        <v>627</v>
      </c>
      <c r="E909" s="19"/>
      <c r="F909" s="21">
        <f>+F907+F903</f>
        <v>0</v>
      </c>
      <c r="G909" s="19"/>
      <c r="H909" s="19"/>
      <c r="I909" s="913"/>
      <c r="J909" s="805">
        <f t="shared" ref="J909:Q909" si="311">+J907+J903</f>
        <v>0</v>
      </c>
      <c r="K909" s="805">
        <f t="shared" si="311"/>
        <v>0</v>
      </c>
      <c r="L909" s="805">
        <f t="shared" si="311"/>
        <v>0</v>
      </c>
      <c r="M909" s="805">
        <f t="shared" si="311"/>
        <v>0</v>
      </c>
      <c r="N909" s="805">
        <f t="shared" si="311"/>
        <v>0</v>
      </c>
      <c r="O909" s="805">
        <f>+O907+O903</f>
        <v>0</v>
      </c>
      <c r="P909" s="805">
        <f t="shared" si="311"/>
        <v>0</v>
      </c>
      <c r="Q909" s="805">
        <f t="shared" si="311"/>
        <v>0</v>
      </c>
      <c r="R909" s="805">
        <f>+R907+R903</f>
        <v>0</v>
      </c>
      <c r="S909" s="805">
        <f>+S907+S903</f>
        <v>0</v>
      </c>
      <c r="T909" s="19"/>
      <c r="U909" s="235">
        <f>SUM(I909:T909)</f>
        <v>0</v>
      </c>
      <c r="V909" s="64"/>
      <c r="W909" s="64"/>
      <c r="X909" s="305">
        <f t="shared" si="306"/>
        <v>0</v>
      </c>
    </row>
    <row r="910" spans="1:24" x14ac:dyDescent="0.2">
      <c r="A910" s="64"/>
      <c r="B910" s="16">
        <f t="shared" si="300"/>
        <v>24</v>
      </c>
      <c r="C910" s="1"/>
      <c r="D910" s="1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"/>
      <c r="V910" s="64"/>
      <c r="W910" s="64"/>
      <c r="X910" s="305">
        <f t="shared" si="306"/>
        <v>0</v>
      </c>
    </row>
    <row r="911" spans="1:24" ht="15" x14ac:dyDescent="0.25">
      <c r="A911" s="64"/>
      <c r="B911" s="16">
        <f t="shared" si="300"/>
        <v>25</v>
      </c>
      <c r="C911" s="8"/>
      <c r="D911" s="303" t="s">
        <v>268</v>
      </c>
      <c r="E911" s="19" t="s">
        <v>262</v>
      </c>
      <c r="F911" s="21"/>
      <c r="G911" s="19"/>
      <c r="H911" s="19"/>
      <c r="I911" s="913"/>
      <c r="J911" s="961"/>
      <c r="K911" s="961"/>
      <c r="L911" s="961"/>
      <c r="M911" s="961"/>
      <c r="N911" s="961"/>
      <c r="O911" s="961"/>
      <c r="P911" s="961"/>
      <c r="Q911" s="961"/>
      <c r="R911" s="961"/>
      <c r="S911" s="961"/>
      <c r="T911" s="19"/>
      <c r="U911" s="8"/>
      <c r="V911" s="64"/>
      <c r="W911" s="64"/>
      <c r="X911" s="305">
        <f t="shared" si="306"/>
        <v>0</v>
      </c>
    </row>
    <row r="912" spans="1:24" x14ac:dyDescent="0.2">
      <c r="A912" s="64"/>
      <c r="B912" s="16">
        <f t="shared" si="300"/>
        <v>26</v>
      </c>
      <c r="C912" s="1" t="s">
        <v>227</v>
      </c>
      <c r="D912" s="49" t="s">
        <v>628</v>
      </c>
      <c r="E912" s="16"/>
      <c r="F912" s="97">
        <f>' WP II-I-1.4'!G912</f>
        <v>0</v>
      </c>
      <c r="G912" s="16">
        <v>9</v>
      </c>
      <c r="H912" s="45" t="str">
        <f>VLOOKUP(G912,FactorTable,2)</f>
        <v>CUS U ALL</v>
      </c>
      <c r="I912" s="16"/>
      <c r="J912" s="369">
        <f t="shared" ref="J912:S914" si="312">$F912*HLOOKUP(J$1354,FactorTable,$G912+1)</f>
        <v>0</v>
      </c>
      <c r="K912" s="369">
        <f t="shared" si="312"/>
        <v>0</v>
      </c>
      <c r="L912" s="369">
        <f t="shared" si="312"/>
        <v>0</v>
      </c>
      <c r="M912" s="369">
        <f t="shared" si="312"/>
        <v>0</v>
      </c>
      <c r="N912" s="369">
        <f t="shared" si="312"/>
        <v>0</v>
      </c>
      <c r="O912" s="369">
        <f t="shared" si="312"/>
        <v>0</v>
      </c>
      <c r="P912" s="369">
        <f t="shared" si="312"/>
        <v>0</v>
      </c>
      <c r="Q912" s="369">
        <f t="shared" si="312"/>
        <v>0</v>
      </c>
      <c r="R912" s="369">
        <f t="shared" si="312"/>
        <v>0</v>
      </c>
      <c r="S912" s="369">
        <f t="shared" si="312"/>
        <v>0</v>
      </c>
      <c r="T912" s="16"/>
      <c r="U912" s="98">
        <f>SUM(I912:T912)</f>
        <v>0</v>
      </c>
      <c r="V912" s="64"/>
      <c r="W912" s="64"/>
      <c r="X912" s="305">
        <f t="shared" si="306"/>
        <v>0</v>
      </c>
    </row>
    <row r="913" spans="1:24" x14ac:dyDescent="0.2">
      <c r="A913" s="64"/>
      <c r="B913" s="16">
        <f t="shared" si="300"/>
        <v>27</v>
      </c>
      <c r="C913" s="1" t="s">
        <v>229</v>
      </c>
      <c r="D913" s="49" t="s">
        <v>629</v>
      </c>
      <c r="E913" s="16"/>
      <c r="F913" s="97">
        <f>' WP II-I-1.4'!G913</f>
        <v>0</v>
      </c>
      <c r="G913" s="16">
        <v>9</v>
      </c>
      <c r="H913" s="45" t="str">
        <f>VLOOKUP(G913,FactorTable,2)</f>
        <v>CUS U ALL</v>
      </c>
      <c r="I913" s="16"/>
      <c r="J913" s="369">
        <f t="shared" si="312"/>
        <v>0</v>
      </c>
      <c r="K913" s="369">
        <f t="shared" si="312"/>
        <v>0</v>
      </c>
      <c r="L913" s="369">
        <f t="shared" si="312"/>
        <v>0</v>
      </c>
      <c r="M913" s="369">
        <f t="shared" si="312"/>
        <v>0</v>
      </c>
      <c r="N913" s="369">
        <f t="shared" si="312"/>
        <v>0</v>
      </c>
      <c r="O913" s="369">
        <f t="shared" si="312"/>
        <v>0</v>
      </c>
      <c r="P913" s="369">
        <f t="shared" si="312"/>
        <v>0</v>
      </c>
      <c r="Q913" s="369">
        <f t="shared" si="312"/>
        <v>0</v>
      </c>
      <c r="R913" s="369">
        <f t="shared" si="312"/>
        <v>0</v>
      </c>
      <c r="S913" s="369">
        <f t="shared" si="312"/>
        <v>0</v>
      </c>
      <c r="T913" s="16"/>
      <c r="U913" s="98">
        <f>SUM(I913:T913)</f>
        <v>0</v>
      </c>
      <c r="V913" s="64"/>
      <c r="W913" s="64"/>
      <c r="X913" s="305">
        <f t="shared" si="306"/>
        <v>0</v>
      </c>
    </row>
    <row r="914" spans="1:24" x14ac:dyDescent="0.2">
      <c r="A914" s="64"/>
      <c r="B914" s="16">
        <f t="shared" si="300"/>
        <v>28</v>
      </c>
      <c r="C914" s="1" t="s">
        <v>233</v>
      </c>
      <c r="D914" s="49" t="s">
        <v>225</v>
      </c>
      <c r="E914" s="16"/>
      <c r="F914" s="97">
        <f>' WP II-I-1.4'!G914</f>
        <v>0</v>
      </c>
      <c r="G914" s="16">
        <v>9</v>
      </c>
      <c r="H914" s="45" t="str">
        <f>VLOOKUP(G914,FactorTable,2)</f>
        <v>CUS U ALL</v>
      </c>
      <c r="I914" s="16"/>
      <c r="J914" s="370">
        <f t="shared" si="312"/>
        <v>0</v>
      </c>
      <c r="K914" s="370">
        <f t="shared" si="312"/>
        <v>0</v>
      </c>
      <c r="L914" s="370">
        <f t="shared" si="312"/>
        <v>0</v>
      </c>
      <c r="M914" s="370">
        <f t="shared" si="312"/>
        <v>0</v>
      </c>
      <c r="N914" s="370">
        <f t="shared" si="312"/>
        <v>0</v>
      </c>
      <c r="O914" s="370">
        <f t="shared" si="312"/>
        <v>0</v>
      </c>
      <c r="P914" s="370">
        <f t="shared" si="312"/>
        <v>0</v>
      </c>
      <c r="Q914" s="370">
        <f t="shared" si="312"/>
        <v>0</v>
      </c>
      <c r="R914" s="370">
        <f t="shared" si="312"/>
        <v>0</v>
      </c>
      <c r="S914" s="370">
        <f t="shared" si="312"/>
        <v>0</v>
      </c>
      <c r="T914" s="16"/>
      <c r="U914" s="98">
        <f>SUM(I914:T914)</f>
        <v>0</v>
      </c>
      <c r="V914" s="64"/>
      <c r="W914" s="64"/>
      <c r="X914" s="305">
        <f t="shared" si="306"/>
        <v>0</v>
      </c>
    </row>
    <row r="915" spans="1:24" ht="15" x14ac:dyDescent="0.25">
      <c r="A915" s="64"/>
      <c r="B915" s="16">
        <f t="shared" si="300"/>
        <v>29</v>
      </c>
      <c r="C915" s="8"/>
      <c r="D915" s="233" t="s">
        <v>630</v>
      </c>
      <c r="E915" s="19"/>
      <c r="F915" s="21">
        <f>+F912+F913+F914</f>
        <v>0</v>
      </c>
      <c r="G915" s="19"/>
      <c r="H915" s="19"/>
      <c r="I915" s="913"/>
      <c r="J915" s="805">
        <f t="shared" ref="J915:Q915" si="313">+J912+J913+J914</f>
        <v>0</v>
      </c>
      <c r="K915" s="805">
        <f t="shared" si="313"/>
        <v>0</v>
      </c>
      <c r="L915" s="805">
        <f t="shared" si="313"/>
        <v>0</v>
      </c>
      <c r="M915" s="805">
        <f t="shared" si="313"/>
        <v>0</v>
      </c>
      <c r="N915" s="805">
        <f t="shared" si="313"/>
        <v>0</v>
      </c>
      <c r="O915" s="805">
        <f>+O912+O913+O914</f>
        <v>0</v>
      </c>
      <c r="P915" s="805">
        <f t="shared" si="313"/>
        <v>0</v>
      </c>
      <c r="Q915" s="805">
        <f t="shared" si="313"/>
        <v>0</v>
      </c>
      <c r="R915" s="805">
        <f>+R912+R913+R914</f>
        <v>0</v>
      </c>
      <c r="S915" s="805">
        <f>+S912+S913+S914</f>
        <v>0</v>
      </c>
      <c r="T915" s="19"/>
      <c r="U915" s="235">
        <f>SUM(I915:T915)</f>
        <v>0</v>
      </c>
      <c r="V915" s="64"/>
      <c r="W915" s="64"/>
      <c r="X915" s="305">
        <f t="shared" si="306"/>
        <v>0</v>
      </c>
    </row>
    <row r="916" spans="1:24" ht="15" x14ac:dyDescent="0.25">
      <c r="A916" s="64"/>
      <c r="B916" s="16">
        <f t="shared" si="300"/>
        <v>30</v>
      </c>
      <c r="C916" s="1"/>
      <c r="D916" s="233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"/>
      <c r="V916" s="64"/>
      <c r="W916" s="64"/>
      <c r="X916" s="305">
        <f t="shared" si="306"/>
        <v>0</v>
      </c>
    </row>
    <row r="917" spans="1:24" x14ac:dyDescent="0.2">
      <c r="A917" s="64"/>
      <c r="B917" s="16">
        <f t="shared" si="300"/>
        <v>31</v>
      </c>
      <c r="C917" s="1" t="s">
        <v>226</v>
      </c>
      <c r="D917" s="49" t="s">
        <v>206</v>
      </c>
      <c r="E917" s="16"/>
      <c r="F917" s="97">
        <f>' WP II-I-1.4'!G917</f>
        <v>0</v>
      </c>
      <c r="G917" s="16">
        <v>9</v>
      </c>
      <c r="H917" s="45" t="str">
        <f>VLOOKUP(G917,FactorTable,2)</f>
        <v>CUS U ALL</v>
      </c>
      <c r="I917" s="16"/>
      <c r="J917" s="369">
        <f t="shared" ref="J917:S918" si="314">$F917*HLOOKUP(J$1354,FactorTable,$G917+1)</f>
        <v>0</v>
      </c>
      <c r="K917" s="369">
        <f t="shared" si="314"/>
        <v>0</v>
      </c>
      <c r="L917" s="369">
        <f t="shared" si="314"/>
        <v>0</v>
      </c>
      <c r="M917" s="369">
        <f t="shared" si="314"/>
        <v>0</v>
      </c>
      <c r="N917" s="369">
        <f t="shared" si="314"/>
        <v>0</v>
      </c>
      <c r="O917" s="369">
        <f t="shared" si="314"/>
        <v>0</v>
      </c>
      <c r="P917" s="369">
        <f t="shared" si="314"/>
        <v>0</v>
      </c>
      <c r="Q917" s="369">
        <f t="shared" si="314"/>
        <v>0</v>
      </c>
      <c r="R917" s="369">
        <f t="shared" si="314"/>
        <v>0</v>
      </c>
      <c r="S917" s="369">
        <f t="shared" si="314"/>
        <v>0</v>
      </c>
      <c r="T917" s="16"/>
      <c r="U917" s="98">
        <f>SUM(I917:T917)</f>
        <v>0</v>
      </c>
      <c r="V917" s="64"/>
      <c r="W917" s="64"/>
      <c r="X917" s="305">
        <f t="shared" si="306"/>
        <v>0</v>
      </c>
    </row>
    <row r="918" spans="1:24" x14ac:dyDescent="0.2">
      <c r="A918" s="64"/>
      <c r="B918" s="16">
        <f t="shared" si="300"/>
        <v>32</v>
      </c>
      <c r="C918" s="1" t="s">
        <v>231</v>
      </c>
      <c r="D918" s="49" t="s">
        <v>631</v>
      </c>
      <c r="E918" s="16"/>
      <c r="F918" s="97">
        <f>' WP II-I-1.4'!G918</f>
        <v>0</v>
      </c>
      <c r="G918" s="16">
        <v>9</v>
      </c>
      <c r="H918" s="45" t="str">
        <f>VLOOKUP(G918,FactorTable,2)</f>
        <v>CUS U ALL</v>
      </c>
      <c r="I918" s="16"/>
      <c r="J918" s="370">
        <f t="shared" si="314"/>
        <v>0</v>
      </c>
      <c r="K918" s="370">
        <f t="shared" si="314"/>
        <v>0</v>
      </c>
      <c r="L918" s="370">
        <f t="shared" si="314"/>
        <v>0</v>
      </c>
      <c r="M918" s="370">
        <f t="shared" si="314"/>
        <v>0</v>
      </c>
      <c r="N918" s="370">
        <f t="shared" si="314"/>
        <v>0</v>
      </c>
      <c r="O918" s="370">
        <f t="shared" si="314"/>
        <v>0</v>
      </c>
      <c r="P918" s="370">
        <f t="shared" si="314"/>
        <v>0</v>
      </c>
      <c r="Q918" s="370">
        <f t="shared" si="314"/>
        <v>0</v>
      </c>
      <c r="R918" s="370">
        <f t="shared" si="314"/>
        <v>0</v>
      </c>
      <c r="S918" s="370">
        <f t="shared" si="314"/>
        <v>0</v>
      </c>
      <c r="T918" s="16"/>
      <c r="U918" s="98">
        <f>SUM(I918:T918)</f>
        <v>0</v>
      </c>
      <c r="V918" s="64"/>
      <c r="W918" s="64"/>
      <c r="X918" s="305">
        <f t="shared" si="306"/>
        <v>0</v>
      </c>
    </row>
    <row r="919" spans="1:24" ht="15" x14ac:dyDescent="0.25">
      <c r="A919" s="64"/>
      <c r="B919" s="16">
        <f t="shared" si="300"/>
        <v>33</v>
      </c>
      <c r="C919" s="8"/>
      <c r="D919" s="24" t="s">
        <v>632</v>
      </c>
      <c r="E919" s="19"/>
      <c r="F919" s="21">
        <f>SUM(F917:F918)</f>
        <v>0</v>
      </c>
      <c r="G919" s="19"/>
      <c r="H919" s="19"/>
      <c r="I919" s="913"/>
      <c r="J919" s="805">
        <f t="shared" ref="J919:Q919" si="315">SUM(J917:J918)</f>
        <v>0</v>
      </c>
      <c r="K919" s="805">
        <f t="shared" si="315"/>
        <v>0</v>
      </c>
      <c r="L919" s="805">
        <f t="shared" si="315"/>
        <v>0</v>
      </c>
      <c r="M919" s="805">
        <f t="shared" si="315"/>
        <v>0</v>
      </c>
      <c r="N919" s="805">
        <f t="shared" si="315"/>
        <v>0</v>
      </c>
      <c r="O919" s="805">
        <f>SUM(O917:O918)</f>
        <v>0</v>
      </c>
      <c r="P919" s="805">
        <f t="shared" si="315"/>
        <v>0</v>
      </c>
      <c r="Q919" s="805">
        <f t="shared" si="315"/>
        <v>0</v>
      </c>
      <c r="R919" s="805">
        <f>SUM(R917:R918)</f>
        <v>0</v>
      </c>
      <c r="S919" s="805">
        <f>SUM(S917:S918)</f>
        <v>0</v>
      </c>
      <c r="T919" s="19"/>
      <c r="U919" s="235">
        <f>SUM(I919:T919)</f>
        <v>0</v>
      </c>
      <c r="V919" s="64"/>
      <c r="W919" s="64"/>
      <c r="X919" s="305">
        <f t="shared" si="306"/>
        <v>0</v>
      </c>
    </row>
    <row r="920" spans="1:24" x14ac:dyDescent="0.2">
      <c r="A920" s="64"/>
      <c r="B920" s="16">
        <f t="shared" si="300"/>
        <v>34</v>
      </c>
      <c r="C920" s="1"/>
      <c r="D920" s="1"/>
      <c r="E920" s="16"/>
      <c r="F920" s="18"/>
      <c r="G920" s="16"/>
      <c r="H920" s="16"/>
      <c r="I920" s="1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6"/>
      <c r="U920" s="1"/>
      <c r="V920" s="64"/>
      <c r="W920" s="64"/>
      <c r="X920" s="305">
        <f t="shared" si="306"/>
        <v>0</v>
      </c>
    </row>
    <row r="921" spans="1:24" ht="15" x14ac:dyDescent="0.25">
      <c r="A921" s="64"/>
      <c r="B921" s="16">
        <f t="shared" si="300"/>
        <v>35</v>
      </c>
      <c r="C921" s="8"/>
      <c r="D921" s="233" t="s">
        <v>633</v>
      </c>
      <c r="E921" s="19"/>
      <c r="F921" s="21">
        <f>+F915+F919</f>
        <v>0</v>
      </c>
      <c r="G921" s="19"/>
      <c r="H921" s="19"/>
      <c r="I921" s="19"/>
      <c r="J921" s="805">
        <f t="shared" ref="J921:Q921" si="316">+J915+J919</f>
        <v>0</v>
      </c>
      <c r="K921" s="805">
        <f t="shared" si="316"/>
        <v>0</v>
      </c>
      <c r="L921" s="805">
        <f t="shared" si="316"/>
        <v>0</v>
      </c>
      <c r="M921" s="805">
        <f t="shared" si="316"/>
        <v>0</v>
      </c>
      <c r="N921" s="805">
        <f t="shared" si="316"/>
        <v>0</v>
      </c>
      <c r="O921" s="805">
        <f>+O915+O919</f>
        <v>0</v>
      </c>
      <c r="P921" s="805">
        <f t="shared" si="316"/>
        <v>0</v>
      </c>
      <c r="Q921" s="805">
        <f t="shared" si="316"/>
        <v>0</v>
      </c>
      <c r="R921" s="805">
        <f>+R915+R919</f>
        <v>0</v>
      </c>
      <c r="S921" s="805">
        <f>+S915+S919</f>
        <v>0</v>
      </c>
      <c r="T921" s="19"/>
      <c r="U921" s="97">
        <f>SUM(I921:T921)</f>
        <v>0</v>
      </c>
      <c r="V921" s="64"/>
      <c r="W921" s="64"/>
      <c r="X921" s="305">
        <f t="shared" si="306"/>
        <v>0</v>
      </c>
    </row>
    <row r="922" spans="1:24" ht="15" thickBot="1" x14ac:dyDescent="0.25">
      <c r="A922" s="64"/>
      <c r="B922" s="16">
        <f t="shared" si="300"/>
        <v>36</v>
      </c>
      <c r="C922" s="1"/>
      <c r="D922" s="49"/>
      <c r="E922" s="16"/>
      <c r="F922" s="18"/>
      <c r="G922" s="16"/>
      <c r="H922" s="16"/>
      <c r="I922" s="1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6"/>
      <c r="U922" s="1"/>
      <c r="V922" s="64"/>
      <c r="W922" s="64"/>
      <c r="X922" s="305">
        <f t="shared" si="306"/>
        <v>0</v>
      </c>
    </row>
    <row r="923" spans="1:24" ht="15.75" thickBot="1" x14ac:dyDescent="0.3">
      <c r="A923" s="64"/>
      <c r="B923" s="16">
        <f t="shared" si="300"/>
        <v>37</v>
      </c>
      <c r="C923" s="779" t="s">
        <v>634</v>
      </c>
      <c r="D923" s="920"/>
      <c r="E923" s="916"/>
      <c r="F923" s="917">
        <f>+F921+F909+F897</f>
        <v>107858</v>
      </c>
      <c r="G923" s="916"/>
      <c r="H923" s="916"/>
      <c r="I923" s="919"/>
      <c r="J923" s="917">
        <f t="shared" ref="J923:Q923" si="317">+J921+J909+J897</f>
        <v>56306.564964207057</v>
      </c>
      <c r="K923" s="917">
        <f t="shared" si="317"/>
        <v>7898.9709464186153</v>
      </c>
      <c r="L923" s="917">
        <f t="shared" si="317"/>
        <v>31064.088658936325</v>
      </c>
      <c r="M923" s="917">
        <f t="shared" si="317"/>
        <v>1308.1725759207402</v>
      </c>
      <c r="N923" s="917">
        <f t="shared" si="317"/>
        <v>10073.619418296646</v>
      </c>
      <c r="O923" s="917">
        <f>+O921+O909+O897</f>
        <v>330.53759916511694</v>
      </c>
      <c r="P923" s="917">
        <f t="shared" si="317"/>
        <v>689.46493077386378</v>
      </c>
      <c r="Q923" s="917">
        <f t="shared" si="317"/>
        <v>57.416615195700857</v>
      </c>
      <c r="R923" s="917">
        <f>+R921+R909+R897</f>
        <v>36.501084570381025</v>
      </c>
      <c r="S923" s="917">
        <f>+S921+S909+S897</f>
        <v>92.663206515539358</v>
      </c>
      <c r="T923" s="919"/>
      <c r="U923" s="918">
        <f>SUM(I923:T923)</f>
        <v>107857.99999999999</v>
      </c>
      <c r="V923" s="64"/>
      <c r="W923" s="64"/>
      <c r="X923" s="305">
        <f t="shared" si="306"/>
        <v>0</v>
      </c>
    </row>
    <row r="924" spans="1:24" ht="15.75" thickBot="1" x14ac:dyDescent="0.3">
      <c r="A924" s="64"/>
      <c r="B924" s="16">
        <f t="shared" si="300"/>
        <v>38</v>
      </c>
      <c r="C924" s="1"/>
      <c r="D924" s="8"/>
      <c r="E924" s="16"/>
      <c r="F924" s="18"/>
      <c r="G924" s="16"/>
      <c r="H924" s="16"/>
      <c r="I924" s="1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6"/>
      <c r="U924" s="1"/>
      <c r="V924" s="64"/>
      <c r="W924" s="64"/>
      <c r="X924" s="305">
        <f t="shared" si="306"/>
        <v>0</v>
      </c>
    </row>
    <row r="925" spans="1:24" ht="15.75" thickBot="1" x14ac:dyDescent="0.3">
      <c r="A925" s="45"/>
      <c r="B925" s="16">
        <f t="shared" si="300"/>
        <v>39</v>
      </c>
      <c r="C925" s="223" t="s">
        <v>1115</v>
      </c>
      <c r="D925" s="224"/>
      <c r="E925" s="309" t="s">
        <v>262</v>
      </c>
      <c r="F925" s="194">
        <f>+F923+F874+F827</f>
        <v>154052267.75999999</v>
      </c>
      <c r="G925" s="309"/>
      <c r="H925" s="402"/>
      <c r="I925" s="968"/>
      <c r="J925" s="381">
        <f t="shared" ref="J925:Q925" ca="1" si="318">+J923+J874+J827</f>
        <v>82354201.170363948</v>
      </c>
      <c r="K925" s="812">
        <f t="shared" ca="1" si="318"/>
        <v>1912517.6935973526</v>
      </c>
      <c r="L925" s="812">
        <f t="shared" ca="1" si="318"/>
        <v>52630260.998257294</v>
      </c>
      <c r="M925" s="812">
        <f t="shared" ca="1" si="318"/>
        <v>89030.143485420078</v>
      </c>
      <c r="N925" s="812">
        <f t="shared" ca="1" si="318"/>
        <v>13585138.713831328</v>
      </c>
      <c r="O925" s="812">
        <f ca="1">+O923+O874+O827</f>
        <v>1973679.7901687182</v>
      </c>
      <c r="P925" s="812">
        <f t="shared" ca="1" si="318"/>
        <v>46296.831995990251</v>
      </c>
      <c r="Q925" s="812">
        <f t="shared" ca="1" si="318"/>
        <v>824678.84240782296</v>
      </c>
      <c r="R925" s="812">
        <f ca="1">+R923+R874+R827</f>
        <v>135272.85842599437</v>
      </c>
      <c r="S925" s="315">
        <f ca="1">+S923+S874+S827</f>
        <v>501190.71746610262</v>
      </c>
      <c r="T925" s="403"/>
      <c r="U925" s="195">
        <f ca="1">SUM(I925:T925)</f>
        <v>154052267.76000002</v>
      </c>
      <c r="V925" s="64"/>
      <c r="W925" s="64"/>
      <c r="X925" s="305">
        <f t="shared" ca="1" si="306"/>
        <v>0</v>
      </c>
    </row>
    <row r="926" spans="1:24" x14ac:dyDescent="0.2">
      <c r="A926" s="45"/>
      <c r="B926" s="16"/>
      <c r="C926" s="16"/>
      <c r="D926" s="16"/>
      <c r="E926" s="16"/>
      <c r="F926" s="16"/>
      <c r="G926" s="16"/>
      <c r="H926" s="105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05"/>
      <c r="V926" s="105">
        <f>$H$2</f>
        <v>0</v>
      </c>
      <c r="W926" s="105"/>
      <c r="X926" s="305"/>
    </row>
    <row r="927" spans="1:24" ht="15" thickBot="1" x14ac:dyDescent="0.25">
      <c r="A927" s="4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64"/>
      <c r="W927" s="64"/>
      <c r="X927" s="305">
        <f t="shared" si="306"/>
        <v>0</v>
      </c>
    </row>
    <row r="928" spans="1:24" ht="15" x14ac:dyDescent="0.25">
      <c r="A928" s="64"/>
      <c r="B928" s="829" t="str">
        <f>+$B$4</f>
        <v>2025 RATE CASE</v>
      </c>
      <c r="C928" s="844"/>
      <c r="D928" s="547"/>
      <c r="F928" s="11"/>
      <c r="U928" s="105"/>
      <c r="X928" s="305">
        <f t="shared" si="306"/>
        <v>0</v>
      </c>
    </row>
    <row r="929" spans="1:24" ht="15" x14ac:dyDescent="0.25">
      <c r="A929" s="64"/>
      <c r="B929" s="826" t="str">
        <f>+$B$5</f>
        <v>ONCOR ELECTRIC DELIVERY COMPANY LLC</v>
      </c>
      <c r="C929" s="8"/>
      <c r="D929" s="548"/>
      <c r="F929" s="11"/>
      <c r="U929" s="105"/>
      <c r="V929" s="64"/>
      <c r="W929" s="64"/>
      <c r="X929" s="305">
        <f t="shared" si="306"/>
        <v>0</v>
      </c>
    </row>
    <row r="930" spans="1:24" ht="15" x14ac:dyDescent="0.25">
      <c r="A930" s="64"/>
      <c r="B930" s="826" t="str">
        <f>+$B$6</f>
        <v>II-I-1-DIST:  CLASS REVENUE REQUIREMENT</v>
      </c>
      <c r="C930" s="82"/>
      <c r="D930" s="548"/>
      <c r="F930" s="11"/>
      <c r="U930" s="11"/>
      <c r="V930" s="64"/>
      <c r="W930" s="64"/>
      <c r="X930" s="305">
        <f t="shared" si="306"/>
        <v>0</v>
      </c>
    </row>
    <row r="931" spans="1:24" ht="15" x14ac:dyDescent="0.25">
      <c r="A931" s="64"/>
      <c r="B931" s="341" t="str">
        <f>+$B$7</f>
        <v>TEST YEAR ENDING 12/31/2024</v>
      </c>
      <c r="C931" s="82"/>
      <c r="D931" s="548"/>
      <c r="F931" s="11"/>
      <c r="U931" s="11"/>
      <c r="V931" s="64"/>
      <c r="W931" s="64"/>
      <c r="X931" s="305">
        <f t="shared" si="306"/>
        <v>0</v>
      </c>
    </row>
    <row r="932" spans="1:24" ht="15" x14ac:dyDescent="0.25">
      <c r="A932" s="64"/>
      <c r="B932" s="341" t="str">
        <f>+$B$8</f>
        <v>SPONSOR:  MATTHEW A. TROXLE</v>
      </c>
      <c r="C932" s="82"/>
      <c r="D932" s="548"/>
      <c r="F932" s="11"/>
      <c r="U932" s="11"/>
      <c r="V932" s="64"/>
      <c r="W932" s="64"/>
      <c r="X932" s="305">
        <f t="shared" si="306"/>
        <v>0</v>
      </c>
    </row>
    <row r="933" spans="1:24" ht="15.75" thickBot="1" x14ac:dyDescent="0.3">
      <c r="A933" s="64"/>
      <c r="B933" s="345"/>
      <c r="C933" s="843"/>
      <c r="D933" s="549"/>
      <c r="F933" s="11"/>
      <c r="U933" s="11"/>
      <c r="V933" s="64"/>
      <c r="W933" s="64"/>
      <c r="X933" s="305">
        <f t="shared" si="306"/>
        <v>0</v>
      </c>
    </row>
    <row r="934" spans="1:24" ht="15" thickBot="1" x14ac:dyDescent="0.25">
      <c r="A934" s="64"/>
      <c r="B934" s="12"/>
      <c r="C934" s="13"/>
      <c r="D934" s="13"/>
      <c r="E934" s="13"/>
      <c r="F934" s="12"/>
      <c r="G934" s="13"/>
      <c r="H934" s="13"/>
      <c r="I934" s="13"/>
      <c r="J934" s="177"/>
      <c r="K934" s="177"/>
      <c r="L934" s="13"/>
      <c r="M934" s="177"/>
      <c r="N934" s="177"/>
      <c r="O934" s="177"/>
      <c r="P934" s="177"/>
      <c r="Q934" s="13"/>
      <c r="R934" s="328" t="str">
        <f>R$10</f>
        <v xml:space="preserve"> </v>
      </c>
      <c r="S934" s="329"/>
      <c r="T934" s="177"/>
      <c r="U934" s="12"/>
      <c r="V934" s="64"/>
      <c r="W934" s="64"/>
      <c r="X934" s="305">
        <f t="shared" si="306"/>
        <v>0</v>
      </c>
    </row>
    <row r="935" spans="1:24" ht="15" x14ac:dyDescent="0.25">
      <c r="A935" s="64"/>
      <c r="B935" s="14" t="s">
        <v>2</v>
      </c>
      <c r="C935" s="14" t="s">
        <v>349</v>
      </c>
      <c r="D935" s="226" t="s">
        <v>1110</v>
      </c>
      <c r="E935" s="14" t="s">
        <v>350</v>
      </c>
      <c r="F935" s="226" t="str">
        <f>F$11</f>
        <v>DIST</v>
      </c>
      <c r="G935" s="181" t="s">
        <v>688</v>
      </c>
      <c r="H935" s="181" t="s">
        <v>355</v>
      </c>
      <c r="I935" s="14"/>
      <c r="J935" s="181" t="s">
        <v>679</v>
      </c>
      <c r="K935" s="181" t="s">
        <v>388</v>
      </c>
      <c r="L935" s="14" t="s">
        <v>388</v>
      </c>
      <c r="M935" s="181" t="s">
        <v>389</v>
      </c>
      <c r="N935" s="181" t="s">
        <v>389</v>
      </c>
      <c r="O935" s="181" t="s">
        <v>389</v>
      </c>
      <c r="P935" s="181" t="s">
        <v>390</v>
      </c>
      <c r="Q935" s="14" t="s">
        <v>391</v>
      </c>
      <c r="R935" s="331" t="str">
        <f>R$11</f>
        <v>Wholesale</v>
      </c>
      <c r="S935" s="12" t="str">
        <f>S$11</f>
        <v>Wholesale</v>
      </c>
      <c r="T935" s="181"/>
      <c r="U935" s="14" t="s">
        <v>10</v>
      </c>
      <c r="V935" s="64"/>
      <c r="W935" s="64"/>
      <c r="X935" s="305"/>
    </row>
    <row r="936" spans="1:24" x14ac:dyDescent="0.2">
      <c r="A936" s="64"/>
      <c r="B936" s="14"/>
      <c r="C936" s="14"/>
      <c r="D936" s="14"/>
      <c r="E936" s="14"/>
      <c r="F936" s="14"/>
      <c r="G936" s="181" t="s">
        <v>689</v>
      </c>
      <c r="H936" s="181" t="s">
        <v>690</v>
      </c>
      <c r="I936" s="14"/>
      <c r="J936" s="181"/>
      <c r="K936" s="181" t="s">
        <v>680</v>
      </c>
      <c r="L936" s="14" t="s">
        <v>681</v>
      </c>
      <c r="M936" s="181" t="s">
        <v>680</v>
      </c>
      <c r="N936" s="181" t="s">
        <v>681</v>
      </c>
      <c r="O936" s="181" t="s">
        <v>393</v>
      </c>
      <c r="P936" s="181"/>
      <c r="Q936" s="14"/>
      <c r="R936" s="174" t="str">
        <f>R$12</f>
        <v>XFMR</v>
      </c>
      <c r="S936" s="14" t="str">
        <f>S$12</f>
        <v>DLS</v>
      </c>
      <c r="T936" s="181"/>
      <c r="U936" s="14"/>
      <c r="V936" s="64"/>
      <c r="W936" s="64"/>
      <c r="X936" s="305">
        <f t="shared" si="306"/>
        <v>0</v>
      </c>
    </row>
    <row r="937" spans="1:24" ht="15" thickBot="1" x14ac:dyDescent="0.25">
      <c r="A937" s="64"/>
      <c r="B937" s="15"/>
      <c r="C937" s="15"/>
      <c r="D937" s="15"/>
      <c r="E937" s="15"/>
      <c r="F937" s="15" t="s">
        <v>13</v>
      </c>
      <c r="G937" s="15" t="s">
        <v>14</v>
      </c>
      <c r="H937" s="15" t="s">
        <v>15</v>
      </c>
      <c r="I937" s="15"/>
      <c r="J937" s="182" t="str">
        <f t="shared" ref="J937:Q937" si="319">J$13</f>
        <v>(d)</v>
      </c>
      <c r="K937" s="182" t="str">
        <f t="shared" si="319"/>
        <v>(e)</v>
      </c>
      <c r="L937" s="15" t="str">
        <f t="shared" si="319"/>
        <v>(f)</v>
      </c>
      <c r="M937" s="182" t="str">
        <f t="shared" si="319"/>
        <v>(g)</v>
      </c>
      <c r="N937" s="182" t="str">
        <f t="shared" si="319"/>
        <v>(h)</v>
      </c>
      <c r="O937" s="182" t="str">
        <f>O$13</f>
        <v>(i)</v>
      </c>
      <c r="P937" s="182" t="str">
        <f t="shared" si="319"/>
        <v>(j)</v>
      </c>
      <c r="Q937" s="182" t="str">
        <f t="shared" si="319"/>
        <v>(k)</v>
      </c>
      <c r="R937" s="182" t="str">
        <f>R$13</f>
        <v>(l)</v>
      </c>
      <c r="S937" s="15" t="str">
        <f>S$13</f>
        <v>(m)</v>
      </c>
      <c r="T937" s="15"/>
      <c r="U937" s="15" t="s">
        <v>683</v>
      </c>
      <c r="V937" s="64"/>
      <c r="W937" s="64"/>
      <c r="X937" s="305"/>
    </row>
    <row r="938" spans="1:24" ht="15" x14ac:dyDescent="0.25">
      <c r="A938" s="64"/>
      <c r="B938" s="16"/>
      <c r="C938" s="1"/>
      <c r="D938" s="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"/>
      <c r="V938" s="64"/>
      <c r="W938" s="64"/>
      <c r="X938" s="305">
        <f t="shared" si="306"/>
        <v>0</v>
      </c>
    </row>
    <row r="939" spans="1:24" s="589" customFormat="1" ht="15" x14ac:dyDescent="0.25">
      <c r="B939" s="645">
        <f t="shared" ref="B939:B957" si="320">B938+1</f>
        <v>1</v>
      </c>
      <c r="C939" s="8" t="s">
        <v>1110</v>
      </c>
      <c r="D939" s="8"/>
      <c r="E939" s="644" t="s">
        <v>262</v>
      </c>
      <c r="F939" s="21"/>
      <c r="G939" s="644"/>
      <c r="H939" s="644"/>
      <c r="I939" s="644"/>
      <c r="J939" s="961"/>
      <c r="K939" s="961"/>
      <c r="L939" s="961"/>
      <c r="M939" s="961"/>
      <c r="N939" s="961"/>
      <c r="O939" s="961"/>
      <c r="P939" s="961"/>
      <c r="Q939" s="961"/>
      <c r="R939" s="961"/>
      <c r="S939" s="961"/>
      <c r="T939" s="644"/>
      <c r="U939" s="8"/>
      <c r="X939" s="646">
        <f t="shared" si="306"/>
        <v>0</v>
      </c>
    </row>
    <row r="940" spans="1:24" s="589" customFormat="1" ht="15" x14ac:dyDescent="0.25">
      <c r="B940" s="645">
        <f t="shared" si="320"/>
        <v>2</v>
      </c>
      <c r="C940" s="647" t="s">
        <v>237</v>
      </c>
      <c r="D940" s="647" t="s">
        <v>238</v>
      </c>
      <c r="E940" s="614"/>
      <c r="F940" s="646">
        <f>' WP II-I-1.4'!G940</f>
        <v>67365447.639999986</v>
      </c>
      <c r="G940" s="645">
        <v>77</v>
      </c>
      <c r="H940" s="620" t="str">
        <f t="shared" ref="H940:H952" si="321">VLOOKUP(G940,FactorTable,2)</f>
        <v>O&amp;M x565</v>
      </c>
      <c r="I940" s="803"/>
      <c r="J940" s="648">
        <f t="shared" ref="J940:S952" ca="1" si="322">$F940*HLOOKUP(J$1354,FactorTable,$G940+1)</f>
        <v>35297758.120656528</v>
      </c>
      <c r="K940" s="648">
        <f t="shared" ca="1" si="322"/>
        <v>775835.59053906926</v>
      </c>
      <c r="L940" s="648">
        <f t="shared" ca="1" si="322"/>
        <v>22571289.731217239</v>
      </c>
      <c r="M940" s="648">
        <f t="shared" ca="1" si="322"/>
        <v>29232.743880567476</v>
      </c>
      <c r="N940" s="648">
        <f t="shared" ca="1" si="322"/>
        <v>5685590.1702433871</v>
      </c>
      <c r="O940" s="648">
        <f t="shared" ca="1" si="322"/>
        <v>560645.53478843847</v>
      </c>
      <c r="P940" s="648">
        <f t="shared" ca="1" si="322"/>
        <v>15848.537800510276</v>
      </c>
      <c r="Q940" s="648">
        <f t="shared" ca="1" si="322"/>
        <v>2178699.4598139129</v>
      </c>
      <c r="R940" s="648">
        <f t="shared" ca="1" si="322"/>
        <v>38404.431160777356</v>
      </c>
      <c r="S940" s="648">
        <f t="shared" ca="1" si="322"/>
        <v>212143.3198995562</v>
      </c>
      <c r="T940" s="803"/>
      <c r="U940" s="235">
        <f t="shared" ref="U940:U953" ca="1" si="323">SUM(I940:T940)</f>
        <v>67365447.640000001</v>
      </c>
      <c r="X940" s="646">
        <f t="shared" ca="1" si="306"/>
        <v>0</v>
      </c>
    </row>
    <row r="941" spans="1:24" s="589" customFormat="1" x14ac:dyDescent="0.2">
      <c r="B941" s="645">
        <f t="shared" si="320"/>
        <v>3</v>
      </c>
      <c r="C941" s="647" t="s">
        <v>239</v>
      </c>
      <c r="D941" s="647" t="s">
        <v>240</v>
      </c>
      <c r="E941" s="614"/>
      <c r="F941" s="646">
        <f>' WP II-I-1.4'!G941</f>
        <v>0</v>
      </c>
      <c r="G941" s="645">
        <v>77</v>
      </c>
      <c r="H941" s="620" t="str">
        <f t="shared" si="321"/>
        <v>O&amp;M x565</v>
      </c>
      <c r="I941" s="803"/>
      <c r="J941" s="648">
        <f t="shared" ca="1" si="322"/>
        <v>0</v>
      </c>
      <c r="K941" s="648">
        <f t="shared" ca="1" si="322"/>
        <v>0</v>
      </c>
      <c r="L941" s="648">
        <f t="shared" ca="1" si="322"/>
        <v>0</v>
      </c>
      <c r="M941" s="648">
        <f t="shared" ca="1" si="322"/>
        <v>0</v>
      </c>
      <c r="N941" s="648">
        <f t="shared" ca="1" si="322"/>
        <v>0</v>
      </c>
      <c r="O941" s="648">
        <f t="shared" ca="1" si="322"/>
        <v>0</v>
      </c>
      <c r="P941" s="648">
        <f t="shared" ca="1" si="322"/>
        <v>0</v>
      </c>
      <c r="Q941" s="648">
        <f t="shared" ca="1" si="322"/>
        <v>0</v>
      </c>
      <c r="R941" s="648">
        <f t="shared" ca="1" si="322"/>
        <v>0</v>
      </c>
      <c r="S941" s="648">
        <f t="shared" ca="1" si="322"/>
        <v>0</v>
      </c>
      <c r="T941" s="803"/>
      <c r="U941" s="646">
        <f t="shared" ca="1" si="323"/>
        <v>0</v>
      </c>
      <c r="X941" s="646">
        <f t="shared" ca="1" si="306"/>
        <v>0</v>
      </c>
    </row>
    <row r="942" spans="1:24" s="589" customFormat="1" x14ac:dyDescent="0.2">
      <c r="B942" s="645">
        <f t="shared" si="320"/>
        <v>4</v>
      </c>
      <c r="C942" s="647" t="s">
        <v>241</v>
      </c>
      <c r="D942" s="647" t="s">
        <v>242</v>
      </c>
      <c r="E942" s="614"/>
      <c r="F942" s="646">
        <f>' WP II-I-1.4'!G942</f>
        <v>0</v>
      </c>
      <c r="G942" s="645">
        <v>77</v>
      </c>
      <c r="H942" s="620" t="str">
        <f t="shared" si="321"/>
        <v>O&amp;M x565</v>
      </c>
      <c r="I942" s="803"/>
      <c r="J942" s="648">
        <f t="shared" ca="1" si="322"/>
        <v>0</v>
      </c>
      <c r="K942" s="648">
        <f t="shared" ca="1" si="322"/>
        <v>0</v>
      </c>
      <c r="L942" s="648">
        <f t="shared" ca="1" si="322"/>
        <v>0</v>
      </c>
      <c r="M942" s="648">
        <f t="shared" ca="1" si="322"/>
        <v>0</v>
      </c>
      <c r="N942" s="648">
        <f t="shared" ca="1" si="322"/>
        <v>0</v>
      </c>
      <c r="O942" s="648">
        <f t="shared" ca="1" si="322"/>
        <v>0</v>
      </c>
      <c r="P942" s="648">
        <f t="shared" ca="1" si="322"/>
        <v>0</v>
      </c>
      <c r="Q942" s="648">
        <f t="shared" ca="1" si="322"/>
        <v>0</v>
      </c>
      <c r="R942" s="648">
        <f t="shared" ca="1" si="322"/>
        <v>0</v>
      </c>
      <c r="S942" s="648">
        <f t="shared" ca="1" si="322"/>
        <v>0</v>
      </c>
      <c r="T942" s="803"/>
      <c r="U942" s="646">
        <f t="shared" ca="1" si="323"/>
        <v>0</v>
      </c>
      <c r="X942" s="646">
        <f t="shared" ca="1" si="306"/>
        <v>0</v>
      </c>
    </row>
    <row r="943" spans="1:24" s="589" customFormat="1" x14ac:dyDescent="0.2">
      <c r="B943" s="645">
        <f t="shared" si="320"/>
        <v>5</v>
      </c>
      <c r="C943" s="647" t="s">
        <v>243</v>
      </c>
      <c r="D943" s="647" t="s">
        <v>244</v>
      </c>
      <c r="E943" s="614"/>
      <c r="F943" s="646">
        <f>' WP II-I-1.4'!G943</f>
        <v>0</v>
      </c>
      <c r="G943" s="645">
        <v>77</v>
      </c>
      <c r="H943" s="620" t="str">
        <f t="shared" si="321"/>
        <v>O&amp;M x565</v>
      </c>
      <c r="I943" s="803"/>
      <c r="J943" s="648">
        <f t="shared" ca="1" si="322"/>
        <v>0</v>
      </c>
      <c r="K943" s="648">
        <f t="shared" ca="1" si="322"/>
        <v>0</v>
      </c>
      <c r="L943" s="648">
        <f t="shared" ca="1" si="322"/>
        <v>0</v>
      </c>
      <c r="M943" s="648">
        <f t="shared" ca="1" si="322"/>
        <v>0</v>
      </c>
      <c r="N943" s="648">
        <f t="shared" ca="1" si="322"/>
        <v>0</v>
      </c>
      <c r="O943" s="648">
        <f t="shared" ca="1" si="322"/>
        <v>0</v>
      </c>
      <c r="P943" s="648">
        <f t="shared" ca="1" si="322"/>
        <v>0</v>
      </c>
      <c r="Q943" s="648">
        <f t="shared" ca="1" si="322"/>
        <v>0</v>
      </c>
      <c r="R943" s="648">
        <f t="shared" ca="1" si="322"/>
        <v>0</v>
      </c>
      <c r="S943" s="648">
        <f t="shared" ca="1" si="322"/>
        <v>0</v>
      </c>
      <c r="T943" s="803"/>
      <c r="U943" s="646">
        <f t="shared" ca="1" si="323"/>
        <v>0</v>
      </c>
      <c r="X943" s="646">
        <f t="shared" ca="1" si="306"/>
        <v>0</v>
      </c>
    </row>
    <row r="944" spans="1:24" s="589" customFormat="1" x14ac:dyDescent="0.2">
      <c r="B944" s="645">
        <f t="shared" si="320"/>
        <v>6</v>
      </c>
      <c r="C944" s="649" t="s">
        <v>245</v>
      </c>
      <c r="D944" s="647" t="s">
        <v>246</v>
      </c>
      <c r="E944" s="614"/>
      <c r="F944" s="646">
        <f>' WP II-I-1.4'!G944</f>
        <v>0</v>
      </c>
      <c r="G944" s="645">
        <v>64</v>
      </c>
      <c r="H944" s="620" t="str">
        <f t="shared" si="321"/>
        <v>PLANT</v>
      </c>
      <c r="I944" s="803"/>
      <c r="J944" s="648">
        <f t="shared" ca="1" si="322"/>
        <v>0</v>
      </c>
      <c r="K944" s="648">
        <f t="shared" ca="1" si="322"/>
        <v>0</v>
      </c>
      <c r="L944" s="648">
        <f t="shared" ca="1" si="322"/>
        <v>0</v>
      </c>
      <c r="M944" s="648">
        <f t="shared" ca="1" si="322"/>
        <v>0</v>
      </c>
      <c r="N944" s="648">
        <f t="shared" ca="1" si="322"/>
        <v>0</v>
      </c>
      <c r="O944" s="648">
        <f t="shared" ca="1" si="322"/>
        <v>0</v>
      </c>
      <c r="P944" s="648">
        <f t="shared" ca="1" si="322"/>
        <v>0</v>
      </c>
      <c r="Q944" s="648">
        <f t="shared" ca="1" si="322"/>
        <v>0</v>
      </c>
      <c r="R944" s="648">
        <f t="shared" ca="1" si="322"/>
        <v>0</v>
      </c>
      <c r="S944" s="648">
        <f t="shared" ca="1" si="322"/>
        <v>0</v>
      </c>
      <c r="T944" s="803"/>
      <c r="U944" s="646">
        <f t="shared" ca="1" si="323"/>
        <v>0</v>
      </c>
      <c r="X944" s="646">
        <f t="shared" ca="1" si="306"/>
        <v>0</v>
      </c>
    </row>
    <row r="945" spans="2:24" s="589" customFormat="1" x14ac:dyDescent="0.2">
      <c r="B945" s="645">
        <f t="shared" si="320"/>
        <v>7</v>
      </c>
      <c r="C945" s="649" t="s">
        <v>247</v>
      </c>
      <c r="D945" s="647" t="s">
        <v>248</v>
      </c>
      <c r="E945" s="614"/>
      <c r="F945" s="646">
        <f>' WP II-I-1.4'!G945</f>
        <v>0</v>
      </c>
      <c r="G945" s="645">
        <v>77</v>
      </c>
      <c r="H945" s="620" t="str">
        <f t="shared" si="321"/>
        <v>O&amp;M x565</v>
      </c>
      <c r="I945" s="803"/>
      <c r="J945" s="648">
        <f t="shared" ca="1" si="322"/>
        <v>0</v>
      </c>
      <c r="K945" s="648">
        <f t="shared" ca="1" si="322"/>
        <v>0</v>
      </c>
      <c r="L945" s="648">
        <f t="shared" ca="1" si="322"/>
        <v>0</v>
      </c>
      <c r="M945" s="648">
        <f t="shared" ca="1" si="322"/>
        <v>0</v>
      </c>
      <c r="N945" s="648">
        <f t="shared" ca="1" si="322"/>
        <v>0</v>
      </c>
      <c r="O945" s="648">
        <f t="shared" ca="1" si="322"/>
        <v>0</v>
      </c>
      <c r="P945" s="648">
        <f t="shared" ca="1" si="322"/>
        <v>0</v>
      </c>
      <c r="Q945" s="648">
        <f t="shared" ca="1" si="322"/>
        <v>0</v>
      </c>
      <c r="R945" s="648">
        <f t="shared" ca="1" si="322"/>
        <v>0</v>
      </c>
      <c r="S945" s="648">
        <f t="shared" ca="1" si="322"/>
        <v>0</v>
      </c>
      <c r="T945" s="803"/>
      <c r="U945" s="646">
        <f t="shared" ca="1" si="323"/>
        <v>0</v>
      </c>
      <c r="X945" s="646">
        <f t="shared" ca="1" si="306"/>
        <v>0</v>
      </c>
    </row>
    <row r="946" spans="2:24" s="589" customFormat="1" x14ac:dyDescent="0.2">
      <c r="B946" s="645">
        <f t="shared" si="320"/>
        <v>8</v>
      </c>
      <c r="C946" s="647" t="s">
        <v>249</v>
      </c>
      <c r="D946" s="647" t="s">
        <v>250</v>
      </c>
      <c r="E946" s="614"/>
      <c r="F946" s="646">
        <f>' WP II-I-1.4'!G946</f>
        <v>0</v>
      </c>
      <c r="G946" s="645">
        <v>87</v>
      </c>
      <c r="H946" s="620" t="str">
        <f t="shared" si="321"/>
        <v>PAYROLL XAG</v>
      </c>
      <c r="I946" s="803"/>
      <c r="J946" s="648">
        <f t="shared" ca="1" si="322"/>
        <v>0</v>
      </c>
      <c r="K946" s="648">
        <f t="shared" ca="1" si="322"/>
        <v>0</v>
      </c>
      <c r="L946" s="648">
        <f t="shared" ca="1" si="322"/>
        <v>0</v>
      </c>
      <c r="M946" s="648">
        <f t="shared" ca="1" si="322"/>
        <v>0</v>
      </c>
      <c r="N946" s="648">
        <f t="shared" ca="1" si="322"/>
        <v>0</v>
      </c>
      <c r="O946" s="648">
        <f t="shared" ca="1" si="322"/>
        <v>0</v>
      </c>
      <c r="P946" s="648">
        <f t="shared" ca="1" si="322"/>
        <v>0</v>
      </c>
      <c r="Q946" s="648">
        <f t="shared" ca="1" si="322"/>
        <v>0</v>
      </c>
      <c r="R946" s="648">
        <f t="shared" ca="1" si="322"/>
        <v>0</v>
      </c>
      <c r="S946" s="648">
        <f t="shared" ca="1" si="322"/>
        <v>0</v>
      </c>
      <c r="T946" s="803"/>
      <c r="U946" s="646">
        <f t="shared" ca="1" si="323"/>
        <v>0</v>
      </c>
      <c r="X946" s="646">
        <f t="shared" ca="1" si="306"/>
        <v>0</v>
      </c>
    </row>
    <row r="947" spans="2:24" s="589" customFormat="1" x14ac:dyDescent="0.2">
      <c r="B947" s="645">
        <f t="shared" si="320"/>
        <v>9</v>
      </c>
      <c r="C947" s="647" t="s">
        <v>251</v>
      </c>
      <c r="D947" s="647" t="s">
        <v>252</v>
      </c>
      <c r="E947" s="614"/>
      <c r="F947" s="646">
        <f>' WP II-I-1.4'!G947</f>
        <v>0</v>
      </c>
      <c r="G947" s="645">
        <v>14</v>
      </c>
      <c r="H947" s="620" t="str">
        <f t="shared" si="321"/>
        <v>REVENUE</v>
      </c>
      <c r="I947" s="803"/>
      <c r="J947" s="648">
        <f t="shared" si="322"/>
        <v>0</v>
      </c>
      <c r="K947" s="648">
        <f t="shared" si="322"/>
        <v>0</v>
      </c>
      <c r="L947" s="648">
        <f t="shared" si="322"/>
        <v>0</v>
      </c>
      <c r="M947" s="648">
        <f t="shared" si="322"/>
        <v>0</v>
      </c>
      <c r="N947" s="648">
        <f t="shared" si="322"/>
        <v>0</v>
      </c>
      <c r="O947" s="648">
        <f t="shared" si="322"/>
        <v>0</v>
      </c>
      <c r="P947" s="648">
        <f t="shared" si="322"/>
        <v>0</v>
      </c>
      <c r="Q947" s="648">
        <f t="shared" si="322"/>
        <v>0</v>
      </c>
      <c r="R947" s="648">
        <f t="shared" si="322"/>
        <v>0</v>
      </c>
      <c r="S947" s="648">
        <f t="shared" si="322"/>
        <v>0</v>
      </c>
      <c r="T947" s="803"/>
      <c r="U947" s="646">
        <f t="shared" si="323"/>
        <v>0</v>
      </c>
      <c r="X947" s="646">
        <f t="shared" si="306"/>
        <v>0</v>
      </c>
    </row>
    <row r="948" spans="2:24" s="589" customFormat="1" x14ac:dyDescent="0.2">
      <c r="B948" s="645">
        <f t="shared" si="320"/>
        <v>10</v>
      </c>
      <c r="C948" s="647" t="s">
        <v>253</v>
      </c>
      <c r="D948" s="647" t="s">
        <v>254</v>
      </c>
      <c r="E948" s="614"/>
      <c r="F948" s="646">
        <f>' WP II-I-1.4'!G948</f>
        <v>0</v>
      </c>
      <c r="G948" s="645">
        <v>77</v>
      </c>
      <c r="H948" s="620" t="str">
        <f t="shared" si="321"/>
        <v>O&amp;M x565</v>
      </c>
      <c r="I948" s="803"/>
      <c r="J948" s="648">
        <f t="shared" ca="1" si="322"/>
        <v>0</v>
      </c>
      <c r="K948" s="648">
        <f t="shared" ca="1" si="322"/>
        <v>0</v>
      </c>
      <c r="L948" s="648">
        <f t="shared" ca="1" si="322"/>
        <v>0</v>
      </c>
      <c r="M948" s="648">
        <f t="shared" ca="1" si="322"/>
        <v>0</v>
      </c>
      <c r="N948" s="648">
        <f t="shared" ca="1" si="322"/>
        <v>0</v>
      </c>
      <c r="O948" s="648">
        <f t="shared" ca="1" si="322"/>
        <v>0</v>
      </c>
      <c r="P948" s="648">
        <f t="shared" ca="1" si="322"/>
        <v>0</v>
      </c>
      <c r="Q948" s="648">
        <f t="shared" ca="1" si="322"/>
        <v>0</v>
      </c>
      <c r="R948" s="648">
        <f t="shared" ca="1" si="322"/>
        <v>0</v>
      </c>
      <c r="S948" s="648">
        <f t="shared" ca="1" si="322"/>
        <v>0</v>
      </c>
      <c r="T948" s="803"/>
      <c r="U948" s="646">
        <f t="shared" ca="1" si="323"/>
        <v>0</v>
      </c>
      <c r="X948" s="646">
        <f t="shared" ca="1" si="306"/>
        <v>0</v>
      </c>
    </row>
    <row r="949" spans="2:24" s="589" customFormat="1" x14ac:dyDescent="0.2">
      <c r="B949" s="645">
        <f t="shared" si="320"/>
        <v>11</v>
      </c>
      <c r="C949" s="647" t="s">
        <v>255</v>
      </c>
      <c r="D949" s="647" t="s">
        <v>256</v>
      </c>
      <c r="E949" s="614"/>
      <c r="F949" s="646">
        <f>' WP II-I-1.4'!G949</f>
        <v>2356.6799999999998</v>
      </c>
      <c r="G949" s="645">
        <v>77</v>
      </c>
      <c r="H949" s="620" t="str">
        <f t="shared" si="321"/>
        <v>O&amp;M x565</v>
      </c>
      <c r="I949" s="803"/>
      <c r="J949" s="648">
        <f t="shared" ca="1" si="322"/>
        <v>1234.8395731344515</v>
      </c>
      <c r="K949" s="648">
        <f t="shared" ca="1" si="322"/>
        <v>27.141454314718391</v>
      </c>
      <c r="L949" s="648">
        <f t="shared" ca="1" si="322"/>
        <v>789.62300329434947</v>
      </c>
      <c r="M949" s="648">
        <f t="shared" ca="1" si="322"/>
        <v>1.0226640698153575</v>
      </c>
      <c r="N949" s="648">
        <f t="shared" ca="1" si="322"/>
        <v>198.90191651384666</v>
      </c>
      <c r="O949" s="648">
        <f t="shared" ca="1" si="322"/>
        <v>19.613350244268005</v>
      </c>
      <c r="P949" s="648">
        <f t="shared" ca="1" si="322"/>
        <v>0.55443752505444732</v>
      </c>
      <c r="Q949" s="648">
        <f t="shared" ca="1" si="322"/>
        <v>76.218560446490827</v>
      </c>
      <c r="R949" s="648">
        <f t="shared" ca="1" si="322"/>
        <v>1.3435219092085409</v>
      </c>
      <c r="S949" s="648">
        <f t="shared" ca="1" si="322"/>
        <v>7.4215185477966816</v>
      </c>
      <c r="T949" s="803"/>
      <c r="U949" s="646">
        <f t="shared" ca="1" si="323"/>
        <v>2356.6799999999994</v>
      </c>
      <c r="X949" s="646">
        <f t="shared" ca="1" si="306"/>
        <v>0</v>
      </c>
    </row>
    <row r="950" spans="2:24" s="589" customFormat="1" x14ac:dyDescent="0.2">
      <c r="B950" s="645">
        <f t="shared" si="320"/>
        <v>12</v>
      </c>
      <c r="C950" s="649" t="s">
        <v>257</v>
      </c>
      <c r="D950" s="647" t="s">
        <v>189</v>
      </c>
      <c r="E950" s="614"/>
      <c r="F950" s="646">
        <f>' WP II-I-1.4'!G950</f>
        <v>0</v>
      </c>
      <c r="G950" s="645">
        <v>77</v>
      </c>
      <c r="H950" s="620" t="str">
        <f t="shared" si="321"/>
        <v>O&amp;M x565</v>
      </c>
      <c r="I950" s="803"/>
      <c r="J950" s="648">
        <f t="shared" ca="1" si="322"/>
        <v>0</v>
      </c>
      <c r="K950" s="648">
        <f t="shared" ca="1" si="322"/>
        <v>0</v>
      </c>
      <c r="L950" s="648">
        <f t="shared" ca="1" si="322"/>
        <v>0</v>
      </c>
      <c r="M950" s="648">
        <f t="shared" ca="1" si="322"/>
        <v>0</v>
      </c>
      <c r="N950" s="648">
        <f t="shared" ca="1" si="322"/>
        <v>0</v>
      </c>
      <c r="O950" s="648">
        <f t="shared" ca="1" si="322"/>
        <v>0</v>
      </c>
      <c r="P950" s="648">
        <f t="shared" ca="1" si="322"/>
        <v>0</v>
      </c>
      <c r="Q950" s="648">
        <f t="shared" ca="1" si="322"/>
        <v>0</v>
      </c>
      <c r="R950" s="648">
        <f t="shared" ca="1" si="322"/>
        <v>0</v>
      </c>
      <c r="S950" s="648">
        <f t="shared" ca="1" si="322"/>
        <v>0</v>
      </c>
      <c r="T950" s="803"/>
      <c r="U950" s="646">
        <f t="shared" ca="1" si="323"/>
        <v>0</v>
      </c>
      <c r="X950" s="646">
        <f t="shared" ca="1" si="306"/>
        <v>0</v>
      </c>
    </row>
    <row r="951" spans="2:24" s="589" customFormat="1" x14ac:dyDescent="0.2">
      <c r="B951" s="645">
        <f t="shared" si="320"/>
        <v>13</v>
      </c>
      <c r="C951" s="649" t="s">
        <v>258</v>
      </c>
      <c r="D951" s="647" t="s">
        <v>259</v>
      </c>
      <c r="E951" s="614"/>
      <c r="F951" s="646">
        <f>' WP II-I-1.4'!G951</f>
        <v>4100.4599999999991</v>
      </c>
      <c r="G951" s="645">
        <v>62</v>
      </c>
      <c r="H951" s="620" t="str">
        <f t="shared" si="321"/>
        <v>PLTGEN</v>
      </c>
      <c r="I951" s="803"/>
      <c r="J951" s="648">
        <f t="shared" ca="1" si="322"/>
        <v>2237.138185384646</v>
      </c>
      <c r="K951" s="648">
        <f t="shared" ca="1" si="322"/>
        <v>59.21919093887017</v>
      </c>
      <c r="L951" s="648">
        <f t="shared" ca="1" si="322"/>
        <v>1424.2689001160652</v>
      </c>
      <c r="M951" s="648">
        <f t="shared" ca="1" si="322"/>
        <v>0.42911219012724927</v>
      </c>
      <c r="N951" s="648">
        <f t="shared" ca="1" si="322"/>
        <v>269.73437816715864</v>
      </c>
      <c r="O951" s="648">
        <f t="shared" ca="1" si="322"/>
        <v>31.517361275555857</v>
      </c>
      <c r="P951" s="648">
        <f t="shared" ca="1" si="322"/>
        <v>5.3193564955447927</v>
      </c>
      <c r="Q951" s="648">
        <f t="shared" ca="1" si="322"/>
        <v>60.305136596616869</v>
      </c>
      <c r="R951" s="648">
        <f t="shared" ca="1" si="322"/>
        <v>2.1786031448736818</v>
      </c>
      <c r="S951" s="648">
        <f t="shared" ca="1" si="322"/>
        <v>10.349775690540895</v>
      </c>
      <c r="T951" s="803"/>
      <c r="U951" s="646">
        <f ca="1">SUM(I951:T951)</f>
        <v>4100.4599999999991</v>
      </c>
      <c r="X951" s="646">
        <f t="shared" ca="1" si="306"/>
        <v>0</v>
      </c>
    </row>
    <row r="952" spans="2:24" s="589" customFormat="1" x14ac:dyDescent="0.2">
      <c r="B952" s="645">
        <f t="shared" si="320"/>
        <v>14</v>
      </c>
      <c r="C952" s="650" t="s">
        <v>260</v>
      </c>
      <c r="D952" s="647" t="s">
        <v>259</v>
      </c>
      <c r="E952" s="614"/>
      <c r="F952" s="646">
        <f>' WP II-I-1.4'!G952</f>
        <v>1044798.28</v>
      </c>
      <c r="G952" s="645">
        <v>62</v>
      </c>
      <c r="H952" s="620" t="str">
        <f t="shared" si="321"/>
        <v>PLTGEN</v>
      </c>
      <c r="I952" s="803"/>
      <c r="J952" s="651">
        <f t="shared" ca="1" si="322"/>
        <v>570023.39450017794</v>
      </c>
      <c r="K952" s="651">
        <f t="shared" ca="1" si="322"/>
        <v>15089.065333139002</v>
      </c>
      <c r="L952" s="651">
        <f t="shared" ca="1" si="322"/>
        <v>362904.08810200734</v>
      </c>
      <c r="M952" s="651">
        <f t="shared" ca="1" si="322"/>
        <v>109.33789822897508</v>
      </c>
      <c r="N952" s="651">
        <f t="shared" ca="1" si="322"/>
        <v>68728.390074751849</v>
      </c>
      <c r="O952" s="651">
        <f t="shared" ca="1" si="322"/>
        <v>8030.6318927240782</v>
      </c>
      <c r="P952" s="651">
        <f t="shared" ca="1" si="322"/>
        <v>1355.3734257259011</v>
      </c>
      <c r="Q952" s="651">
        <f t="shared" ca="1" si="322"/>
        <v>15365.764570636069</v>
      </c>
      <c r="R952" s="651">
        <f t="shared" ca="1" si="322"/>
        <v>555.10865087492959</v>
      </c>
      <c r="S952" s="651">
        <f t="shared" ca="1" si="322"/>
        <v>2637.1255517339378</v>
      </c>
      <c r="T952" s="803"/>
      <c r="U952" s="646">
        <f t="shared" ca="1" si="323"/>
        <v>1044798.2799999999</v>
      </c>
      <c r="X952" s="646">
        <f t="shared" ca="1" si="306"/>
        <v>0</v>
      </c>
    </row>
    <row r="953" spans="2:24" s="589" customFormat="1" ht="15" x14ac:dyDescent="0.25">
      <c r="B953" s="645">
        <f t="shared" si="320"/>
        <v>15</v>
      </c>
      <c r="C953" s="8" t="s">
        <v>636</v>
      </c>
      <c r="D953" s="32"/>
      <c r="E953" s="21"/>
      <c r="F953" s="21">
        <f>SUM(F940:F952)</f>
        <v>68416703.059999987</v>
      </c>
      <c r="G953" s="21"/>
      <c r="H953" s="21"/>
      <c r="I953" s="805"/>
      <c r="J953" s="805">
        <f t="shared" ref="J953:Q953" ca="1" si="324">SUM(J940:J952)</f>
        <v>35871253.492915228</v>
      </c>
      <c r="K953" s="805">
        <f t="shared" ca="1" si="324"/>
        <v>791011.01651746186</v>
      </c>
      <c r="L953" s="805">
        <f t="shared" ca="1" si="324"/>
        <v>22936407.711222656</v>
      </c>
      <c r="M953" s="805">
        <f t="shared" ca="1" si="324"/>
        <v>29343.533555056394</v>
      </c>
      <c r="N953" s="805">
        <f t="shared" ca="1" si="324"/>
        <v>5754787.196612821</v>
      </c>
      <c r="O953" s="805">
        <f ca="1">SUM(O940:O952)</f>
        <v>568727.29739268229</v>
      </c>
      <c r="P953" s="805">
        <f t="shared" ca="1" si="324"/>
        <v>17209.785020256775</v>
      </c>
      <c r="Q953" s="805">
        <f t="shared" ca="1" si="324"/>
        <v>2194201.7480815924</v>
      </c>
      <c r="R953" s="805">
        <f ca="1">SUM(R940:R952)</f>
        <v>38963.061936706363</v>
      </c>
      <c r="S953" s="805">
        <f ca="1">SUM(S940:S952)</f>
        <v>214798.21674552848</v>
      </c>
      <c r="T953" s="21"/>
      <c r="U953" s="235">
        <f t="shared" ca="1" si="323"/>
        <v>68416703.059999973</v>
      </c>
      <c r="X953" s="646">
        <f t="shared" ca="1" si="306"/>
        <v>0</v>
      </c>
    </row>
    <row r="954" spans="2:24" s="589" customFormat="1" x14ac:dyDescent="0.2">
      <c r="B954" s="645">
        <f t="shared" si="320"/>
        <v>16</v>
      </c>
      <c r="C954" s="647"/>
      <c r="D954" s="647"/>
      <c r="E954" s="614"/>
      <c r="F954" s="614"/>
      <c r="G954" s="614"/>
      <c r="H954" s="614"/>
      <c r="I954" s="614"/>
      <c r="J954" s="614"/>
      <c r="K954" s="614"/>
      <c r="L954" s="614"/>
      <c r="M954" s="614"/>
      <c r="N954" s="614"/>
      <c r="O954" s="614"/>
      <c r="P954" s="614"/>
      <c r="Q954" s="614"/>
      <c r="R954" s="614"/>
      <c r="S954" s="614"/>
      <c r="T954" s="614"/>
      <c r="U954" s="647"/>
      <c r="X954" s="646">
        <f t="shared" si="306"/>
        <v>0</v>
      </c>
    </row>
    <row r="955" spans="2:24" s="589" customFormat="1" ht="15" x14ac:dyDescent="0.25">
      <c r="B955" s="645">
        <f t="shared" si="320"/>
        <v>17</v>
      </c>
      <c r="C955" s="8"/>
      <c r="D955" s="233" t="s">
        <v>637</v>
      </c>
      <c r="E955" s="644"/>
      <c r="F955" s="21">
        <f>SUM(F941:F952)</f>
        <v>1051255.42</v>
      </c>
      <c r="G955" s="644"/>
      <c r="H955" s="644"/>
      <c r="I955" s="644"/>
      <c r="J955" s="21">
        <f t="shared" ref="J955:Q955" ca="1" si="325">SUM(J941:J952)</f>
        <v>573495.37225869705</v>
      </c>
      <c r="K955" s="21">
        <f t="shared" ca="1" si="325"/>
        <v>15175.42597839259</v>
      </c>
      <c r="L955" s="21">
        <f t="shared" ca="1" si="325"/>
        <v>365117.98000541778</v>
      </c>
      <c r="M955" s="21">
        <f t="shared" ca="1" si="325"/>
        <v>110.78967448891768</v>
      </c>
      <c r="N955" s="21">
        <f t="shared" ca="1" si="325"/>
        <v>69197.026369432861</v>
      </c>
      <c r="O955" s="21">
        <f ca="1">SUM(O941:O952)</f>
        <v>8081.7626042439024</v>
      </c>
      <c r="P955" s="21">
        <f t="shared" ca="1" si="325"/>
        <v>1361.2472197465004</v>
      </c>
      <c r="Q955" s="21">
        <f t="shared" ca="1" si="325"/>
        <v>15502.288267679176</v>
      </c>
      <c r="R955" s="21">
        <f ca="1">SUM(R941:R952)</f>
        <v>558.63077592901186</v>
      </c>
      <c r="S955" s="21">
        <f ca="1">SUM(S941:S952)</f>
        <v>2654.8968459722755</v>
      </c>
      <c r="T955" s="644"/>
      <c r="U955" s="235">
        <f ca="1">SUM(I955:T955)</f>
        <v>1051255.42</v>
      </c>
      <c r="X955" s="646">
        <f t="shared" ca="1" si="306"/>
        <v>0</v>
      </c>
    </row>
    <row r="956" spans="2:24" s="589" customFormat="1" ht="15" thickBot="1" x14ac:dyDescent="0.25">
      <c r="B956" s="645">
        <f t="shared" si="320"/>
        <v>18</v>
      </c>
      <c r="C956" s="647"/>
      <c r="D956" s="652"/>
      <c r="E956" s="645"/>
      <c r="F956" s="614"/>
      <c r="G956" s="645"/>
      <c r="H956" s="645"/>
      <c r="I956" s="645"/>
      <c r="J956" s="614"/>
      <c r="K956" s="614"/>
      <c r="L956" s="614"/>
      <c r="M956" s="614"/>
      <c r="N956" s="614"/>
      <c r="O956" s="614"/>
      <c r="P956" s="614"/>
      <c r="Q956" s="614"/>
      <c r="R956" s="614"/>
      <c r="S956" s="614"/>
      <c r="T956" s="645"/>
      <c r="U956" s="647"/>
      <c r="X956" s="646">
        <f t="shared" si="306"/>
        <v>0</v>
      </c>
    </row>
    <row r="957" spans="2:24" s="589" customFormat="1" ht="15.75" thickBot="1" x14ac:dyDescent="0.3">
      <c r="B957" s="645">
        <f t="shared" si="320"/>
        <v>19</v>
      </c>
      <c r="C957" s="223" t="s">
        <v>638</v>
      </c>
      <c r="D957" s="224"/>
      <c r="E957" s="309" t="s">
        <v>262</v>
      </c>
      <c r="F957" s="194">
        <f>+F925+F953</f>
        <v>222468970.81999999</v>
      </c>
      <c r="G957" s="309"/>
      <c r="H957" s="402"/>
      <c r="I957" s="968"/>
      <c r="J957" s="381">
        <f t="shared" ref="J957:Q957" ca="1" si="326">+J925+J953</f>
        <v>118225454.66327918</v>
      </c>
      <c r="K957" s="812">
        <f t="shared" ca="1" si="326"/>
        <v>2703528.7101148143</v>
      </c>
      <c r="L957" s="812">
        <f t="shared" ca="1" si="326"/>
        <v>75566668.709479958</v>
      </c>
      <c r="M957" s="812">
        <f t="shared" ca="1" si="326"/>
        <v>118373.67704047647</v>
      </c>
      <c r="N957" s="812">
        <f t="shared" ca="1" si="326"/>
        <v>19339925.910444148</v>
      </c>
      <c r="O957" s="812">
        <f ca="1">+O925+O953</f>
        <v>2542407.0875614006</v>
      </c>
      <c r="P957" s="812">
        <f t="shared" ca="1" si="326"/>
        <v>63506.617016247023</v>
      </c>
      <c r="Q957" s="812">
        <f t="shared" ca="1" si="326"/>
        <v>3018880.5904894155</v>
      </c>
      <c r="R957" s="812">
        <f ca="1">+R925+R953</f>
        <v>174235.92036270074</v>
      </c>
      <c r="S957" s="315">
        <f ca="1">+S925+S953</f>
        <v>715988.93421163107</v>
      </c>
      <c r="T957" s="403"/>
      <c r="U957" s="195">
        <f ca="1">SUM(I957:T957)</f>
        <v>222468970.81999999</v>
      </c>
      <c r="X957" s="646">
        <f t="shared" ca="1" si="306"/>
        <v>0</v>
      </c>
    </row>
    <row r="958" spans="2:24" s="589" customFormat="1" x14ac:dyDescent="0.2">
      <c r="X958" s="646">
        <f t="shared" si="306"/>
        <v>0</v>
      </c>
    </row>
    <row r="959" spans="2:24" s="589" customFormat="1" x14ac:dyDescent="0.2">
      <c r="H959" s="653"/>
      <c r="U959" s="653"/>
      <c r="V959" s="653">
        <f>$H$2</f>
        <v>0</v>
      </c>
      <c r="W959" s="653"/>
      <c r="X959" s="646"/>
    </row>
    <row r="960" spans="2:24" s="589" customFormat="1" ht="15" thickBot="1" x14ac:dyDescent="0.25">
      <c r="X960" s="646">
        <f t="shared" si="306"/>
        <v>0</v>
      </c>
    </row>
    <row r="961" spans="2:24" s="589" customFormat="1" ht="15" x14ac:dyDescent="0.25">
      <c r="B961" s="829" t="str">
        <f>+$B$4</f>
        <v>2025 RATE CASE</v>
      </c>
      <c r="C961" s="844"/>
      <c r="D961" s="874"/>
      <c r="F961" s="654"/>
      <c r="U961" s="653"/>
      <c r="X961" s="646">
        <f t="shared" si="306"/>
        <v>0</v>
      </c>
    </row>
    <row r="962" spans="2:24" s="589" customFormat="1" ht="15" x14ac:dyDescent="0.25">
      <c r="B962" s="826" t="str">
        <f>+$B$5</f>
        <v>ONCOR ELECTRIC DELIVERY COMPANY LLC</v>
      </c>
      <c r="C962" s="8"/>
      <c r="D962" s="875"/>
      <c r="F962" s="654"/>
      <c r="U962" s="653"/>
      <c r="X962" s="646">
        <f t="shared" ref="X962:X1030" si="327">U962-F962</f>
        <v>0</v>
      </c>
    </row>
    <row r="963" spans="2:24" s="589" customFormat="1" ht="15" x14ac:dyDescent="0.25">
      <c r="B963" s="826" t="str">
        <f>+$B$6</f>
        <v>II-I-1-DIST:  CLASS REVENUE REQUIREMENT</v>
      </c>
      <c r="C963" s="82"/>
      <c r="D963" s="875"/>
      <c r="F963" s="654"/>
      <c r="U963" s="654"/>
      <c r="X963" s="646">
        <f t="shared" si="327"/>
        <v>0</v>
      </c>
    </row>
    <row r="964" spans="2:24" s="589" customFormat="1" ht="15" x14ac:dyDescent="0.25">
      <c r="B964" s="341" t="str">
        <f>+$B$7</f>
        <v>TEST YEAR ENDING 12/31/2024</v>
      </c>
      <c r="C964" s="82"/>
      <c r="D964" s="875"/>
      <c r="F964" s="654"/>
      <c r="U964" s="654"/>
      <c r="X964" s="646">
        <f t="shared" si="327"/>
        <v>0</v>
      </c>
    </row>
    <row r="965" spans="2:24" s="589" customFormat="1" ht="15" x14ac:dyDescent="0.25">
      <c r="B965" s="341" t="str">
        <f>+$B$8</f>
        <v>SPONSOR:  MATTHEW A. TROXLE</v>
      </c>
      <c r="C965" s="82"/>
      <c r="D965" s="875"/>
      <c r="F965" s="654"/>
      <c r="U965" s="654"/>
      <c r="X965" s="646">
        <f t="shared" si="327"/>
        <v>0</v>
      </c>
    </row>
    <row r="966" spans="2:24" s="589" customFormat="1" ht="15.75" thickBot="1" x14ac:dyDescent="0.3">
      <c r="B966" s="345"/>
      <c r="C966" s="843"/>
      <c r="D966" s="876"/>
      <c r="F966" s="654"/>
      <c r="U966" s="654"/>
      <c r="X966" s="646">
        <f t="shared" si="327"/>
        <v>0</v>
      </c>
    </row>
    <row r="967" spans="2:24" s="589" customFormat="1" ht="15" thickBot="1" x14ac:dyDescent="0.25">
      <c r="B967" s="655"/>
      <c r="C967" s="656"/>
      <c r="D967" s="656"/>
      <c r="E967" s="656"/>
      <c r="F967" s="655"/>
      <c r="G967" s="656"/>
      <c r="H967" s="656"/>
      <c r="I967" s="656"/>
      <c r="J967" s="657"/>
      <c r="K967" s="657"/>
      <c r="L967" s="656"/>
      <c r="M967" s="657"/>
      <c r="N967" s="657"/>
      <c r="O967" s="657"/>
      <c r="P967" s="657"/>
      <c r="Q967" s="656"/>
      <c r="R967" s="658" t="str">
        <f>R$10</f>
        <v xml:space="preserve"> </v>
      </c>
      <c r="S967" s="659"/>
      <c r="T967" s="657"/>
      <c r="U967" s="655"/>
      <c r="X967" s="646">
        <f t="shared" si="327"/>
        <v>0</v>
      </c>
    </row>
    <row r="968" spans="2:24" s="589" customFormat="1" ht="15" x14ac:dyDescent="0.25">
      <c r="B968" s="660" t="s">
        <v>2</v>
      </c>
      <c r="C968" s="660" t="s">
        <v>349</v>
      </c>
      <c r="D968" s="226" t="s">
        <v>639</v>
      </c>
      <c r="E968" s="660" t="s">
        <v>350</v>
      </c>
      <c r="F968" s="226" t="str">
        <f>F$11</f>
        <v>DIST</v>
      </c>
      <c r="G968" s="661" t="s">
        <v>688</v>
      </c>
      <c r="H968" s="661" t="s">
        <v>355</v>
      </c>
      <c r="I968" s="660"/>
      <c r="J968" s="661" t="s">
        <v>679</v>
      </c>
      <c r="K968" s="661" t="s">
        <v>388</v>
      </c>
      <c r="L968" s="660" t="s">
        <v>388</v>
      </c>
      <c r="M968" s="661" t="s">
        <v>389</v>
      </c>
      <c r="N968" s="661" t="s">
        <v>389</v>
      </c>
      <c r="O968" s="661" t="s">
        <v>389</v>
      </c>
      <c r="P968" s="661" t="s">
        <v>390</v>
      </c>
      <c r="Q968" s="660" t="s">
        <v>391</v>
      </c>
      <c r="R968" s="662" t="str">
        <f>R$11</f>
        <v>Wholesale</v>
      </c>
      <c r="S968" s="655" t="str">
        <f>S$11</f>
        <v>Wholesale</v>
      </c>
      <c r="T968" s="661"/>
      <c r="U968" s="660" t="s">
        <v>10</v>
      </c>
      <c r="X968" s="646"/>
    </row>
    <row r="969" spans="2:24" s="589" customFormat="1" x14ac:dyDescent="0.2">
      <c r="B969" s="660"/>
      <c r="C969" s="660"/>
      <c r="D969" s="660"/>
      <c r="E969" s="660"/>
      <c r="F969" s="660"/>
      <c r="G969" s="661" t="s">
        <v>689</v>
      </c>
      <c r="H969" s="661" t="s">
        <v>690</v>
      </c>
      <c r="I969" s="660"/>
      <c r="J969" s="661"/>
      <c r="K969" s="661" t="s">
        <v>680</v>
      </c>
      <c r="L969" s="660" t="s">
        <v>681</v>
      </c>
      <c r="M969" s="661" t="s">
        <v>680</v>
      </c>
      <c r="N969" s="661" t="s">
        <v>681</v>
      </c>
      <c r="O969" s="661" t="s">
        <v>393</v>
      </c>
      <c r="P969" s="661"/>
      <c r="Q969" s="660"/>
      <c r="R969" s="663" t="str">
        <f>R$12</f>
        <v>XFMR</v>
      </c>
      <c r="S969" s="660" t="str">
        <f>S$12</f>
        <v>DLS</v>
      </c>
      <c r="T969" s="661"/>
      <c r="U969" s="660"/>
      <c r="X969" s="646">
        <f t="shared" si="327"/>
        <v>0</v>
      </c>
    </row>
    <row r="970" spans="2:24" s="589" customFormat="1" ht="15" thickBot="1" x14ac:dyDescent="0.25">
      <c r="B970" s="664"/>
      <c r="C970" s="664"/>
      <c r="D970" s="664"/>
      <c r="E970" s="664"/>
      <c r="F970" s="664" t="s">
        <v>13</v>
      </c>
      <c r="G970" s="664" t="s">
        <v>14</v>
      </c>
      <c r="H970" s="664" t="s">
        <v>15</v>
      </c>
      <c r="I970" s="664"/>
      <c r="J970" s="665" t="str">
        <f t="shared" ref="J970:Q970" si="328">J$13</f>
        <v>(d)</v>
      </c>
      <c r="K970" s="665" t="str">
        <f t="shared" si="328"/>
        <v>(e)</v>
      </c>
      <c r="L970" s="664" t="str">
        <f t="shared" si="328"/>
        <v>(f)</v>
      </c>
      <c r="M970" s="665" t="str">
        <f t="shared" si="328"/>
        <v>(g)</v>
      </c>
      <c r="N970" s="665" t="str">
        <f t="shared" si="328"/>
        <v>(h)</v>
      </c>
      <c r="O970" s="665" t="str">
        <f>O$13</f>
        <v>(i)</v>
      </c>
      <c r="P970" s="665" t="str">
        <f t="shared" si="328"/>
        <v>(j)</v>
      </c>
      <c r="Q970" s="665" t="str">
        <f t="shared" si="328"/>
        <v>(k)</v>
      </c>
      <c r="R970" s="665" t="str">
        <f>R$13</f>
        <v>(l)</v>
      </c>
      <c r="S970" s="664" t="str">
        <f>S$13</f>
        <v>(m)</v>
      </c>
      <c r="T970" s="664"/>
      <c r="U970" s="664" t="s">
        <v>683</v>
      </c>
      <c r="X970" s="646"/>
    </row>
    <row r="971" spans="2:24" s="589" customFormat="1" ht="15" x14ac:dyDescent="0.25">
      <c r="C971" s="666"/>
      <c r="D971" s="611"/>
      <c r="E971" s="35"/>
      <c r="F971" s="611"/>
      <c r="G971" s="35"/>
      <c r="H971" s="806"/>
      <c r="I971" s="806"/>
      <c r="J971" s="806"/>
      <c r="K971" s="806"/>
      <c r="L971" s="806"/>
      <c r="M971" s="806"/>
      <c r="N971" s="806"/>
      <c r="O971" s="806"/>
      <c r="P971" s="806"/>
      <c r="Q971" s="806"/>
      <c r="R971" s="806"/>
      <c r="S971" s="806"/>
      <c r="T971" s="35"/>
      <c r="U971" s="611"/>
      <c r="X971" s="646">
        <f t="shared" si="327"/>
        <v>0</v>
      </c>
    </row>
    <row r="972" spans="2:24" s="589" customFormat="1" ht="15" x14ac:dyDescent="0.25">
      <c r="B972" s="645">
        <f t="shared" ref="B972:B978" si="329">B971+1</f>
        <v>1</v>
      </c>
      <c r="C972" s="667"/>
      <c r="D972" s="611" t="s">
        <v>272</v>
      </c>
      <c r="E972" s="35" t="s">
        <v>273</v>
      </c>
      <c r="F972" s="312">
        <v>0</v>
      </c>
      <c r="G972" s="645">
        <v>6</v>
      </c>
      <c r="H972" s="647" t="str">
        <f>VLOOKUP(G972,FactorTable,2)</f>
        <v>CUS W ALL</v>
      </c>
      <c r="I972" s="806"/>
      <c r="J972" s="648">
        <f t="shared" ref="J972:S976" si="330">$F972*HLOOKUP(J$1354,FactorTable,$G972+1)</f>
        <v>0</v>
      </c>
      <c r="K972" s="648">
        <f t="shared" si="330"/>
        <v>0</v>
      </c>
      <c r="L972" s="648">
        <f t="shared" si="330"/>
        <v>0</v>
      </c>
      <c r="M972" s="648">
        <f t="shared" si="330"/>
        <v>0</v>
      </c>
      <c r="N972" s="648">
        <f t="shared" si="330"/>
        <v>0</v>
      </c>
      <c r="O972" s="648">
        <f t="shared" si="330"/>
        <v>0</v>
      </c>
      <c r="P972" s="648">
        <f t="shared" si="330"/>
        <v>0</v>
      </c>
      <c r="Q972" s="648">
        <f t="shared" si="330"/>
        <v>0</v>
      </c>
      <c r="R972" s="648">
        <f t="shared" si="330"/>
        <v>0</v>
      </c>
      <c r="S972" s="648">
        <f t="shared" si="330"/>
        <v>0</v>
      </c>
      <c r="T972" s="806"/>
      <c r="U972" s="646">
        <f>SUM(I972:T972)</f>
        <v>0</v>
      </c>
      <c r="X972" s="646">
        <f t="shared" si="327"/>
        <v>0</v>
      </c>
    </row>
    <row r="973" spans="2:24" s="589" customFormat="1" ht="15" x14ac:dyDescent="0.25">
      <c r="B973" s="645">
        <f t="shared" si="329"/>
        <v>2</v>
      </c>
      <c r="C973" s="269"/>
      <c r="D973" s="611" t="s">
        <v>274</v>
      </c>
      <c r="E973" s="35" t="s">
        <v>273</v>
      </c>
      <c r="F973" s="312">
        <v>0</v>
      </c>
      <c r="G973" s="645">
        <v>6</v>
      </c>
      <c r="H973" s="647" t="str">
        <f>VLOOKUP(G973,FactorTable,2)</f>
        <v>CUS W ALL</v>
      </c>
      <c r="I973" s="806"/>
      <c r="J973" s="648">
        <f t="shared" si="330"/>
        <v>0</v>
      </c>
      <c r="K973" s="648">
        <f t="shared" si="330"/>
        <v>0</v>
      </c>
      <c r="L973" s="648">
        <f t="shared" si="330"/>
        <v>0</v>
      </c>
      <c r="M973" s="648">
        <f t="shared" si="330"/>
        <v>0</v>
      </c>
      <c r="N973" s="648">
        <f t="shared" si="330"/>
        <v>0</v>
      </c>
      <c r="O973" s="648">
        <f t="shared" si="330"/>
        <v>0</v>
      </c>
      <c r="P973" s="648">
        <f t="shared" si="330"/>
        <v>0</v>
      </c>
      <c r="Q973" s="648">
        <f t="shared" si="330"/>
        <v>0</v>
      </c>
      <c r="R973" s="648">
        <f t="shared" si="330"/>
        <v>0</v>
      </c>
      <c r="S973" s="648">
        <f t="shared" si="330"/>
        <v>0</v>
      </c>
      <c r="T973" s="806"/>
      <c r="U973" s="646">
        <f>SUM(I973:T973)</f>
        <v>0</v>
      </c>
      <c r="X973" s="646">
        <f t="shared" si="327"/>
        <v>0</v>
      </c>
    </row>
    <row r="974" spans="2:24" s="589" customFormat="1" ht="15" x14ac:dyDescent="0.25">
      <c r="B974" s="645">
        <f t="shared" si="329"/>
        <v>3</v>
      </c>
      <c r="C974" s="611"/>
      <c r="D974" s="611" t="s">
        <v>275</v>
      </c>
      <c r="E974" s="35" t="s">
        <v>276</v>
      </c>
      <c r="F974" s="312">
        <v>0</v>
      </c>
      <c r="G974" s="645">
        <v>6</v>
      </c>
      <c r="H974" s="647" t="str">
        <f>VLOOKUP(G974,FactorTable,2)</f>
        <v>CUS W ALL</v>
      </c>
      <c r="I974" s="806"/>
      <c r="J974" s="648">
        <f t="shared" si="330"/>
        <v>0</v>
      </c>
      <c r="K974" s="648">
        <f t="shared" si="330"/>
        <v>0</v>
      </c>
      <c r="L974" s="648">
        <f t="shared" si="330"/>
        <v>0</v>
      </c>
      <c r="M974" s="648">
        <f t="shared" si="330"/>
        <v>0</v>
      </c>
      <c r="N974" s="648">
        <f t="shared" si="330"/>
        <v>0</v>
      </c>
      <c r="O974" s="648">
        <f t="shared" si="330"/>
        <v>0</v>
      </c>
      <c r="P974" s="648">
        <f t="shared" si="330"/>
        <v>0</v>
      </c>
      <c r="Q974" s="648">
        <f t="shared" si="330"/>
        <v>0</v>
      </c>
      <c r="R974" s="648">
        <f t="shared" si="330"/>
        <v>0</v>
      </c>
      <c r="S974" s="648">
        <f t="shared" si="330"/>
        <v>0</v>
      </c>
      <c r="T974" s="806"/>
      <c r="U974" s="646">
        <f>SUM(I974:T974)</f>
        <v>0</v>
      </c>
      <c r="X974" s="646">
        <f t="shared" si="327"/>
        <v>0</v>
      </c>
    </row>
    <row r="975" spans="2:24" s="589" customFormat="1" ht="15" x14ac:dyDescent="0.25">
      <c r="B975" s="645">
        <f t="shared" si="329"/>
        <v>4</v>
      </c>
      <c r="C975" s="611"/>
      <c r="D975" s="611" t="s">
        <v>277</v>
      </c>
      <c r="E975" s="35" t="s">
        <v>276</v>
      </c>
      <c r="F975" s="312">
        <v>0</v>
      </c>
      <c r="G975" s="645">
        <v>6</v>
      </c>
      <c r="H975" s="647" t="str">
        <f>VLOOKUP(G975,FactorTable,2)</f>
        <v>CUS W ALL</v>
      </c>
      <c r="I975" s="806"/>
      <c r="J975" s="648">
        <f t="shared" si="330"/>
        <v>0</v>
      </c>
      <c r="K975" s="648">
        <f t="shared" si="330"/>
        <v>0</v>
      </c>
      <c r="L975" s="648">
        <f t="shared" si="330"/>
        <v>0</v>
      </c>
      <c r="M975" s="648">
        <f t="shared" si="330"/>
        <v>0</v>
      </c>
      <c r="N975" s="648">
        <f t="shared" si="330"/>
        <v>0</v>
      </c>
      <c r="O975" s="648">
        <f t="shared" si="330"/>
        <v>0</v>
      </c>
      <c r="P975" s="648">
        <f t="shared" si="330"/>
        <v>0</v>
      </c>
      <c r="Q975" s="648">
        <f t="shared" si="330"/>
        <v>0</v>
      </c>
      <c r="R975" s="648">
        <f t="shared" si="330"/>
        <v>0</v>
      </c>
      <c r="S975" s="648">
        <f t="shared" si="330"/>
        <v>0</v>
      </c>
      <c r="T975" s="806"/>
      <c r="U975" s="646">
        <f>SUM(I975:T975)</f>
        <v>0</v>
      </c>
      <c r="X975" s="646">
        <f t="shared" si="327"/>
        <v>0</v>
      </c>
    </row>
    <row r="976" spans="2:24" s="589" customFormat="1" ht="15" x14ac:dyDescent="0.25">
      <c r="B976" s="645">
        <f t="shared" si="329"/>
        <v>5</v>
      </c>
      <c r="C976" s="611"/>
      <c r="D976" s="611" t="s">
        <v>278</v>
      </c>
      <c r="E976" s="35" t="s">
        <v>276</v>
      </c>
      <c r="F976" s="312">
        <v>0</v>
      </c>
      <c r="G976" s="645">
        <v>6</v>
      </c>
      <c r="H976" s="647" t="str">
        <f>VLOOKUP(G976,FactorTable,2)</f>
        <v>CUS W ALL</v>
      </c>
      <c r="I976" s="806"/>
      <c r="J976" s="648">
        <f t="shared" si="330"/>
        <v>0</v>
      </c>
      <c r="K976" s="648">
        <f t="shared" si="330"/>
        <v>0</v>
      </c>
      <c r="L976" s="648">
        <f t="shared" si="330"/>
        <v>0</v>
      </c>
      <c r="M976" s="648">
        <f t="shared" si="330"/>
        <v>0</v>
      </c>
      <c r="N976" s="648">
        <f t="shared" si="330"/>
        <v>0</v>
      </c>
      <c r="O976" s="648">
        <f t="shared" si="330"/>
        <v>0</v>
      </c>
      <c r="P976" s="648">
        <f t="shared" si="330"/>
        <v>0</v>
      </c>
      <c r="Q976" s="648">
        <f t="shared" si="330"/>
        <v>0</v>
      </c>
      <c r="R976" s="648">
        <f t="shared" si="330"/>
        <v>0</v>
      </c>
      <c r="S976" s="648">
        <f t="shared" si="330"/>
        <v>0</v>
      </c>
      <c r="T976" s="806"/>
      <c r="U976" s="646">
        <f>SUM(I976:T976)</f>
        <v>0</v>
      </c>
      <c r="X976" s="646">
        <f t="shared" si="327"/>
        <v>0</v>
      </c>
    </row>
    <row r="977" spans="2:24" s="589" customFormat="1" ht="15.75" thickBot="1" x14ac:dyDescent="0.3">
      <c r="B977" s="645">
        <f t="shared" si="329"/>
        <v>6</v>
      </c>
      <c r="C977" s="611"/>
      <c r="D977" s="611"/>
      <c r="E977" s="35"/>
      <c r="F977" s="312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646"/>
      <c r="X977" s="646">
        <f t="shared" si="327"/>
        <v>0</v>
      </c>
    </row>
    <row r="978" spans="2:24" s="589" customFormat="1" ht="15.75" thickBot="1" x14ac:dyDescent="0.3">
      <c r="B978" s="645">
        <f t="shared" si="329"/>
        <v>7</v>
      </c>
      <c r="C978" s="276" t="s">
        <v>640</v>
      </c>
      <c r="D978" s="271"/>
      <c r="E978" s="272"/>
      <c r="F978" s="217">
        <f>+F972+F973+F974+F975</f>
        <v>0</v>
      </c>
      <c r="G978" s="272"/>
      <c r="H978" s="392"/>
      <c r="I978" s="568"/>
      <c r="J978" s="291">
        <f t="shared" ref="J978:Q978" si="331">+J972+J973+J974+J975</f>
        <v>0</v>
      </c>
      <c r="K978" s="217">
        <f t="shared" si="331"/>
        <v>0</v>
      </c>
      <c r="L978" s="218">
        <f t="shared" si="331"/>
        <v>0</v>
      </c>
      <c r="M978" s="291">
        <f t="shared" si="331"/>
        <v>0</v>
      </c>
      <c r="N978" s="217">
        <f t="shared" si="331"/>
        <v>0</v>
      </c>
      <c r="O978" s="217">
        <f>+O972+O973+O974+O975</f>
        <v>0</v>
      </c>
      <c r="P978" s="217">
        <f t="shared" si="331"/>
        <v>0</v>
      </c>
      <c r="Q978" s="217">
        <f t="shared" si="331"/>
        <v>0</v>
      </c>
      <c r="R978" s="217">
        <f>+R972+R973+R974+R975</f>
        <v>0</v>
      </c>
      <c r="S978" s="218">
        <f>+S972+S973+S974+S975</f>
        <v>0</v>
      </c>
      <c r="T978" s="393"/>
      <c r="U978" s="195">
        <f>SUM(I978:T978)</f>
        <v>0</v>
      </c>
      <c r="X978" s="646">
        <f t="shared" si="327"/>
        <v>0</v>
      </c>
    </row>
    <row r="979" spans="2:24" s="589" customFormat="1" x14ac:dyDescent="0.2">
      <c r="X979" s="646">
        <f t="shared" si="327"/>
        <v>0</v>
      </c>
    </row>
    <row r="980" spans="2:24" s="589" customFormat="1" ht="6.95" customHeight="1" thickBot="1" x14ac:dyDescent="0.25">
      <c r="H980" s="653"/>
      <c r="U980" s="653"/>
      <c r="V980" s="653">
        <f>$H$2</f>
        <v>0</v>
      </c>
      <c r="W980" s="653"/>
      <c r="X980" s="646"/>
    </row>
    <row r="981" spans="2:24" s="589" customFormat="1" ht="15" x14ac:dyDescent="0.25">
      <c r="B981" s="829" t="str">
        <f>+$B$4</f>
        <v>2025 RATE CASE</v>
      </c>
      <c r="C981" s="844"/>
      <c r="D981" s="874"/>
      <c r="F981" s="654"/>
      <c r="U981" s="653"/>
      <c r="X981" s="646">
        <f t="shared" si="327"/>
        <v>0</v>
      </c>
    </row>
    <row r="982" spans="2:24" s="589" customFormat="1" ht="15" x14ac:dyDescent="0.25">
      <c r="B982" s="826" t="str">
        <f>+$B$5</f>
        <v>ONCOR ELECTRIC DELIVERY COMPANY LLC</v>
      </c>
      <c r="C982" s="8"/>
      <c r="D982" s="875"/>
      <c r="F982" s="654"/>
      <c r="U982" s="653"/>
      <c r="X982" s="646">
        <f t="shared" si="327"/>
        <v>0</v>
      </c>
    </row>
    <row r="983" spans="2:24" s="589" customFormat="1" ht="15" x14ac:dyDescent="0.25">
      <c r="B983" s="826" t="str">
        <f>+$B$6</f>
        <v>II-I-1-DIST:  CLASS REVENUE REQUIREMENT</v>
      </c>
      <c r="C983" s="82"/>
      <c r="D983" s="875"/>
      <c r="F983" s="654"/>
      <c r="U983" s="654"/>
      <c r="X983" s="646">
        <f t="shared" si="327"/>
        <v>0</v>
      </c>
    </row>
    <row r="984" spans="2:24" s="589" customFormat="1" ht="15" x14ac:dyDescent="0.25">
      <c r="B984" s="341" t="str">
        <f>+$B$7</f>
        <v>TEST YEAR ENDING 12/31/2024</v>
      </c>
      <c r="C984" s="82"/>
      <c r="D984" s="875"/>
      <c r="F984" s="654"/>
      <c r="U984" s="654"/>
      <c r="X984" s="646">
        <f t="shared" si="327"/>
        <v>0</v>
      </c>
    </row>
    <row r="985" spans="2:24" s="589" customFormat="1" ht="15" x14ac:dyDescent="0.25">
      <c r="B985" s="341" t="str">
        <f>+$B$8</f>
        <v>SPONSOR:  MATTHEW A. TROXLE</v>
      </c>
      <c r="C985" s="82"/>
      <c r="D985" s="875"/>
      <c r="F985" s="654"/>
      <c r="U985" s="654"/>
      <c r="X985" s="646">
        <f t="shared" si="327"/>
        <v>0</v>
      </c>
    </row>
    <row r="986" spans="2:24" s="589" customFormat="1" ht="9" customHeight="1" thickBot="1" x14ac:dyDescent="0.3">
      <c r="B986" s="345"/>
      <c r="C986" s="843"/>
      <c r="D986" s="876"/>
      <c r="F986" s="654"/>
      <c r="U986" s="654"/>
      <c r="X986" s="646">
        <f t="shared" si="327"/>
        <v>0</v>
      </c>
    </row>
    <row r="987" spans="2:24" s="589" customFormat="1" ht="9.9499999999999993" customHeight="1" thickBot="1" x14ac:dyDescent="0.25">
      <c r="B987" s="655"/>
      <c r="C987" s="656"/>
      <c r="D987" s="656"/>
      <c r="E987" s="656"/>
      <c r="F987" s="655"/>
      <c r="G987" s="656"/>
      <c r="H987" s="656"/>
      <c r="I987" s="656"/>
      <c r="J987" s="657"/>
      <c r="K987" s="657"/>
      <c r="L987" s="656"/>
      <c r="M987" s="657"/>
      <c r="N987" s="657"/>
      <c r="O987" s="657"/>
      <c r="P987" s="657"/>
      <c r="Q987" s="656"/>
      <c r="R987" s="658" t="str">
        <f>R$10</f>
        <v xml:space="preserve"> </v>
      </c>
      <c r="S987" s="659"/>
      <c r="T987" s="657"/>
      <c r="U987" s="655"/>
      <c r="X987" s="646">
        <f t="shared" si="327"/>
        <v>0</v>
      </c>
    </row>
    <row r="988" spans="2:24" s="589" customFormat="1" ht="15" x14ac:dyDescent="0.25">
      <c r="B988" s="660" t="s">
        <v>2</v>
      </c>
      <c r="C988" s="660" t="s">
        <v>349</v>
      </c>
      <c r="D988" s="226" t="s">
        <v>641</v>
      </c>
      <c r="E988" s="660" t="s">
        <v>350</v>
      </c>
      <c r="F988" s="226" t="str">
        <f>F$11</f>
        <v>DIST</v>
      </c>
      <c r="G988" s="661" t="s">
        <v>688</v>
      </c>
      <c r="H988" s="661" t="s">
        <v>355</v>
      </c>
      <c r="I988" s="660"/>
      <c r="J988" s="661" t="s">
        <v>679</v>
      </c>
      <c r="K988" s="661" t="s">
        <v>388</v>
      </c>
      <c r="L988" s="660" t="s">
        <v>388</v>
      </c>
      <c r="M988" s="661" t="s">
        <v>389</v>
      </c>
      <c r="N988" s="661" t="s">
        <v>389</v>
      </c>
      <c r="O988" s="661" t="s">
        <v>389</v>
      </c>
      <c r="P988" s="661" t="s">
        <v>390</v>
      </c>
      <c r="Q988" s="660" t="s">
        <v>391</v>
      </c>
      <c r="R988" s="662" t="str">
        <f>R$11</f>
        <v>Wholesale</v>
      </c>
      <c r="S988" s="655" t="str">
        <f>S$11</f>
        <v>Wholesale</v>
      </c>
      <c r="T988" s="661"/>
      <c r="U988" s="660" t="s">
        <v>10</v>
      </c>
      <c r="X988" s="646"/>
    </row>
    <row r="989" spans="2:24" s="589" customFormat="1" x14ac:dyDescent="0.2">
      <c r="B989" s="660"/>
      <c r="C989" s="660"/>
      <c r="D989" s="660"/>
      <c r="E989" s="660"/>
      <c r="F989" s="660"/>
      <c r="G989" s="661" t="s">
        <v>689</v>
      </c>
      <c r="H989" s="661" t="s">
        <v>690</v>
      </c>
      <c r="I989" s="660"/>
      <c r="J989" s="661"/>
      <c r="K989" s="661" t="s">
        <v>680</v>
      </c>
      <c r="L989" s="660" t="s">
        <v>681</v>
      </c>
      <c r="M989" s="661" t="s">
        <v>680</v>
      </c>
      <c r="N989" s="661" t="s">
        <v>681</v>
      </c>
      <c r="O989" s="661" t="s">
        <v>393</v>
      </c>
      <c r="P989" s="661"/>
      <c r="Q989" s="660"/>
      <c r="R989" s="663" t="str">
        <f>R$12</f>
        <v>XFMR</v>
      </c>
      <c r="S989" s="660" t="str">
        <f>S$12</f>
        <v>DLS</v>
      </c>
      <c r="T989" s="661"/>
      <c r="U989" s="660"/>
      <c r="X989" s="646">
        <f t="shared" si="327"/>
        <v>0</v>
      </c>
    </row>
    <row r="990" spans="2:24" s="589" customFormat="1" ht="15" thickBot="1" x14ac:dyDescent="0.25">
      <c r="B990" s="664"/>
      <c r="C990" s="664"/>
      <c r="D990" s="664"/>
      <c r="E990" s="664"/>
      <c r="F990" s="664" t="s">
        <v>13</v>
      </c>
      <c r="G990" s="664" t="s">
        <v>14</v>
      </c>
      <c r="H990" s="664" t="s">
        <v>15</v>
      </c>
      <c r="I990" s="664"/>
      <c r="J990" s="665" t="str">
        <f t="shared" ref="J990:Q990" si="332">J$13</f>
        <v>(d)</v>
      </c>
      <c r="K990" s="665" t="str">
        <f t="shared" si="332"/>
        <v>(e)</v>
      </c>
      <c r="L990" s="664" t="str">
        <f t="shared" si="332"/>
        <v>(f)</v>
      </c>
      <c r="M990" s="665" t="str">
        <f t="shared" si="332"/>
        <v>(g)</v>
      </c>
      <c r="N990" s="665" t="str">
        <f t="shared" si="332"/>
        <v>(h)</v>
      </c>
      <c r="O990" s="665" t="str">
        <f>O$13</f>
        <v>(i)</v>
      </c>
      <c r="P990" s="665" t="str">
        <f t="shared" si="332"/>
        <v>(j)</v>
      </c>
      <c r="Q990" s="665" t="str">
        <f t="shared" si="332"/>
        <v>(k)</v>
      </c>
      <c r="R990" s="665" t="str">
        <f>R$13</f>
        <v>(l)</v>
      </c>
      <c r="S990" s="664" t="str">
        <f>S$13</f>
        <v>(m)</v>
      </c>
      <c r="T990" s="664"/>
      <c r="U990" s="664" t="s">
        <v>683</v>
      </c>
      <c r="X990" s="646"/>
    </row>
    <row r="991" spans="2:24" s="589" customFormat="1" x14ac:dyDescent="0.2">
      <c r="C991" s="666"/>
      <c r="D991" s="666"/>
      <c r="E991" s="666"/>
      <c r="F991" s="666"/>
      <c r="G991" s="666"/>
      <c r="H991" s="666"/>
      <c r="I991" s="666"/>
      <c r="J991" s="666"/>
      <c r="K991" s="666"/>
      <c r="L991" s="666"/>
      <c r="M991" s="666"/>
      <c r="N991" s="666"/>
      <c r="O991" s="666"/>
      <c r="P991" s="666"/>
      <c r="Q991" s="666"/>
      <c r="R991" s="666"/>
      <c r="S991" s="666"/>
      <c r="T991" s="666"/>
      <c r="U991" s="611"/>
      <c r="X991" s="646">
        <f t="shared" si="327"/>
        <v>0</v>
      </c>
    </row>
    <row r="992" spans="2:24" s="589" customFormat="1" ht="15" x14ac:dyDescent="0.25">
      <c r="B992" s="645">
        <f t="shared" ref="B992:B1032" si="333">B991+1</f>
        <v>1</v>
      </c>
      <c r="C992" s="301" t="s">
        <v>279</v>
      </c>
      <c r="D992" s="8"/>
      <c r="E992" s="644"/>
      <c r="F992" s="8"/>
      <c r="G992" s="644"/>
      <c r="H992" s="644"/>
      <c r="I992" s="644"/>
      <c r="J992" s="644"/>
      <c r="K992" s="644"/>
      <c r="L992" s="644"/>
      <c r="M992" s="644"/>
      <c r="N992" s="644"/>
      <c r="O992" s="644"/>
      <c r="P992" s="644"/>
      <c r="Q992" s="644"/>
      <c r="R992" s="644"/>
      <c r="S992" s="644"/>
      <c r="T992" s="644"/>
      <c r="U992" s="8"/>
      <c r="X992" s="646">
        <f t="shared" si="327"/>
        <v>0</v>
      </c>
    </row>
    <row r="993" spans="2:24" s="589" customFormat="1" x14ac:dyDescent="0.2">
      <c r="B993" s="645">
        <f t="shared" si="333"/>
        <v>2</v>
      </c>
      <c r="C993" s="647"/>
      <c r="D993" s="647"/>
      <c r="E993" s="645"/>
      <c r="F993" s="647"/>
      <c r="G993" s="645"/>
      <c r="H993" s="645"/>
      <c r="I993" s="645"/>
      <c r="J993" s="645"/>
      <c r="K993" s="645"/>
      <c r="L993" s="645"/>
      <c r="M993" s="645"/>
      <c r="N993" s="645"/>
      <c r="O993" s="645"/>
      <c r="P993" s="645"/>
      <c r="Q993" s="645"/>
      <c r="R993" s="645"/>
      <c r="S993" s="645"/>
      <c r="T993" s="645"/>
      <c r="U993" s="647"/>
      <c r="X993" s="646">
        <f t="shared" si="327"/>
        <v>0</v>
      </c>
    </row>
    <row r="994" spans="2:24" s="589" customFormat="1" ht="15" x14ac:dyDescent="0.25">
      <c r="B994" s="645">
        <f t="shared" si="333"/>
        <v>3</v>
      </c>
      <c r="C994" s="8" t="s">
        <v>642</v>
      </c>
      <c r="D994" s="8"/>
      <c r="E994" s="644" t="s">
        <v>280</v>
      </c>
      <c r="F994" s="313"/>
      <c r="G994" s="644"/>
      <c r="H994" s="644"/>
      <c r="I994" s="913"/>
      <c r="J994" s="961"/>
      <c r="K994" s="961"/>
      <c r="L994" s="961"/>
      <c r="M994" s="961"/>
      <c r="N994" s="961"/>
      <c r="O994" s="961"/>
      <c r="P994" s="961"/>
      <c r="Q994" s="961"/>
      <c r="R994" s="961"/>
      <c r="S994" s="961"/>
      <c r="T994" s="644"/>
      <c r="U994" s="8"/>
      <c r="X994" s="646">
        <f t="shared" si="327"/>
        <v>0</v>
      </c>
    </row>
    <row r="995" spans="2:24" s="589" customFormat="1" x14ac:dyDescent="0.2">
      <c r="B995" s="645">
        <f t="shared" si="333"/>
        <v>4</v>
      </c>
      <c r="C995" s="647" t="s">
        <v>25</v>
      </c>
      <c r="D995" s="647" t="s">
        <v>26</v>
      </c>
      <c r="E995" s="645"/>
      <c r="F995" s="646">
        <f>' WP II-I-1.4'!G995</f>
        <v>0</v>
      </c>
      <c r="G995" s="645">
        <v>66</v>
      </c>
      <c r="H995" s="620" t="str">
        <f>VLOOKUP(G995,FactorTable,2)</f>
        <v>PLT INT_N</v>
      </c>
      <c r="I995" s="645"/>
      <c r="J995" s="648">
        <f t="shared" ref="J995:S997" ca="1" si="334">$F995*HLOOKUP(J$1354,FactorTable,$G995+1)</f>
        <v>0</v>
      </c>
      <c r="K995" s="648">
        <f t="shared" ca="1" si="334"/>
        <v>0</v>
      </c>
      <c r="L995" s="648">
        <f t="shared" ca="1" si="334"/>
        <v>0</v>
      </c>
      <c r="M995" s="648">
        <f t="shared" ca="1" si="334"/>
        <v>0</v>
      </c>
      <c r="N995" s="648">
        <f t="shared" ca="1" si="334"/>
        <v>0</v>
      </c>
      <c r="O995" s="648">
        <f t="shared" ca="1" si="334"/>
        <v>0</v>
      </c>
      <c r="P995" s="648">
        <f t="shared" ca="1" si="334"/>
        <v>0</v>
      </c>
      <c r="Q995" s="648">
        <f t="shared" ca="1" si="334"/>
        <v>0</v>
      </c>
      <c r="R995" s="648">
        <f t="shared" ca="1" si="334"/>
        <v>0</v>
      </c>
      <c r="S995" s="648">
        <f t="shared" ca="1" si="334"/>
        <v>0</v>
      </c>
      <c r="T995" s="645"/>
      <c r="U995" s="646">
        <f ca="1">SUM(I995:T995)</f>
        <v>0</v>
      </c>
      <c r="X995" s="646">
        <f t="shared" ca="1" si="327"/>
        <v>0</v>
      </c>
    </row>
    <row r="996" spans="2:24" s="589" customFormat="1" x14ac:dyDescent="0.2">
      <c r="B996" s="645">
        <f t="shared" si="333"/>
        <v>5</v>
      </c>
      <c r="C996" s="647" t="s">
        <v>27</v>
      </c>
      <c r="D996" s="647" t="s">
        <v>35</v>
      </c>
      <c r="E996" s="645"/>
      <c r="F996" s="646">
        <f>' WP II-I-1.4'!G996</f>
        <v>0</v>
      </c>
      <c r="G996" s="645">
        <v>66</v>
      </c>
      <c r="H996" s="620" t="str">
        <f>VLOOKUP(G996,FactorTable,2)</f>
        <v>PLT INT_N</v>
      </c>
      <c r="I996" s="645"/>
      <c r="J996" s="648">
        <f t="shared" ca="1" si="334"/>
        <v>0</v>
      </c>
      <c r="K996" s="648">
        <f t="shared" ca="1" si="334"/>
        <v>0</v>
      </c>
      <c r="L996" s="648">
        <f t="shared" ca="1" si="334"/>
        <v>0</v>
      </c>
      <c r="M996" s="648">
        <f t="shared" ca="1" si="334"/>
        <v>0</v>
      </c>
      <c r="N996" s="648">
        <f t="shared" ca="1" si="334"/>
        <v>0</v>
      </c>
      <c r="O996" s="648">
        <f t="shared" ca="1" si="334"/>
        <v>0</v>
      </c>
      <c r="P996" s="648">
        <f t="shared" ca="1" si="334"/>
        <v>0</v>
      </c>
      <c r="Q996" s="648">
        <f t="shared" ca="1" si="334"/>
        <v>0</v>
      </c>
      <c r="R996" s="648">
        <f t="shared" ca="1" si="334"/>
        <v>0</v>
      </c>
      <c r="S996" s="648">
        <f t="shared" ca="1" si="334"/>
        <v>0</v>
      </c>
      <c r="T996" s="645"/>
      <c r="U996" s="646">
        <f ca="1">SUM(I996:T996)</f>
        <v>0</v>
      </c>
      <c r="X996" s="646">
        <f t="shared" ca="1" si="327"/>
        <v>0</v>
      </c>
    </row>
    <row r="997" spans="2:24" s="589" customFormat="1" x14ac:dyDescent="0.2">
      <c r="B997" s="645">
        <f t="shared" si="333"/>
        <v>6</v>
      </c>
      <c r="C997" s="647" t="s">
        <v>29</v>
      </c>
      <c r="D997" s="647" t="s">
        <v>32</v>
      </c>
      <c r="E997" s="645"/>
      <c r="F997" s="646">
        <f>' WP II-I-1.4'!G997</f>
        <v>620475.91</v>
      </c>
      <c r="G997" s="645">
        <v>66</v>
      </c>
      <c r="H997" s="620" t="str">
        <f>VLOOKUP(G997,FactorTable,2)</f>
        <v>PLT INT_N</v>
      </c>
      <c r="I997" s="645"/>
      <c r="J997" s="651">
        <f t="shared" ca="1" si="334"/>
        <v>338520.64192122046</v>
      </c>
      <c r="K997" s="651">
        <f t="shared" ca="1" si="334"/>
        <v>8960.9656934244522</v>
      </c>
      <c r="L997" s="651">
        <f t="shared" ca="1" si="334"/>
        <v>215518.39107910209</v>
      </c>
      <c r="M997" s="651">
        <f t="shared" ca="1" si="334"/>
        <v>64.93266039939374</v>
      </c>
      <c r="N997" s="651">
        <f t="shared" ca="1" si="334"/>
        <v>40815.831333936185</v>
      </c>
      <c r="O997" s="651">
        <f t="shared" ca="1" si="334"/>
        <v>4769.1633178348984</v>
      </c>
      <c r="P997" s="651">
        <f t="shared" ca="1" si="334"/>
        <v>804.91763416484196</v>
      </c>
      <c r="Q997" s="651">
        <f t="shared" ca="1" si="334"/>
        <v>9125.2894815362561</v>
      </c>
      <c r="R997" s="651">
        <f t="shared" ca="1" si="334"/>
        <v>329.66320091998455</v>
      </c>
      <c r="S997" s="651">
        <f t="shared" ca="1" si="334"/>
        <v>1566.113677461613</v>
      </c>
      <c r="T997" s="645"/>
      <c r="U997" s="646">
        <f ca="1">SUM(I997:T997)</f>
        <v>620475.91</v>
      </c>
      <c r="X997" s="646">
        <f t="shared" ca="1" si="327"/>
        <v>0</v>
      </c>
    </row>
    <row r="998" spans="2:24" s="589" customFormat="1" ht="15" x14ac:dyDescent="0.25">
      <c r="B998" s="645">
        <f t="shared" si="333"/>
        <v>7</v>
      </c>
      <c r="C998" s="21"/>
      <c r="D998" s="314" t="s">
        <v>444</v>
      </c>
      <c r="E998" s="21"/>
      <c r="F998" s="21">
        <f>+F995+F996+F997</f>
        <v>620475.91</v>
      </c>
      <c r="G998" s="21"/>
      <c r="H998" s="21"/>
      <c r="I998" s="805"/>
      <c r="J998" s="805">
        <f t="shared" ref="J998:Q998" ca="1" si="335">+J995+J996+J997</f>
        <v>338520.64192122046</v>
      </c>
      <c r="K998" s="805">
        <f t="shared" ca="1" si="335"/>
        <v>8960.9656934244522</v>
      </c>
      <c r="L998" s="805">
        <f t="shared" ca="1" si="335"/>
        <v>215518.39107910209</v>
      </c>
      <c r="M998" s="805">
        <f t="shared" ca="1" si="335"/>
        <v>64.93266039939374</v>
      </c>
      <c r="N998" s="805">
        <f t="shared" ca="1" si="335"/>
        <v>40815.831333936185</v>
      </c>
      <c r="O998" s="805">
        <f ca="1">+O995+O996+O997</f>
        <v>4769.1633178348984</v>
      </c>
      <c r="P998" s="805">
        <f t="shared" ca="1" si="335"/>
        <v>804.91763416484196</v>
      </c>
      <c r="Q998" s="805">
        <f t="shared" ca="1" si="335"/>
        <v>9125.2894815362561</v>
      </c>
      <c r="R998" s="805">
        <f ca="1">+R995+R996+R997</f>
        <v>329.66320091998455</v>
      </c>
      <c r="S998" s="805">
        <f ca="1">+S995+S996+S997</f>
        <v>1566.113677461613</v>
      </c>
      <c r="T998" s="805"/>
      <c r="U998" s="235">
        <f ca="1">SUM(I998:T998)</f>
        <v>620475.91</v>
      </c>
      <c r="X998" s="646">
        <f t="shared" ca="1" si="327"/>
        <v>0</v>
      </c>
    </row>
    <row r="999" spans="2:24" s="589" customFormat="1" x14ac:dyDescent="0.2">
      <c r="B999" s="645">
        <f t="shared" si="333"/>
        <v>8</v>
      </c>
      <c r="C999" s="647"/>
      <c r="D999" s="647"/>
      <c r="E999" s="645"/>
      <c r="F999" s="614"/>
      <c r="G999" s="645"/>
      <c r="H999" s="645"/>
      <c r="I999" s="645"/>
      <c r="J999" s="645"/>
      <c r="K999" s="645"/>
      <c r="L999" s="645"/>
      <c r="M999" s="645"/>
      <c r="N999" s="645"/>
      <c r="O999" s="645"/>
      <c r="P999" s="645"/>
      <c r="Q999" s="645"/>
      <c r="R999" s="645"/>
      <c r="S999" s="645"/>
      <c r="T999" s="645"/>
      <c r="U999" s="647"/>
      <c r="X999" s="646">
        <f t="shared" si="327"/>
        <v>0</v>
      </c>
    </row>
    <row r="1000" spans="2:24" s="589" customFormat="1" ht="15" x14ac:dyDescent="0.25">
      <c r="B1000" s="645">
        <f t="shared" si="333"/>
        <v>9</v>
      </c>
      <c r="C1000" s="8" t="s">
        <v>643</v>
      </c>
      <c r="D1000" s="8"/>
      <c r="E1000" s="644" t="s">
        <v>280</v>
      </c>
      <c r="F1000" s="21"/>
      <c r="G1000" s="644"/>
      <c r="H1000" s="644"/>
      <c r="I1000" s="913"/>
      <c r="J1000" s="961"/>
      <c r="K1000" s="961"/>
      <c r="L1000" s="961"/>
      <c r="M1000" s="961"/>
      <c r="N1000" s="961"/>
      <c r="O1000" s="961"/>
      <c r="P1000" s="961"/>
      <c r="Q1000" s="961"/>
      <c r="R1000" s="961"/>
      <c r="S1000" s="961"/>
      <c r="T1000" s="913"/>
      <c r="U1000" s="8"/>
      <c r="X1000" s="646">
        <f t="shared" si="327"/>
        <v>0</v>
      </c>
    </row>
    <row r="1001" spans="2:24" s="589" customFormat="1" x14ac:dyDescent="0.2">
      <c r="B1001" s="645">
        <f t="shared" si="333"/>
        <v>10</v>
      </c>
      <c r="C1001" s="647" t="s">
        <v>39</v>
      </c>
      <c r="D1001" s="647" t="s">
        <v>40</v>
      </c>
      <c r="E1001" s="645"/>
      <c r="F1001" s="646">
        <f>' WP II-I-1.4'!G1001</f>
        <v>0</v>
      </c>
      <c r="G1001" s="645">
        <v>67</v>
      </c>
      <c r="H1001" s="620" t="str">
        <f t="shared" ref="H1001:H1012" si="336">VLOOKUP(G1001,FactorTable,2)</f>
        <v>PLTTRAN_N</v>
      </c>
      <c r="I1001" s="645"/>
      <c r="J1001" s="648">
        <f t="shared" ref="J1001:S1012" ca="1" si="337">$F1001*HLOOKUP(J$1354,FactorTable,$G1001+1)</f>
        <v>0</v>
      </c>
      <c r="K1001" s="648">
        <f t="shared" ca="1" si="337"/>
        <v>0</v>
      </c>
      <c r="L1001" s="648">
        <f t="shared" ca="1" si="337"/>
        <v>0</v>
      </c>
      <c r="M1001" s="648">
        <f t="shared" ca="1" si="337"/>
        <v>0</v>
      </c>
      <c r="N1001" s="648">
        <f t="shared" ca="1" si="337"/>
        <v>0</v>
      </c>
      <c r="O1001" s="648">
        <f t="shared" ca="1" si="337"/>
        <v>0</v>
      </c>
      <c r="P1001" s="648">
        <f t="shared" ca="1" si="337"/>
        <v>0</v>
      </c>
      <c r="Q1001" s="648">
        <f t="shared" ca="1" si="337"/>
        <v>0</v>
      </c>
      <c r="R1001" s="648">
        <f t="shared" ca="1" si="337"/>
        <v>0</v>
      </c>
      <c r="S1001" s="648">
        <f t="shared" ca="1" si="337"/>
        <v>0</v>
      </c>
      <c r="T1001" s="645"/>
      <c r="U1001" s="646">
        <f t="shared" ref="U1001:U1013" ca="1" si="338">SUM(I1001:T1001)</f>
        <v>0</v>
      </c>
      <c r="X1001" s="646">
        <f t="shared" ca="1" si="327"/>
        <v>0</v>
      </c>
    </row>
    <row r="1002" spans="2:24" s="589" customFormat="1" x14ac:dyDescent="0.2">
      <c r="B1002" s="645">
        <f t="shared" si="333"/>
        <v>11</v>
      </c>
      <c r="C1002" s="647" t="s">
        <v>1229</v>
      </c>
      <c r="D1002" s="647" t="s">
        <v>1230</v>
      </c>
      <c r="E1002" s="645"/>
      <c r="F1002" s="646">
        <f>' WP II-I-1.4'!G1002</f>
        <v>0</v>
      </c>
      <c r="G1002" s="668">
        <v>67</v>
      </c>
      <c r="H1002" s="620" t="str">
        <f t="shared" ref="H1002:H1004" si="339">VLOOKUP(G1002,FactorTable,2)</f>
        <v>PLTTRAN_N</v>
      </c>
      <c r="I1002" s="645"/>
      <c r="J1002" s="648">
        <f t="shared" ca="1" si="337"/>
        <v>0</v>
      </c>
      <c r="K1002" s="648">
        <f t="shared" ca="1" si="337"/>
        <v>0</v>
      </c>
      <c r="L1002" s="648">
        <f t="shared" ca="1" si="337"/>
        <v>0</v>
      </c>
      <c r="M1002" s="648">
        <f t="shared" ca="1" si="337"/>
        <v>0</v>
      </c>
      <c r="N1002" s="648">
        <f t="shared" ca="1" si="337"/>
        <v>0</v>
      </c>
      <c r="O1002" s="648">
        <f t="shared" ca="1" si="337"/>
        <v>0</v>
      </c>
      <c r="P1002" s="648">
        <f t="shared" ca="1" si="337"/>
        <v>0</v>
      </c>
      <c r="Q1002" s="648">
        <f t="shared" ca="1" si="337"/>
        <v>0</v>
      </c>
      <c r="R1002" s="648">
        <f t="shared" ca="1" si="337"/>
        <v>0</v>
      </c>
      <c r="S1002" s="648">
        <f t="shared" ca="1" si="337"/>
        <v>0</v>
      </c>
      <c r="T1002" s="645"/>
      <c r="U1002" s="646">
        <f t="shared" ref="U1002:U1004" ca="1" si="340">SUM(I1002:T1002)</f>
        <v>0</v>
      </c>
      <c r="X1002" s="646"/>
    </row>
    <row r="1003" spans="2:24" s="589" customFormat="1" x14ac:dyDescent="0.2">
      <c r="B1003" s="645">
        <f t="shared" si="333"/>
        <v>12</v>
      </c>
      <c r="C1003" s="647" t="s">
        <v>1231</v>
      </c>
      <c r="D1003" s="647" t="s">
        <v>1232</v>
      </c>
      <c r="E1003" s="645"/>
      <c r="F1003" s="646">
        <f>' WP II-I-1.4'!G1003</f>
        <v>0</v>
      </c>
      <c r="G1003" s="668">
        <v>67</v>
      </c>
      <c r="H1003" s="620" t="str">
        <f t="shared" si="339"/>
        <v>PLTTRAN_N</v>
      </c>
      <c r="I1003" s="645"/>
      <c r="J1003" s="648">
        <f t="shared" ca="1" si="337"/>
        <v>0</v>
      </c>
      <c r="K1003" s="648">
        <f t="shared" ca="1" si="337"/>
        <v>0</v>
      </c>
      <c r="L1003" s="648">
        <f t="shared" ca="1" si="337"/>
        <v>0</v>
      </c>
      <c r="M1003" s="648">
        <f t="shared" ca="1" si="337"/>
        <v>0</v>
      </c>
      <c r="N1003" s="648">
        <f t="shared" ca="1" si="337"/>
        <v>0</v>
      </c>
      <c r="O1003" s="648">
        <f t="shared" ca="1" si="337"/>
        <v>0</v>
      </c>
      <c r="P1003" s="648">
        <f t="shared" ca="1" si="337"/>
        <v>0</v>
      </c>
      <c r="Q1003" s="648">
        <f t="shared" ca="1" si="337"/>
        <v>0</v>
      </c>
      <c r="R1003" s="648">
        <f t="shared" ca="1" si="337"/>
        <v>0</v>
      </c>
      <c r="S1003" s="648">
        <f t="shared" ca="1" si="337"/>
        <v>0</v>
      </c>
      <c r="T1003" s="645"/>
      <c r="U1003" s="646">
        <f t="shared" ca="1" si="340"/>
        <v>0</v>
      </c>
      <c r="X1003" s="646"/>
    </row>
    <row r="1004" spans="2:24" s="589" customFormat="1" x14ac:dyDescent="0.2">
      <c r="B1004" s="645">
        <f t="shared" si="333"/>
        <v>13</v>
      </c>
      <c r="C1004" s="647" t="s">
        <v>1233</v>
      </c>
      <c r="D1004" s="647" t="s">
        <v>103</v>
      </c>
      <c r="E1004" s="645"/>
      <c r="F1004" s="646">
        <f>' WP II-I-1.4'!G1004</f>
        <v>0</v>
      </c>
      <c r="G1004" s="668">
        <v>67</v>
      </c>
      <c r="H1004" s="620" t="str">
        <f t="shared" si="339"/>
        <v>PLTTRAN_N</v>
      </c>
      <c r="I1004" s="645"/>
      <c r="J1004" s="648">
        <f t="shared" ca="1" si="337"/>
        <v>0</v>
      </c>
      <c r="K1004" s="648">
        <f t="shared" ca="1" si="337"/>
        <v>0</v>
      </c>
      <c r="L1004" s="648">
        <f t="shared" ca="1" si="337"/>
        <v>0</v>
      </c>
      <c r="M1004" s="648">
        <f t="shared" ca="1" si="337"/>
        <v>0</v>
      </c>
      <c r="N1004" s="648">
        <f t="shared" ca="1" si="337"/>
        <v>0</v>
      </c>
      <c r="O1004" s="648">
        <f t="shared" ca="1" si="337"/>
        <v>0</v>
      </c>
      <c r="P1004" s="648">
        <f t="shared" ca="1" si="337"/>
        <v>0</v>
      </c>
      <c r="Q1004" s="648">
        <f t="shared" ca="1" si="337"/>
        <v>0</v>
      </c>
      <c r="R1004" s="648">
        <f t="shared" ca="1" si="337"/>
        <v>0</v>
      </c>
      <c r="S1004" s="648">
        <f t="shared" ca="1" si="337"/>
        <v>0</v>
      </c>
      <c r="T1004" s="645"/>
      <c r="U1004" s="646">
        <f t="shared" ca="1" si="340"/>
        <v>0</v>
      </c>
      <c r="X1004" s="646"/>
    </row>
    <row r="1005" spans="2:24" s="589" customFormat="1" x14ac:dyDescent="0.2">
      <c r="B1005" s="645">
        <f t="shared" si="333"/>
        <v>14</v>
      </c>
      <c r="C1005" s="647" t="s">
        <v>41</v>
      </c>
      <c r="D1005" s="647" t="s">
        <v>42</v>
      </c>
      <c r="E1005" s="645"/>
      <c r="F1005" s="646">
        <f>' WP II-I-1.4'!G1005</f>
        <v>0</v>
      </c>
      <c r="G1005" s="645">
        <v>67</v>
      </c>
      <c r="H1005" s="620" t="str">
        <f t="shared" si="336"/>
        <v>PLTTRAN_N</v>
      </c>
      <c r="I1005" s="645"/>
      <c r="J1005" s="648">
        <f t="shared" ca="1" si="337"/>
        <v>0</v>
      </c>
      <c r="K1005" s="648">
        <f t="shared" ca="1" si="337"/>
        <v>0</v>
      </c>
      <c r="L1005" s="648">
        <f t="shared" ca="1" si="337"/>
        <v>0</v>
      </c>
      <c r="M1005" s="648">
        <f t="shared" ca="1" si="337"/>
        <v>0</v>
      </c>
      <c r="N1005" s="648">
        <f t="shared" ca="1" si="337"/>
        <v>0</v>
      </c>
      <c r="O1005" s="648">
        <f t="shared" ca="1" si="337"/>
        <v>0</v>
      </c>
      <c r="P1005" s="648">
        <f t="shared" ca="1" si="337"/>
        <v>0</v>
      </c>
      <c r="Q1005" s="648">
        <f t="shared" ca="1" si="337"/>
        <v>0</v>
      </c>
      <c r="R1005" s="648">
        <f t="shared" ca="1" si="337"/>
        <v>0</v>
      </c>
      <c r="S1005" s="648">
        <f t="shared" ca="1" si="337"/>
        <v>0</v>
      </c>
      <c r="T1005" s="645"/>
      <c r="U1005" s="646">
        <f t="shared" ca="1" si="338"/>
        <v>0</v>
      </c>
      <c r="X1005" s="646">
        <f t="shared" ca="1" si="327"/>
        <v>0</v>
      </c>
    </row>
    <row r="1006" spans="2:24" s="589" customFormat="1" x14ac:dyDescent="0.2">
      <c r="B1006" s="645">
        <f t="shared" si="333"/>
        <v>15</v>
      </c>
      <c r="C1006" s="647" t="s">
        <v>43</v>
      </c>
      <c r="D1006" s="647" t="s">
        <v>44</v>
      </c>
      <c r="E1006" s="645"/>
      <c r="F1006" s="646">
        <f>' WP II-I-1.4'!G1006</f>
        <v>11435177.9</v>
      </c>
      <c r="G1006" s="645">
        <v>28</v>
      </c>
      <c r="H1006" s="620" t="str">
        <f t="shared" si="336"/>
        <v>NCP XHV</v>
      </c>
      <c r="I1006" s="645"/>
      <c r="J1006" s="648">
        <f t="shared" si="337"/>
        <v>5863576.2217134172</v>
      </c>
      <c r="K1006" s="648">
        <f t="shared" si="337"/>
        <v>110778.59418975141</v>
      </c>
      <c r="L1006" s="648">
        <f t="shared" si="337"/>
        <v>3766199.7684538909</v>
      </c>
      <c r="M1006" s="648">
        <f t="shared" si="337"/>
        <v>1762.3582351257496</v>
      </c>
      <c r="N1006" s="648">
        <f t="shared" si="337"/>
        <v>1107795.6152176636</v>
      </c>
      <c r="O1006" s="648">
        <f t="shared" si="337"/>
        <v>476152.36046943429</v>
      </c>
      <c r="P1006" s="648">
        <f t="shared" si="337"/>
        <v>0</v>
      </c>
      <c r="Q1006" s="648">
        <f t="shared" si="337"/>
        <v>33493.074921336083</v>
      </c>
      <c r="R1006" s="648">
        <f t="shared" si="337"/>
        <v>32913.511410051913</v>
      </c>
      <c r="S1006" s="648">
        <f t="shared" si="337"/>
        <v>42506.395389327285</v>
      </c>
      <c r="T1006" s="645"/>
      <c r="U1006" s="646">
        <f t="shared" si="338"/>
        <v>11435177.899999999</v>
      </c>
      <c r="X1006" s="646">
        <f t="shared" si="327"/>
        <v>0</v>
      </c>
    </row>
    <row r="1007" spans="2:24" s="589" customFormat="1" x14ac:dyDescent="0.2">
      <c r="B1007" s="645">
        <f t="shared" si="333"/>
        <v>16</v>
      </c>
      <c r="C1007" s="647" t="s">
        <v>45</v>
      </c>
      <c r="D1007" s="647" t="s">
        <v>46</v>
      </c>
      <c r="E1007" s="645"/>
      <c r="F1007" s="646">
        <f>' WP II-I-1.4'!G1007</f>
        <v>0</v>
      </c>
      <c r="G1007" s="645">
        <v>67</v>
      </c>
      <c r="H1007" s="620" t="str">
        <f t="shared" si="336"/>
        <v>PLTTRAN_N</v>
      </c>
      <c r="I1007" s="645"/>
      <c r="J1007" s="648">
        <f t="shared" ca="1" si="337"/>
        <v>0</v>
      </c>
      <c r="K1007" s="648">
        <f t="shared" ca="1" si="337"/>
        <v>0</v>
      </c>
      <c r="L1007" s="648">
        <f t="shared" ca="1" si="337"/>
        <v>0</v>
      </c>
      <c r="M1007" s="648">
        <f t="shared" ca="1" si="337"/>
        <v>0</v>
      </c>
      <c r="N1007" s="648">
        <f t="shared" ca="1" si="337"/>
        <v>0</v>
      </c>
      <c r="O1007" s="648">
        <f t="shared" ca="1" si="337"/>
        <v>0</v>
      </c>
      <c r="P1007" s="648">
        <f t="shared" ca="1" si="337"/>
        <v>0</v>
      </c>
      <c r="Q1007" s="648">
        <f t="shared" ca="1" si="337"/>
        <v>0</v>
      </c>
      <c r="R1007" s="648">
        <f t="shared" ca="1" si="337"/>
        <v>0</v>
      </c>
      <c r="S1007" s="648">
        <f t="shared" ca="1" si="337"/>
        <v>0</v>
      </c>
      <c r="T1007" s="645"/>
      <c r="U1007" s="646">
        <f t="shared" ca="1" si="338"/>
        <v>0</v>
      </c>
      <c r="X1007" s="646">
        <f t="shared" ca="1" si="327"/>
        <v>0</v>
      </c>
    </row>
    <row r="1008" spans="2:24" s="589" customFormat="1" x14ac:dyDescent="0.2">
      <c r="B1008" s="645">
        <f t="shared" si="333"/>
        <v>17</v>
      </c>
      <c r="C1008" s="647" t="s">
        <v>47</v>
      </c>
      <c r="D1008" s="647" t="s">
        <v>48</v>
      </c>
      <c r="E1008" s="645"/>
      <c r="F1008" s="646">
        <f>' WP II-I-1.4'!G1008</f>
        <v>0</v>
      </c>
      <c r="G1008" s="645">
        <v>67</v>
      </c>
      <c r="H1008" s="620" t="str">
        <f t="shared" si="336"/>
        <v>PLTTRAN_N</v>
      </c>
      <c r="I1008" s="645"/>
      <c r="J1008" s="648">
        <f t="shared" ca="1" si="337"/>
        <v>0</v>
      </c>
      <c r="K1008" s="648">
        <f t="shared" ca="1" si="337"/>
        <v>0</v>
      </c>
      <c r="L1008" s="648">
        <f t="shared" ca="1" si="337"/>
        <v>0</v>
      </c>
      <c r="M1008" s="648">
        <f t="shared" ca="1" si="337"/>
        <v>0</v>
      </c>
      <c r="N1008" s="648">
        <f t="shared" ca="1" si="337"/>
        <v>0</v>
      </c>
      <c r="O1008" s="648">
        <f t="shared" ca="1" si="337"/>
        <v>0</v>
      </c>
      <c r="P1008" s="648">
        <f t="shared" ca="1" si="337"/>
        <v>0</v>
      </c>
      <c r="Q1008" s="648">
        <f t="shared" ca="1" si="337"/>
        <v>0</v>
      </c>
      <c r="R1008" s="648">
        <f t="shared" ca="1" si="337"/>
        <v>0</v>
      </c>
      <c r="S1008" s="648">
        <f t="shared" ca="1" si="337"/>
        <v>0</v>
      </c>
      <c r="T1008" s="645"/>
      <c r="U1008" s="646">
        <f t="shared" ca="1" si="338"/>
        <v>0</v>
      </c>
      <c r="X1008" s="646">
        <f t="shared" ca="1" si="327"/>
        <v>0</v>
      </c>
    </row>
    <row r="1009" spans="2:24" s="589" customFormat="1" x14ac:dyDescent="0.2">
      <c r="B1009" s="645">
        <f t="shared" si="333"/>
        <v>18</v>
      </c>
      <c r="C1009" s="647" t="s">
        <v>49</v>
      </c>
      <c r="D1009" s="647" t="s">
        <v>486</v>
      </c>
      <c r="E1009" s="645"/>
      <c r="F1009" s="646">
        <f>' WP II-I-1.4'!G1009</f>
        <v>0</v>
      </c>
      <c r="G1009" s="645">
        <v>67</v>
      </c>
      <c r="H1009" s="620" t="str">
        <f t="shared" si="336"/>
        <v>PLTTRAN_N</v>
      </c>
      <c r="I1009" s="645"/>
      <c r="J1009" s="648">
        <f t="shared" ca="1" si="337"/>
        <v>0</v>
      </c>
      <c r="K1009" s="648">
        <f t="shared" ca="1" si="337"/>
        <v>0</v>
      </c>
      <c r="L1009" s="648">
        <f t="shared" ca="1" si="337"/>
        <v>0</v>
      </c>
      <c r="M1009" s="648">
        <f t="shared" ca="1" si="337"/>
        <v>0</v>
      </c>
      <c r="N1009" s="648">
        <f t="shared" ca="1" si="337"/>
        <v>0</v>
      </c>
      <c r="O1009" s="648">
        <f t="shared" ca="1" si="337"/>
        <v>0</v>
      </c>
      <c r="P1009" s="648">
        <f t="shared" ca="1" si="337"/>
        <v>0</v>
      </c>
      <c r="Q1009" s="648">
        <f t="shared" ca="1" si="337"/>
        <v>0</v>
      </c>
      <c r="R1009" s="648">
        <f t="shared" ca="1" si="337"/>
        <v>0</v>
      </c>
      <c r="S1009" s="648">
        <f t="shared" ca="1" si="337"/>
        <v>0</v>
      </c>
      <c r="T1009" s="645"/>
      <c r="U1009" s="646">
        <f t="shared" ca="1" si="338"/>
        <v>0</v>
      </c>
      <c r="X1009" s="646">
        <f t="shared" ca="1" si="327"/>
        <v>0</v>
      </c>
    </row>
    <row r="1010" spans="2:24" s="589" customFormat="1" x14ac:dyDescent="0.2">
      <c r="B1010" s="645">
        <f t="shared" si="333"/>
        <v>19</v>
      </c>
      <c r="C1010" s="647" t="s">
        <v>51</v>
      </c>
      <c r="D1010" s="647" t="s">
        <v>644</v>
      </c>
      <c r="E1010" s="645"/>
      <c r="F1010" s="646">
        <f>' WP II-I-1.4'!G1010</f>
        <v>0</v>
      </c>
      <c r="G1010" s="645">
        <v>67</v>
      </c>
      <c r="H1010" s="620" t="str">
        <f t="shared" si="336"/>
        <v>PLTTRAN_N</v>
      </c>
      <c r="I1010" s="645"/>
      <c r="J1010" s="648">
        <f t="shared" ca="1" si="337"/>
        <v>0</v>
      </c>
      <c r="K1010" s="648">
        <f t="shared" ca="1" si="337"/>
        <v>0</v>
      </c>
      <c r="L1010" s="648">
        <f t="shared" ca="1" si="337"/>
        <v>0</v>
      </c>
      <c r="M1010" s="648">
        <f t="shared" ca="1" si="337"/>
        <v>0</v>
      </c>
      <c r="N1010" s="648">
        <f t="shared" ca="1" si="337"/>
        <v>0</v>
      </c>
      <c r="O1010" s="648">
        <f t="shared" ca="1" si="337"/>
        <v>0</v>
      </c>
      <c r="P1010" s="648">
        <f t="shared" ca="1" si="337"/>
        <v>0</v>
      </c>
      <c r="Q1010" s="648">
        <f t="shared" ca="1" si="337"/>
        <v>0</v>
      </c>
      <c r="R1010" s="648">
        <f t="shared" ca="1" si="337"/>
        <v>0</v>
      </c>
      <c r="S1010" s="648">
        <f t="shared" ca="1" si="337"/>
        <v>0</v>
      </c>
      <c r="T1010" s="645"/>
      <c r="U1010" s="646">
        <f t="shared" ca="1" si="338"/>
        <v>0</v>
      </c>
      <c r="X1010" s="646">
        <f t="shared" ca="1" si="327"/>
        <v>0</v>
      </c>
    </row>
    <row r="1011" spans="2:24" s="589" customFormat="1" x14ac:dyDescent="0.2">
      <c r="B1011" s="645">
        <f t="shared" si="333"/>
        <v>20</v>
      </c>
      <c r="C1011" s="647" t="s">
        <v>53</v>
      </c>
      <c r="D1011" s="649" t="s">
        <v>487</v>
      </c>
      <c r="E1011" s="645"/>
      <c r="F1011" s="646">
        <f>' WP II-I-1.4'!G1011</f>
        <v>0</v>
      </c>
      <c r="G1011" s="645">
        <v>67</v>
      </c>
      <c r="H1011" s="620" t="str">
        <f t="shared" si="336"/>
        <v>PLTTRAN_N</v>
      </c>
      <c r="I1011" s="645"/>
      <c r="J1011" s="648">
        <f t="shared" ca="1" si="337"/>
        <v>0</v>
      </c>
      <c r="K1011" s="648">
        <f t="shared" ca="1" si="337"/>
        <v>0</v>
      </c>
      <c r="L1011" s="648">
        <f t="shared" ca="1" si="337"/>
        <v>0</v>
      </c>
      <c r="M1011" s="648">
        <f t="shared" ca="1" si="337"/>
        <v>0</v>
      </c>
      <c r="N1011" s="648">
        <f t="shared" ca="1" si="337"/>
        <v>0</v>
      </c>
      <c r="O1011" s="648">
        <f t="shared" ca="1" si="337"/>
        <v>0</v>
      </c>
      <c r="P1011" s="648">
        <f t="shared" ca="1" si="337"/>
        <v>0</v>
      </c>
      <c r="Q1011" s="648">
        <f t="shared" ca="1" si="337"/>
        <v>0</v>
      </c>
      <c r="R1011" s="648">
        <f t="shared" ca="1" si="337"/>
        <v>0</v>
      </c>
      <c r="S1011" s="648">
        <f t="shared" ca="1" si="337"/>
        <v>0</v>
      </c>
      <c r="T1011" s="645"/>
      <c r="U1011" s="646">
        <f t="shared" ca="1" si="338"/>
        <v>0</v>
      </c>
      <c r="X1011" s="646">
        <f t="shared" ca="1" si="327"/>
        <v>0</v>
      </c>
    </row>
    <row r="1012" spans="2:24" s="589" customFormat="1" x14ac:dyDescent="0.2">
      <c r="B1012" s="645">
        <f t="shared" si="333"/>
        <v>21</v>
      </c>
      <c r="C1012" s="647" t="s">
        <v>55</v>
      </c>
      <c r="D1012" s="647" t="s">
        <v>56</v>
      </c>
      <c r="E1012" s="645"/>
      <c r="F1012" s="646">
        <f>' WP II-I-1.4'!G1012</f>
        <v>0</v>
      </c>
      <c r="G1012" s="645">
        <v>67</v>
      </c>
      <c r="H1012" s="620" t="str">
        <f t="shared" si="336"/>
        <v>PLTTRAN_N</v>
      </c>
      <c r="I1012" s="645"/>
      <c r="J1012" s="651">
        <f t="shared" ca="1" si="337"/>
        <v>0</v>
      </c>
      <c r="K1012" s="651">
        <f t="shared" ca="1" si="337"/>
        <v>0</v>
      </c>
      <c r="L1012" s="651">
        <f t="shared" ca="1" si="337"/>
        <v>0</v>
      </c>
      <c r="M1012" s="651">
        <f t="shared" ca="1" si="337"/>
        <v>0</v>
      </c>
      <c r="N1012" s="651">
        <f t="shared" ca="1" si="337"/>
        <v>0</v>
      </c>
      <c r="O1012" s="651">
        <f t="shared" ca="1" si="337"/>
        <v>0</v>
      </c>
      <c r="P1012" s="651">
        <f t="shared" ca="1" si="337"/>
        <v>0</v>
      </c>
      <c r="Q1012" s="651">
        <f t="shared" ca="1" si="337"/>
        <v>0</v>
      </c>
      <c r="R1012" s="651">
        <f t="shared" ca="1" si="337"/>
        <v>0</v>
      </c>
      <c r="S1012" s="651">
        <f t="shared" ca="1" si="337"/>
        <v>0</v>
      </c>
      <c r="T1012" s="645"/>
      <c r="U1012" s="646">
        <f t="shared" ca="1" si="338"/>
        <v>0</v>
      </c>
      <c r="X1012" s="646">
        <f t="shared" ca="1" si="327"/>
        <v>0</v>
      </c>
    </row>
    <row r="1013" spans="2:24" s="589" customFormat="1" ht="15" x14ac:dyDescent="0.25">
      <c r="B1013" s="645">
        <f t="shared" si="333"/>
        <v>22</v>
      </c>
      <c r="C1013" s="8"/>
      <c r="D1013" s="233" t="s">
        <v>444</v>
      </c>
      <c r="E1013" s="644"/>
      <c r="F1013" s="21">
        <f>SUM(F1001:F1012)</f>
        <v>11435177.9</v>
      </c>
      <c r="G1013" s="644"/>
      <c r="H1013" s="644"/>
      <c r="I1013" s="913"/>
      <c r="J1013" s="805">
        <f t="shared" ref="J1013:Q1013" ca="1" si="341">SUM(J1001:J1012)</f>
        <v>5863576.2217134172</v>
      </c>
      <c r="K1013" s="805">
        <f t="shared" ca="1" si="341"/>
        <v>110778.59418975141</v>
      </c>
      <c r="L1013" s="805">
        <f t="shared" ca="1" si="341"/>
        <v>3766199.7684538909</v>
      </c>
      <c r="M1013" s="805">
        <f t="shared" ca="1" si="341"/>
        <v>1762.3582351257496</v>
      </c>
      <c r="N1013" s="805">
        <f t="shared" ca="1" si="341"/>
        <v>1107795.6152176636</v>
      </c>
      <c r="O1013" s="805">
        <f ca="1">SUM(O1001:O1012)</f>
        <v>476152.36046943429</v>
      </c>
      <c r="P1013" s="805">
        <f t="shared" ca="1" si="341"/>
        <v>0</v>
      </c>
      <c r="Q1013" s="805">
        <f t="shared" ca="1" si="341"/>
        <v>33493.074921336083</v>
      </c>
      <c r="R1013" s="805">
        <f ca="1">SUM(R1001:R1012)</f>
        <v>32913.511410051913</v>
      </c>
      <c r="S1013" s="805">
        <f ca="1">SUM(S1001:S1012)</f>
        <v>42506.395389327285</v>
      </c>
      <c r="T1013" s="913"/>
      <c r="U1013" s="235">
        <f t="shared" ca="1" si="338"/>
        <v>11435177.899999999</v>
      </c>
      <c r="X1013" s="646">
        <f t="shared" ca="1" si="327"/>
        <v>0</v>
      </c>
    </row>
    <row r="1014" spans="2:24" s="589" customFormat="1" x14ac:dyDescent="0.2">
      <c r="B1014" s="645">
        <f t="shared" si="333"/>
        <v>23</v>
      </c>
      <c r="C1014" s="647"/>
      <c r="D1014" s="647"/>
      <c r="E1014" s="645"/>
      <c r="F1014" s="614"/>
      <c r="G1014" s="645"/>
      <c r="H1014" s="645"/>
      <c r="I1014" s="645"/>
      <c r="J1014" s="645"/>
      <c r="K1014" s="645"/>
      <c r="L1014" s="645"/>
      <c r="M1014" s="645"/>
      <c r="N1014" s="645"/>
      <c r="O1014" s="645"/>
      <c r="P1014" s="645"/>
      <c r="Q1014" s="645"/>
      <c r="R1014" s="645"/>
      <c r="S1014" s="645"/>
      <c r="T1014" s="645"/>
      <c r="U1014" s="647"/>
      <c r="X1014" s="646">
        <f t="shared" si="327"/>
        <v>0</v>
      </c>
    </row>
    <row r="1015" spans="2:24" s="589" customFormat="1" ht="15" x14ac:dyDescent="0.25">
      <c r="B1015" s="645">
        <f t="shared" si="333"/>
        <v>24</v>
      </c>
      <c r="C1015" s="8" t="s">
        <v>645</v>
      </c>
      <c r="D1015" s="8"/>
      <c r="E1015" s="644" t="s">
        <v>280</v>
      </c>
      <c r="F1015" s="21"/>
      <c r="G1015" s="644"/>
      <c r="H1015" s="644"/>
      <c r="I1015" s="913"/>
      <c r="J1015" s="961"/>
      <c r="K1015" s="961"/>
      <c r="L1015" s="961"/>
      <c r="M1015" s="961"/>
      <c r="N1015" s="961"/>
      <c r="O1015" s="961"/>
      <c r="P1015" s="961"/>
      <c r="Q1015" s="961"/>
      <c r="R1015" s="961"/>
      <c r="S1015" s="961"/>
      <c r="T1015" s="913"/>
      <c r="U1015" s="8"/>
      <c r="X1015" s="646">
        <f t="shared" si="327"/>
        <v>0</v>
      </c>
    </row>
    <row r="1016" spans="2:24" s="589" customFormat="1" x14ac:dyDescent="0.2">
      <c r="B1016" s="645">
        <f t="shared" si="333"/>
        <v>25</v>
      </c>
      <c r="C1016" s="647" t="s">
        <v>59</v>
      </c>
      <c r="D1016" s="647" t="s">
        <v>40</v>
      </c>
      <c r="E1016" s="645"/>
      <c r="F1016" s="646">
        <f>' WP II-I-1.4'!G1016</f>
        <v>360797.93</v>
      </c>
      <c r="G1016" s="645">
        <v>54</v>
      </c>
      <c r="H1016" s="620" t="str">
        <f t="shared" ref="H1016:H1031" si="342">VLOOKUP(G1016,FactorTable,2)</f>
        <v>PLT 362-373</v>
      </c>
      <c r="I1016" s="645"/>
      <c r="J1016" s="648">
        <f t="shared" ref="J1016:S1025" ca="1" si="343">$F1016*HLOOKUP(J$1354,FactorTable,$G1016+1)</f>
        <v>193948.57358778128</v>
      </c>
      <c r="K1016" s="648">
        <f t="shared" ca="1" si="343"/>
        <v>6364.6853481776816</v>
      </c>
      <c r="L1016" s="648">
        <f t="shared" ca="1" si="343"/>
        <v>122558.32222599752</v>
      </c>
      <c r="M1016" s="648">
        <f t="shared" ca="1" si="343"/>
        <v>34.888821413739294</v>
      </c>
      <c r="N1016" s="648">
        <f t="shared" ca="1" si="343"/>
        <v>21930.662343172673</v>
      </c>
      <c r="O1016" s="648">
        <f t="shared" ca="1" si="343"/>
        <v>2108.0181468672367</v>
      </c>
      <c r="P1016" s="648">
        <f t="shared" ca="1" si="343"/>
        <v>428.40158067011834</v>
      </c>
      <c r="Q1016" s="648">
        <f t="shared" ca="1" si="343"/>
        <v>12437.178485579627</v>
      </c>
      <c r="R1016" s="648">
        <f t="shared" ca="1" si="343"/>
        <v>145.71445001576373</v>
      </c>
      <c r="S1016" s="648">
        <f t="shared" ca="1" si="343"/>
        <v>841.48501032437048</v>
      </c>
      <c r="T1016" s="645"/>
      <c r="U1016" s="646">
        <f t="shared" ref="U1016:U1032" ca="1" si="344">SUM(I1016:T1016)</f>
        <v>360797.92999999993</v>
      </c>
      <c r="X1016" s="646">
        <f t="shared" ca="1" si="327"/>
        <v>0</v>
      </c>
    </row>
    <row r="1017" spans="2:24" s="589" customFormat="1" x14ac:dyDescent="0.2">
      <c r="B1017" s="645">
        <f t="shared" si="333"/>
        <v>26</v>
      </c>
      <c r="C1017" s="647" t="s">
        <v>60</v>
      </c>
      <c r="D1017" s="649" t="s">
        <v>42</v>
      </c>
      <c r="E1017" s="645"/>
      <c r="F1017" s="646">
        <f>' WP II-I-1.4'!G1017</f>
        <v>5614303.75</v>
      </c>
      <c r="G1017" s="645">
        <v>43</v>
      </c>
      <c r="H1017" s="620" t="str">
        <f t="shared" si="342"/>
        <v>PLT 361</v>
      </c>
      <c r="I1017" s="645"/>
      <c r="J1017" s="648">
        <f t="shared" ca="1" si="343"/>
        <v>3017994.5988077908</v>
      </c>
      <c r="K1017" s="648">
        <f t="shared" ca="1" si="343"/>
        <v>99039.583785428069</v>
      </c>
      <c r="L1017" s="648">
        <f t="shared" ca="1" si="343"/>
        <v>1907105.3097979974</v>
      </c>
      <c r="M1017" s="648">
        <f t="shared" ca="1" si="343"/>
        <v>542.89790658232664</v>
      </c>
      <c r="N1017" s="648">
        <f t="shared" ca="1" si="343"/>
        <v>341258.60930870118</v>
      </c>
      <c r="O1017" s="648">
        <f t="shared" ca="1" si="343"/>
        <v>32802.444811767011</v>
      </c>
      <c r="P1017" s="648">
        <f t="shared" ca="1" si="343"/>
        <v>6666.2705100945923</v>
      </c>
      <c r="Q1017" s="648">
        <f t="shared" ca="1" si="343"/>
        <v>193532.42356742185</v>
      </c>
      <c r="R1017" s="648">
        <f t="shared" ca="1" si="343"/>
        <v>2267.4331395213103</v>
      </c>
      <c r="S1017" s="648">
        <f t="shared" ca="1" si="343"/>
        <v>13094.178364695445</v>
      </c>
      <c r="T1017" s="645"/>
      <c r="U1017" s="646">
        <f t="shared" ca="1" si="344"/>
        <v>5614303.7499999991</v>
      </c>
      <c r="X1017" s="646">
        <f t="shared" ca="1" si="327"/>
        <v>0</v>
      </c>
    </row>
    <row r="1018" spans="2:24" s="589" customFormat="1" x14ac:dyDescent="0.2">
      <c r="B1018" s="645">
        <f t="shared" si="333"/>
        <v>27</v>
      </c>
      <c r="C1018" s="647" t="s">
        <v>61</v>
      </c>
      <c r="D1018" s="647" t="s">
        <v>44</v>
      </c>
      <c r="E1018" s="645"/>
      <c r="F1018" s="646">
        <f>' WP II-I-1.4'!G1018</f>
        <v>58018119.409999996</v>
      </c>
      <c r="G1018" s="645">
        <v>44</v>
      </c>
      <c r="H1018" s="620" t="str">
        <f t="shared" si="342"/>
        <v>PLT 362</v>
      </c>
      <c r="I1018" s="645"/>
      <c r="J1018" s="648">
        <f t="shared" si="343"/>
        <v>29749748.39709365</v>
      </c>
      <c r="K1018" s="648">
        <f t="shared" si="343"/>
        <v>562052.0959077453</v>
      </c>
      <c r="L1018" s="648">
        <f t="shared" si="343"/>
        <v>19108389.025418855</v>
      </c>
      <c r="M1018" s="648">
        <f t="shared" si="343"/>
        <v>8941.5933379333437</v>
      </c>
      <c r="N1018" s="648">
        <f t="shared" si="343"/>
        <v>5620570.0381428115</v>
      </c>
      <c r="O1018" s="648">
        <f t="shared" si="343"/>
        <v>2415831.6336354506</v>
      </c>
      <c r="P1018" s="648">
        <f t="shared" si="343"/>
        <v>0</v>
      </c>
      <c r="Q1018" s="648">
        <f t="shared" si="343"/>
        <v>169932.22468311171</v>
      </c>
      <c r="R1018" s="648">
        <f t="shared" si="343"/>
        <v>166991.72080136937</v>
      </c>
      <c r="S1018" s="648">
        <f t="shared" si="343"/>
        <v>215662.68097907456</v>
      </c>
      <c r="T1018" s="645"/>
      <c r="U1018" s="646">
        <f t="shared" si="344"/>
        <v>58018119.409999996</v>
      </c>
      <c r="X1018" s="646">
        <f t="shared" si="327"/>
        <v>0</v>
      </c>
    </row>
    <row r="1019" spans="2:24" s="589" customFormat="1" x14ac:dyDescent="0.2">
      <c r="B1019" s="645">
        <f t="shared" si="333"/>
        <v>28</v>
      </c>
      <c r="C1019" s="647" t="s">
        <v>1234</v>
      </c>
      <c r="D1019" s="647" t="s">
        <v>1230</v>
      </c>
      <c r="E1019" s="645"/>
      <c r="F1019" s="668">
        <f>' WP II-I-1.4'!G1019</f>
        <v>0</v>
      </c>
      <c r="G1019" s="645">
        <v>58</v>
      </c>
      <c r="H1019" s="620" t="str">
        <f t="shared" si="342"/>
        <v>PLTDIST_N</v>
      </c>
      <c r="I1019" s="645"/>
      <c r="J1019" s="648">
        <f t="shared" ca="1" si="343"/>
        <v>0</v>
      </c>
      <c r="K1019" s="648">
        <f t="shared" ca="1" si="343"/>
        <v>0</v>
      </c>
      <c r="L1019" s="648">
        <f t="shared" ca="1" si="343"/>
        <v>0</v>
      </c>
      <c r="M1019" s="648">
        <f t="shared" ca="1" si="343"/>
        <v>0</v>
      </c>
      <c r="N1019" s="648">
        <f t="shared" ca="1" si="343"/>
        <v>0</v>
      </c>
      <c r="O1019" s="648">
        <f t="shared" ca="1" si="343"/>
        <v>0</v>
      </c>
      <c r="P1019" s="648">
        <f t="shared" ca="1" si="343"/>
        <v>0</v>
      </c>
      <c r="Q1019" s="648">
        <f t="shared" ca="1" si="343"/>
        <v>0</v>
      </c>
      <c r="R1019" s="648">
        <f t="shared" ca="1" si="343"/>
        <v>0</v>
      </c>
      <c r="S1019" s="648">
        <f t="shared" ca="1" si="343"/>
        <v>0</v>
      </c>
      <c r="T1019" s="645"/>
      <c r="U1019" s="646">
        <f t="shared" ref="U1019:U1020" ca="1" si="345">SUM(I1019:T1019)</f>
        <v>0</v>
      </c>
      <c r="X1019" s="646">
        <f t="shared" ref="X1019:X1020" ca="1" si="346">U1019-F1019</f>
        <v>0</v>
      </c>
    </row>
    <row r="1020" spans="2:24" s="589" customFormat="1" x14ac:dyDescent="0.2">
      <c r="B1020" s="645">
        <f t="shared" si="333"/>
        <v>29</v>
      </c>
      <c r="C1020" s="647" t="s">
        <v>1235</v>
      </c>
      <c r="D1020" s="647" t="s">
        <v>1232</v>
      </c>
      <c r="E1020" s="645"/>
      <c r="F1020" s="668">
        <f>' WP II-I-1.4'!G1020</f>
        <v>27237168.699999999</v>
      </c>
      <c r="G1020" s="645">
        <v>58</v>
      </c>
      <c r="H1020" s="620" t="str">
        <f t="shared" si="342"/>
        <v>PLTDIST_N</v>
      </c>
      <c r="I1020" s="645"/>
      <c r="J1020" s="648">
        <f t="shared" ca="1" si="343"/>
        <v>14882775.624278024</v>
      </c>
      <c r="K1020" s="648">
        <f t="shared" ca="1" si="343"/>
        <v>396644.61157073249</v>
      </c>
      <c r="L1020" s="648">
        <f t="shared" ca="1" si="343"/>
        <v>9473082.1725121122</v>
      </c>
      <c r="M1020" s="648">
        <f t="shared" ca="1" si="343"/>
        <v>2816.2051655900873</v>
      </c>
      <c r="N1020" s="648">
        <f t="shared" ca="1" si="343"/>
        <v>1770230.1789802841</v>
      </c>
      <c r="O1020" s="648">
        <f t="shared" ca="1" si="343"/>
        <v>185907.85728235744</v>
      </c>
      <c r="P1020" s="648">
        <f t="shared" ca="1" si="343"/>
        <v>36229.429522720973</v>
      </c>
      <c r="Q1020" s="648">
        <f t="shared" ca="1" si="343"/>
        <v>408707.7676604123</v>
      </c>
      <c r="R1020" s="648">
        <f t="shared" ca="1" si="343"/>
        <v>12850.677408904634</v>
      </c>
      <c r="S1020" s="648">
        <f t="shared" ca="1" si="343"/>
        <v>67924.175618867142</v>
      </c>
      <c r="T1020" s="645"/>
      <c r="U1020" s="646">
        <f t="shared" ca="1" si="345"/>
        <v>27237168.700000007</v>
      </c>
      <c r="X1020" s="646">
        <f t="shared" ca="1" si="346"/>
        <v>0</v>
      </c>
    </row>
    <row r="1021" spans="2:24" s="589" customFormat="1" x14ac:dyDescent="0.2">
      <c r="B1021" s="645">
        <f t="shared" si="333"/>
        <v>30</v>
      </c>
      <c r="C1021" s="647" t="s">
        <v>1236</v>
      </c>
      <c r="D1021" s="647" t="s">
        <v>103</v>
      </c>
      <c r="E1021" s="645"/>
      <c r="F1021" s="668">
        <f>' WP II-I-1.4'!G1021</f>
        <v>0</v>
      </c>
      <c r="G1021" s="645">
        <v>58</v>
      </c>
      <c r="H1021" s="620" t="str">
        <f t="shared" si="342"/>
        <v>PLTDIST_N</v>
      </c>
      <c r="I1021" s="645"/>
      <c r="J1021" s="648">
        <f t="shared" ca="1" si="343"/>
        <v>0</v>
      </c>
      <c r="K1021" s="648">
        <f t="shared" ca="1" si="343"/>
        <v>0</v>
      </c>
      <c r="L1021" s="648">
        <f t="shared" ca="1" si="343"/>
        <v>0</v>
      </c>
      <c r="M1021" s="648">
        <f t="shared" ca="1" si="343"/>
        <v>0</v>
      </c>
      <c r="N1021" s="648">
        <f t="shared" ca="1" si="343"/>
        <v>0</v>
      </c>
      <c r="O1021" s="648">
        <f t="shared" ca="1" si="343"/>
        <v>0</v>
      </c>
      <c r="P1021" s="648">
        <f t="shared" ca="1" si="343"/>
        <v>0</v>
      </c>
      <c r="Q1021" s="648">
        <f t="shared" ca="1" si="343"/>
        <v>0</v>
      </c>
      <c r="R1021" s="648">
        <f t="shared" ca="1" si="343"/>
        <v>0</v>
      </c>
      <c r="S1021" s="648">
        <f t="shared" ca="1" si="343"/>
        <v>0</v>
      </c>
      <c r="T1021" s="645"/>
      <c r="U1021" s="646">
        <f t="shared" ca="1" si="344"/>
        <v>0</v>
      </c>
      <c r="X1021" s="646">
        <f t="shared" ca="1" si="327"/>
        <v>0</v>
      </c>
    </row>
    <row r="1022" spans="2:24" s="589" customFormat="1" x14ac:dyDescent="0.2">
      <c r="B1022" s="645">
        <f t="shared" si="333"/>
        <v>31</v>
      </c>
      <c r="C1022" s="647" t="s">
        <v>62</v>
      </c>
      <c r="D1022" s="649" t="s">
        <v>646</v>
      </c>
      <c r="E1022" s="645"/>
      <c r="F1022" s="646">
        <f>' WP II-I-1.4'!G1022</f>
        <v>132772031.77</v>
      </c>
      <c r="G1022" s="645">
        <v>45</v>
      </c>
      <c r="H1022" s="620" t="str">
        <f t="shared" si="342"/>
        <v>PLT 364</v>
      </c>
      <c r="I1022" s="645"/>
      <c r="J1022" s="648">
        <f t="shared" si="343"/>
        <v>72565367.780897066</v>
      </c>
      <c r="K1022" s="648">
        <f t="shared" si="343"/>
        <v>1370953.3441148039</v>
      </c>
      <c r="L1022" s="648">
        <f t="shared" si="343"/>
        <v>46609042.161359526</v>
      </c>
      <c r="M1022" s="648">
        <f t="shared" si="343"/>
        <v>18069.543236028945</v>
      </c>
      <c r="N1022" s="648">
        <f t="shared" si="343"/>
        <v>11358281.40209562</v>
      </c>
      <c r="O1022" s="648">
        <f t="shared" si="343"/>
        <v>0</v>
      </c>
      <c r="P1022" s="648">
        <f t="shared" si="343"/>
        <v>0</v>
      </c>
      <c r="Q1022" s="648">
        <f t="shared" si="343"/>
        <v>414497.43430975405</v>
      </c>
      <c r="R1022" s="648">
        <f t="shared" si="343"/>
        <v>0</v>
      </c>
      <c r="S1022" s="648">
        <f t="shared" si="343"/>
        <v>435820.10398719338</v>
      </c>
      <c r="T1022" s="645"/>
      <c r="U1022" s="646">
        <f t="shared" si="344"/>
        <v>132772031.77</v>
      </c>
      <c r="X1022" s="646">
        <f t="shared" si="327"/>
        <v>0</v>
      </c>
    </row>
    <row r="1023" spans="2:24" s="589" customFormat="1" x14ac:dyDescent="0.2">
      <c r="B1023" s="645">
        <f t="shared" si="333"/>
        <v>32</v>
      </c>
      <c r="C1023" s="647" t="s">
        <v>64</v>
      </c>
      <c r="D1023" s="647" t="s">
        <v>486</v>
      </c>
      <c r="E1023" s="645"/>
      <c r="F1023" s="646">
        <f>' WP II-I-1.4'!G1023</f>
        <v>61699776.700000003</v>
      </c>
      <c r="G1023" s="645">
        <v>46</v>
      </c>
      <c r="H1023" s="620" t="str">
        <f t="shared" si="342"/>
        <v>PLT 365</v>
      </c>
      <c r="I1023" s="645"/>
      <c r="J1023" s="648">
        <f t="shared" si="343"/>
        <v>33606393.5318131</v>
      </c>
      <c r="K1023" s="648">
        <f t="shared" si="343"/>
        <v>634914.40896694548</v>
      </c>
      <c r="L1023" s="648">
        <f t="shared" si="343"/>
        <v>21585528.481643885</v>
      </c>
      <c r="M1023" s="648">
        <f t="shared" si="343"/>
        <v>8690.4168133638705</v>
      </c>
      <c r="N1023" s="648">
        <f t="shared" si="343"/>
        <v>5462683.7202434205</v>
      </c>
      <c r="O1023" s="648">
        <f t="shared" si="343"/>
        <v>0</v>
      </c>
      <c r="P1023" s="648">
        <f t="shared" si="343"/>
        <v>0</v>
      </c>
      <c r="Q1023" s="648">
        <f t="shared" si="343"/>
        <v>191961.59712715566</v>
      </c>
      <c r="R1023" s="648">
        <f t="shared" si="343"/>
        <v>0</v>
      </c>
      <c r="S1023" s="648">
        <f t="shared" si="343"/>
        <v>209604.54339213541</v>
      </c>
      <c r="T1023" s="645"/>
      <c r="U1023" s="646">
        <f t="shared" si="344"/>
        <v>61699776.700000003</v>
      </c>
      <c r="X1023" s="646">
        <f t="shared" si="327"/>
        <v>0</v>
      </c>
    </row>
    <row r="1024" spans="2:24" s="589" customFormat="1" x14ac:dyDescent="0.2">
      <c r="B1024" s="645">
        <f t="shared" si="333"/>
        <v>33</v>
      </c>
      <c r="C1024" s="647" t="s">
        <v>66</v>
      </c>
      <c r="D1024" s="647" t="s">
        <v>647</v>
      </c>
      <c r="E1024" s="645"/>
      <c r="F1024" s="646">
        <f>' WP II-I-1.4'!G1024</f>
        <v>40143407.219999999</v>
      </c>
      <c r="G1024" s="645">
        <v>47</v>
      </c>
      <c r="H1024" s="620" t="str">
        <f t="shared" si="342"/>
        <v>PLT 366</v>
      </c>
      <c r="I1024" s="645"/>
      <c r="J1024" s="648">
        <f t="shared" si="343"/>
        <v>22407688.80641963</v>
      </c>
      <c r="K1024" s="648">
        <f t="shared" si="343"/>
        <v>423341.00745964813</v>
      </c>
      <c r="L1024" s="648">
        <f t="shared" si="343"/>
        <v>14392553.145606419</v>
      </c>
      <c r="M1024" s="648">
        <f t="shared" si="343"/>
        <v>4270.7727418113691</v>
      </c>
      <c r="N1024" s="648">
        <f t="shared" si="343"/>
        <v>2684552.5629652538</v>
      </c>
      <c r="O1024" s="648">
        <f t="shared" si="343"/>
        <v>0</v>
      </c>
      <c r="P1024" s="648">
        <f t="shared" si="343"/>
        <v>0</v>
      </c>
      <c r="Q1024" s="648">
        <f t="shared" si="343"/>
        <v>127993.97016929874</v>
      </c>
      <c r="R1024" s="648">
        <f t="shared" si="343"/>
        <v>0</v>
      </c>
      <c r="S1024" s="648">
        <f t="shared" si="343"/>
        <v>103006.95463793846</v>
      </c>
      <c r="T1024" s="645"/>
      <c r="U1024" s="646">
        <f t="shared" si="344"/>
        <v>40143407.219999991</v>
      </c>
      <c r="X1024" s="646">
        <f t="shared" si="327"/>
        <v>0</v>
      </c>
    </row>
    <row r="1025" spans="2:24" s="589" customFormat="1" x14ac:dyDescent="0.2">
      <c r="B1025" s="645">
        <f t="shared" si="333"/>
        <v>34</v>
      </c>
      <c r="C1025" s="647" t="s">
        <v>68</v>
      </c>
      <c r="D1025" s="649" t="s">
        <v>648</v>
      </c>
      <c r="E1025" s="645"/>
      <c r="F1025" s="646">
        <f>' WP II-I-1.4'!G1025</f>
        <v>79884161.159999996</v>
      </c>
      <c r="G1025" s="645">
        <v>48</v>
      </c>
      <c r="H1025" s="620" t="str">
        <f t="shared" si="342"/>
        <v>PLT 367</v>
      </c>
      <c r="I1025" s="645"/>
      <c r="J1025" s="648">
        <f t="shared" si="343"/>
        <v>43890243.177457757</v>
      </c>
      <c r="K1025" s="648">
        <f t="shared" si="343"/>
        <v>829203.75791146897</v>
      </c>
      <c r="L1025" s="648">
        <f t="shared" si="343"/>
        <v>28190888.536624771</v>
      </c>
      <c r="M1025" s="648">
        <f t="shared" si="343"/>
        <v>10284.624746360163</v>
      </c>
      <c r="N1025" s="648">
        <f t="shared" si="343"/>
        <v>6464782.228207943</v>
      </c>
      <c r="O1025" s="648">
        <f t="shared" si="343"/>
        <v>0</v>
      </c>
      <c r="P1025" s="648">
        <f t="shared" si="343"/>
        <v>0</v>
      </c>
      <c r="Q1025" s="648">
        <f t="shared" si="343"/>
        <v>250703.52076513009</v>
      </c>
      <c r="R1025" s="648">
        <f t="shared" si="343"/>
        <v>0</v>
      </c>
      <c r="S1025" s="648">
        <f t="shared" si="343"/>
        <v>248055.3142865712</v>
      </c>
      <c r="T1025" s="645"/>
      <c r="U1025" s="646">
        <f t="shared" si="344"/>
        <v>79884161.160000011</v>
      </c>
      <c r="X1025" s="646">
        <f t="shared" si="327"/>
        <v>0</v>
      </c>
    </row>
    <row r="1026" spans="2:24" s="589" customFormat="1" x14ac:dyDescent="0.2">
      <c r="B1026" s="645">
        <f t="shared" si="333"/>
        <v>35</v>
      </c>
      <c r="C1026" s="647" t="s">
        <v>70</v>
      </c>
      <c r="D1026" s="647" t="s">
        <v>649</v>
      </c>
      <c r="E1026" s="645"/>
      <c r="F1026" s="646">
        <f>' WP II-I-1.4'!G1026</f>
        <v>74745921.769999996</v>
      </c>
      <c r="G1026" s="645">
        <v>49</v>
      </c>
      <c r="H1026" s="620" t="str">
        <f t="shared" si="342"/>
        <v>PLT 368</v>
      </c>
      <c r="I1026" s="645"/>
      <c r="J1026" s="648">
        <f t="shared" ref="J1026:S1031" si="347">$F1026*HLOOKUP(J$1354,FactorTable,$G1026+1)</f>
        <v>43900849.596858166</v>
      </c>
      <c r="K1026" s="648">
        <f t="shared" si="347"/>
        <v>829404.14146344038</v>
      </c>
      <c r="L1026" s="648">
        <f t="shared" si="347"/>
        <v>28197701.084595408</v>
      </c>
      <c r="M1026" s="648">
        <f t="shared" si="347"/>
        <v>1361.9678698741218</v>
      </c>
      <c r="N1026" s="648">
        <f t="shared" si="347"/>
        <v>856115.40505340975</v>
      </c>
      <c r="O1026" s="648">
        <f t="shared" si="347"/>
        <v>143207.42416835565</v>
      </c>
      <c r="P1026" s="648">
        <f t="shared" si="347"/>
        <v>523769.62546834064</v>
      </c>
      <c r="Q1026" s="648">
        <f t="shared" si="347"/>
        <v>250764.10522522614</v>
      </c>
      <c r="R1026" s="648">
        <f t="shared" si="347"/>
        <v>9899.0566480072903</v>
      </c>
      <c r="S1026" s="648">
        <f t="shared" si="347"/>
        <v>32849.362649755756</v>
      </c>
      <c r="T1026" s="645"/>
      <c r="U1026" s="646">
        <f t="shared" si="344"/>
        <v>74745921.769999966</v>
      </c>
      <c r="X1026" s="646">
        <f t="shared" si="327"/>
        <v>0</v>
      </c>
    </row>
    <row r="1027" spans="2:24" s="589" customFormat="1" x14ac:dyDescent="0.2">
      <c r="B1027" s="645">
        <f t="shared" si="333"/>
        <v>36</v>
      </c>
      <c r="C1027" s="647" t="s">
        <v>72</v>
      </c>
      <c r="D1027" s="649" t="s">
        <v>73</v>
      </c>
      <c r="E1027" s="645"/>
      <c r="F1027" s="646">
        <f>' WP II-I-1.4'!G1027</f>
        <v>69028413.349999994</v>
      </c>
      <c r="G1027" s="645">
        <v>50</v>
      </c>
      <c r="H1027" s="620" t="str">
        <f t="shared" si="342"/>
        <v>PLT 369</v>
      </c>
      <c r="I1027" s="645"/>
      <c r="J1027" s="648">
        <f t="shared" si="347"/>
        <v>40772825.762364939</v>
      </c>
      <c r="K1027" s="648">
        <f t="shared" si="347"/>
        <v>5719819.1064405777</v>
      </c>
      <c r="L1027" s="648">
        <f t="shared" si="347"/>
        <v>22494191.843572788</v>
      </c>
      <c r="M1027" s="648">
        <f t="shared" si="347"/>
        <v>0</v>
      </c>
      <c r="N1027" s="648">
        <f t="shared" si="347"/>
        <v>0</v>
      </c>
      <c r="O1027" s="648">
        <f t="shared" si="347"/>
        <v>0</v>
      </c>
      <c r="P1027" s="648">
        <f t="shared" si="347"/>
        <v>0</v>
      </c>
      <c r="Q1027" s="648">
        <f t="shared" si="347"/>
        <v>41576.63762169148</v>
      </c>
      <c r="R1027" s="648">
        <f t="shared" si="347"/>
        <v>0</v>
      </c>
      <c r="S1027" s="648">
        <f t="shared" si="347"/>
        <v>0</v>
      </c>
      <c r="T1027" s="645"/>
      <c r="U1027" s="646">
        <f t="shared" si="344"/>
        <v>69028413.349999979</v>
      </c>
      <c r="X1027" s="646">
        <f t="shared" si="327"/>
        <v>0</v>
      </c>
    </row>
    <row r="1028" spans="2:24" s="589" customFormat="1" x14ac:dyDescent="0.2">
      <c r="B1028" s="645">
        <f t="shared" si="333"/>
        <v>37</v>
      </c>
      <c r="C1028" s="647" t="s">
        <v>74</v>
      </c>
      <c r="D1028" s="647" t="s">
        <v>75</v>
      </c>
      <c r="E1028" s="645"/>
      <c r="F1028" s="646">
        <f>' WP II-I-1.4'!G1028</f>
        <v>0</v>
      </c>
      <c r="G1028" s="645">
        <v>6</v>
      </c>
      <c r="H1028" s="620" t="str">
        <f t="shared" si="342"/>
        <v>CUS W ALL</v>
      </c>
      <c r="I1028" s="645"/>
      <c r="J1028" s="648">
        <f t="shared" si="347"/>
        <v>0</v>
      </c>
      <c r="K1028" s="648">
        <f t="shared" si="347"/>
        <v>0</v>
      </c>
      <c r="L1028" s="648">
        <f t="shared" si="347"/>
        <v>0</v>
      </c>
      <c r="M1028" s="648">
        <f t="shared" si="347"/>
        <v>0</v>
      </c>
      <c r="N1028" s="648">
        <f t="shared" si="347"/>
        <v>0</v>
      </c>
      <c r="O1028" s="648">
        <f t="shared" si="347"/>
        <v>0</v>
      </c>
      <c r="P1028" s="648">
        <f t="shared" si="347"/>
        <v>0</v>
      </c>
      <c r="Q1028" s="648">
        <f t="shared" si="347"/>
        <v>0</v>
      </c>
      <c r="R1028" s="648">
        <f t="shared" si="347"/>
        <v>0</v>
      </c>
      <c r="S1028" s="648">
        <f t="shared" si="347"/>
        <v>0</v>
      </c>
      <c r="T1028" s="645"/>
      <c r="U1028" s="646">
        <f t="shared" si="344"/>
        <v>0</v>
      </c>
      <c r="X1028" s="646">
        <f t="shared" si="327"/>
        <v>0</v>
      </c>
    </row>
    <row r="1029" spans="2:24" s="589" customFormat="1" x14ac:dyDescent="0.2">
      <c r="B1029" s="645">
        <f t="shared" si="333"/>
        <v>38</v>
      </c>
      <c r="C1029" s="647" t="s">
        <v>76</v>
      </c>
      <c r="D1029" s="647" t="s">
        <v>495</v>
      </c>
      <c r="E1029" s="645"/>
      <c r="F1029" s="646">
        <f>' WP II-I-1.4'!G1029</f>
        <v>2687947.96</v>
      </c>
      <c r="G1029" s="645">
        <v>33</v>
      </c>
      <c r="H1029" s="620" t="str">
        <f t="shared" si="342"/>
        <v>NCP LGT</v>
      </c>
      <c r="I1029" s="645"/>
      <c r="J1029" s="648">
        <f t="shared" si="347"/>
        <v>0</v>
      </c>
      <c r="K1029" s="648">
        <f t="shared" si="347"/>
        <v>0</v>
      </c>
      <c r="L1029" s="648">
        <f t="shared" si="347"/>
        <v>0</v>
      </c>
      <c r="M1029" s="648">
        <f t="shared" si="347"/>
        <v>0</v>
      </c>
      <c r="N1029" s="648">
        <f t="shared" si="347"/>
        <v>0</v>
      </c>
      <c r="O1029" s="648">
        <f t="shared" si="347"/>
        <v>0</v>
      </c>
      <c r="P1029" s="648">
        <f t="shared" si="347"/>
        <v>0</v>
      </c>
      <c r="Q1029" s="648">
        <f t="shared" si="347"/>
        <v>2687947.96</v>
      </c>
      <c r="R1029" s="648">
        <f t="shared" si="347"/>
        <v>0</v>
      </c>
      <c r="S1029" s="648">
        <f t="shared" si="347"/>
        <v>0</v>
      </c>
      <c r="T1029" s="645"/>
      <c r="U1029" s="646">
        <f t="shared" si="344"/>
        <v>2687947.96</v>
      </c>
      <c r="X1029" s="646">
        <f t="shared" si="327"/>
        <v>0</v>
      </c>
    </row>
    <row r="1030" spans="2:24" s="589" customFormat="1" x14ac:dyDescent="0.2">
      <c r="B1030" s="645">
        <f t="shared" si="333"/>
        <v>39</v>
      </c>
      <c r="C1030" s="647" t="s">
        <v>78</v>
      </c>
      <c r="D1030" s="647" t="s">
        <v>496</v>
      </c>
      <c r="E1030" s="645"/>
      <c r="F1030" s="646">
        <f>' WP II-I-1.4'!G1030</f>
        <v>0</v>
      </c>
      <c r="G1030" s="645">
        <v>6</v>
      </c>
      <c r="H1030" s="620" t="str">
        <f t="shared" si="342"/>
        <v>CUS W ALL</v>
      </c>
      <c r="I1030" s="645"/>
      <c r="J1030" s="648">
        <f t="shared" si="347"/>
        <v>0</v>
      </c>
      <c r="K1030" s="648">
        <f t="shared" si="347"/>
        <v>0</v>
      </c>
      <c r="L1030" s="648">
        <f t="shared" si="347"/>
        <v>0</v>
      </c>
      <c r="M1030" s="648">
        <f t="shared" si="347"/>
        <v>0</v>
      </c>
      <c r="N1030" s="648">
        <f t="shared" si="347"/>
        <v>0</v>
      </c>
      <c r="O1030" s="648">
        <f t="shared" si="347"/>
        <v>0</v>
      </c>
      <c r="P1030" s="648">
        <f t="shared" si="347"/>
        <v>0</v>
      </c>
      <c r="Q1030" s="648">
        <f t="shared" si="347"/>
        <v>0</v>
      </c>
      <c r="R1030" s="648">
        <f t="shared" si="347"/>
        <v>0</v>
      </c>
      <c r="S1030" s="648">
        <f t="shared" si="347"/>
        <v>0</v>
      </c>
      <c r="T1030" s="645"/>
      <c r="U1030" s="646">
        <f t="shared" si="344"/>
        <v>0</v>
      </c>
      <c r="X1030" s="646">
        <f t="shared" si="327"/>
        <v>0</v>
      </c>
    </row>
    <row r="1031" spans="2:24" s="589" customFormat="1" x14ac:dyDescent="0.2">
      <c r="B1031" s="645">
        <f t="shared" si="333"/>
        <v>40</v>
      </c>
      <c r="C1031" s="647" t="s">
        <v>80</v>
      </c>
      <c r="D1031" s="647" t="s">
        <v>84</v>
      </c>
      <c r="E1031" s="645"/>
      <c r="F1031" s="646">
        <f>' WP II-I-1.4'!G1031</f>
        <v>25905960.890000001</v>
      </c>
      <c r="G1031" s="645">
        <v>33</v>
      </c>
      <c r="H1031" s="620" t="str">
        <f t="shared" si="342"/>
        <v>NCP LGT</v>
      </c>
      <c r="I1031" s="645"/>
      <c r="J1031" s="651">
        <f t="shared" si="347"/>
        <v>0</v>
      </c>
      <c r="K1031" s="651">
        <f t="shared" si="347"/>
        <v>0</v>
      </c>
      <c r="L1031" s="651">
        <f t="shared" si="347"/>
        <v>0</v>
      </c>
      <c r="M1031" s="651">
        <f t="shared" si="347"/>
        <v>0</v>
      </c>
      <c r="N1031" s="651">
        <f t="shared" si="347"/>
        <v>0</v>
      </c>
      <c r="O1031" s="651">
        <f t="shared" si="347"/>
        <v>0</v>
      </c>
      <c r="P1031" s="651">
        <f t="shared" si="347"/>
        <v>0</v>
      </c>
      <c r="Q1031" s="651">
        <f t="shared" si="347"/>
        <v>25905960.890000001</v>
      </c>
      <c r="R1031" s="651">
        <f t="shared" si="347"/>
        <v>0</v>
      </c>
      <c r="S1031" s="651">
        <f t="shared" si="347"/>
        <v>0</v>
      </c>
      <c r="T1031" s="645"/>
      <c r="U1031" s="646">
        <f t="shared" si="344"/>
        <v>25905960.890000001</v>
      </c>
      <c r="X1031" s="646">
        <f t="shared" ref="X1031:X1096" si="348">U1031-F1031</f>
        <v>0</v>
      </c>
    </row>
    <row r="1032" spans="2:24" s="589" customFormat="1" ht="15" x14ac:dyDescent="0.25">
      <c r="B1032" s="645">
        <f t="shared" si="333"/>
        <v>41</v>
      </c>
      <c r="C1032" s="8"/>
      <c r="D1032" s="233" t="s">
        <v>444</v>
      </c>
      <c r="E1032" s="644"/>
      <c r="F1032" s="21">
        <f>SUM(F1016:F1031)</f>
        <v>578098010.61000001</v>
      </c>
      <c r="G1032" s="644"/>
      <c r="H1032" s="644"/>
      <c r="I1032" s="913"/>
      <c r="J1032" s="21">
        <f t="shared" ref="J1032:Q1032" ca="1" si="349">SUM(J1016:J1031)</f>
        <v>304987835.8495779</v>
      </c>
      <c r="K1032" s="21">
        <f t="shared" ca="1" si="349"/>
        <v>10871736.742968967</v>
      </c>
      <c r="L1032" s="21">
        <f t="shared" ca="1" si="349"/>
        <v>192081040.08335775</v>
      </c>
      <c r="M1032" s="21">
        <f t="shared" ca="1" si="349"/>
        <v>55012.910638957961</v>
      </c>
      <c r="N1032" s="21">
        <f t="shared" ca="1" si="349"/>
        <v>34580404.807340614</v>
      </c>
      <c r="O1032" s="21">
        <f ca="1">SUM(O1016:O1031)</f>
        <v>2779857.378044798</v>
      </c>
      <c r="P1032" s="21">
        <f t="shared" ca="1" si="349"/>
        <v>567093.72708182631</v>
      </c>
      <c r="Q1032" s="21">
        <f t="shared" ca="1" si="349"/>
        <v>30656015.709614784</v>
      </c>
      <c r="R1032" s="21">
        <f ca="1">SUM(R1016:R1031)</f>
        <v>192154.60244781838</v>
      </c>
      <c r="S1032" s="21">
        <f ca="1">SUM(S1016:S1031)</f>
        <v>1326858.7989265556</v>
      </c>
      <c r="T1032" s="913"/>
      <c r="U1032" s="235">
        <f t="shared" ca="1" si="344"/>
        <v>578098010.61000001</v>
      </c>
      <c r="X1032" s="646">
        <f t="shared" ca="1" si="348"/>
        <v>0</v>
      </c>
    </row>
    <row r="1033" spans="2:24" s="589" customFormat="1" x14ac:dyDescent="0.2">
      <c r="B1033" s="645"/>
      <c r="C1033" s="647"/>
      <c r="D1033" s="647"/>
      <c r="E1033" s="645"/>
      <c r="F1033" s="614"/>
      <c r="G1033" s="645"/>
      <c r="H1033" s="645"/>
      <c r="I1033" s="645"/>
      <c r="J1033" s="645"/>
      <c r="K1033" s="645"/>
      <c r="L1033" s="645"/>
      <c r="M1033" s="645"/>
      <c r="N1033" s="645"/>
      <c r="O1033" s="645"/>
      <c r="P1033" s="645"/>
      <c r="Q1033" s="645"/>
      <c r="R1033" s="645"/>
      <c r="S1033" s="645"/>
      <c r="T1033" s="645"/>
      <c r="U1033" s="647"/>
      <c r="X1033" s="646">
        <f t="shared" si="348"/>
        <v>0</v>
      </c>
    </row>
    <row r="1034" spans="2:24" s="589" customFormat="1" x14ac:dyDescent="0.2">
      <c r="B1034" s="645"/>
      <c r="C1034" s="647"/>
      <c r="D1034" s="647"/>
      <c r="E1034" s="645"/>
      <c r="F1034" s="614"/>
      <c r="G1034" s="645"/>
      <c r="H1034" s="653"/>
      <c r="I1034" s="645"/>
      <c r="J1034" s="645"/>
      <c r="K1034" s="645"/>
      <c r="L1034" s="645"/>
      <c r="M1034" s="645"/>
      <c r="N1034" s="645"/>
      <c r="O1034" s="645"/>
      <c r="P1034" s="645"/>
      <c r="Q1034" s="645"/>
      <c r="R1034" s="645"/>
      <c r="S1034" s="645"/>
      <c r="T1034" s="645"/>
      <c r="U1034" s="653"/>
      <c r="V1034" s="653">
        <f>$H$2</f>
        <v>0</v>
      </c>
      <c r="W1034" s="653"/>
      <c r="X1034" s="646"/>
    </row>
    <row r="1035" spans="2:24" s="589" customFormat="1" ht="15" thickBot="1" x14ac:dyDescent="0.25">
      <c r="B1035" s="645"/>
      <c r="C1035" s="647"/>
      <c r="D1035" s="647"/>
      <c r="E1035" s="645"/>
      <c r="F1035" s="614"/>
      <c r="G1035" s="645"/>
      <c r="H1035" s="645"/>
      <c r="I1035" s="645"/>
      <c r="J1035" s="645"/>
      <c r="K1035" s="645"/>
      <c r="L1035" s="645"/>
      <c r="M1035" s="645"/>
      <c r="N1035" s="645"/>
      <c r="O1035" s="645"/>
      <c r="P1035" s="645"/>
      <c r="Q1035" s="645"/>
      <c r="R1035" s="645"/>
      <c r="S1035" s="645"/>
      <c r="T1035" s="645"/>
      <c r="U1035" s="647"/>
      <c r="X1035" s="646">
        <f t="shared" si="348"/>
        <v>0</v>
      </c>
    </row>
    <row r="1036" spans="2:24" s="589" customFormat="1" ht="15" x14ac:dyDescent="0.25">
      <c r="B1036" s="829" t="str">
        <f>+$B$4</f>
        <v>2025 RATE CASE</v>
      </c>
      <c r="C1036" s="844"/>
      <c r="D1036" s="874"/>
      <c r="F1036" s="654"/>
      <c r="U1036" s="653"/>
      <c r="X1036" s="646">
        <f t="shared" si="348"/>
        <v>0</v>
      </c>
    </row>
    <row r="1037" spans="2:24" s="589" customFormat="1" ht="15" x14ac:dyDescent="0.25">
      <c r="B1037" s="826" t="str">
        <f>+$B$5</f>
        <v>ONCOR ELECTRIC DELIVERY COMPANY LLC</v>
      </c>
      <c r="C1037" s="8"/>
      <c r="D1037" s="875"/>
      <c r="F1037" s="654"/>
      <c r="U1037" s="653"/>
      <c r="X1037" s="646">
        <f t="shared" si="348"/>
        <v>0</v>
      </c>
    </row>
    <row r="1038" spans="2:24" s="589" customFormat="1" ht="15" x14ac:dyDescent="0.25">
      <c r="B1038" s="826" t="str">
        <f>+$B$6</f>
        <v>II-I-1-DIST:  CLASS REVENUE REQUIREMENT</v>
      </c>
      <c r="C1038" s="82"/>
      <c r="D1038" s="875"/>
      <c r="F1038" s="654"/>
      <c r="U1038" s="654"/>
      <c r="X1038" s="646">
        <f t="shared" si="348"/>
        <v>0</v>
      </c>
    </row>
    <row r="1039" spans="2:24" s="589" customFormat="1" ht="15" x14ac:dyDescent="0.25">
      <c r="B1039" s="341" t="str">
        <f>+$B$7</f>
        <v>TEST YEAR ENDING 12/31/2024</v>
      </c>
      <c r="C1039" s="82"/>
      <c r="D1039" s="875"/>
      <c r="F1039" s="654"/>
      <c r="U1039" s="654"/>
      <c r="X1039" s="646">
        <f t="shared" si="348"/>
        <v>0</v>
      </c>
    </row>
    <row r="1040" spans="2:24" s="589" customFormat="1" ht="15" x14ac:dyDescent="0.25">
      <c r="B1040" s="341" t="str">
        <f>+$B$8</f>
        <v>SPONSOR:  MATTHEW A. TROXLE</v>
      </c>
      <c r="C1040" s="82"/>
      <c r="D1040" s="875"/>
      <c r="F1040" s="654"/>
      <c r="U1040" s="654"/>
      <c r="X1040" s="646">
        <f t="shared" si="348"/>
        <v>0</v>
      </c>
    </row>
    <row r="1041" spans="2:24" s="589" customFormat="1" ht="15.75" thickBot="1" x14ac:dyDescent="0.3">
      <c r="B1041" s="345"/>
      <c r="C1041" s="843"/>
      <c r="D1041" s="876"/>
      <c r="F1041" s="654"/>
      <c r="U1041" s="654"/>
      <c r="X1041" s="646">
        <f t="shared" si="348"/>
        <v>0</v>
      </c>
    </row>
    <row r="1042" spans="2:24" s="589" customFormat="1" ht="15" thickBot="1" x14ac:dyDescent="0.25">
      <c r="B1042" s="655"/>
      <c r="C1042" s="656"/>
      <c r="D1042" s="656"/>
      <c r="E1042" s="656"/>
      <c r="F1042" s="655"/>
      <c r="G1042" s="656"/>
      <c r="H1042" s="656"/>
      <c r="I1042" s="656"/>
      <c r="J1042" s="657"/>
      <c r="K1042" s="657"/>
      <c r="L1042" s="656"/>
      <c r="M1042" s="657"/>
      <c r="N1042" s="657"/>
      <c r="O1042" s="657"/>
      <c r="P1042" s="657"/>
      <c r="Q1042" s="656"/>
      <c r="R1042" s="658" t="str">
        <f>R$10</f>
        <v xml:space="preserve"> </v>
      </c>
      <c r="S1042" s="659"/>
      <c r="T1042" s="657"/>
      <c r="U1042" s="655"/>
      <c r="X1042" s="646">
        <f t="shared" si="348"/>
        <v>0</v>
      </c>
    </row>
    <row r="1043" spans="2:24" s="589" customFormat="1" ht="15" x14ac:dyDescent="0.25">
      <c r="B1043" s="660" t="s">
        <v>2</v>
      </c>
      <c r="C1043" s="660" t="s">
        <v>349</v>
      </c>
      <c r="D1043" s="226" t="s">
        <v>650</v>
      </c>
      <c r="E1043" s="660" t="s">
        <v>350</v>
      </c>
      <c r="F1043" s="226" t="str">
        <f>F$11</f>
        <v>DIST</v>
      </c>
      <c r="G1043" s="661" t="s">
        <v>688</v>
      </c>
      <c r="H1043" s="661" t="s">
        <v>355</v>
      </c>
      <c r="I1043" s="660"/>
      <c r="J1043" s="661" t="s">
        <v>679</v>
      </c>
      <c r="K1043" s="661" t="s">
        <v>388</v>
      </c>
      <c r="L1043" s="660" t="s">
        <v>388</v>
      </c>
      <c r="M1043" s="661" t="s">
        <v>389</v>
      </c>
      <c r="N1043" s="661" t="s">
        <v>389</v>
      </c>
      <c r="O1043" s="661" t="s">
        <v>389</v>
      </c>
      <c r="P1043" s="661" t="s">
        <v>390</v>
      </c>
      <c r="Q1043" s="660" t="s">
        <v>391</v>
      </c>
      <c r="R1043" s="662" t="str">
        <f>R$11</f>
        <v>Wholesale</v>
      </c>
      <c r="S1043" s="655" t="str">
        <f>S$11</f>
        <v>Wholesale</v>
      </c>
      <c r="T1043" s="661"/>
      <c r="U1043" s="660" t="s">
        <v>10</v>
      </c>
      <c r="X1043" s="646"/>
    </row>
    <row r="1044" spans="2:24" s="589" customFormat="1" x14ac:dyDescent="0.2">
      <c r="B1044" s="660"/>
      <c r="C1044" s="660"/>
      <c r="D1044" s="660"/>
      <c r="E1044" s="660"/>
      <c r="F1044" s="660"/>
      <c r="G1044" s="661" t="s">
        <v>689</v>
      </c>
      <c r="H1044" s="661" t="s">
        <v>690</v>
      </c>
      <c r="I1044" s="660"/>
      <c r="J1044" s="661"/>
      <c r="K1044" s="661" t="s">
        <v>680</v>
      </c>
      <c r="L1044" s="660" t="s">
        <v>681</v>
      </c>
      <c r="M1044" s="661" t="s">
        <v>680</v>
      </c>
      <c r="N1044" s="661" t="s">
        <v>681</v>
      </c>
      <c r="O1044" s="661" t="s">
        <v>393</v>
      </c>
      <c r="P1044" s="661"/>
      <c r="Q1044" s="660"/>
      <c r="R1044" s="663" t="str">
        <f>R$12</f>
        <v>XFMR</v>
      </c>
      <c r="S1044" s="660" t="str">
        <f>S$12</f>
        <v>DLS</v>
      </c>
      <c r="T1044" s="661"/>
      <c r="U1044" s="660"/>
      <c r="X1044" s="646">
        <f t="shared" si="348"/>
        <v>0</v>
      </c>
    </row>
    <row r="1045" spans="2:24" s="589" customFormat="1" ht="15" thickBot="1" x14ac:dyDescent="0.25">
      <c r="B1045" s="664"/>
      <c r="C1045" s="664"/>
      <c r="D1045" s="664"/>
      <c r="E1045" s="664"/>
      <c r="F1045" s="664" t="s">
        <v>13</v>
      </c>
      <c r="G1045" s="664" t="s">
        <v>14</v>
      </c>
      <c r="H1045" s="664" t="s">
        <v>15</v>
      </c>
      <c r="I1045" s="664"/>
      <c r="J1045" s="665" t="str">
        <f t="shared" ref="J1045:Q1045" si="350">J$13</f>
        <v>(d)</v>
      </c>
      <c r="K1045" s="665" t="str">
        <f t="shared" si="350"/>
        <v>(e)</v>
      </c>
      <c r="L1045" s="664" t="str">
        <f t="shared" si="350"/>
        <v>(f)</v>
      </c>
      <c r="M1045" s="665" t="str">
        <f t="shared" si="350"/>
        <v>(g)</v>
      </c>
      <c r="N1045" s="665" t="str">
        <f t="shared" si="350"/>
        <v>(h)</v>
      </c>
      <c r="O1045" s="665" t="str">
        <f>O$13</f>
        <v>(i)</v>
      </c>
      <c r="P1045" s="665" t="str">
        <f t="shared" si="350"/>
        <v>(j)</v>
      </c>
      <c r="Q1045" s="665" t="str">
        <f t="shared" si="350"/>
        <v>(k)</v>
      </c>
      <c r="R1045" s="665" t="str">
        <f>R$13</f>
        <v>(l)</v>
      </c>
      <c r="S1045" s="664" t="str">
        <f>S$13</f>
        <v>(m)</v>
      </c>
      <c r="T1045" s="664"/>
      <c r="U1045" s="664" t="s">
        <v>683</v>
      </c>
      <c r="X1045" s="646"/>
    </row>
    <row r="1046" spans="2:24" s="589" customFormat="1" x14ac:dyDescent="0.2">
      <c r="C1046" s="666"/>
      <c r="D1046" s="666"/>
      <c r="E1046" s="666"/>
      <c r="F1046" s="666"/>
      <c r="G1046" s="666"/>
      <c r="H1046" s="666"/>
      <c r="I1046" s="666"/>
      <c r="J1046" s="666"/>
      <c r="K1046" s="666"/>
      <c r="L1046" s="666"/>
      <c r="M1046" s="666"/>
      <c r="N1046" s="666"/>
      <c r="O1046" s="666"/>
      <c r="P1046" s="666"/>
      <c r="Q1046" s="666"/>
      <c r="R1046" s="666"/>
      <c r="S1046" s="666"/>
      <c r="T1046" s="666"/>
      <c r="U1046" s="611"/>
      <c r="X1046" s="646">
        <f t="shared" si="348"/>
        <v>0</v>
      </c>
    </row>
    <row r="1047" spans="2:24" s="589" customFormat="1" ht="15" x14ac:dyDescent="0.25">
      <c r="B1047" s="645">
        <f>B1033+1</f>
        <v>1</v>
      </c>
      <c r="C1047" s="32" t="s">
        <v>651</v>
      </c>
      <c r="D1047" s="8"/>
      <c r="E1047" s="644" t="s">
        <v>280</v>
      </c>
      <c r="F1047" s="21"/>
      <c r="G1047" s="644"/>
      <c r="H1047" s="644"/>
      <c r="I1047" s="644"/>
      <c r="J1047" s="644"/>
      <c r="K1047" s="644"/>
      <c r="L1047" s="644"/>
      <c r="M1047" s="644"/>
      <c r="N1047" s="644"/>
      <c r="O1047" s="644"/>
      <c r="P1047" s="644"/>
      <c r="Q1047" s="644"/>
      <c r="R1047" s="644"/>
      <c r="S1047" s="644"/>
      <c r="T1047" s="644"/>
      <c r="U1047" s="8"/>
      <c r="X1047" s="646">
        <f t="shared" si="348"/>
        <v>0</v>
      </c>
    </row>
    <row r="1048" spans="2:24" s="589" customFormat="1" x14ac:dyDescent="0.2">
      <c r="B1048" s="645">
        <f t="shared" ref="B1048:B1070" si="351">B1047+1</f>
        <v>2</v>
      </c>
      <c r="C1048" s="647"/>
      <c r="D1048" s="647"/>
      <c r="E1048" s="645"/>
      <c r="F1048" s="614"/>
      <c r="G1048" s="645"/>
      <c r="H1048" s="645"/>
      <c r="I1048" s="645"/>
      <c r="J1048" s="645"/>
      <c r="K1048" s="645"/>
      <c r="L1048" s="645"/>
      <c r="M1048" s="645"/>
      <c r="N1048" s="645"/>
      <c r="O1048" s="645"/>
      <c r="P1048" s="645"/>
      <c r="Q1048" s="645"/>
      <c r="R1048" s="645"/>
      <c r="S1048" s="645"/>
      <c r="T1048" s="645"/>
      <c r="U1048" s="647"/>
      <c r="X1048" s="646">
        <f t="shared" si="348"/>
        <v>0</v>
      </c>
    </row>
    <row r="1049" spans="2:24" s="589" customFormat="1" x14ac:dyDescent="0.2">
      <c r="B1049" s="645">
        <f t="shared" si="351"/>
        <v>3</v>
      </c>
      <c r="C1049" s="647" t="s">
        <v>652</v>
      </c>
      <c r="D1049" s="647" t="s">
        <v>40</v>
      </c>
      <c r="E1049" s="645"/>
      <c r="F1049" s="646">
        <f>' WP II-I-1.4'!G1049</f>
        <v>1539.35</v>
      </c>
      <c r="G1049" s="645">
        <v>63</v>
      </c>
      <c r="H1049" s="620" t="str">
        <f t="shared" ref="H1049:H1062" si="352">VLOOKUP(G1049,FactorTable,2)</f>
        <v>PLTGEN_N</v>
      </c>
      <c r="I1049" s="645"/>
      <c r="J1049" s="648">
        <f t="shared" ref="J1049:S1062" ca="1" si="353">$F1049*HLOOKUP(J$1354,FactorTable,$G1049+1)</f>
        <v>839.84203374056926</v>
      </c>
      <c r="K1049" s="648">
        <f t="shared" ca="1" si="353"/>
        <v>22.231423199287349</v>
      </c>
      <c r="L1049" s="648">
        <f t="shared" ca="1" si="353"/>
        <v>534.68350658064344</v>
      </c>
      <c r="M1049" s="648">
        <f t="shared" ca="1" si="353"/>
        <v>0.16109262128453419</v>
      </c>
      <c r="N1049" s="648">
        <f t="shared" ca="1" si="353"/>
        <v>101.26074026612031</v>
      </c>
      <c r="O1049" s="648">
        <f t="shared" ca="1" si="353"/>
        <v>11.831904244774224</v>
      </c>
      <c r="P1049" s="648">
        <f t="shared" ca="1" si="353"/>
        <v>1.9969348369248519</v>
      </c>
      <c r="Q1049" s="648">
        <f t="shared" ca="1" si="353"/>
        <v>22.639097081791355</v>
      </c>
      <c r="R1049" s="648">
        <f t="shared" ca="1" si="353"/>
        <v>0.81786744683798929</v>
      </c>
      <c r="S1049" s="648">
        <f t="shared" ca="1" si="353"/>
        <v>3.8853999817664673</v>
      </c>
      <c r="T1049" s="645"/>
      <c r="U1049" s="646">
        <f t="shared" ref="U1049:U1063" ca="1" si="354">SUM(I1049:T1049)</f>
        <v>1539.3499999999997</v>
      </c>
      <c r="X1049" s="646">
        <f t="shared" ca="1" si="348"/>
        <v>0</v>
      </c>
    </row>
    <row r="1050" spans="2:24" s="589" customFormat="1" x14ac:dyDescent="0.2">
      <c r="B1050" s="645">
        <f t="shared" si="351"/>
        <v>4</v>
      </c>
      <c r="C1050" s="647" t="s">
        <v>89</v>
      </c>
      <c r="D1050" s="647" t="s">
        <v>42</v>
      </c>
      <c r="E1050" s="645"/>
      <c r="F1050" s="646">
        <f>' WP II-I-1.4'!G1050</f>
        <v>4484234.24</v>
      </c>
      <c r="G1050" s="645">
        <v>63</v>
      </c>
      <c r="H1050" s="620" t="str">
        <f t="shared" si="352"/>
        <v>PLTGEN_N</v>
      </c>
      <c r="I1050" s="645"/>
      <c r="J1050" s="648">
        <f t="shared" ca="1" si="353"/>
        <v>2446518.5980385854</v>
      </c>
      <c r="K1050" s="648">
        <f t="shared" ca="1" si="353"/>
        <v>64761.69104763354</v>
      </c>
      <c r="L1050" s="648">
        <f t="shared" ca="1" si="353"/>
        <v>1557570.4601112071</v>
      </c>
      <c r="M1050" s="648">
        <f t="shared" ca="1" si="353"/>
        <v>469.27407553542804</v>
      </c>
      <c r="N1050" s="648">
        <f t="shared" ca="1" si="353"/>
        <v>294979.62040412083</v>
      </c>
      <c r="O1050" s="648">
        <f t="shared" ca="1" si="353"/>
        <v>34467.164802558174</v>
      </c>
      <c r="P1050" s="648">
        <f t="shared" ca="1" si="353"/>
        <v>5817.2108817275075</v>
      </c>
      <c r="Q1050" s="648">
        <f t="shared" ca="1" si="353"/>
        <v>65949.273587457617</v>
      </c>
      <c r="R1050" s="648">
        <f t="shared" ca="1" si="353"/>
        <v>2382.5050890910397</v>
      </c>
      <c r="S1050" s="648">
        <f t="shared" ca="1" si="353"/>
        <v>11318.441962083067</v>
      </c>
      <c r="T1050" s="645"/>
      <c r="U1050" s="646">
        <f t="shared" ca="1" si="354"/>
        <v>4484234.24</v>
      </c>
      <c r="X1050" s="646">
        <f t="shared" ca="1" si="348"/>
        <v>0</v>
      </c>
    </row>
    <row r="1051" spans="2:24" s="589" customFormat="1" x14ac:dyDescent="0.2">
      <c r="B1051" s="645">
        <f t="shared" si="351"/>
        <v>5</v>
      </c>
      <c r="C1051" s="647" t="s">
        <v>90</v>
      </c>
      <c r="D1051" s="647" t="s">
        <v>91</v>
      </c>
      <c r="E1051" s="645"/>
      <c r="F1051" s="646">
        <f>' WP II-I-1.4'!G1051</f>
        <v>872993.73</v>
      </c>
      <c r="G1051" s="645">
        <v>63</v>
      </c>
      <c r="H1051" s="620" t="str">
        <f t="shared" si="352"/>
        <v>PLTGEN_N</v>
      </c>
      <c r="I1051" s="645"/>
      <c r="J1051" s="648">
        <f t="shared" ca="1" si="353"/>
        <v>476289.88186310162</v>
      </c>
      <c r="K1051" s="648">
        <f t="shared" ca="1" si="353"/>
        <v>12607.84945720882</v>
      </c>
      <c r="L1051" s="648">
        <f t="shared" ca="1" si="353"/>
        <v>303228.86203872768</v>
      </c>
      <c r="M1051" s="648">
        <f t="shared" ca="1" si="353"/>
        <v>91.358591828150139</v>
      </c>
      <c r="N1051" s="648">
        <f t="shared" ca="1" si="353"/>
        <v>57426.830381317806</v>
      </c>
      <c r="O1051" s="648">
        <f t="shared" ca="1" si="353"/>
        <v>6710.0907653543918</v>
      </c>
      <c r="P1051" s="648">
        <f t="shared" ca="1" si="353"/>
        <v>1132.4985168116207</v>
      </c>
      <c r="Q1051" s="648">
        <f t="shared" ca="1" si="353"/>
        <v>12839.048822727224</v>
      </c>
      <c r="R1051" s="648">
        <f t="shared" ca="1" si="353"/>
        <v>463.8276889990405</v>
      </c>
      <c r="S1051" s="648">
        <f t="shared" ca="1" si="353"/>
        <v>2203.4818739235652</v>
      </c>
      <c r="T1051" s="645"/>
      <c r="U1051" s="646">
        <f t="shared" ca="1" si="354"/>
        <v>872993.72999999975</v>
      </c>
      <c r="X1051" s="646">
        <f t="shared" ca="1" si="348"/>
        <v>0</v>
      </c>
    </row>
    <row r="1052" spans="2:24" s="589" customFormat="1" x14ac:dyDescent="0.2">
      <c r="B1052" s="645">
        <f t="shared" si="351"/>
        <v>6</v>
      </c>
      <c r="C1052" s="647" t="s">
        <v>92</v>
      </c>
      <c r="D1052" s="647" t="s">
        <v>653</v>
      </c>
      <c r="E1052" s="645"/>
      <c r="F1052" s="646">
        <f>' WP II-I-1.4'!G1052</f>
        <v>1019555.56</v>
      </c>
      <c r="G1052" s="645">
        <v>63</v>
      </c>
      <c r="H1052" s="620" t="str">
        <f t="shared" si="352"/>
        <v>PLTGEN_N</v>
      </c>
      <c r="I1052" s="645"/>
      <c r="J1052" s="648">
        <f t="shared" ca="1" si="353"/>
        <v>556251.41457232274</v>
      </c>
      <c r="K1052" s="648">
        <f t="shared" ca="1" si="353"/>
        <v>14724.507830932802</v>
      </c>
      <c r="L1052" s="648">
        <f t="shared" ca="1" si="353"/>
        <v>354136.1886345481</v>
      </c>
      <c r="M1052" s="648">
        <f t="shared" ca="1" si="353"/>
        <v>106.69625342230241</v>
      </c>
      <c r="N1052" s="648">
        <f t="shared" ca="1" si="353"/>
        <v>67067.886281897459</v>
      </c>
      <c r="O1052" s="648">
        <f t="shared" ca="1" si="353"/>
        <v>7836.6088012129549</v>
      </c>
      <c r="P1052" s="648">
        <f t="shared" ca="1" si="353"/>
        <v>1322.6270932175439</v>
      </c>
      <c r="Q1052" s="648">
        <f t="shared" ca="1" si="353"/>
        <v>14994.521910624713</v>
      </c>
      <c r="R1052" s="648">
        <f t="shared" ca="1" si="353"/>
        <v>541.69701677115438</v>
      </c>
      <c r="S1052" s="648">
        <f t="shared" ca="1" si="353"/>
        <v>2573.4116050501189</v>
      </c>
      <c r="T1052" s="645"/>
      <c r="U1052" s="646">
        <f t="shared" ca="1" si="354"/>
        <v>1019555.5599999999</v>
      </c>
      <c r="X1052" s="646">
        <f t="shared" ca="1" si="348"/>
        <v>0</v>
      </c>
    </row>
    <row r="1053" spans="2:24" s="589" customFormat="1" x14ac:dyDescent="0.2">
      <c r="B1053" s="645">
        <f t="shared" si="351"/>
        <v>7</v>
      </c>
      <c r="C1053" s="647" t="s">
        <v>95</v>
      </c>
      <c r="D1053" s="647" t="s">
        <v>654</v>
      </c>
      <c r="E1053" s="645"/>
      <c r="F1053" s="646">
        <f>' WP II-I-1.4'!G1053</f>
        <v>241776.52</v>
      </c>
      <c r="G1053" s="645">
        <v>63</v>
      </c>
      <c r="H1053" s="620" t="str">
        <f t="shared" si="352"/>
        <v>PLTGEN_N</v>
      </c>
      <c r="I1053" s="645"/>
      <c r="J1053" s="648">
        <f t="shared" ca="1" si="353"/>
        <v>131908.97733947277</v>
      </c>
      <c r="K1053" s="648">
        <f t="shared" ca="1" si="353"/>
        <v>3491.756998584443</v>
      </c>
      <c r="L1053" s="648">
        <f t="shared" ca="1" si="353"/>
        <v>83979.548200516496</v>
      </c>
      <c r="M1053" s="648">
        <f t="shared" ca="1" si="353"/>
        <v>25.30185686936214</v>
      </c>
      <c r="N1053" s="648">
        <f t="shared" ca="1" si="353"/>
        <v>15904.420303482926</v>
      </c>
      <c r="O1053" s="648">
        <f t="shared" ca="1" si="353"/>
        <v>1858.366604914243</v>
      </c>
      <c r="P1053" s="648">
        <f t="shared" ca="1" si="353"/>
        <v>313.64664016530236</v>
      </c>
      <c r="Q1053" s="648">
        <f t="shared" ca="1" si="353"/>
        <v>3555.7879029315422</v>
      </c>
      <c r="R1053" s="648">
        <f t="shared" ca="1" si="353"/>
        <v>128.45756008560372</v>
      </c>
      <c r="S1053" s="648">
        <f t="shared" ca="1" si="353"/>
        <v>610.25659297726952</v>
      </c>
      <c r="T1053" s="645"/>
      <c r="U1053" s="646">
        <f t="shared" ca="1" si="354"/>
        <v>241776.51999999996</v>
      </c>
      <c r="X1053" s="646">
        <f t="shared" ca="1" si="348"/>
        <v>0</v>
      </c>
    </row>
    <row r="1054" spans="2:24" s="589" customFormat="1" x14ac:dyDescent="0.2">
      <c r="B1054" s="645">
        <f t="shared" si="351"/>
        <v>8</v>
      </c>
      <c r="C1054" s="647" t="s">
        <v>97</v>
      </c>
      <c r="D1054" s="647" t="s">
        <v>655</v>
      </c>
      <c r="E1054" s="645"/>
      <c r="F1054" s="646">
        <f>' WP II-I-1.4'!G1054</f>
        <v>1862721.24</v>
      </c>
      <c r="G1054" s="645">
        <v>63</v>
      </c>
      <c r="H1054" s="620" t="str">
        <f t="shared" si="352"/>
        <v>PLTGEN_N</v>
      </c>
      <c r="I1054" s="645"/>
      <c r="J1054" s="648">
        <f t="shared" ca="1" si="353"/>
        <v>1016267.6418575081</v>
      </c>
      <c r="K1054" s="648">
        <f t="shared" ca="1" si="353"/>
        <v>26901.578061351414</v>
      </c>
      <c r="L1054" s="648">
        <f t="shared" ca="1" si="353"/>
        <v>647004.46577155567</v>
      </c>
      <c r="M1054" s="648">
        <f t="shared" ca="1" si="353"/>
        <v>194.93334672035468</v>
      </c>
      <c r="N1054" s="648">
        <f t="shared" ca="1" si="353"/>
        <v>122532.58301999257</v>
      </c>
      <c r="O1054" s="648">
        <f t="shared" ca="1" si="353"/>
        <v>14317.432258022611</v>
      </c>
      <c r="P1054" s="648">
        <f t="shared" ca="1" si="353"/>
        <v>2416.4309193074077</v>
      </c>
      <c r="Q1054" s="648">
        <f t="shared" ca="1" si="353"/>
        <v>27394.89199251293</v>
      </c>
      <c r="R1054" s="648">
        <f t="shared" ca="1" si="353"/>
        <v>989.67685369129413</v>
      </c>
      <c r="S1054" s="648">
        <f t="shared" ca="1" si="353"/>
        <v>4701.6059193373903</v>
      </c>
      <c r="T1054" s="645"/>
      <c r="U1054" s="646">
        <f t="shared" ca="1" si="354"/>
        <v>1862721.2399999998</v>
      </c>
      <c r="X1054" s="646">
        <f t="shared" ca="1" si="348"/>
        <v>0</v>
      </c>
    </row>
    <row r="1055" spans="2:24" s="589" customFormat="1" x14ac:dyDescent="0.2">
      <c r="B1055" s="645">
        <f t="shared" si="351"/>
        <v>9</v>
      </c>
      <c r="C1055" s="647" t="s">
        <v>99</v>
      </c>
      <c r="D1055" s="647" t="s">
        <v>656</v>
      </c>
      <c r="E1055" s="645"/>
      <c r="F1055" s="646">
        <f>' WP II-I-1.4'!G1055</f>
        <v>1349974.31</v>
      </c>
      <c r="G1055" s="645">
        <v>63</v>
      </c>
      <c r="H1055" s="620" t="str">
        <f t="shared" si="352"/>
        <v>PLTGEN_N</v>
      </c>
      <c r="I1055" s="645"/>
      <c r="J1055" s="648">
        <f t="shared" ca="1" si="353"/>
        <v>736522.01903915405</v>
      </c>
      <c r="K1055" s="648">
        <f t="shared" ca="1" si="353"/>
        <v>19496.443429873605</v>
      </c>
      <c r="L1055" s="648">
        <f t="shared" ca="1" si="353"/>
        <v>468905.05594217335</v>
      </c>
      <c r="M1055" s="648">
        <f t="shared" ca="1" si="353"/>
        <v>141.27449914878383</v>
      </c>
      <c r="N1055" s="648">
        <f t="shared" ca="1" si="353"/>
        <v>88803.324760999763</v>
      </c>
      <c r="O1055" s="648">
        <f t="shared" ca="1" si="353"/>
        <v>10376.306082973435</v>
      </c>
      <c r="P1055" s="648">
        <f t="shared" ca="1" si="353"/>
        <v>1751.2656176909668</v>
      </c>
      <c r="Q1055" s="648">
        <f t="shared" ca="1" si="353"/>
        <v>19853.963986107319</v>
      </c>
      <c r="R1055" s="648">
        <f t="shared" ca="1" si="353"/>
        <v>717.25081509505731</v>
      </c>
      <c r="S1055" s="648">
        <f t="shared" ca="1" si="353"/>
        <v>3407.4058267835121</v>
      </c>
      <c r="T1055" s="645"/>
      <c r="U1055" s="646">
        <f t="shared" ca="1" si="354"/>
        <v>1349974.31</v>
      </c>
      <c r="X1055" s="646">
        <f t="shared" ca="1" si="348"/>
        <v>0</v>
      </c>
    </row>
    <row r="1056" spans="2:24" s="589" customFormat="1" x14ac:dyDescent="0.2">
      <c r="B1056" s="645">
        <f t="shared" si="351"/>
        <v>10</v>
      </c>
      <c r="C1056" s="647" t="s">
        <v>101</v>
      </c>
      <c r="D1056" s="647" t="s">
        <v>102</v>
      </c>
      <c r="E1056" s="645"/>
      <c r="F1056" s="646">
        <f>' WP II-I-1.4'!G1056</f>
        <v>670961.80000000005</v>
      </c>
      <c r="G1056" s="645">
        <v>63</v>
      </c>
      <c r="H1056" s="620" t="str">
        <f t="shared" si="352"/>
        <v>PLTGEN_N</v>
      </c>
      <c r="I1056" s="645"/>
      <c r="J1056" s="648">
        <f t="shared" ca="1" si="353"/>
        <v>366064.8472889422</v>
      </c>
      <c r="K1056" s="648">
        <f t="shared" ca="1" si="353"/>
        <v>9690.0871967750027</v>
      </c>
      <c r="L1056" s="648">
        <f t="shared" ca="1" si="353"/>
        <v>233054.34631868021</v>
      </c>
      <c r="M1056" s="648">
        <f t="shared" ca="1" si="353"/>
        <v>70.215997105134889</v>
      </c>
      <c r="N1056" s="648">
        <f t="shared" ca="1" si="353"/>
        <v>44136.868521316508</v>
      </c>
      <c r="O1056" s="648">
        <f t="shared" ca="1" si="353"/>
        <v>5157.2129596916584</v>
      </c>
      <c r="P1056" s="648">
        <f t="shared" ca="1" si="353"/>
        <v>870.41088294787107</v>
      </c>
      <c r="Q1056" s="648">
        <f t="shared" ca="1" si="353"/>
        <v>9867.7814196728996</v>
      </c>
      <c r="R1056" s="648">
        <f t="shared" ca="1" si="353"/>
        <v>356.48670821568953</v>
      </c>
      <c r="S1056" s="648">
        <f t="shared" ca="1" si="353"/>
        <v>1693.5427066528055</v>
      </c>
      <c r="T1056" s="645"/>
      <c r="U1056" s="646">
        <f t="shared" ca="1" si="354"/>
        <v>670961.79999999993</v>
      </c>
      <c r="X1056" s="646">
        <f t="shared" ca="1" si="348"/>
        <v>0</v>
      </c>
    </row>
    <row r="1057" spans="1:24" s="589" customFormat="1" x14ac:dyDescent="0.2">
      <c r="B1057" s="645">
        <f t="shared" si="351"/>
        <v>11</v>
      </c>
      <c r="C1057" s="647" t="s">
        <v>1237</v>
      </c>
      <c r="D1057" s="647" t="s">
        <v>1230</v>
      </c>
      <c r="E1057" s="645"/>
      <c r="F1057" s="668">
        <f>' WP II-I-1.4'!G1057</f>
        <v>13211162.220000001</v>
      </c>
      <c r="G1057" s="645">
        <v>63</v>
      </c>
      <c r="H1057" s="620" t="str">
        <f t="shared" ref="H1057:H1058" si="355">VLOOKUP(G1057,FactorTable,2)</f>
        <v>PLTGEN_N</v>
      </c>
      <c r="I1057" s="645"/>
      <c r="J1057" s="648">
        <f t="shared" ca="1" si="353"/>
        <v>7207775.5850984994</v>
      </c>
      <c r="K1057" s="648">
        <f t="shared" ca="1" si="353"/>
        <v>190796.72476516489</v>
      </c>
      <c r="L1057" s="648">
        <f t="shared" ca="1" si="353"/>
        <v>4588813.8121904172</v>
      </c>
      <c r="M1057" s="648">
        <f t="shared" ca="1" si="353"/>
        <v>1382.5450691753053</v>
      </c>
      <c r="N1057" s="648">
        <f t="shared" ca="1" si="353"/>
        <v>869049.96665670665</v>
      </c>
      <c r="O1057" s="648">
        <f t="shared" ca="1" si="353"/>
        <v>101544.94192303171</v>
      </c>
      <c r="P1057" s="648">
        <f t="shared" ca="1" si="353"/>
        <v>17138.292183963014</v>
      </c>
      <c r="Q1057" s="648">
        <f t="shared" ca="1" si="353"/>
        <v>194295.50398666595</v>
      </c>
      <c r="R1057" s="648">
        <f t="shared" ca="1" si="353"/>
        <v>7019.1831062681676</v>
      </c>
      <c r="S1057" s="648">
        <f t="shared" ca="1" si="353"/>
        <v>33345.665020107088</v>
      </c>
      <c r="T1057" s="645"/>
      <c r="U1057" s="646">
        <f t="shared" ref="U1057:U1058" ca="1" si="356">SUM(I1057:T1057)</f>
        <v>13211162.219999999</v>
      </c>
      <c r="X1057" s="646"/>
    </row>
    <row r="1058" spans="1:24" s="589" customFormat="1" x14ac:dyDescent="0.2">
      <c r="B1058" s="645">
        <f t="shared" si="351"/>
        <v>12</v>
      </c>
      <c r="C1058" s="647" t="s">
        <v>1238</v>
      </c>
      <c r="D1058" s="647" t="s">
        <v>1232</v>
      </c>
      <c r="E1058" s="645"/>
      <c r="F1058" s="668">
        <f>' WP II-I-1.4'!G1058</f>
        <v>31269918.829999998</v>
      </c>
      <c r="G1058" s="645">
        <v>63</v>
      </c>
      <c r="H1058" s="620" t="str">
        <f t="shared" si="355"/>
        <v>PLTGEN_N</v>
      </c>
      <c r="I1058" s="645"/>
      <c r="J1058" s="648">
        <f t="shared" ca="1" si="353"/>
        <v>17060312.615772709</v>
      </c>
      <c r="K1058" s="648">
        <f t="shared" ca="1" si="353"/>
        <v>451602.81866833038</v>
      </c>
      <c r="L1058" s="648">
        <f t="shared" ca="1" si="353"/>
        <v>10861408.939173346</v>
      </c>
      <c r="M1058" s="648">
        <f t="shared" ca="1" si="353"/>
        <v>3272.3897694996685</v>
      </c>
      <c r="N1058" s="648">
        <f t="shared" ca="1" si="353"/>
        <v>2056981.9266491015</v>
      </c>
      <c r="O1058" s="648">
        <f t="shared" ca="1" si="353"/>
        <v>240349.94337767398</v>
      </c>
      <c r="P1058" s="648">
        <f t="shared" ca="1" si="353"/>
        <v>40565.167284528798</v>
      </c>
      <c r="Q1058" s="648">
        <f t="shared" ca="1" si="353"/>
        <v>459884.19016604772</v>
      </c>
      <c r="R1058" s="648">
        <f t="shared" ca="1" si="353"/>
        <v>16613.92709671177</v>
      </c>
      <c r="S1058" s="648">
        <f t="shared" ca="1" si="353"/>
        <v>78926.912042044307</v>
      </c>
      <c r="T1058" s="645"/>
      <c r="U1058" s="646">
        <f t="shared" ca="1" si="356"/>
        <v>31269918.829999994</v>
      </c>
      <c r="X1058" s="646"/>
    </row>
    <row r="1059" spans="1:24" s="589" customFormat="1" x14ac:dyDescent="0.2">
      <c r="B1059" s="645">
        <f t="shared" si="351"/>
        <v>13</v>
      </c>
      <c r="C1059" s="647" t="s">
        <v>1239</v>
      </c>
      <c r="D1059" s="647" t="s">
        <v>103</v>
      </c>
      <c r="E1059" s="645"/>
      <c r="F1059" s="668">
        <f>' WP II-I-1.4'!G1059</f>
        <v>5714691.2800000003</v>
      </c>
      <c r="G1059" s="645">
        <v>63</v>
      </c>
      <c r="H1059" s="620" t="str">
        <f t="shared" si="352"/>
        <v>PLTGEN_N</v>
      </c>
      <c r="I1059" s="645"/>
      <c r="J1059" s="648">
        <f t="shared" ca="1" si="353"/>
        <v>3117834.1162144397</v>
      </c>
      <c r="K1059" s="648">
        <f t="shared" ca="1" si="353"/>
        <v>82532.055932021394</v>
      </c>
      <c r="L1059" s="648">
        <f t="shared" ca="1" si="353"/>
        <v>1984961.9466763411</v>
      </c>
      <c r="M1059" s="648">
        <f t="shared" ca="1" si="353"/>
        <v>598.04112003577495</v>
      </c>
      <c r="N1059" s="648">
        <f t="shared" ca="1" si="353"/>
        <v>375920.92078159133</v>
      </c>
      <c r="O1059" s="648">
        <f t="shared" ca="1" si="353"/>
        <v>43924.825422032838</v>
      </c>
      <c r="P1059" s="648">
        <f t="shared" ca="1" si="353"/>
        <v>7413.4317077355208</v>
      </c>
      <c r="Q1059" s="648">
        <f t="shared" ca="1" si="353"/>
        <v>84045.506662153843</v>
      </c>
      <c r="R1059" s="648">
        <f t="shared" ca="1" si="353"/>
        <v>3036.2555407418204</v>
      </c>
      <c r="S1059" s="648">
        <f t="shared" ca="1" si="353"/>
        <v>14424.179942906416</v>
      </c>
      <c r="T1059" s="645"/>
      <c r="U1059" s="646">
        <f t="shared" ca="1" si="354"/>
        <v>5714691.2799999984</v>
      </c>
      <c r="X1059" s="646">
        <f t="shared" ca="1" si="348"/>
        <v>0</v>
      </c>
    </row>
    <row r="1060" spans="1:24" s="589" customFormat="1" x14ac:dyDescent="0.2">
      <c r="B1060" s="645">
        <f t="shared" si="351"/>
        <v>14</v>
      </c>
      <c r="C1060" s="647" t="s">
        <v>105</v>
      </c>
      <c r="D1060" s="647" t="s">
        <v>657</v>
      </c>
      <c r="E1060" s="645"/>
      <c r="F1060" s="646">
        <f>' WP II-I-1.4'!G1060</f>
        <v>563858.28</v>
      </c>
      <c r="G1060" s="645">
        <v>63</v>
      </c>
      <c r="H1060" s="620" t="str">
        <f t="shared" si="352"/>
        <v>PLTGEN_N</v>
      </c>
      <c r="I1060" s="645"/>
      <c r="J1060" s="648">
        <f t="shared" ca="1" si="353"/>
        <v>307631.06805902452</v>
      </c>
      <c r="K1060" s="648">
        <f t="shared" ca="1" si="353"/>
        <v>8143.2890811720945</v>
      </c>
      <c r="L1060" s="648">
        <f t="shared" ca="1" si="353"/>
        <v>195852.61465224301</v>
      </c>
      <c r="M1060" s="648">
        <f t="shared" ca="1" si="353"/>
        <v>59.007638521576546</v>
      </c>
      <c r="N1060" s="648">
        <f t="shared" ca="1" si="353"/>
        <v>37091.439138585338</v>
      </c>
      <c r="O1060" s="648">
        <f t="shared" ca="1" si="353"/>
        <v>4333.9832894293659</v>
      </c>
      <c r="P1060" s="648">
        <f t="shared" ca="1" si="353"/>
        <v>731.46993368663891</v>
      </c>
      <c r="Q1060" s="648">
        <f t="shared" ca="1" si="353"/>
        <v>8292.6185346359798</v>
      </c>
      <c r="R1060" s="648">
        <f t="shared" ca="1" si="353"/>
        <v>299.58185717482064</v>
      </c>
      <c r="S1060" s="648">
        <f t="shared" ca="1" si="353"/>
        <v>1423.2078155265999</v>
      </c>
      <c r="T1060" s="645"/>
      <c r="U1060" s="646">
        <f t="shared" ca="1" si="354"/>
        <v>563858.27999999991</v>
      </c>
      <c r="X1060" s="646">
        <f t="shared" ca="1" si="348"/>
        <v>0</v>
      </c>
    </row>
    <row r="1061" spans="1:24" s="589" customFormat="1" x14ac:dyDescent="0.2">
      <c r="B1061" s="645">
        <f t="shared" si="351"/>
        <v>15</v>
      </c>
      <c r="C1061" s="647" t="s">
        <v>107</v>
      </c>
      <c r="D1061" s="647" t="s">
        <v>285</v>
      </c>
      <c r="E1061" s="645"/>
      <c r="F1061" s="646">
        <f>' WP II-I-1.4'!G1061</f>
        <v>0</v>
      </c>
      <c r="G1061" s="645">
        <v>63</v>
      </c>
      <c r="H1061" s="620" t="str">
        <f t="shared" si="352"/>
        <v>PLTGEN_N</v>
      </c>
      <c r="I1061" s="645"/>
      <c r="J1061" s="648">
        <f t="shared" ca="1" si="353"/>
        <v>0</v>
      </c>
      <c r="K1061" s="648">
        <f t="shared" ca="1" si="353"/>
        <v>0</v>
      </c>
      <c r="L1061" s="648">
        <f t="shared" ca="1" si="353"/>
        <v>0</v>
      </c>
      <c r="M1061" s="648">
        <f t="shared" ca="1" si="353"/>
        <v>0</v>
      </c>
      <c r="N1061" s="648">
        <f t="shared" ca="1" si="353"/>
        <v>0</v>
      </c>
      <c r="O1061" s="648">
        <f t="shared" ca="1" si="353"/>
        <v>0</v>
      </c>
      <c r="P1061" s="648">
        <f t="shared" ca="1" si="353"/>
        <v>0</v>
      </c>
      <c r="Q1061" s="648">
        <f t="shared" ca="1" si="353"/>
        <v>0</v>
      </c>
      <c r="R1061" s="648">
        <f t="shared" ca="1" si="353"/>
        <v>0</v>
      </c>
      <c r="S1061" s="648">
        <f t="shared" ca="1" si="353"/>
        <v>0</v>
      </c>
      <c r="T1061" s="645"/>
      <c r="U1061" s="646">
        <f ca="1">SUM(I1061:T1061)</f>
        <v>0</v>
      </c>
      <c r="X1061" s="646">
        <f t="shared" ca="1" si="348"/>
        <v>0</v>
      </c>
    </row>
    <row r="1062" spans="1:24" s="589" customFormat="1" x14ac:dyDescent="0.2">
      <c r="B1062" s="645">
        <f t="shared" si="351"/>
        <v>16</v>
      </c>
      <c r="C1062" s="647" t="s">
        <v>107</v>
      </c>
      <c r="D1062" s="647" t="s">
        <v>286</v>
      </c>
      <c r="E1062" s="645"/>
      <c r="F1062" s="646">
        <f>' WP II-I-1.4'!G1062</f>
        <v>0</v>
      </c>
      <c r="G1062" s="645">
        <v>63</v>
      </c>
      <c r="H1062" s="620" t="str">
        <f t="shared" si="352"/>
        <v>PLTGEN_N</v>
      </c>
      <c r="I1062" s="645"/>
      <c r="J1062" s="651">
        <f t="shared" ca="1" si="353"/>
        <v>0</v>
      </c>
      <c r="K1062" s="651">
        <f t="shared" ca="1" si="353"/>
        <v>0</v>
      </c>
      <c r="L1062" s="651">
        <f t="shared" ca="1" si="353"/>
        <v>0</v>
      </c>
      <c r="M1062" s="651">
        <f t="shared" ca="1" si="353"/>
        <v>0</v>
      </c>
      <c r="N1062" s="651">
        <f t="shared" ca="1" si="353"/>
        <v>0</v>
      </c>
      <c r="O1062" s="651">
        <f t="shared" ca="1" si="353"/>
        <v>0</v>
      </c>
      <c r="P1062" s="651">
        <f t="shared" ca="1" si="353"/>
        <v>0</v>
      </c>
      <c r="Q1062" s="651">
        <f t="shared" ca="1" si="353"/>
        <v>0</v>
      </c>
      <c r="R1062" s="651">
        <f t="shared" ca="1" si="353"/>
        <v>0</v>
      </c>
      <c r="S1062" s="651">
        <f t="shared" ca="1" si="353"/>
        <v>0</v>
      </c>
      <c r="T1062" s="645"/>
      <c r="U1062" s="646">
        <f t="shared" ca="1" si="354"/>
        <v>0</v>
      </c>
      <c r="X1062" s="646">
        <f t="shared" ca="1" si="348"/>
        <v>0</v>
      </c>
    </row>
    <row r="1063" spans="1:24" s="589" customFormat="1" ht="15" x14ac:dyDescent="0.25">
      <c r="B1063" s="645">
        <f t="shared" si="351"/>
        <v>17</v>
      </c>
      <c r="C1063" s="8"/>
      <c r="D1063" s="233" t="s">
        <v>444</v>
      </c>
      <c r="E1063" s="644"/>
      <c r="F1063" s="21">
        <f>SUM(F1049:F1062)</f>
        <v>61263387.359999999</v>
      </c>
      <c r="G1063" s="644"/>
      <c r="H1063" s="644"/>
      <c r="I1063" s="644"/>
      <c r="J1063" s="21">
        <f t="shared" ref="J1063:Q1063" ca="1" si="357">SUM(J1049:J1062)</f>
        <v>33424216.6071775</v>
      </c>
      <c r="K1063" s="21">
        <f t="shared" ca="1" si="357"/>
        <v>884771.03389224771</v>
      </c>
      <c r="L1063" s="21">
        <f t="shared" ca="1" si="357"/>
        <v>21279450.923216335</v>
      </c>
      <c r="M1063" s="21">
        <f t="shared" ca="1" si="357"/>
        <v>6411.1993104831254</v>
      </c>
      <c r="N1063" s="21">
        <f t="shared" ca="1" si="357"/>
        <v>4029997.0476393788</v>
      </c>
      <c r="O1063" s="21">
        <f ca="1">SUM(O1049:O1062)</f>
        <v>470888.70819114015</v>
      </c>
      <c r="P1063" s="21">
        <f t="shared" ca="1" si="357"/>
        <v>79474.448596619113</v>
      </c>
      <c r="Q1063" s="21">
        <f t="shared" ca="1" si="357"/>
        <v>900995.7280686195</v>
      </c>
      <c r="R1063" s="21">
        <f ca="1">SUM(R1049:R1062)</f>
        <v>32549.667200292297</v>
      </c>
      <c r="S1063" s="21">
        <f ca="1">SUM(S1049:S1062)</f>
        <v>154631.99670737391</v>
      </c>
      <c r="T1063" s="913"/>
      <c r="U1063" s="235">
        <f t="shared" ca="1" si="354"/>
        <v>61263387.359999985</v>
      </c>
      <c r="X1063" s="646">
        <f t="shared" ca="1" si="348"/>
        <v>0</v>
      </c>
    </row>
    <row r="1064" spans="1:24" s="589" customFormat="1" ht="15.75" thickBot="1" x14ac:dyDescent="0.3">
      <c r="B1064" s="645">
        <f t="shared" si="351"/>
        <v>18</v>
      </c>
      <c r="C1064" s="8"/>
      <c r="D1064" s="233"/>
      <c r="E1064" s="644"/>
      <c r="F1064" s="21"/>
      <c r="G1064" s="644"/>
      <c r="H1064" s="644"/>
      <c r="I1064" s="644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644"/>
      <c r="U1064" s="235"/>
      <c r="X1064" s="646">
        <f t="shared" si="348"/>
        <v>0</v>
      </c>
    </row>
    <row r="1065" spans="1:24" s="589" customFormat="1" ht="15.75" thickBot="1" x14ac:dyDescent="0.3">
      <c r="A1065" s="620"/>
      <c r="B1065" s="645">
        <f t="shared" si="351"/>
        <v>19</v>
      </c>
      <c r="C1065" s="223" t="s">
        <v>658</v>
      </c>
      <c r="D1065" s="224"/>
      <c r="E1065" s="309" t="s">
        <v>280</v>
      </c>
      <c r="F1065" s="194">
        <f>F998+F1013+F1032+F1063</f>
        <v>651417051.77999997</v>
      </c>
      <c r="G1065" s="309"/>
      <c r="H1065" s="402"/>
      <c r="I1065" s="968"/>
      <c r="J1065" s="381">
        <f t="shared" ref="J1065:Q1065" ca="1" si="358">J998+J1013+J1032+J1063</f>
        <v>344614149.32039005</v>
      </c>
      <c r="K1065" s="812">
        <f t="shared" ca="1" si="358"/>
        <v>11876247.33674439</v>
      </c>
      <c r="L1065" s="812">
        <f t="shared" ca="1" si="358"/>
        <v>217342209.16610709</v>
      </c>
      <c r="M1065" s="812">
        <f t="shared" ca="1" si="358"/>
        <v>63251.400844966229</v>
      </c>
      <c r="N1065" s="812">
        <f t="shared" ca="1" si="358"/>
        <v>39759013.301531591</v>
      </c>
      <c r="O1065" s="812">
        <f ca="1">O998+O1013+O1032+O1063</f>
        <v>3731667.6100232075</v>
      </c>
      <c r="P1065" s="812">
        <f t="shared" ca="1" si="358"/>
        <v>647373.09331261017</v>
      </c>
      <c r="Q1065" s="812">
        <f t="shared" ca="1" si="358"/>
        <v>31599629.802086275</v>
      </c>
      <c r="R1065" s="812">
        <f ca="1">R998+R1013+R1032+R1063</f>
        <v>257947.44425908255</v>
      </c>
      <c r="S1065" s="315">
        <f ca="1">S998+S1013+S1032+S1063</f>
        <v>1525563.3047007185</v>
      </c>
      <c r="T1065" s="402"/>
      <c r="U1065" s="315">
        <f ca="1">SUM(I1065:T1065)</f>
        <v>651417051.77999985</v>
      </c>
      <c r="X1065" s="646">
        <f t="shared" ca="1" si="348"/>
        <v>0</v>
      </c>
    </row>
    <row r="1066" spans="1:24" s="589" customFormat="1" ht="15" x14ac:dyDescent="0.25">
      <c r="B1066" s="645">
        <f t="shared" si="351"/>
        <v>20</v>
      </c>
      <c r="C1066" s="8"/>
      <c r="D1066" s="233"/>
      <c r="E1066" s="644"/>
      <c r="F1066" s="21"/>
      <c r="G1066" s="644"/>
      <c r="H1066" s="644"/>
      <c r="I1066" s="644"/>
      <c r="J1066" s="644"/>
      <c r="K1066" s="644"/>
      <c r="L1066" s="644"/>
      <c r="M1066" s="644"/>
      <c r="N1066" s="644"/>
      <c r="O1066" s="644"/>
      <c r="P1066" s="644"/>
      <c r="Q1066" s="644"/>
      <c r="R1066" s="644"/>
      <c r="S1066" s="644"/>
      <c r="T1066" s="644"/>
      <c r="U1066" s="235"/>
      <c r="X1066" s="646">
        <f t="shared" si="348"/>
        <v>0</v>
      </c>
    </row>
    <row r="1067" spans="1:24" s="589" customFormat="1" ht="15" x14ac:dyDescent="0.25">
      <c r="B1067" s="645">
        <f t="shared" si="351"/>
        <v>21</v>
      </c>
      <c r="C1067" s="8" t="s">
        <v>659</v>
      </c>
      <c r="D1067" s="233"/>
      <c r="E1067" s="644" t="s">
        <v>313</v>
      </c>
      <c r="F1067" s="646">
        <f>' WP II-I-1.4'!G1067</f>
        <v>7439</v>
      </c>
      <c r="G1067" s="645">
        <v>65</v>
      </c>
      <c r="H1067" s="620" t="str">
        <f>VLOOKUP(G1067,FactorTable,2)</f>
        <v>PLT_N XINT</v>
      </c>
      <c r="I1067" s="913"/>
      <c r="J1067" s="648">
        <f t="shared" ref="J1067:S1068" ca="1" si="359">$F1067*HLOOKUP(J$1354,FactorTable,$G1067+1)</f>
        <v>4058.5863442336668</v>
      </c>
      <c r="K1067" s="648">
        <f t="shared" ca="1" si="359"/>
        <v>107.43466864553126</v>
      </c>
      <c r="L1067" s="648">
        <f t="shared" ca="1" si="359"/>
        <v>2583.8896972445546</v>
      </c>
      <c r="M1067" s="648">
        <f t="shared" ca="1" si="359"/>
        <v>0.77848962856767467</v>
      </c>
      <c r="N1067" s="648">
        <f t="shared" ca="1" si="359"/>
        <v>489.34852167451783</v>
      </c>
      <c r="O1067" s="648">
        <f t="shared" ca="1" si="359"/>
        <v>57.178377676860642</v>
      </c>
      <c r="P1067" s="648">
        <f t="shared" ca="1" si="359"/>
        <v>9.6503058121180842</v>
      </c>
      <c r="Q1067" s="648">
        <f t="shared" ca="1" si="359"/>
        <v>109.40477681582867</v>
      </c>
      <c r="R1067" s="648">
        <f t="shared" ca="1" si="359"/>
        <v>3.9523928521959268</v>
      </c>
      <c r="S1067" s="648">
        <f t="shared" ca="1" si="359"/>
        <v>18.776425416156659</v>
      </c>
      <c r="T1067" s="913"/>
      <c r="U1067" s="646">
        <f ca="1">SUM(I1067:T1067)</f>
        <v>7438.9999999999973</v>
      </c>
      <c r="X1067" s="646">
        <f t="shared" ca="1" si="348"/>
        <v>0</v>
      </c>
    </row>
    <row r="1068" spans="1:24" s="589" customFormat="1" ht="15" x14ac:dyDescent="0.25">
      <c r="B1068" s="645">
        <f t="shared" si="351"/>
        <v>22</v>
      </c>
      <c r="C1068" s="8" t="s">
        <v>660</v>
      </c>
      <c r="D1068" s="233"/>
      <c r="E1068" s="644" t="s">
        <v>316</v>
      </c>
      <c r="F1068" s="646">
        <f>' WP II-I-1.4'!G1068</f>
        <v>15421186.759999998</v>
      </c>
      <c r="G1068" s="645">
        <v>65</v>
      </c>
      <c r="H1068" s="620" t="str">
        <f>VLOOKUP(G1068,FactorTable,2)</f>
        <v>PLT_N XINT</v>
      </c>
      <c r="I1068" s="913"/>
      <c r="J1068" s="648">
        <f t="shared" ca="1" si="359"/>
        <v>8413525.7421713956</v>
      </c>
      <c r="K1068" s="648">
        <f t="shared" ca="1" si="359"/>
        <v>222714.0865279545</v>
      </c>
      <c r="L1068" s="648">
        <f t="shared" ca="1" si="359"/>
        <v>5356451.8871418377</v>
      </c>
      <c r="M1068" s="648">
        <f t="shared" ca="1" si="359"/>
        <v>1613.823625872448</v>
      </c>
      <c r="N1068" s="648">
        <f t="shared" ca="1" si="359"/>
        <v>1014428.6790526477</v>
      </c>
      <c r="O1068" s="648">
        <f t="shared" ca="1" si="359"/>
        <v>118531.85116126935</v>
      </c>
      <c r="P1068" s="648">
        <f t="shared" ca="1" si="359"/>
        <v>20005.265253365564</v>
      </c>
      <c r="Q1068" s="648">
        <f t="shared" ca="1" si="359"/>
        <v>226798.15777833201</v>
      </c>
      <c r="R1068" s="648">
        <f t="shared" ca="1" si="359"/>
        <v>8193.3846380699633</v>
      </c>
      <c r="S1068" s="648">
        <f t="shared" ca="1" si="359"/>
        <v>38923.882649248895</v>
      </c>
      <c r="T1068" s="913"/>
      <c r="U1068" s="646">
        <f ca="1">SUM(I1068:T1068)</f>
        <v>15421186.759999992</v>
      </c>
      <c r="X1068" s="646">
        <f t="shared" ca="1" si="348"/>
        <v>0</v>
      </c>
    </row>
    <row r="1069" spans="1:24" s="589" customFormat="1" ht="15.75" thickBot="1" x14ac:dyDescent="0.3">
      <c r="B1069" s="645">
        <f t="shared" si="351"/>
        <v>23</v>
      </c>
      <c r="C1069" s="8"/>
      <c r="D1069" s="233"/>
      <c r="E1069" s="644"/>
      <c r="F1069" s="21"/>
      <c r="G1069" s="644"/>
      <c r="H1069" s="644"/>
      <c r="I1069" s="644"/>
      <c r="J1069" s="644"/>
      <c r="K1069" s="644"/>
      <c r="L1069" s="644"/>
      <c r="M1069" s="644"/>
      <c r="N1069" s="644"/>
      <c r="O1069" s="644"/>
      <c r="P1069" s="644"/>
      <c r="Q1069" s="644"/>
      <c r="R1069" s="644"/>
      <c r="S1069" s="644"/>
      <c r="T1069" s="644"/>
      <c r="U1069" s="235"/>
      <c r="X1069" s="646">
        <f t="shared" si="348"/>
        <v>0</v>
      </c>
    </row>
    <row r="1070" spans="1:24" s="589" customFormat="1" ht="15.75" thickBot="1" x14ac:dyDescent="0.3">
      <c r="A1070" s="620"/>
      <c r="B1070" s="645">
        <f t="shared" si="351"/>
        <v>24</v>
      </c>
      <c r="C1070" s="223" t="s">
        <v>661</v>
      </c>
      <c r="D1070" s="224"/>
      <c r="E1070" s="309"/>
      <c r="F1070" s="194">
        <f>SUM(F1065:F1068)</f>
        <v>666845677.53999996</v>
      </c>
      <c r="G1070" s="309"/>
      <c r="H1070" s="402"/>
      <c r="I1070" s="968"/>
      <c r="J1070" s="381">
        <f t="shared" ref="J1070:Q1070" ca="1" si="360">SUM(J1065:J1068)</f>
        <v>353031733.64890569</v>
      </c>
      <c r="K1070" s="812">
        <f t="shared" ca="1" si="360"/>
        <v>12099068.85794099</v>
      </c>
      <c r="L1070" s="812">
        <f t="shared" ca="1" si="360"/>
        <v>222701244.94294617</v>
      </c>
      <c r="M1070" s="812">
        <f t="shared" ca="1" si="360"/>
        <v>64866.002960467245</v>
      </c>
      <c r="N1070" s="812">
        <f t="shared" ca="1" si="360"/>
        <v>40773931.329105914</v>
      </c>
      <c r="O1070" s="812">
        <f ca="1">SUM(O1065:O1068)</f>
        <v>3850256.6395621537</v>
      </c>
      <c r="P1070" s="812">
        <f t="shared" ca="1" si="360"/>
        <v>667388.00887178793</v>
      </c>
      <c r="Q1070" s="812">
        <f t="shared" ca="1" si="360"/>
        <v>31826537.364641421</v>
      </c>
      <c r="R1070" s="812">
        <f ca="1">SUM(R1065:R1068)</f>
        <v>266144.78129000473</v>
      </c>
      <c r="S1070" s="315">
        <f ca="1">SUM(S1065:S1068)</f>
        <v>1564505.9637753835</v>
      </c>
      <c r="T1070" s="402"/>
      <c r="U1070" s="315">
        <f ca="1">SUM(I1070:T1070)</f>
        <v>666845677.53999996</v>
      </c>
      <c r="X1070" s="646">
        <f t="shared" ca="1" si="348"/>
        <v>0</v>
      </c>
    </row>
    <row r="1071" spans="1:24" s="589" customFormat="1" x14ac:dyDescent="0.2">
      <c r="X1071" s="646">
        <f t="shared" si="348"/>
        <v>0</v>
      </c>
    </row>
    <row r="1072" spans="1:24" s="589" customFormat="1" x14ac:dyDescent="0.2">
      <c r="H1072" s="653"/>
      <c r="U1072" s="653"/>
      <c r="V1072" s="653">
        <f>$H$2</f>
        <v>0</v>
      </c>
      <c r="W1072" s="653"/>
      <c r="X1072" s="646"/>
    </row>
    <row r="1073" spans="2:24" s="589" customFormat="1" ht="15" thickBot="1" x14ac:dyDescent="0.25">
      <c r="X1073" s="646">
        <f t="shared" si="348"/>
        <v>0</v>
      </c>
    </row>
    <row r="1074" spans="2:24" s="589" customFormat="1" ht="15" x14ac:dyDescent="0.25">
      <c r="B1074" s="829" t="str">
        <f>+$B$4</f>
        <v>2025 RATE CASE</v>
      </c>
      <c r="C1074" s="844"/>
      <c r="D1074" s="874"/>
      <c r="F1074" s="654"/>
      <c r="U1074" s="653"/>
      <c r="X1074" s="646">
        <f t="shared" si="348"/>
        <v>0</v>
      </c>
    </row>
    <row r="1075" spans="2:24" s="589" customFormat="1" ht="15" x14ac:dyDescent="0.25">
      <c r="B1075" s="826" t="str">
        <f>+$B$5</f>
        <v>ONCOR ELECTRIC DELIVERY COMPANY LLC</v>
      </c>
      <c r="C1075" s="8"/>
      <c r="D1075" s="875"/>
      <c r="F1075" s="654"/>
      <c r="U1075" s="653"/>
      <c r="X1075" s="646">
        <f t="shared" si="348"/>
        <v>0</v>
      </c>
    </row>
    <row r="1076" spans="2:24" s="589" customFormat="1" ht="15" x14ac:dyDescent="0.25">
      <c r="B1076" s="826" t="str">
        <f>+$B$6</f>
        <v>II-I-1-DIST:  CLASS REVENUE REQUIREMENT</v>
      </c>
      <c r="C1076" s="82"/>
      <c r="D1076" s="875"/>
      <c r="F1076" s="654"/>
      <c r="U1076" s="654"/>
      <c r="X1076" s="646">
        <f t="shared" si="348"/>
        <v>0</v>
      </c>
    </row>
    <row r="1077" spans="2:24" s="589" customFormat="1" ht="15" x14ac:dyDescent="0.25">
      <c r="B1077" s="341" t="str">
        <f>+$B$7</f>
        <v>TEST YEAR ENDING 12/31/2024</v>
      </c>
      <c r="C1077" s="82"/>
      <c r="D1077" s="875"/>
      <c r="F1077" s="654"/>
      <c r="U1077" s="654"/>
      <c r="X1077" s="646">
        <f t="shared" si="348"/>
        <v>0</v>
      </c>
    </row>
    <row r="1078" spans="2:24" s="589" customFormat="1" ht="15" x14ac:dyDescent="0.25">
      <c r="B1078" s="341" t="str">
        <f>+$B$8</f>
        <v>SPONSOR:  MATTHEW A. TROXLE</v>
      </c>
      <c r="C1078" s="82"/>
      <c r="D1078" s="875"/>
      <c r="F1078" s="654"/>
      <c r="U1078" s="654"/>
      <c r="X1078" s="646">
        <f t="shared" si="348"/>
        <v>0</v>
      </c>
    </row>
    <row r="1079" spans="2:24" s="589" customFormat="1" ht="15.75" thickBot="1" x14ac:dyDescent="0.3">
      <c r="B1079" s="345"/>
      <c r="C1079" s="843"/>
      <c r="D1079" s="876"/>
      <c r="F1079" s="654"/>
      <c r="U1079" s="654"/>
      <c r="X1079" s="646">
        <f t="shared" si="348"/>
        <v>0</v>
      </c>
    </row>
    <row r="1080" spans="2:24" s="589" customFormat="1" ht="15" thickBot="1" x14ac:dyDescent="0.25">
      <c r="B1080" s="655"/>
      <c r="C1080" s="656"/>
      <c r="D1080" s="656"/>
      <c r="E1080" s="656"/>
      <c r="F1080" s="655"/>
      <c r="G1080" s="656"/>
      <c r="H1080" s="656"/>
      <c r="I1080" s="656"/>
      <c r="J1080" s="657"/>
      <c r="K1080" s="657"/>
      <c r="L1080" s="656"/>
      <c r="M1080" s="657"/>
      <c r="N1080" s="657"/>
      <c r="O1080" s="657"/>
      <c r="P1080" s="657"/>
      <c r="Q1080" s="656"/>
      <c r="R1080" s="658" t="str">
        <f>R$10</f>
        <v xml:space="preserve"> </v>
      </c>
      <c r="S1080" s="659"/>
      <c r="T1080" s="657"/>
      <c r="U1080" s="655"/>
      <c r="X1080" s="646">
        <f t="shared" si="348"/>
        <v>0</v>
      </c>
    </row>
    <row r="1081" spans="2:24" s="589" customFormat="1" ht="15" x14ac:dyDescent="0.25">
      <c r="B1081" s="660" t="s">
        <v>2</v>
      </c>
      <c r="C1081" s="660" t="s">
        <v>349</v>
      </c>
      <c r="D1081" s="226" t="s">
        <v>287</v>
      </c>
      <c r="E1081" s="660" t="s">
        <v>350</v>
      </c>
      <c r="F1081" s="226" t="str">
        <f>F$11</f>
        <v>DIST</v>
      </c>
      <c r="G1081" s="661" t="s">
        <v>688</v>
      </c>
      <c r="H1081" s="661" t="s">
        <v>355</v>
      </c>
      <c r="I1081" s="660"/>
      <c r="J1081" s="661" t="s">
        <v>679</v>
      </c>
      <c r="K1081" s="661" t="s">
        <v>388</v>
      </c>
      <c r="L1081" s="660" t="s">
        <v>388</v>
      </c>
      <c r="M1081" s="661" t="s">
        <v>389</v>
      </c>
      <c r="N1081" s="661" t="s">
        <v>389</v>
      </c>
      <c r="O1081" s="661" t="s">
        <v>389</v>
      </c>
      <c r="P1081" s="661" t="s">
        <v>390</v>
      </c>
      <c r="Q1081" s="660" t="s">
        <v>391</v>
      </c>
      <c r="R1081" s="662" t="str">
        <f>R$11</f>
        <v>Wholesale</v>
      </c>
      <c r="S1081" s="655" t="str">
        <f>S$11</f>
        <v>Wholesale</v>
      </c>
      <c r="T1081" s="661"/>
      <c r="U1081" s="660" t="s">
        <v>10</v>
      </c>
      <c r="X1081" s="646"/>
    </row>
    <row r="1082" spans="2:24" s="589" customFormat="1" x14ac:dyDescent="0.2">
      <c r="B1082" s="660"/>
      <c r="C1082" s="660"/>
      <c r="D1082" s="660"/>
      <c r="E1082" s="660"/>
      <c r="F1082" s="660"/>
      <c r="G1082" s="661" t="s">
        <v>689</v>
      </c>
      <c r="H1082" s="661" t="s">
        <v>690</v>
      </c>
      <c r="I1082" s="660"/>
      <c r="J1082" s="661"/>
      <c r="K1082" s="661" t="s">
        <v>680</v>
      </c>
      <c r="L1082" s="660" t="s">
        <v>681</v>
      </c>
      <c r="M1082" s="661" t="s">
        <v>680</v>
      </c>
      <c r="N1082" s="661" t="s">
        <v>681</v>
      </c>
      <c r="O1082" s="661" t="s">
        <v>393</v>
      </c>
      <c r="P1082" s="661"/>
      <c r="Q1082" s="660"/>
      <c r="R1082" s="663" t="str">
        <f>R$12</f>
        <v>XFMR</v>
      </c>
      <c r="S1082" s="660" t="str">
        <f>S$12</f>
        <v>DLS</v>
      </c>
      <c r="T1082" s="661"/>
      <c r="U1082" s="660"/>
      <c r="X1082" s="646">
        <f t="shared" si="348"/>
        <v>0</v>
      </c>
    </row>
    <row r="1083" spans="2:24" s="589" customFormat="1" ht="15" thickBot="1" x14ac:dyDescent="0.25">
      <c r="B1083" s="664"/>
      <c r="C1083" s="664"/>
      <c r="D1083" s="664"/>
      <c r="E1083" s="664"/>
      <c r="F1083" s="664" t="s">
        <v>13</v>
      </c>
      <c r="G1083" s="664" t="s">
        <v>14</v>
      </c>
      <c r="H1083" s="664" t="s">
        <v>15</v>
      </c>
      <c r="I1083" s="664"/>
      <c r="J1083" s="665" t="str">
        <f t="shared" ref="J1083:Q1083" si="361">J$13</f>
        <v>(d)</v>
      </c>
      <c r="K1083" s="665" t="str">
        <f t="shared" si="361"/>
        <v>(e)</v>
      </c>
      <c r="L1083" s="664" t="str">
        <f t="shared" si="361"/>
        <v>(f)</v>
      </c>
      <c r="M1083" s="665" t="str">
        <f t="shared" si="361"/>
        <v>(g)</v>
      </c>
      <c r="N1083" s="665" t="str">
        <f t="shared" si="361"/>
        <v>(h)</v>
      </c>
      <c r="O1083" s="665" t="str">
        <f>O$13</f>
        <v>(i)</v>
      </c>
      <c r="P1083" s="665" t="str">
        <f t="shared" si="361"/>
        <v>(j)</v>
      </c>
      <c r="Q1083" s="665" t="str">
        <f t="shared" si="361"/>
        <v>(k)</v>
      </c>
      <c r="R1083" s="665" t="str">
        <f>R$13</f>
        <v>(l)</v>
      </c>
      <c r="S1083" s="664" t="str">
        <f>S$13</f>
        <v>(m)</v>
      </c>
      <c r="T1083" s="664"/>
      <c r="U1083" s="664" t="s">
        <v>683</v>
      </c>
      <c r="X1083" s="646"/>
    </row>
    <row r="1084" spans="2:24" s="589" customFormat="1" x14ac:dyDescent="0.2">
      <c r="C1084" s="666"/>
      <c r="D1084" s="666"/>
      <c r="E1084" s="666"/>
      <c r="F1084" s="666"/>
      <c r="G1084" s="666"/>
      <c r="H1084" s="666"/>
      <c r="I1084" s="666"/>
      <c r="J1084" s="666"/>
      <c r="K1084" s="666"/>
      <c r="L1084" s="666"/>
      <c r="M1084" s="666"/>
      <c r="N1084" s="666"/>
      <c r="O1084" s="666"/>
      <c r="P1084" s="666"/>
      <c r="Q1084" s="666"/>
      <c r="R1084" s="666"/>
      <c r="S1084" s="666"/>
      <c r="T1084" s="666"/>
      <c r="U1084" s="611"/>
      <c r="X1084" s="646">
        <f t="shared" si="348"/>
        <v>0</v>
      </c>
    </row>
    <row r="1085" spans="2:24" s="589" customFormat="1" ht="15" x14ac:dyDescent="0.25">
      <c r="B1085" s="645">
        <f t="shared" ref="B1085:B1103" si="362">B1084+1</f>
        <v>1</v>
      </c>
      <c r="C1085" s="301" t="s">
        <v>287</v>
      </c>
      <c r="D1085" s="301"/>
      <c r="E1085" s="644"/>
      <c r="F1085" s="21"/>
      <c r="G1085" s="644"/>
      <c r="H1085" s="644"/>
      <c r="I1085" s="644"/>
      <c r="J1085" s="644"/>
      <c r="K1085" s="644"/>
      <c r="L1085" s="644"/>
      <c r="M1085" s="644"/>
      <c r="N1085" s="644"/>
      <c r="O1085" s="644"/>
      <c r="P1085" s="644"/>
      <c r="Q1085" s="644"/>
      <c r="R1085" s="644"/>
      <c r="S1085" s="644"/>
      <c r="T1085" s="644"/>
      <c r="U1085" s="8"/>
      <c r="X1085" s="646">
        <f t="shared" si="348"/>
        <v>0</v>
      </c>
    </row>
    <row r="1086" spans="2:24" s="589" customFormat="1" x14ac:dyDescent="0.2">
      <c r="B1086" s="645">
        <f t="shared" si="362"/>
        <v>2</v>
      </c>
      <c r="C1086" s="647"/>
      <c r="D1086" s="647"/>
      <c r="E1086" s="645"/>
      <c r="F1086" s="614"/>
      <c r="G1086" s="645"/>
      <c r="H1086" s="645"/>
      <c r="I1086" s="645"/>
      <c r="J1086" s="645"/>
      <c r="K1086" s="645"/>
      <c r="L1086" s="645"/>
      <c r="M1086" s="645"/>
      <c r="N1086" s="645"/>
      <c r="O1086" s="645"/>
      <c r="P1086" s="645"/>
      <c r="Q1086" s="645"/>
      <c r="R1086" s="645"/>
      <c r="S1086" s="645"/>
      <c r="T1086" s="645"/>
      <c r="U1086" s="647"/>
      <c r="X1086" s="646">
        <f t="shared" si="348"/>
        <v>0</v>
      </c>
    </row>
    <row r="1087" spans="2:24" s="589" customFormat="1" ht="15" x14ac:dyDescent="0.25">
      <c r="B1087" s="645">
        <f t="shared" si="362"/>
        <v>3</v>
      </c>
      <c r="C1087" s="8" t="s">
        <v>289</v>
      </c>
      <c r="D1087" s="8"/>
      <c r="E1087" s="644" t="s">
        <v>288</v>
      </c>
      <c r="F1087" s="21"/>
      <c r="G1087" s="644"/>
      <c r="H1087" s="644"/>
      <c r="I1087" s="913"/>
      <c r="J1087" s="961"/>
      <c r="K1087" s="961"/>
      <c r="L1087" s="961"/>
      <c r="M1087" s="961"/>
      <c r="N1087" s="961"/>
      <c r="O1087" s="961"/>
      <c r="P1087" s="961"/>
      <c r="Q1087" s="961"/>
      <c r="R1087" s="961"/>
      <c r="S1087" s="961"/>
      <c r="T1087" s="644"/>
      <c r="U1087" s="8"/>
      <c r="X1087" s="646">
        <f t="shared" si="348"/>
        <v>0</v>
      </c>
    </row>
    <row r="1088" spans="2:24" s="589" customFormat="1" x14ac:dyDescent="0.2">
      <c r="B1088" s="645">
        <f t="shared" si="362"/>
        <v>4</v>
      </c>
      <c r="C1088" s="647"/>
      <c r="D1088" s="647" t="s">
        <v>290</v>
      </c>
      <c r="E1088" s="645"/>
      <c r="F1088" s="646">
        <f>' WP II-I-1.4'!G1088</f>
        <v>12228771.32</v>
      </c>
      <c r="G1088" s="645">
        <v>88</v>
      </c>
      <c r="H1088" s="620" t="str">
        <f>VLOOKUP(G1088,FactorTable,2)</f>
        <v>PAYROLL</v>
      </c>
      <c r="I1088" s="645"/>
      <c r="J1088" s="648">
        <f t="shared" ref="J1088:S1090" ca="1" si="363">$F1088*HLOOKUP(J$1354,FactorTable,$G1088+1)</f>
        <v>6498668.3039498087</v>
      </c>
      <c r="K1088" s="648">
        <f t="shared" ca="1" si="363"/>
        <v>148608.74409221864</v>
      </c>
      <c r="L1088" s="648">
        <f t="shared" ca="1" si="363"/>
        <v>4153781.5707796426</v>
      </c>
      <c r="M1088" s="648">
        <f t="shared" ca="1" si="363"/>
        <v>6506.8158561615683</v>
      </c>
      <c r="N1088" s="648">
        <f t="shared" ca="1" si="363"/>
        <v>1063085.4740453656</v>
      </c>
      <c r="O1088" s="648">
        <f t="shared" ca="1" si="363"/>
        <v>139752.14054139249</v>
      </c>
      <c r="P1088" s="648">
        <f t="shared" ca="1" si="363"/>
        <v>3490.8593946202964</v>
      </c>
      <c r="Q1088" s="648">
        <f t="shared" ca="1" si="363"/>
        <v>165943.14365463308</v>
      </c>
      <c r="R1088" s="648">
        <f t="shared" ca="1" si="363"/>
        <v>9577.4759868383826</v>
      </c>
      <c r="S1088" s="648">
        <f t="shared" ca="1" si="363"/>
        <v>39356.791699318754</v>
      </c>
      <c r="T1088" s="645"/>
      <c r="U1088" s="694">
        <f ca="1">SUM(I1088:T1088)</f>
        <v>12228771.320000002</v>
      </c>
      <c r="X1088" s="646">
        <f t="shared" ca="1" si="348"/>
        <v>0</v>
      </c>
    </row>
    <row r="1089" spans="1:24" s="589" customFormat="1" x14ac:dyDescent="0.2">
      <c r="B1089" s="645">
        <f t="shared" si="362"/>
        <v>5</v>
      </c>
      <c r="C1089" s="647"/>
      <c r="D1089" s="647" t="s">
        <v>291</v>
      </c>
      <c r="E1089" s="645"/>
      <c r="F1089" s="646">
        <f>' WP II-I-1.4'!G1089</f>
        <v>265455.3</v>
      </c>
      <c r="G1089" s="645">
        <v>88</v>
      </c>
      <c r="H1089" s="620" t="str">
        <f>VLOOKUP(G1089,FactorTable,2)</f>
        <v>PAYROLL</v>
      </c>
      <c r="I1089" s="645"/>
      <c r="J1089" s="648">
        <f t="shared" ca="1" si="363"/>
        <v>141069.44181743742</v>
      </c>
      <c r="K1089" s="648">
        <f t="shared" ca="1" si="363"/>
        <v>3225.9151564233457</v>
      </c>
      <c r="L1089" s="648">
        <f t="shared" ca="1" si="363"/>
        <v>90167.957528359533</v>
      </c>
      <c r="M1089" s="648">
        <f t="shared" ca="1" si="363"/>
        <v>141.24630430509399</v>
      </c>
      <c r="N1089" s="648">
        <f t="shared" ca="1" si="363"/>
        <v>23076.862429900659</v>
      </c>
      <c r="O1089" s="648">
        <f t="shared" ca="1" si="363"/>
        <v>3033.6609805094881</v>
      </c>
      <c r="P1089" s="648">
        <f t="shared" ca="1" si="363"/>
        <v>75.77761523279095</v>
      </c>
      <c r="Q1089" s="648">
        <f t="shared" ca="1" si="363"/>
        <v>3602.200566931831</v>
      </c>
      <c r="R1089" s="648">
        <f t="shared" ca="1" si="363"/>
        <v>207.9024699047998</v>
      </c>
      <c r="S1089" s="648">
        <f t="shared" ca="1" si="363"/>
        <v>854.33513099500567</v>
      </c>
      <c r="T1089" s="645"/>
      <c r="U1089" s="694">
        <f ca="1">SUM(I1089:T1089)</f>
        <v>265455.3</v>
      </c>
      <c r="X1089" s="646">
        <f t="shared" ca="1" si="348"/>
        <v>0</v>
      </c>
    </row>
    <row r="1090" spans="1:24" s="589" customFormat="1" x14ac:dyDescent="0.2">
      <c r="B1090" s="645">
        <f t="shared" si="362"/>
        <v>6</v>
      </c>
      <c r="C1090" s="647"/>
      <c r="D1090" s="647" t="s">
        <v>292</v>
      </c>
      <c r="E1090" s="645"/>
      <c r="F1090" s="646">
        <f>' WP II-I-1.4'!G1090</f>
        <v>252338.55</v>
      </c>
      <c r="G1090" s="645">
        <v>88</v>
      </c>
      <c r="H1090" s="620" t="str">
        <f>VLOOKUP(G1090,FactorTable,2)</f>
        <v>PAYROLL</v>
      </c>
      <c r="I1090" s="645"/>
      <c r="J1090" s="651">
        <f t="shared" ca="1" si="363"/>
        <v>134098.87991507995</v>
      </c>
      <c r="K1090" s="651">
        <f t="shared" ca="1" si="363"/>
        <v>3066.5153530364255</v>
      </c>
      <c r="L1090" s="651">
        <f t="shared" ca="1" si="363"/>
        <v>85712.553711181608</v>
      </c>
      <c r="M1090" s="651">
        <f t="shared" ca="1" si="363"/>
        <v>134.26700322504834</v>
      </c>
      <c r="N1090" s="651">
        <f t="shared" ca="1" si="363"/>
        <v>21936.582182049515</v>
      </c>
      <c r="O1090" s="651">
        <f t="shared" ca="1" si="363"/>
        <v>2883.7608931271761</v>
      </c>
      <c r="P1090" s="651">
        <f t="shared" ca="1" si="363"/>
        <v>72.033270951080581</v>
      </c>
      <c r="Q1090" s="651">
        <f t="shared" ca="1" si="363"/>
        <v>3424.2076457646772</v>
      </c>
      <c r="R1090" s="651">
        <f t="shared" ca="1" si="363"/>
        <v>197.62953611096037</v>
      </c>
      <c r="S1090" s="651">
        <f t="shared" ca="1" si="363"/>
        <v>812.12048947351889</v>
      </c>
      <c r="T1090" s="645"/>
      <c r="U1090" s="694">
        <f ca="1">SUM(I1090:T1090)</f>
        <v>252338.55</v>
      </c>
      <c r="X1090" s="646">
        <f t="shared" ca="1" si="348"/>
        <v>0</v>
      </c>
    </row>
    <row r="1091" spans="1:24" s="589" customFormat="1" ht="15" x14ac:dyDescent="0.25">
      <c r="B1091" s="645">
        <f t="shared" si="362"/>
        <v>7</v>
      </c>
      <c r="C1091" s="8"/>
      <c r="D1091" s="233" t="s">
        <v>662</v>
      </c>
      <c r="E1091" s="644"/>
      <c r="F1091" s="191">
        <f>SUM(F1088:F1090)</f>
        <v>12746565.170000002</v>
      </c>
      <c r="G1091" s="644"/>
      <c r="H1091" s="644"/>
      <c r="I1091" s="913"/>
      <c r="J1091" s="191">
        <f t="shared" ref="J1091:Q1091" ca="1" si="364">SUM(J1088:J1090)</f>
        <v>6773836.625682326</v>
      </c>
      <c r="K1091" s="191">
        <f t="shared" ca="1" si="364"/>
        <v>154901.17460167842</v>
      </c>
      <c r="L1091" s="191">
        <f t="shared" ca="1" si="364"/>
        <v>4329662.0820191838</v>
      </c>
      <c r="M1091" s="191">
        <f t="shared" ca="1" si="364"/>
        <v>6782.3291636917102</v>
      </c>
      <c r="N1091" s="191">
        <f t="shared" ca="1" si="364"/>
        <v>1108098.9186573157</v>
      </c>
      <c r="O1091" s="191">
        <f ca="1">SUM(O1088:O1090)</f>
        <v>145669.56241502916</v>
      </c>
      <c r="P1091" s="191">
        <f t="shared" ca="1" si="364"/>
        <v>3638.6702808041682</v>
      </c>
      <c r="Q1091" s="191">
        <f t="shared" ca="1" si="364"/>
        <v>172969.5518673296</v>
      </c>
      <c r="R1091" s="191">
        <f ca="1">SUM(R1088:R1090)</f>
        <v>9983.0079928541436</v>
      </c>
      <c r="S1091" s="191">
        <f ca="1">SUM(S1088:S1090)</f>
        <v>41023.247319787282</v>
      </c>
      <c r="T1091" s="644"/>
      <c r="U1091" s="235">
        <f ca="1">SUM(I1091:T1091)</f>
        <v>12746565.170000004</v>
      </c>
      <c r="X1091" s="646">
        <f t="shared" ca="1" si="348"/>
        <v>0</v>
      </c>
    </row>
    <row r="1092" spans="1:24" s="589" customFormat="1" x14ac:dyDescent="0.2">
      <c r="B1092" s="645">
        <f t="shared" si="362"/>
        <v>8</v>
      </c>
      <c r="C1092" s="647"/>
      <c r="D1092" s="647"/>
      <c r="E1092" s="645"/>
      <c r="F1092" s="614"/>
      <c r="G1092" s="645"/>
      <c r="H1092" s="645"/>
      <c r="I1092" s="645"/>
      <c r="J1092" s="645"/>
      <c r="K1092" s="645"/>
      <c r="L1092" s="645"/>
      <c r="M1092" s="645"/>
      <c r="N1092" s="645"/>
      <c r="O1092" s="645"/>
      <c r="P1092" s="645"/>
      <c r="Q1092" s="645"/>
      <c r="R1092" s="645"/>
      <c r="S1092" s="645"/>
      <c r="T1092" s="645"/>
      <c r="U1092" s="647"/>
      <c r="X1092" s="646">
        <f t="shared" si="348"/>
        <v>0</v>
      </c>
    </row>
    <row r="1093" spans="1:24" s="589" customFormat="1" ht="15" x14ac:dyDescent="0.25">
      <c r="B1093" s="645">
        <f t="shared" si="362"/>
        <v>9</v>
      </c>
      <c r="C1093" s="8" t="s">
        <v>293</v>
      </c>
      <c r="D1093" s="8"/>
      <c r="E1093" s="644" t="s">
        <v>288</v>
      </c>
      <c r="F1093" s="21"/>
      <c r="G1093" s="644"/>
      <c r="H1093" s="644"/>
      <c r="I1093" s="913"/>
      <c r="J1093" s="961"/>
      <c r="K1093" s="961"/>
      <c r="L1093" s="961"/>
      <c r="M1093" s="961"/>
      <c r="N1093" s="961"/>
      <c r="O1093" s="961"/>
      <c r="P1093" s="961"/>
      <c r="Q1093" s="961"/>
      <c r="R1093" s="961"/>
      <c r="S1093" s="961"/>
      <c r="T1093" s="644"/>
      <c r="U1093" s="316"/>
      <c r="X1093" s="646">
        <f t="shared" si="348"/>
        <v>0</v>
      </c>
    </row>
    <row r="1094" spans="1:24" s="589" customFormat="1" x14ac:dyDescent="0.2">
      <c r="A1094" s="317"/>
      <c r="B1094" s="645">
        <f t="shared" si="362"/>
        <v>10</v>
      </c>
      <c r="C1094" s="318"/>
      <c r="D1094" s="647" t="s">
        <v>294</v>
      </c>
      <c r="E1094" s="614"/>
      <c r="F1094" s="646">
        <f>' WP II-I-1.4'!G1094</f>
        <v>139899372.06999999</v>
      </c>
      <c r="G1094" s="645">
        <v>64</v>
      </c>
      <c r="H1094" s="620" t="str">
        <f>VLOOKUP(G1094,FactorTable,2)</f>
        <v>PLANT</v>
      </c>
      <c r="I1094" s="803"/>
      <c r="J1094" s="651">
        <f t="shared" ref="J1094:S1094" ca="1" si="365">$F1094*HLOOKUP(J$1354,FactorTable,$G1094+1)</f>
        <v>75160099.695903972</v>
      </c>
      <c r="K1094" s="651">
        <f t="shared" ca="1" si="365"/>
        <v>2428320.5628922204</v>
      </c>
      <c r="L1094" s="651">
        <f t="shared" ca="1" si="365"/>
        <v>47523009.76285024</v>
      </c>
      <c r="M1094" s="651">
        <f t="shared" ca="1" si="365"/>
        <v>13746.681088763151</v>
      </c>
      <c r="N1094" s="651">
        <f t="shared" ca="1" si="365"/>
        <v>8640986.1119074896</v>
      </c>
      <c r="O1094" s="651">
        <f t="shared" ca="1" si="365"/>
        <v>939804.35608196305</v>
      </c>
      <c r="P1094" s="651">
        <f t="shared" ca="1" si="365"/>
        <v>162811.6895606835</v>
      </c>
      <c r="Q1094" s="651">
        <f t="shared" ca="1" si="365"/>
        <v>4634073.4582506437</v>
      </c>
      <c r="R1094" s="651">
        <f t="shared" ca="1" si="365"/>
        <v>64962.948764182001</v>
      </c>
      <c r="S1094" s="651">
        <f t="shared" ca="1" si="365"/>
        <v>331556.80269979918</v>
      </c>
      <c r="T1094" s="803"/>
      <c r="U1094" s="646">
        <f ca="1">SUM(I1094:T1094)</f>
        <v>139899372.06999993</v>
      </c>
      <c r="V1094" s="317"/>
      <c r="W1094" s="317"/>
      <c r="X1094" s="646">
        <f t="shared" ca="1" si="348"/>
        <v>0</v>
      </c>
    </row>
    <row r="1095" spans="1:24" s="589" customFormat="1" ht="15" x14ac:dyDescent="0.25">
      <c r="B1095" s="645">
        <f t="shared" si="362"/>
        <v>11</v>
      </c>
      <c r="C1095" s="8"/>
      <c r="D1095" s="233" t="s">
        <v>663</v>
      </c>
      <c r="E1095" s="644"/>
      <c r="F1095" s="21">
        <f>+F1094</f>
        <v>139899372.06999999</v>
      </c>
      <c r="G1095" s="644"/>
      <c r="H1095" s="644"/>
      <c r="I1095" s="913"/>
      <c r="J1095" s="805">
        <f t="shared" ref="J1095:Q1095" ca="1" si="366">+J1094</f>
        <v>75160099.695903972</v>
      </c>
      <c r="K1095" s="805">
        <f t="shared" ca="1" si="366"/>
        <v>2428320.5628922204</v>
      </c>
      <c r="L1095" s="805">
        <f t="shared" ca="1" si="366"/>
        <v>47523009.76285024</v>
      </c>
      <c r="M1095" s="805">
        <f t="shared" ca="1" si="366"/>
        <v>13746.681088763151</v>
      </c>
      <c r="N1095" s="805">
        <f t="shared" ca="1" si="366"/>
        <v>8640986.1119074896</v>
      </c>
      <c r="O1095" s="805">
        <f ca="1">+O1094</f>
        <v>939804.35608196305</v>
      </c>
      <c r="P1095" s="805">
        <f t="shared" ca="1" si="366"/>
        <v>162811.6895606835</v>
      </c>
      <c r="Q1095" s="805">
        <f t="shared" ca="1" si="366"/>
        <v>4634073.4582506437</v>
      </c>
      <c r="R1095" s="805">
        <f ca="1">+R1094</f>
        <v>64962.948764182001</v>
      </c>
      <c r="S1095" s="805">
        <f ca="1">+S1094</f>
        <v>331556.80269979918</v>
      </c>
      <c r="T1095" s="913"/>
      <c r="U1095" s="235">
        <f ca="1">SUM(I1095:T1095)</f>
        <v>139899372.06999993</v>
      </c>
      <c r="X1095" s="646">
        <f t="shared" ca="1" si="348"/>
        <v>0</v>
      </c>
    </row>
    <row r="1096" spans="1:24" s="589" customFormat="1" x14ac:dyDescent="0.2">
      <c r="B1096" s="645">
        <f t="shared" si="362"/>
        <v>12</v>
      </c>
      <c r="C1096" s="647"/>
      <c r="D1096" s="647"/>
      <c r="E1096" s="645"/>
      <c r="F1096" s="614"/>
      <c r="G1096" s="645"/>
      <c r="H1096" s="645"/>
      <c r="I1096" s="645"/>
      <c r="J1096" s="645"/>
      <c r="K1096" s="645"/>
      <c r="L1096" s="645"/>
      <c r="M1096" s="645"/>
      <c r="N1096" s="645"/>
      <c r="O1096" s="645"/>
      <c r="P1096" s="645"/>
      <c r="Q1096" s="645"/>
      <c r="R1096" s="645"/>
      <c r="S1096" s="645"/>
      <c r="T1096" s="645"/>
      <c r="U1096" s="647"/>
      <c r="X1096" s="646">
        <f t="shared" si="348"/>
        <v>0</v>
      </c>
    </row>
    <row r="1097" spans="1:24" s="589" customFormat="1" ht="15" x14ac:dyDescent="0.25">
      <c r="B1097" s="645">
        <f t="shared" si="362"/>
        <v>13</v>
      </c>
      <c r="C1097" s="8" t="s">
        <v>295</v>
      </c>
      <c r="D1097" s="8"/>
      <c r="E1097" s="644" t="s">
        <v>288</v>
      </c>
      <c r="F1097" s="21"/>
      <c r="G1097" s="644"/>
      <c r="H1097" s="644"/>
      <c r="I1097" s="913"/>
      <c r="J1097" s="961"/>
      <c r="K1097" s="961"/>
      <c r="L1097" s="961"/>
      <c r="M1097" s="961"/>
      <c r="N1097" s="961"/>
      <c r="O1097" s="961"/>
      <c r="P1097" s="961"/>
      <c r="Q1097" s="961"/>
      <c r="R1097" s="961"/>
      <c r="S1097" s="961"/>
      <c r="T1097" s="644"/>
      <c r="U1097" s="8"/>
      <c r="X1097" s="646">
        <f t="shared" ref="X1097:X1165" si="367">U1097-F1097</f>
        <v>0</v>
      </c>
    </row>
    <row r="1098" spans="1:24" s="589" customFormat="1" x14ac:dyDescent="0.2">
      <c r="B1098" s="645">
        <f t="shared" si="362"/>
        <v>14</v>
      </c>
      <c r="C1098" s="647"/>
      <c r="D1098" s="647" t="s">
        <v>296</v>
      </c>
      <c r="E1098" s="645"/>
      <c r="F1098" s="668">
        <f>' WP II-I-1.4'!G1098</f>
        <v>29832300.199999999</v>
      </c>
      <c r="G1098" s="645">
        <v>91</v>
      </c>
      <c r="H1098" s="620" t="str">
        <f>VLOOKUP(G1098,FactorTable,2)</f>
        <v>TAX INC</v>
      </c>
      <c r="I1098" s="645"/>
      <c r="J1098" s="648">
        <f t="shared" ref="J1098:S1100" ca="1" si="368">$F1098*HLOOKUP(J$1354,FactorTable,$G1098+1)</f>
        <v>16253954.291369718</v>
      </c>
      <c r="K1098" s="648">
        <f t="shared" ca="1" si="368"/>
        <v>426830.92845153902</v>
      </c>
      <c r="L1098" s="648">
        <f t="shared" ca="1" si="368"/>
        <v>10397613.822756585</v>
      </c>
      <c r="M1098" s="648">
        <f t="shared" ca="1" si="368"/>
        <v>2973.9073295889534</v>
      </c>
      <c r="N1098" s="648">
        <f t="shared" ca="1" si="368"/>
        <v>1961660.2211954251</v>
      </c>
      <c r="O1098" s="648">
        <f t="shared" ca="1" si="368"/>
        <v>230218.36149304672</v>
      </c>
      <c r="P1098" s="648">
        <f t="shared" ca="1" si="368"/>
        <v>58470.486996082858</v>
      </c>
      <c r="Q1098" s="648">
        <f t="shared" ca="1" si="368"/>
        <v>409595.37491653924</v>
      </c>
      <c r="R1098" s="648">
        <f t="shared" ca="1" si="368"/>
        <v>16033.944955939647</v>
      </c>
      <c r="S1098" s="648">
        <f t="shared" ca="1" si="368"/>
        <v>74948.860535546002</v>
      </c>
      <c r="T1098" s="645"/>
      <c r="U1098" s="646">
        <f ca="1">SUM(I1098:T1098)</f>
        <v>29832300.200000014</v>
      </c>
      <c r="X1098" s="646">
        <f t="shared" ca="1" si="367"/>
        <v>0</v>
      </c>
    </row>
    <row r="1099" spans="1:24" s="589" customFormat="1" x14ac:dyDescent="0.2">
      <c r="B1099" s="645">
        <f t="shared" si="362"/>
        <v>15</v>
      </c>
      <c r="C1099" s="647"/>
      <c r="D1099" s="647" t="s">
        <v>297</v>
      </c>
      <c r="E1099" s="645"/>
      <c r="F1099" s="646">
        <f>' WP II-I-1.4'!G1099</f>
        <v>300041884.94999999</v>
      </c>
      <c r="G1099" s="645">
        <v>19</v>
      </c>
      <c r="H1099" s="620" t="str">
        <f>VLOOKUP(G1099,FactorTable,2)</f>
        <v>ENERGY ICL</v>
      </c>
      <c r="I1099" s="645"/>
      <c r="J1099" s="648">
        <f t="shared" si="368"/>
        <v>117640034.45749922</v>
      </c>
      <c r="K1099" s="648">
        <f t="shared" si="368"/>
        <v>3564020.5886736489</v>
      </c>
      <c r="L1099" s="648">
        <f t="shared" si="368"/>
        <v>125258931.26763177</v>
      </c>
      <c r="M1099" s="648">
        <f t="shared" si="368"/>
        <v>2411.7146786294561</v>
      </c>
      <c r="N1099" s="648">
        <f t="shared" si="368"/>
        <v>20740887.578433596</v>
      </c>
      <c r="O1099" s="648">
        <f t="shared" si="368"/>
        <v>3953591.9778851434</v>
      </c>
      <c r="P1099" s="648">
        <f t="shared" si="368"/>
        <v>27267683.246531911</v>
      </c>
      <c r="Q1099" s="648">
        <f t="shared" si="368"/>
        <v>962571.6867293173</v>
      </c>
      <c r="R1099" s="648">
        <f t="shared" si="368"/>
        <v>299006.72615071159</v>
      </c>
      <c r="S1099" s="648">
        <f t="shared" si="368"/>
        <v>352745.70578592329</v>
      </c>
      <c r="T1099" s="645"/>
      <c r="U1099" s="646">
        <f>SUM(I1099:T1099)</f>
        <v>300041884.94999981</v>
      </c>
      <c r="X1099" s="646">
        <f t="shared" si="367"/>
        <v>0</v>
      </c>
    </row>
    <row r="1100" spans="1:24" s="589" customFormat="1" x14ac:dyDescent="0.2">
      <c r="B1100" s="645">
        <f t="shared" si="362"/>
        <v>16</v>
      </c>
      <c r="C1100" s="647"/>
      <c r="D1100" s="647" t="s">
        <v>1313</v>
      </c>
      <c r="E1100" s="645"/>
      <c r="F1100" s="646">
        <f>' WP II-I-1.4'!G1100</f>
        <v>155.75</v>
      </c>
      <c r="G1100" s="645">
        <v>19</v>
      </c>
      <c r="H1100" s="620" t="str">
        <f>VLOOKUP(G1100,FactorTable,2)</f>
        <v>ENERGY ICL</v>
      </c>
      <c r="I1100" s="645"/>
      <c r="J1100" s="651">
        <f t="shared" si="368"/>
        <v>61.066258698544097</v>
      </c>
      <c r="K1100" s="651">
        <f t="shared" si="368"/>
        <v>1.8500623897174353</v>
      </c>
      <c r="L1100" s="651">
        <f t="shared" si="368"/>
        <v>65.021183786339392</v>
      </c>
      <c r="M1100" s="651">
        <f t="shared" si="368"/>
        <v>1.251907083769765E-3</v>
      </c>
      <c r="N1100" s="651">
        <f t="shared" si="368"/>
        <v>10.766474290345684</v>
      </c>
      <c r="O1100" s="651">
        <f t="shared" si="368"/>
        <v>2.0522866354416665</v>
      </c>
      <c r="P1100" s="651">
        <f t="shared" si="368"/>
        <v>14.154496017631239</v>
      </c>
      <c r="Q1100" s="651">
        <f t="shared" si="368"/>
        <v>0.4996653724964914</v>
      </c>
      <c r="R1100" s="651">
        <f t="shared" si="368"/>
        <v>0.15521265507891996</v>
      </c>
      <c r="S1100" s="651">
        <f t="shared" si="368"/>
        <v>0.18310824732124639</v>
      </c>
      <c r="T1100" s="645"/>
      <c r="U1100" s="646">
        <f>SUM(I1100:T1100)</f>
        <v>155.74999999999994</v>
      </c>
      <c r="X1100" s="646"/>
    </row>
    <row r="1101" spans="1:24" s="589" customFormat="1" ht="15" x14ac:dyDescent="0.25">
      <c r="B1101" s="645">
        <f t="shared" si="362"/>
        <v>17</v>
      </c>
      <c r="C1101" s="8"/>
      <c r="D1101" s="233" t="s">
        <v>664</v>
      </c>
      <c r="E1101" s="644"/>
      <c r="F1101" s="21">
        <f>SUM(F1098:F1100)</f>
        <v>329874340.89999998</v>
      </c>
      <c r="G1101" s="644"/>
      <c r="H1101" s="644"/>
      <c r="I1101" s="644"/>
      <c r="J1101" s="805">
        <f t="shared" ref="J1101:S1101" ca="1" si="369">SUM(J1098:J1100)</f>
        <v>133894049.81512764</v>
      </c>
      <c r="K1101" s="805">
        <f t="shared" ca="1" si="369"/>
        <v>3990853.3671875778</v>
      </c>
      <c r="L1101" s="805">
        <f t="shared" ca="1" si="369"/>
        <v>135656610.11157215</v>
      </c>
      <c r="M1101" s="805">
        <f t="shared" ca="1" si="369"/>
        <v>5385.6232601254942</v>
      </c>
      <c r="N1101" s="805">
        <f t="shared" ca="1" si="369"/>
        <v>22702558.566103313</v>
      </c>
      <c r="O1101" s="805">
        <f t="shared" ca="1" si="369"/>
        <v>4183812.3916648258</v>
      </c>
      <c r="P1101" s="805">
        <f t="shared" ca="1" si="369"/>
        <v>27326167.888024013</v>
      </c>
      <c r="Q1101" s="805">
        <f t="shared" ca="1" si="369"/>
        <v>1372167.5613112291</v>
      </c>
      <c r="R1101" s="805">
        <f t="shared" ca="1" si="369"/>
        <v>315040.82631930633</v>
      </c>
      <c r="S1101" s="805">
        <f t="shared" ca="1" si="369"/>
        <v>427694.74942971655</v>
      </c>
      <c r="T1101" s="644"/>
      <c r="U1101" s="235">
        <f ca="1">SUM(I1101:T1101)</f>
        <v>329874340.89999992</v>
      </c>
      <c r="X1101" s="646">
        <f t="shared" ca="1" si="367"/>
        <v>0</v>
      </c>
    </row>
    <row r="1102" spans="1:24" s="589" customFormat="1" ht="15" thickBot="1" x14ac:dyDescent="0.25">
      <c r="B1102" s="645">
        <f t="shared" si="362"/>
        <v>18</v>
      </c>
      <c r="C1102" s="647"/>
      <c r="D1102" s="647"/>
      <c r="E1102" s="645"/>
      <c r="F1102" s="320"/>
      <c r="G1102" s="645"/>
      <c r="H1102" s="645"/>
      <c r="I1102" s="645"/>
      <c r="J1102" s="320"/>
      <c r="K1102" s="320"/>
      <c r="L1102" s="320"/>
      <c r="M1102" s="320"/>
      <c r="N1102" s="320"/>
      <c r="O1102" s="320"/>
      <c r="P1102" s="320"/>
      <c r="Q1102" s="320"/>
      <c r="R1102" s="320"/>
      <c r="S1102" s="320"/>
      <c r="T1102" s="645"/>
      <c r="U1102" s="320"/>
      <c r="X1102" s="646">
        <f t="shared" si="367"/>
        <v>0</v>
      </c>
    </row>
    <row r="1103" spans="1:24" s="589" customFormat="1" ht="15.75" thickBot="1" x14ac:dyDescent="0.3">
      <c r="A1103" s="620"/>
      <c r="B1103" s="645">
        <f t="shared" si="362"/>
        <v>19</v>
      </c>
      <c r="C1103" s="223" t="s">
        <v>665</v>
      </c>
      <c r="D1103" s="224"/>
      <c r="E1103" s="309" t="s">
        <v>288</v>
      </c>
      <c r="F1103" s="194">
        <f>+F1101+F1095+F1091</f>
        <v>482520278.13999999</v>
      </c>
      <c r="G1103" s="309"/>
      <c r="H1103" s="402"/>
      <c r="I1103" s="403"/>
      <c r="J1103" s="381">
        <f t="shared" ref="J1103:Q1103" ca="1" si="370">+J1101+J1095+J1091</f>
        <v>215827986.13671395</v>
      </c>
      <c r="K1103" s="194">
        <f t="shared" ca="1" si="370"/>
        <v>6574075.104681477</v>
      </c>
      <c r="L1103" s="315">
        <f t="shared" ca="1" si="370"/>
        <v>187509281.95644155</v>
      </c>
      <c r="M1103" s="381">
        <f t="shared" ca="1" si="370"/>
        <v>25914.633512580356</v>
      </c>
      <c r="N1103" s="194">
        <f t="shared" ca="1" si="370"/>
        <v>32451643.596668117</v>
      </c>
      <c r="O1103" s="194">
        <f ca="1">+O1101+O1095+O1091</f>
        <v>5269286.3101618178</v>
      </c>
      <c r="P1103" s="194">
        <f t="shared" ca="1" si="370"/>
        <v>27492618.247865502</v>
      </c>
      <c r="Q1103" s="194">
        <f t="shared" ca="1" si="370"/>
        <v>6179210.5714292023</v>
      </c>
      <c r="R1103" s="194">
        <f ca="1">+R1101+R1095+R1091</f>
        <v>389986.78307634249</v>
      </c>
      <c r="S1103" s="315">
        <f ca="1">+S1101+S1095+S1091</f>
        <v>800274.79944930295</v>
      </c>
      <c r="T1103" s="403"/>
      <c r="U1103" s="195">
        <f ca="1">SUM(I1103:T1103)</f>
        <v>482520278.13999987</v>
      </c>
      <c r="X1103" s="646">
        <f t="shared" ca="1" si="367"/>
        <v>0</v>
      </c>
    </row>
    <row r="1104" spans="1:24" s="589" customFormat="1" ht="15" thickBot="1" x14ac:dyDescent="0.25">
      <c r="X1104" s="646">
        <f t="shared" si="367"/>
        <v>0</v>
      </c>
    </row>
    <row r="1105" spans="2:24" s="589" customFormat="1" ht="15" x14ac:dyDescent="0.25">
      <c r="B1105" s="829" t="str">
        <f>+$B$4</f>
        <v>2025 RATE CASE</v>
      </c>
      <c r="C1105" s="844"/>
      <c r="D1105" s="874"/>
      <c r="F1105" s="654"/>
      <c r="H1105" s="653"/>
      <c r="U1105" s="653"/>
      <c r="V1105" s="653">
        <f>$H$2</f>
        <v>0</v>
      </c>
      <c r="W1105" s="653"/>
      <c r="X1105" s="646"/>
    </row>
    <row r="1106" spans="2:24" s="589" customFormat="1" ht="15" x14ac:dyDescent="0.25">
      <c r="B1106" s="826" t="str">
        <f>+$B$5</f>
        <v>ONCOR ELECTRIC DELIVERY COMPANY LLC</v>
      </c>
      <c r="C1106" s="8"/>
      <c r="D1106" s="875"/>
      <c r="F1106" s="654"/>
      <c r="U1106" s="653"/>
      <c r="X1106" s="646">
        <f t="shared" si="367"/>
        <v>0</v>
      </c>
    </row>
    <row r="1107" spans="2:24" s="589" customFormat="1" ht="15" x14ac:dyDescent="0.25">
      <c r="B1107" s="826" t="str">
        <f>+$B$6</f>
        <v>II-I-1-DIST:  CLASS REVENUE REQUIREMENT</v>
      </c>
      <c r="C1107" s="82"/>
      <c r="D1107" s="875"/>
      <c r="F1107" s="654"/>
      <c r="U1107" s="654"/>
      <c r="X1107" s="646">
        <f t="shared" si="367"/>
        <v>0</v>
      </c>
    </row>
    <row r="1108" spans="2:24" s="589" customFormat="1" ht="15" x14ac:dyDescent="0.25">
      <c r="B1108" s="341" t="str">
        <f>+$B$7</f>
        <v>TEST YEAR ENDING 12/31/2024</v>
      </c>
      <c r="C1108" s="82"/>
      <c r="D1108" s="875"/>
      <c r="F1108" s="614"/>
      <c r="U1108" s="654"/>
      <c r="X1108" s="646">
        <f t="shared" si="367"/>
        <v>0</v>
      </c>
    </row>
    <row r="1109" spans="2:24" s="589" customFormat="1" ht="15" x14ac:dyDescent="0.25">
      <c r="B1109" s="341" t="str">
        <f>+$B$8</f>
        <v>SPONSOR:  MATTHEW A. TROXLE</v>
      </c>
      <c r="C1109" s="82"/>
      <c r="D1109" s="875"/>
      <c r="F1109" s="654"/>
      <c r="U1109" s="654"/>
      <c r="X1109" s="646">
        <f t="shared" si="367"/>
        <v>0</v>
      </c>
    </row>
    <row r="1110" spans="2:24" s="589" customFormat="1" ht="15.75" thickBot="1" x14ac:dyDescent="0.3">
      <c r="B1110" s="345"/>
      <c r="C1110" s="843"/>
      <c r="D1110" s="876"/>
      <c r="F1110" s="654"/>
      <c r="U1110" s="654"/>
      <c r="X1110" s="646">
        <f t="shared" si="367"/>
        <v>0</v>
      </c>
    </row>
    <row r="1111" spans="2:24" s="589" customFormat="1" ht="15" thickBot="1" x14ac:dyDescent="0.25">
      <c r="B1111" s="655"/>
      <c r="C1111" s="656"/>
      <c r="D1111" s="656"/>
      <c r="E1111" s="656"/>
      <c r="F1111" s="655"/>
      <c r="G1111" s="656"/>
      <c r="H1111" s="656"/>
      <c r="I1111" s="656"/>
      <c r="J1111" s="657"/>
      <c r="K1111" s="657"/>
      <c r="L1111" s="656"/>
      <c r="M1111" s="657"/>
      <c r="N1111" s="657"/>
      <c r="O1111" s="657"/>
      <c r="P1111" s="657"/>
      <c r="Q1111" s="656"/>
      <c r="R1111" s="658" t="str">
        <f>R$10</f>
        <v xml:space="preserve"> </v>
      </c>
      <c r="S1111" s="659"/>
      <c r="T1111" s="657"/>
      <c r="U1111" s="655"/>
      <c r="X1111" s="646">
        <f t="shared" si="367"/>
        <v>0</v>
      </c>
    </row>
    <row r="1112" spans="2:24" s="589" customFormat="1" ht="15" x14ac:dyDescent="0.25">
      <c r="B1112" s="660" t="s">
        <v>2</v>
      </c>
      <c r="C1112" s="660" t="s">
        <v>349</v>
      </c>
      <c r="D1112" s="226" t="s">
        <v>298</v>
      </c>
      <c r="E1112" s="660" t="s">
        <v>350</v>
      </c>
      <c r="F1112" s="226" t="str">
        <f>F$11</f>
        <v>DIST</v>
      </c>
      <c r="G1112" s="661" t="s">
        <v>688</v>
      </c>
      <c r="H1112" s="661" t="s">
        <v>355</v>
      </c>
      <c r="I1112" s="660"/>
      <c r="J1112" s="661" t="s">
        <v>679</v>
      </c>
      <c r="K1112" s="661" t="s">
        <v>388</v>
      </c>
      <c r="L1112" s="660" t="s">
        <v>388</v>
      </c>
      <c r="M1112" s="661" t="s">
        <v>389</v>
      </c>
      <c r="N1112" s="661" t="s">
        <v>389</v>
      </c>
      <c r="O1112" s="661" t="s">
        <v>389</v>
      </c>
      <c r="P1112" s="661" t="s">
        <v>390</v>
      </c>
      <c r="Q1112" s="660" t="s">
        <v>391</v>
      </c>
      <c r="R1112" s="662" t="str">
        <f>R$11</f>
        <v>Wholesale</v>
      </c>
      <c r="S1112" s="655" t="str">
        <f>S$11</f>
        <v>Wholesale</v>
      </c>
      <c r="T1112" s="661"/>
      <c r="U1112" s="660" t="s">
        <v>10</v>
      </c>
      <c r="X1112" s="646"/>
    </row>
    <row r="1113" spans="2:24" s="589" customFormat="1" x14ac:dyDescent="0.2">
      <c r="B1113" s="660"/>
      <c r="C1113" s="660"/>
      <c r="D1113" s="660"/>
      <c r="E1113" s="660"/>
      <c r="F1113" s="660"/>
      <c r="G1113" s="661" t="s">
        <v>689</v>
      </c>
      <c r="H1113" s="661" t="s">
        <v>690</v>
      </c>
      <c r="I1113" s="660"/>
      <c r="J1113" s="661"/>
      <c r="K1113" s="661" t="s">
        <v>680</v>
      </c>
      <c r="L1113" s="660" t="s">
        <v>681</v>
      </c>
      <c r="M1113" s="661" t="s">
        <v>680</v>
      </c>
      <c r="N1113" s="661" t="s">
        <v>681</v>
      </c>
      <c r="O1113" s="661" t="s">
        <v>393</v>
      </c>
      <c r="P1113" s="661"/>
      <c r="Q1113" s="660"/>
      <c r="R1113" s="663" t="str">
        <f>R$12</f>
        <v>XFMR</v>
      </c>
      <c r="S1113" s="660" t="str">
        <f>S$12</f>
        <v>DLS</v>
      </c>
      <c r="T1113" s="661"/>
      <c r="U1113" s="660"/>
      <c r="X1113" s="646">
        <f t="shared" si="367"/>
        <v>0</v>
      </c>
    </row>
    <row r="1114" spans="2:24" s="589" customFormat="1" ht="15" thickBot="1" x14ac:dyDescent="0.25">
      <c r="B1114" s="664"/>
      <c r="C1114" s="664"/>
      <c r="D1114" s="664"/>
      <c r="E1114" s="664"/>
      <c r="F1114" s="664" t="s">
        <v>13</v>
      </c>
      <c r="G1114" s="664" t="s">
        <v>14</v>
      </c>
      <c r="H1114" s="664" t="s">
        <v>15</v>
      </c>
      <c r="I1114" s="664"/>
      <c r="J1114" s="665" t="str">
        <f t="shared" ref="J1114:Q1114" si="371">J$13</f>
        <v>(d)</v>
      </c>
      <c r="K1114" s="665" t="str">
        <f t="shared" si="371"/>
        <v>(e)</v>
      </c>
      <c r="L1114" s="664" t="str">
        <f t="shared" si="371"/>
        <v>(f)</v>
      </c>
      <c r="M1114" s="665" t="str">
        <f t="shared" si="371"/>
        <v>(g)</v>
      </c>
      <c r="N1114" s="665" t="str">
        <f t="shared" si="371"/>
        <v>(h)</v>
      </c>
      <c r="O1114" s="665" t="str">
        <f>O$13</f>
        <v>(i)</v>
      </c>
      <c r="P1114" s="665" t="str">
        <f t="shared" si="371"/>
        <v>(j)</v>
      </c>
      <c r="Q1114" s="665" t="str">
        <f t="shared" si="371"/>
        <v>(k)</v>
      </c>
      <c r="R1114" s="665" t="str">
        <f>R$13</f>
        <v>(l)</v>
      </c>
      <c r="S1114" s="664" t="str">
        <f>S$13</f>
        <v>(m)</v>
      </c>
      <c r="T1114" s="664"/>
      <c r="U1114" s="664" t="s">
        <v>683</v>
      </c>
      <c r="X1114" s="646"/>
    </row>
    <row r="1115" spans="2:24" s="589" customFormat="1" x14ac:dyDescent="0.2">
      <c r="C1115" s="666"/>
      <c r="D1115" s="666"/>
      <c r="E1115" s="666"/>
      <c r="F1115" s="666"/>
      <c r="G1115" s="666"/>
      <c r="H1115" s="666"/>
      <c r="I1115" s="666"/>
      <c r="J1115" s="666"/>
      <c r="K1115" s="666"/>
      <c r="L1115" s="666"/>
      <c r="M1115" s="666"/>
      <c r="N1115" s="666"/>
      <c r="O1115" s="666"/>
      <c r="P1115" s="666"/>
      <c r="Q1115" s="666"/>
      <c r="R1115" s="666"/>
      <c r="S1115" s="666"/>
      <c r="T1115" s="666"/>
      <c r="U1115" s="611"/>
      <c r="X1115" s="646">
        <f t="shared" si="367"/>
        <v>0</v>
      </c>
    </row>
    <row r="1116" spans="2:24" s="589" customFormat="1" ht="15" x14ac:dyDescent="0.25">
      <c r="B1116" s="645">
        <f t="shared" ref="B1116:B1162" si="372">B1115+1</f>
        <v>1</v>
      </c>
      <c r="C1116" s="301" t="s">
        <v>298</v>
      </c>
      <c r="D1116" s="8"/>
      <c r="E1116" s="644"/>
      <c r="F1116" s="21"/>
      <c r="G1116" s="644"/>
      <c r="H1116" s="644"/>
      <c r="I1116" s="644"/>
      <c r="J1116" s="644"/>
      <c r="K1116" s="644"/>
      <c r="L1116" s="644"/>
      <c r="M1116" s="644"/>
      <c r="N1116" s="644"/>
      <c r="O1116" s="644"/>
      <c r="P1116" s="644"/>
      <c r="Q1116" s="644"/>
      <c r="R1116" s="644"/>
      <c r="S1116" s="644"/>
      <c r="T1116" s="644"/>
      <c r="U1116" s="8"/>
      <c r="X1116" s="646">
        <f t="shared" si="367"/>
        <v>0</v>
      </c>
    </row>
    <row r="1117" spans="2:24" s="589" customFormat="1" x14ac:dyDescent="0.2">
      <c r="B1117" s="645">
        <f t="shared" si="372"/>
        <v>2</v>
      </c>
      <c r="C1117" s="647"/>
      <c r="D1117" s="647"/>
      <c r="E1117" s="645"/>
      <c r="F1117" s="614"/>
      <c r="G1117" s="645"/>
      <c r="H1117" s="645"/>
      <c r="I1117" s="645"/>
      <c r="J1117" s="645"/>
      <c r="K1117" s="645"/>
      <c r="L1117" s="645"/>
      <c r="M1117" s="645"/>
      <c r="N1117" s="645"/>
      <c r="O1117" s="645"/>
      <c r="P1117" s="645"/>
      <c r="Q1117" s="645"/>
      <c r="R1117" s="645"/>
      <c r="S1117" s="645"/>
      <c r="T1117" s="645"/>
      <c r="U1117" s="647"/>
      <c r="X1117" s="646">
        <f t="shared" si="367"/>
        <v>0</v>
      </c>
    </row>
    <row r="1118" spans="2:24" s="620" customFormat="1" ht="15" x14ac:dyDescent="0.25">
      <c r="B1118" s="645">
        <f t="shared" si="372"/>
        <v>3</v>
      </c>
      <c r="C1118" s="8"/>
      <c r="D1118" s="32" t="s">
        <v>340</v>
      </c>
      <c r="E1118" s="748" t="s">
        <v>462</v>
      </c>
      <c r="F1118" s="805">
        <f>+F622</f>
        <v>1009018361.9291829</v>
      </c>
      <c r="G1118" s="748"/>
      <c r="H1118" s="748"/>
      <c r="I1118" s="748"/>
      <c r="J1118" s="21">
        <f t="shared" ref="J1118:Q1118" ca="1" si="373">+J622</f>
        <v>549611440.66317976</v>
      </c>
      <c r="K1118" s="21">
        <f t="shared" ca="1" si="373"/>
        <v>14413198.600904908</v>
      </c>
      <c r="L1118" s="21">
        <f t="shared" ca="1" si="373"/>
        <v>351583283.63591516</v>
      </c>
      <c r="M1118" s="21">
        <f t="shared" ca="1" si="373"/>
        <v>105279.46949266036</v>
      </c>
      <c r="N1118" s="21">
        <f t="shared" ca="1" si="373"/>
        <v>66579264.172825679</v>
      </c>
      <c r="O1118" s="21">
        <f ca="1">+O622</f>
        <v>7827010.9114561295</v>
      </c>
      <c r="P1118" s="21">
        <f t="shared" ca="1" si="373"/>
        <v>1959955.0315976446</v>
      </c>
      <c r="Q1118" s="21">
        <f t="shared" ca="1" si="373"/>
        <v>13851282.928219566</v>
      </c>
      <c r="R1118" s="21">
        <f ca="1">+R622</f>
        <v>544989.95810095884</v>
      </c>
      <c r="S1118" s="21">
        <f ca="1">+S622</f>
        <v>2542656.5574902077</v>
      </c>
      <c r="T1118" s="748"/>
      <c r="U1118" s="20">
        <f ca="1">SUM(I1118:T1118)</f>
        <v>1009018361.9291826</v>
      </c>
      <c r="W1118" s="668" t="b">
        <f>' WP II-I-1.4'!$G$27=F1118</f>
        <v>1</v>
      </c>
      <c r="X1118" s="668">
        <f t="shared" ca="1" si="367"/>
        <v>0</v>
      </c>
    </row>
    <row r="1119" spans="2:24" s="589" customFormat="1" x14ac:dyDescent="0.2">
      <c r="B1119" s="645">
        <f t="shared" si="372"/>
        <v>4</v>
      </c>
      <c r="C1119" s="647"/>
      <c r="D1119" s="647"/>
      <c r="E1119" s="645"/>
      <c r="F1119" s="614"/>
      <c r="G1119" s="645"/>
      <c r="H1119" s="645"/>
      <c r="I1119" s="645"/>
      <c r="J1119" s="645"/>
      <c r="K1119" s="645"/>
      <c r="L1119" s="645"/>
      <c r="M1119" s="645"/>
      <c r="N1119" s="645"/>
      <c r="O1119" s="645"/>
      <c r="P1119" s="645"/>
      <c r="Q1119" s="645"/>
      <c r="R1119" s="645"/>
      <c r="S1119" s="645"/>
      <c r="T1119" s="645"/>
      <c r="U1119" s="669"/>
      <c r="X1119" s="646">
        <f t="shared" si="367"/>
        <v>0</v>
      </c>
    </row>
    <row r="1120" spans="2:24" s="589" customFormat="1" ht="15" x14ac:dyDescent="0.25">
      <c r="B1120" s="645">
        <f t="shared" si="372"/>
        <v>5</v>
      </c>
      <c r="C1120" s="647"/>
      <c r="D1120" s="8" t="s">
        <v>300</v>
      </c>
      <c r="E1120" s="644" t="s">
        <v>299</v>
      </c>
      <c r="F1120" s="614"/>
      <c r="G1120" s="644"/>
      <c r="H1120" s="644"/>
      <c r="I1120" s="644"/>
      <c r="J1120" s="961"/>
      <c r="K1120" s="961"/>
      <c r="L1120" s="961"/>
      <c r="M1120" s="961"/>
      <c r="N1120" s="961"/>
      <c r="O1120" s="961"/>
      <c r="P1120" s="961"/>
      <c r="Q1120" s="961"/>
      <c r="R1120" s="961"/>
      <c r="S1120" s="961"/>
      <c r="T1120" s="913"/>
      <c r="U1120" s="669"/>
      <c r="X1120" s="646">
        <f t="shared" si="367"/>
        <v>0</v>
      </c>
    </row>
    <row r="1121" spans="2:24" s="589" customFormat="1" x14ac:dyDescent="0.2">
      <c r="B1121" s="645">
        <f t="shared" si="372"/>
        <v>6</v>
      </c>
      <c r="C1121" s="647"/>
      <c r="D1121" s="18" t="s">
        <v>301</v>
      </c>
      <c r="E1121" s="645"/>
      <c r="F1121" s="646">
        <f>' WP II-I-1.4'!G1121</f>
        <v>367406953.74000001</v>
      </c>
      <c r="G1121" s="645">
        <v>68</v>
      </c>
      <c r="H1121" s="620" t="str">
        <f t="shared" ref="H1121:H1126" si="374">VLOOKUP(G1121,FactorTable,2)</f>
        <v>RATEBASE</v>
      </c>
      <c r="I1121" s="645"/>
      <c r="J1121" s="648">
        <f t="shared" ref="J1121:S1129" ca="1" si="375">$F1121*HLOOKUP(J$1354,FactorTable,$G1121+1)</f>
        <v>200126254.16313693</v>
      </c>
      <c r="K1121" s="648">
        <f t="shared" ca="1" si="375"/>
        <v>5248179.410217477</v>
      </c>
      <c r="L1121" s="648">
        <f t="shared" ca="1" si="375"/>
        <v>128019615.99549563</v>
      </c>
      <c r="M1121" s="648">
        <f t="shared" ca="1" si="375"/>
        <v>38334.69304137041</v>
      </c>
      <c r="N1121" s="648">
        <f t="shared" ca="1" si="375"/>
        <v>24243052.014652468</v>
      </c>
      <c r="O1121" s="648">
        <f t="shared" ca="1" si="375"/>
        <v>2849995.9409754197</v>
      </c>
      <c r="P1121" s="648">
        <f t="shared" ca="1" si="375"/>
        <v>713665.01819638442</v>
      </c>
      <c r="Q1121" s="648">
        <f t="shared" ca="1" si="375"/>
        <v>5043572.9002176384</v>
      </c>
      <c r="R1121" s="648">
        <f t="shared" ca="1" si="375"/>
        <v>198443.46533191908</v>
      </c>
      <c r="S1121" s="648">
        <f t="shared" ca="1" si="375"/>
        <v>925840.13873483706</v>
      </c>
      <c r="T1121" s="645"/>
      <c r="U1121" s="669">
        <f t="shared" ref="U1121:U1130" ca="1" si="376">SUM(I1121:T1121)</f>
        <v>367406953.74000013</v>
      </c>
      <c r="X1121" s="646">
        <f t="shared" ca="1" si="367"/>
        <v>0</v>
      </c>
    </row>
    <row r="1122" spans="2:24" s="589" customFormat="1" x14ac:dyDescent="0.2">
      <c r="B1122" s="645">
        <f t="shared" si="372"/>
        <v>7</v>
      </c>
      <c r="C1122" s="647"/>
      <c r="D1122" s="18" t="s">
        <v>302</v>
      </c>
      <c r="E1122" s="645"/>
      <c r="F1122" s="646">
        <f>' WP II-I-1.4'!G1122</f>
        <v>0</v>
      </c>
      <c r="G1122" s="645">
        <v>59</v>
      </c>
      <c r="H1122" s="620" t="str">
        <f t="shared" si="374"/>
        <v>PLANT_N</v>
      </c>
      <c r="I1122" s="645"/>
      <c r="J1122" s="648">
        <f t="shared" ca="1" si="375"/>
        <v>0</v>
      </c>
      <c r="K1122" s="648">
        <f t="shared" ca="1" si="375"/>
        <v>0</v>
      </c>
      <c r="L1122" s="648">
        <f t="shared" ca="1" si="375"/>
        <v>0</v>
      </c>
      <c r="M1122" s="648">
        <f t="shared" ca="1" si="375"/>
        <v>0</v>
      </c>
      <c r="N1122" s="648">
        <f t="shared" ca="1" si="375"/>
        <v>0</v>
      </c>
      <c r="O1122" s="648">
        <f t="shared" ca="1" si="375"/>
        <v>0</v>
      </c>
      <c r="P1122" s="648">
        <f t="shared" ca="1" si="375"/>
        <v>0</v>
      </c>
      <c r="Q1122" s="648">
        <f t="shared" ca="1" si="375"/>
        <v>0</v>
      </c>
      <c r="R1122" s="648">
        <f t="shared" ca="1" si="375"/>
        <v>0</v>
      </c>
      <c r="S1122" s="648">
        <f t="shared" ca="1" si="375"/>
        <v>0</v>
      </c>
      <c r="T1122" s="645"/>
      <c r="U1122" s="669">
        <f t="shared" ca="1" si="376"/>
        <v>0</v>
      </c>
      <c r="X1122" s="646">
        <f t="shared" ca="1" si="367"/>
        <v>0</v>
      </c>
    </row>
    <row r="1123" spans="2:24" s="589" customFormat="1" x14ac:dyDescent="0.2">
      <c r="B1123" s="645">
        <f t="shared" si="372"/>
        <v>8</v>
      </c>
      <c r="C1123" s="647"/>
      <c r="D1123" s="18" t="s">
        <v>1128</v>
      </c>
      <c r="E1123" s="645"/>
      <c r="F1123" s="646">
        <f>' WP II-I-1.4'!G1123</f>
        <v>7936236.2800000003</v>
      </c>
      <c r="G1123" s="645">
        <v>68</v>
      </c>
      <c r="H1123" s="620" t="str">
        <f t="shared" si="374"/>
        <v>RATEBASE</v>
      </c>
      <c r="I1123" s="645"/>
      <c r="J1123" s="648">
        <f t="shared" ca="1" si="375"/>
        <v>4322861.1290627131</v>
      </c>
      <c r="K1123" s="648">
        <f t="shared" ca="1" si="375"/>
        <v>113364.19034897101</v>
      </c>
      <c r="L1123" s="648">
        <f t="shared" ca="1" si="375"/>
        <v>2765309.4495704649</v>
      </c>
      <c r="M1123" s="648">
        <f t="shared" ca="1" si="375"/>
        <v>828.05504523161983</v>
      </c>
      <c r="N1123" s="648">
        <f t="shared" ca="1" si="375"/>
        <v>523666.1608554236</v>
      </c>
      <c r="O1123" s="648">
        <f t="shared" ca="1" si="375"/>
        <v>61561.821175077537</v>
      </c>
      <c r="P1123" s="648">
        <f t="shared" ca="1" si="375"/>
        <v>15415.642386521276</v>
      </c>
      <c r="Q1123" s="648">
        <f t="shared" ca="1" si="375"/>
        <v>108944.55269308164</v>
      </c>
      <c r="R1123" s="648">
        <f t="shared" ca="1" si="375"/>
        <v>4286.5117632220745</v>
      </c>
      <c r="S1123" s="648">
        <f t="shared" ca="1" si="375"/>
        <v>19998.767099294822</v>
      </c>
      <c r="T1123" s="645"/>
      <c r="U1123" s="669">
        <f t="shared" ca="1" si="376"/>
        <v>7936236.2800000021</v>
      </c>
      <c r="X1123" s="646">
        <f t="shared" ca="1" si="367"/>
        <v>0</v>
      </c>
    </row>
    <row r="1124" spans="2:24" s="589" customFormat="1" x14ac:dyDescent="0.2">
      <c r="B1124" s="645">
        <f t="shared" si="372"/>
        <v>9</v>
      </c>
      <c r="C1124" s="647"/>
      <c r="D1124" s="18" t="s">
        <v>1129</v>
      </c>
      <c r="E1124" s="645"/>
      <c r="F1124" s="646">
        <f>' WP II-I-1.4'!G1124</f>
        <v>18862682.34</v>
      </c>
      <c r="G1124" s="645">
        <v>68</v>
      </c>
      <c r="H1124" s="620" t="str">
        <f t="shared" si="374"/>
        <v>RATEBASE</v>
      </c>
      <c r="I1124" s="645"/>
      <c r="J1124" s="648">
        <f t="shared" ca="1" si="375"/>
        <v>10274486.973495664</v>
      </c>
      <c r="K1124" s="648">
        <f t="shared" ca="1" si="375"/>
        <v>269441.66426505812</v>
      </c>
      <c r="L1124" s="648">
        <f t="shared" ca="1" si="375"/>
        <v>6572530.3379006665</v>
      </c>
      <c r="M1124" s="648">
        <f t="shared" ca="1" si="375"/>
        <v>1968.10411474271</v>
      </c>
      <c r="N1124" s="648">
        <f t="shared" ca="1" si="375"/>
        <v>1244638.9063939508</v>
      </c>
      <c r="O1124" s="648">
        <f t="shared" ca="1" si="375"/>
        <v>146318.86402169632</v>
      </c>
      <c r="P1124" s="648">
        <f t="shared" ca="1" si="375"/>
        <v>36639.580166833228</v>
      </c>
      <c r="Q1124" s="648">
        <f t="shared" ca="1" si="375"/>
        <v>258937.1608430729</v>
      </c>
      <c r="R1124" s="648">
        <f t="shared" ca="1" si="375"/>
        <v>10188.092552145043</v>
      </c>
      <c r="S1124" s="648">
        <f t="shared" ca="1" si="375"/>
        <v>47532.65624617233</v>
      </c>
      <c r="T1124" s="645"/>
      <c r="U1124" s="669">
        <f t="shared" ca="1" si="376"/>
        <v>18862682.340000004</v>
      </c>
      <c r="X1124" s="646">
        <f t="shared" ca="1" si="367"/>
        <v>0</v>
      </c>
    </row>
    <row r="1125" spans="2:24" s="589" customFormat="1" x14ac:dyDescent="0.2">
      <c r="B1125" s="645">
        <f t="shared" si="372"/>
        <v>10</v>
      </c>
      <c r="C1125" s="647"/>
      <c r="D1125" s="18" t="s">
        <v>1130</v>
      </c>
      <c r="E1125" s="645"/>
      <c r="F1125" s="646">
        <f>' WP II-I-1.4'!G1125</f>
        <v>-3166047.5599999996</v>
      </c>
      <c r="G1125" s="645">
        <v>68</v>
      </c>
      <c r="H1125" s="620" t="str">
        <f t="shared" si="374"/>
        <v>RATEBASE</v>
      </c>
      <c r="I1125" s="645"/>
      <c r="J1125" s="648">
        <f t="shared" ca="1" si="375"/>
        <v>-1724543.4040791744</v>
      </c>
      <c r="K1125" s="648">
        <f t="shared" ca="1" si="375"/>
        <v>-45225.016693396021</v>
      </c>
      <c r="L1125" s="648">
        <f t="shared" ca="1" si="375"/>
        <v>-1103180.5161246425</v>
      </c>
      <c r="M1125" s="648">
        <f t="shared" ca="1" si="375"/>
        <v>-330.34067573165288</v>
      </c>
      <c r="N1125" s="648">
        <f t="shared" ca="1" si="375"/>
        <v>-208909.09901574667</v>
      </c>
      <c r="O1125" s="648">
        <f t="shared" ca="1" si="375"/>
        <v>-24559.20499893566</v>
      </c>
      <c r="P1125" s="648">
        <f t="shared" ca="1" si="375"/>
        <v>-6149.8492788924696</v>
      </c>
      <c r="Q1125" s="648">
        <f t="shared" ca="1" si="375"/>
        <v>-43461.865682913172</v>
      </c>
      <c r="R1125" s="648">
        <f t="shared" ca="1" si="375"/>
        <v>-1710.0423462770875</v>
      </c>
      <c r="S1125" s="648">
        <f t="shared" ca="1" si="375"/>
        <v>-7978.2211042903373</v>
      </c>
      <c r="T1125" s="645"/>
      <c r="U1125" s="669">
        <f ca="1">SUM(I1125:T1125)</f>
        <v>-3166047.5599999996</v>
      </c>
      <c r="X1125" s="646">
        <f t="shared" ca="1" si="367"/>
        <v>0</v>
      </c>
    </row>
    <row r="1126" spans="2:24" s="589" customFormat="1" x14ac:dyDescent="0.2">
      <c r="B1126" s="645">
        <f t="shared" si="372"/>
        <v>11</v>
      </c>
      <c r="C1126" s="647"/>
      <c r="D1126" s="589" t="s">
        <v>1295</v>
      </c>
      <c r="E1126" s="645"/>
      <c r="F1126" s="646">
        <f>' WP II-I-1.4'!G1126</f>
        <v>41205.93</v>
      </c>
      <c r="G1126" s="645">
        <v>68</v>
      </c>
      <c r="H1126" s="620" t="str">
        <f t="shared" si="374"/>
        <v>RATEBASE</v>
      </c>
      <c r="I1126" s="645"/>
      <c r="J1126" s="648">
        <f t="shared" ca="1" si="375"/>
        <v>22444.834906538228</v>
      </c>
      <c r="K1126" s="648">
        <f t="shared" ca="1" si="375"/>
        <v>588.60103545535753</v>
      </c>
      <c r="L1126" s="648">
        <f t="shared" ca="1" si="375"/>
        <v>14357.832048737731</v>
      </c>
      <c r="M1126" s="648">
        <f t="shared" ca="1" si="375"/>
        <v>4.2993652187433309</v>
      </c>
      <c r="N1126" s="648">
        <f t="shared" ca="1" si="375"/>
        <v>2718.9401129545658</v>
      </c>
      <c r="O1126" s="648">
        <f t="shared" ca="1" si="375"/>
        <v>319.63666459950241</v>
      </c>
      <c r="P1126" s="648">
        <f t="shared" ca="1" si="375"/>
        <v>80.039940681306007</v>
      </c>
      <c r="Q1126" s="648">
        <f t="shared" ca="1" si="375"/>
        <v>565.65372473416755</v>
      </c>
      <c r="R1126" s="648">
        <f t="shared" ca="1" si="375"/>
        <v>22.256104459065497</v>
      </c>
      <c r="S1126" s="648">
        <f t="shared" ca="1" si="375"/>
        <v>103.83609662133767</v>
      </c>
      <c r="T1126" s="645"/>
      <c r="U1126" s="669">
        <f ca="1">SUM(I1126:T1126)</f>
        <v>41205.93</v>
      </c>
      <c r="X1126" s="646">
        <f t="shared" ca="1" si="367"/>
        <v>0</v>
      </c>
    </row>
    <row r="1127" spans="2:24" s="589" customFormat="1" x14ac:dyDescent="0.2">
      <c r="B1127" s="645">
        <f t="shared" si="372"/>
        <v>12</v>
      </c>
      <c r="C1127" s="647"/>
      <c r="D1127" s="321"/>
      <c r="E1127" s="645"/>
      <c r="F1127" s="646">
        <f>' WP II-I-1.4'!G1127</f>
        <v>0</v>
      </c>
      <c r="G1127" s="645"/>
      <c r="H1127" s="620"/>
      <c r="I1127" s="645"/>
      <c r="J1127" s="648">
        <f t="shared" si="375"/>
        <v>0</v>
      </c>
      <c r="K1127" s="648">
        <f t="shared" si="375"/>
        <v>0</v>
      </c>
      <c r="L1127" s="648">
        <f t="shared" si="375"/>
        <v>0</v>
      </c>
      <c r="M1127" s="648">
        <f t="shared" si="375"/>
        <v>0</v>
      </c>
      <c r="N1127" s="648">
        <f t="shared" si="375"/>
        <v>0</v>
      </c>
      <c r="O1127" s="648">
        <f t="shared" si="375"/>
        <v>0</v>
      </c>
      <c r="P1127" s="648">
        <f t="shared" si="375"/>
        <v>0</v>
      </c>
      <c r="Q1127" s="648">
        <f t="shared" si="375"/>
        <v>0</v>
      </c>
      <c r="R1127" s="648">
        <f t="shared" si="375"/>
        <v>0</v>
      </c>
      <c r="S1127" s="648">
        <f t="shared" si="375"/>
        <v>0</v>
      </c>
      <c r="T1127" s="645"/>
      <c r="U1127" s="669">
        <f t="shared" si="376"/>
        <v>0</v>
      </c>
      <c r="V1127" s="646"/>
      <c r="W1127" s="646"/>
      <c r="X1127" s="646">
        <f t="shared" si="367"/>
        <v>0</v>
      </c>
    </row>
    <row r="1128" spans="2:24" s="589" customFormat="1" x14ac:dyDescent="0.2">
      <c r="B1128" s="645">
        <f t="shared" si="372"/>
        <v>13</v>
      </c>
      <c r="C1128" s="647"/>
      <c r="D1128" s="647"/>
      <c r="E1128" s="645"/>
      <c r="F1128" s="646"/>
      <c r="G1128" s="645"/>
      <c r="H1128" s="620"/>
      <c r="I1128" s="645"/>
      <c r="J1128" s="648">
        <f t="shared" si="375"/>
        <v>0</v>
      </c>
      <c r="K1128" s="648">
        <f t="shared" si="375"/>
        <v>0</v>
      </c>
      <c r="L1128" s="648">
        <f t="shared" si="375"/>
        <v>0</v>
      </c>
      <c r="M1128" s="648">
        <f t="shared" si="375"/>
        <v>0</v>
      </c>
      <c r="N1128" s="648">
        <f t="shared" si="375"/>
        <v>0</v>
      </c>
      <c r="O1128" s="648">
        <f t="shared" si="375"/>
        <v>0</v>
      </c>
      <c r="P1128" s="648">
        <f t="shared" si="375"/>
        <v>0</v>
      </c>
      <c r="Q1128" s="648">
        <f t="shared" si="375"/>
        <v>0</v>
      </c>
      <c r="R1128" s="648">
        <f t="shared" si="375"/>
        <v>0</v>
      </c>
      <c r="S1128" s="648">
        <f t="shared" si="375"/>
        <v>0</v>
      </c>
      <c r="T1128" s="645"/>
      <c r="U1128" s="669">
        <f t="shared" si="376"/>
        <v>0</v>
      </c>
      <c r="X1128" s="646">
        <f t="shared" si="367"/>
        <v>0</v>
      </c>
    </row>
    <row r="1129" spans="2:24" s="589" customFormat="1" x14ac:dyDescent="0.2">
      <c r="B1129" s="645">
        <f t="shared" si="372"/>
        <v>14</v>
      </c>
      <c r="C1129" s="647"/>
      <c r="D1129" s="647"/>
      <c r="E1129" s="645"/>
      <c r="F1129" s="646"/>
      <c r="G1129" s="645"/>
      <c r="H1129" s="620"/>
      <c r="I1129" s="645"/>
      <c r="J1129" s="651">
        <f t="shared" si="375"/>
        <v>0</v>
      </c>
      <c r="K1129" s="651">
        <f t="shared" si="375"/>
        <v>0</v>
      </c>
      <c r="L1129" s="651">
        <f t="shared" si="375"/>
        <v>0</v>
      </c>
      <c r="M1129" s="651">
        <f t="shared" si="375"/>
        <v>0</v>
      </c>
      <c r="N1129" s="651">
        <f t="shared" si="375"/>
        <v>0</v>
      </c>
      <c r="O1129" s="651">
        <f t="shared" si="375"/>
        <v>0</v>
      </c>
      <c r="P1129" s="651">
        <f t="shared" si="375"/>
        <v>0</v>
      </c>
      <c r="Q1129" s="651">
        <f t="shared" si="375"/>
        <v>0</v>
      </c>
      <c r="R1129" s="651">
        <f t="shared" si="375"/>
        <v>0</v>
      </c>
      <c r="S1129" s="651">
        <f t="shared" si="375"/>
        <v>0</v>
      </c>
      <c r="T1129" s="645"/>
      <c r="U1129" s="669">
        <f t="shared" si="376"/>
        <v>0</v>
      </c>
      <c r="V1129" s="646"/>
      <c r="W1129" s="646"/>
      <c r="X1129" s="646">
        <f t="shared" si="367"/>
        <v>0</v>
      </c>
    </row>
    <row r="1130" spans="2:24" s="589" customFormat="1" ht="15" x14ac:dyDescent="0.25">
      <c r="B1130" s="645">
        <f t="shared" si="372"/>
        <v>15</v>
      </c>
      <c r="C1130" s="8"/>
      <c r="D1130" s="233" t="s">
        <v>444</v>
      </c>
      <c r="E1130" s="1005"/>
      <c r="F1130" s="805">
        <f>SUM(F1121:F1129)</f>
        <v>391081030.72999996</v>
      </c>
      <c r="G1130" s="644"/>
      <c r="H1130" s="644"/>
      <c r="I1130" s="913"/>
      <c r="J1130" s="805">
        <f t="shared" ref="J1130:Q1130" ca="1" si="377">SUM(J1121:J1129)</f>
        <v>213021503.69652268</v>
      </c>
      <c r="K1130" s="805">
        <f t="shared" ca="1" si="377"/>
        <v>5586348.8491735654</v>
      </c>
      <c r="L1130" s="805">
        <f t="shared" ca="1" si="377"/>
        <v>136268633.09889087</v>
      </c>
      <c r="M1130" s="805">
        <f t="shared" ca="1" si="377"/>
        <v>40804.810890831825</v>
      </c>
      <c r="N1130" s="805">
        <f t="shared" ca="1" si="377"/>
        <v>25805166.92299905</v>
      </c>
      <c r="O1130" s="805">
        <f ca="1">SUM(O1121:O1129)</f>
        <v>3033637.0578378574</v>
      </c>
      <c r="P1130" s="805">
        <f t="shared" ca="1" si="377"/>
        <v>759650.4314115278</v>
      </c>
      <c r="Q1130" s="805">
        <f t="shared" ca="1" si="377"/>
        <v>5368558.4017956136</v>
      </c>
      <c r="R1130" s="805">
        <f ca="1">SUM(R1121:R1129)</f>
        <v>211230.28340546816</v>
      </c>
      <c r="S1130" s="805">
        <f ca="1">SUM(S1121:S1129)</f>
        <v>985497.17707263527</v>
      </c>
      <c r="T1130" s="913"/>
      <c r="U1130" s="235">
        <f t="shared" ca="1" si="376"/>
        <v>391081030.73000014</v>
      </c>
      <c r="W1130" s="646" t="b">
        <f>' WP II-I-1.4'!$G$1130=F1130</f>
        <v>1</v>
      </c>
      <c r="X1130" s="646">
        <f t="shared" ca="1" si="367"/>
        <v>0</v>
      </c>
    </row>
    <row r="1131" spans="2:24" s="589" customFormat="1" x14ac:dyDescent="0.2">
      <c r="B1131" s="645">
        <f t="shared" si="372"/>
        <v>16</v>
      </c>
      <c r="C1131" s="647"/>
      <c r="D1131" s="647"/>
      <c r="E1131" s="645"/>
      <c r="F1131" s="670"/>
      <c r="G1131" s="645"/>
      <c r="H1131" s="645"/>
      <c r="I1131" s="645"/>
      <c r="J1131" s="645"/>
      <c r="K1131" s="645"/>
      <c r="L1131" s="645"/>
      <c r="M1131" s="645"/>
      <c r="N1131" s="645"/>
      <c r="O1131" s="645"/>
      <c r="P1131" s="645"/>
      <c r="Q1131" s="645"/>
      <c r="R1131" s="645"/>
      <c r="S1131" s="645"/>
      <c r="T1131" s="645"/>
      <c r="U1131" s="670"/>
      <c r="X1131" s="646">
        <f t="shared" si="367"/>
        <v>0</v>
      </c>
    </row>
    <row r="1132" spans="2:24" s="589" customFormat="1" ht="15" x14ac:dyDescent="0.25">
      <c r="B1132" s="645">
        <f t="shared" si="372"/>
        <v>17</v>
      </c>
      <c r="C1132" s="8"/>
      <c r="D1132" s="8" t="s">
        <v>304</v>
      </c>
      <c r="E1132" s="1005" t="s">
        <v>299</v>
      </c>
      <c r="F1132" s="805"/>
      <c r="G1132" s="1005"/>
      <c r="H1132" s="1005"/>
      <c r="I1132" s="644"/>
      <c r="J1132" s="961"/>
      <c r="K1132" s="961"/>
      <c r="L1132" s="961"/>
      <c r="M1132" s="961"/>
      <c r="N1132" s="961"/>
      <c r="O1132" s="961"/>
      <c r="P1132" s="961"/>
      <c r="Q1132" s="961"/>
      <c r="R1132" s="961"/>
      <c r="S1132" s="961"/>
      <c r="T1132" s="913"/>
      <c r="U1132" s="8"/>
      <c r="X1132" s="646">
        <f t="shared" si="367"/>
        <v>0</v>
      </c>
    </row>
    <row r="1133" spans="2:24" s="589" customFormat="1" x14ac:dyDescent="0.2">
      <c r="B1133" s="645">
        <f t="shared" si="372"/>
        <v>18</v>
      </c>
      <c r="C1133" s="647"/>
      <c r="D1133" s="1" t="s">
        <v>306</v>
      </c>
      <c r="E1133" s="645"/>
      <c r="F1133" s="668">
        <f>' WP II-I-1.4'!G1133</f>
        <v>459298.48</v>
      </c>
      <c r="G1133" s="16">
        <v>59</v>
      </c>
      <c r="H1133" s="620" t="str">
        <f t="shared" ref="H1133:H1139" si="378">VLOOKUP(G1133,FactorTable,2)</f>
        <v>PLANT_N</v>
      </c>
      <c r="I1133" s="645"/>
      <c r="J1133" s="648">
        <f t="shared" ref="J1133:S1139" ca="1" si="379">$F1133*HLOOKUP(J$1354,FactorTable,$G1133+1)</f>
        <v>250585.09730545507</v>
      </c>
      <c r="K1133" s="648">
        <f t="shared" ca="1" si="379"/>
        <v>6633.2275854545205</v>
      </c>
      <c r="L1133" s="648">
        <f t="shared" ca="1" si="379"/>
        <v>159534.42807260176</v>
      </c>
      <c r="M1133" s="648">
        <f t="shared" ca="1" si="379"/>
        <v>48.065479647385089</v>
      </c>
      <c r="N1133" s="648">
        <f t="shared" ca="1" si="379"/>
        <v>30213.339453603061</v>
      </c>
      <c r="O1133" s="648">
        <f t="shared" ca="1" si="379"/>
        <v>3530.3054114596089</v>
      </c>
      <c r="P1133" s="648">
        <f t="shared" ca="1" si="379"/>
        <v>595.82884675910771</v>
      </c>
      <c r="Q1133" s="648">
        <f t="shared" ca="1" si="379"/>
        <v>6754.8659357775723</v>
      </c>
      <c r="R1133" s="648">
        <f t="shared" ca="1" si="379"/>
        <v>244.02850240307228</v>
      </c>
      <c r="S1133" s="648">
        <f t="shared" ca="1" si="379"/>
        <v>1159.293406838839</v>
      </c>
      <c r="T1133" s="645"/>
      <c r="U1133" s="669">
        <f t="shared" ref="U1133:U1138" ca="1" si="380">SUM(I1133:T1133)</f>
        <v>459298.48</v>
      </c>
      <c r="X1133" s="646">
        <f t="shared" ca="1" si="367"/>
        <v>0</v>
      </c>
    </row>
    <row r="1134" spans="2:24" s="589" customFormat="1" x14ac:dyDescent="0.2">
      <c r="B1134" s="645">
        <f t="shared" si="372"/>
        <v>19</v>
      </c>
      <c r="C1134" s="647"/>
      <c r="D1134" s="1" t="s">
        <v>1131</v>
      </c>
      <c r="E1134" s="645"/>
      <c r="F1134" s="668">
        <f>' WP II-I-1.4'!G1134</f>
        <v>2588073.41</v>
      </c>
      <c r="G1134" s="16">
        <v>68</v>
      </c>
      <c r="H1134" s="620" t="str">
        <f t="shared" si="378"/>
        <v>RATEBASE</v>
      </c>
      <c r="I1134" s="645"/>
      <c r="J1134" s="648">
        <f t="shared" ca="1" si="379"/>
        <v>1409721.377807792</v>
      </c>
      <c r="K1134" s="648">
        <f t="shared" ca="1" si="379"/>
        <v>36969.016084832409</v>
      </c>
      <c r="L1134" s="648">
        <f t="shared" ca="1" si="379"/>
        <v>901790.67310418549</v>
      </c>
      <c r="M1134" s="648">
        <f t="shared" ca="1" si="379"/>
        <v>270.03571579402404</v>
      </c>
      <c r="N1134" s="648">
        <f t="shared" ca="1" si="379"/>
        <v>170771.94009988633</v>
      </c>
      <c r="O1134" s="648">
        <f t="shared" ca="1" si="379"/>
        <v>20075.827739139986</v>
      </c>
      <c r="P1134" s="648">
        <f t="shared" ca="1" si="379"/>
        <v>5027.1706576035385</v>
      </c>
      <c r="Q1134" s="648">
        <f t="shared" ca="1" si="379"/>
        <v>35527.735067548732</v>
      </c>
      <c r="R1134" s="648">
        <f t="shared" ca="1" si="379"/>
        <v>1397.8675438387108</v>
      </c>
      <c r="S1134" s="648">
        <f t="shared" ca="1" si="379"/>
        <v>6521.7661793793977</v>
      </c>
      <c r="T1134" s="645"/>
      <c r="U1134" s="669">
        <f t="shared" ca="1" si="380"/>
        <v>2588073.4100000011</v>
      </c>
      <c r="X1134" s="646">
        <f t="shared" ca="1" si="367"/>
        <v>0</v>
      </c>
    </row>
    <row r="1135" spans="2:24" s="589" customFormat="1" x14ac:dyDescent="0.2">
      <c r="B1135" s="645">
        <f t="shared" si="372"/>
        <v>20</v>
      </c>
      <c r="C1135" s="647"/>
      <c r="D1135" s="1" t="s">
        <v>1132</v>
      </c>
      <c r="E1135" s="645"/>
      <c r="F1135" s="668">
        <f>' WP II-I-1.4'!G1135</f>
        <v>0</v>
      </c>
      <c r="G1135" s="16">
        <v>68</v>
      </c>
      <c r="H1135" s="620" t="str">
        <f t="shared" si="378"/>
        <v>RATEBASE</v>
      </c>
      <c r="I1135" s="645"/>
      <c r="J1135" s="648">
        <f t="shared" ca="1" si="379"/>
        <v>0</v>
      </c>
      <c r="K1135" s="648">
        <f t="shared" ca="1" si="379"/>
        <v>0</v>
      </c>
      <c r="L1135" s="648">
        <f t="shared" ca="1" si="379"/>
        <v>0</v>
      </c>
      <c r="M1135" s="648">
        <f t="shared" ca="1" si="379"/>
        <v>0</v>
      </c>
      <c r="N1135" s="648">
        <f t="shared" ca="1" si="379"/>
        <v>0</v>
      </c>
      <c r="O1135" s="648">
        <f t="shared" ca="1" si="379"/>
        <v>0</v>
      </c>
      <c r="P1135" s="648">
        <f t="shared" ca="1" si="379"/>
        <v>0</v>
      </c>
      <c r="Q1135" s="648">
        <f t="shared" ca="1" si="379"/>
        <v>0</v>
      </c>
      <c r="R1135" s="648">
        <f t="shared" ca="1" si="379"/>
        <v>0</v>
      </c>
      <c r="S1135" s="648">
        <f t="shared" ca="1" si="379"/>
        <v>0</v>
      </c>
      <c r="T1135" s="645"/>
      <c r="U1135" s="669">
        <f t="shared" ca="1" si="380"/>
        <v>0</v>
      </c>
      <c r="X1135" s="646">
        <f t="shared" ca="1" si="367"/>
        <v>0</v>
      </c>
    </row>
    <row r="1136" spans="2:24" s="589" customFormat="1" x14ac:dyDescent="0.2">
      <c r="B1136" s="645">
        <f t="shared" si="372"/>
        <v>21</v>
      </c>
      <c r="C1136" s="647"/>
      <c r="D1136" s="1" t="s">
        <v>1133</v>
      </c>
      <c r="E1136" s="645"/>
      <c r="F1136" s="668">
        <f>' WP II-I-1.4'!G1136</f>
        <v>915563.86</v>
      </c>
      <c r="G1136" s="16">
        <v>88</v>
      </c>
      <c r="H1136" s="620" t="str">
        <f t="shared" si="378"/>
        <v>PAYROLL</v>
      </c>
      <c r="I1136" s="645"/>
      <c r="J1136" s="648">
        <f t="shared" ca="1" si="379"/>
        <v>486553.03803848871</v>
      </c>
      <c r="K1136" s="648">
        <f t="shared" ca="1" si="379"/>
        <v>11126.285037998723</v>
      </c>
      <c r="L1136" s="648">
        <f t="shared" ca="1" si="379"/>
        <v>310992.18302659964</v>
      </c>
      <c r="M1136" s="648">
        <f t="shared" ca="1" si="379"/>
        <v>487.16304244182152</v>
      </c>
      <c r="N1136" s="648">
        <f t="shared" ca="1" si="379"/>
        <v>79592.840086480952</v>
      </c>
      <c r="O1136" s="648">
        <f t="shared" ca="1" si="379"/>
        <v>10463.194207260702</v>
      </c>
      <c r="P1136" s="648">
        <f t="shared" ca="1" si="379"/>
        <v>261.35943002128374</v>
      </c>
      <c r="Q1136" s="648">
        <f t="shared" ca="1" si="379"/>
        <v>12424.105510623805</v>
      </c>
      <c r="R1136" s="648">
        <f t="shared" ca="1" si="379"/>
        <v>717.06229956445532</v>
      </c>
      <c r="S1136" s="648">
        <f t="shared" ca="1" si="379"/>
        <v>2946.6293205198504</v>
      </c>
      <c r="T1136" s="645"/>
      <c r="U1136" s="669">
        <f t="shared" ca="1" si="380"/>
        <v>915563.86</v>
      </c>
      <c r="X1136" s="646">
        <f t="shared" ca="1" si="367"/>
        <v>0</v>
      </c>
    </row>
    <row r="1137" spans="2:24" s="589" customFormat="1" x14ac:dyDescent="0.2">
      <c r="B1137" s="645">
        <f t="shared" si="372"/>
        <v>22</v>
      </c>
      <c r="C1137" s="647"/>
      <c r="D1137" s="26" t="s">
        <v>1134</v>
      </c>
      <c r="E1137" s="645"/>
      <c r="F1137" s="668">
        <f>' WP II-I-1.4'!G1137</f>
        <v>-7595322.4699999997</v>
      </c>
      <c r="G1137" s="16">
        <v>36</v>
      </c>
      <c r="H1137" s="620" t="str">
        <f t="shared" si="378"/>
        <v>OPEB MED</v>
      </c>
      <c r="I1137" s="645"/>
      <c r="J1137" s="648">
        <f t="shared" ca="1" si="379"/>
        <v>-4036340.209693836</v>
      </c>
      <c r="K1137" s="648">
        <f t="shared" ca="1" si="379"/>
        <v>-92301.287161702188</v>
      </c>
      <c r="L1137" s="648">
        <f t="shared" ca="1" si="379"/>
        <v>-2579924.8080153414</v>
      </c>
      <c r="M1137" s="648">
        <f t="shared" ca="1" si="379"/>
        <v>-4041.4006760947627</v>
      </c>
      <c r="N1137" s="648">
        <f t="shared" ca="1" si="379"/>
        <v>-660285.22222356568</v>
      </c>
      <c r="O1137" s="648">
        <f t="shared" ca="1" si="379"/>
        <v>-86800.427083678296</v>
      </c>
      <c r="P1137" s="648">
        <f t="shared" ca="1" si="379"/>
        <v>-2168.1820769848309</v>
      </c>
      <c r="Q1137" s="648">
        <f t="shared" ca="1" si="379"/>
        <v>-103067.72894518993</v>
      </c>
      <c r="R1137" s="648">
        <f t="shared" ca="1" si="379"/>
        <v>-5948.5958699503253</v>
      </c>
      <c r="S1137" s="648">
        <f t="shared" ca="1" si="379"/>
        <v>-24444.608253656115</v>
      </c>
      <c r="T1137" s="645"/>
      <c r="U1137" s="669">
        <f t="shared" ca="1" si="380"/>
        <v>-7595322.4699999997</v>
      </c>
      <c r="X1137" s="646">
        <f t="shared" ca="1" si="367"/>
        <v>0</v>
      </c>
    </row>
    <row r="1138" spans="2:24" s="589" customFormat="1" x14ac:dyDescent="0.2">
      <c r="B1138" s="645">
        <f t="shared" si="372"/>
        <v>23</v>
      </c>
      <c r="C1138" s="647"/>
      <c r="D1138" s="589" t="s">
        <v>1296</v>
      </c>
      <c r="E1138" s="645"/>
      <c r="F1138" s="668">
        <f>' WP II-I-1.4'!G1139</f>
        <v>0</v>
      </c>
      <c r="G1138" s="16">
        <v>68</v>
      </c>
      <c r="H1138" s="620" t="str">
        <f t="shared" si="378"/>
        <v>RATEBASE</v>
      </c>
      <c r="I1138" s="645"/>
      <c r="J1138" s="648">
        <f t="shared" ca="1" si="379"/>
        <v>0</v>
      </c>
      <c r="K1138" s="648">
        <f t="shared" ca="1" si="379"/>
        <v>0</v>
      </c>
      <c r="L1138" s="648">
        <f t="shared" ca="1" si="379"/>
        <v>0</v>
      </c>
      <c r="M1138" s="648">
        <f t="shared" ca="1" si="379"/>
        <v>0</v>
      </c>
      <c r="N1138" s="648">
        <f t="shared" ca="1" si="379"/>
        <v>0</v>
      </c>
      <c r="O1138" s="648">
        <f t="shared" ca="1" si="379"/>
        <v>0</v>
      </c>
      <c r="P1138" s="648">
        <f t="shared" ca="1" si="379"/>
        <v>0</v>
      </c>
      <c r="Q1138" s="648">
        <f t="shared" ca="1" si="379"/>
        <v>0</v>
      </c>
      <c r="R1138" s="648">
        <f t="shared" ca="1" si="379"/>
        <v>0</v>
      </c>
      <c r="S1138" s="648">
        <f t="shared" ca="1" si="379"/>
        <v>0</v>
      </c>
      <c r="T1138" s="645"/>
      <c r="U1138" s="802">
        <f t="shared" ca="1" si="380"/>
        <v>0</v>
      </c>
      <c r="X1138" s="646">
        <f t="shared" ca="1" si="367"/>
        <v>0</v>
      </c>
    </row>
    <row r="1139" spans="2:24" s="589" customFormat="1" x14ac:dyDescent="0.2">
      <c r="B1139" s="645">
        <f t="shared" si="372"/>
        <v>24</v>
      </c>
      <c r="C1139" s="647"/>
      <c r="D1139" s="589" t="s">
        <v>305</v>
      </c>
      <c r="G1139" s="645">
        <v>68</v>
      </c>
      <c r="H1139" s="620" t="str">
        <f t="shared" si="378"/>
        <v>RATEBASE</v>
      </c>
      <c r="J1139" s="648">
        <f t="shared" ca="1" si="379"/>
        <v>0</v>
      </c>
      <c r="K1139" s="648">
        <f t="shared" ca="1" si="379"/>
        <v>0</v>
      </c>
      <c r="L1139" s="648">
        <f t="shared" ca="1" si="379"/>
        <v>0</v>
      </c>
      <c r="M1139" s="648">
        <f t="shared" ca="1" si="379"/>
        <v>0</v>
      </c>
      <c r="N1139" s="648">
        <f t="shared" ca="1" si="379"/>
        <v>0</v>
      </c>
      <c r="O1139" s="648">
        <f t="shared" ca="1" si="379"/>
        <v>0</v>
      </c>
      <c r="P1139" s="648">
        <f t="shared" ca="1" si="379"/>
        <v>0</v>
      </c>
      <c r="Q1139" s="648">
        <f t="shared" ca="1" si="379"/>
        <v>0</v>
      </c>
      <c r="R1139" s="648">
        <f t="shared" ca="1" si="379"/>
        <v>0</v>
      </c>
      <c r="S1139" s="648">
        <f t="shared" ca="1" si="379"/>
        <v>0</v>
      </c>
      <c r="T1139" s="645"/>
      <c r="U1139" s="802">
        <f t="shared" ref="U1139" ca="1" si="381">SUM(I1139:T1139)</f>
        <v>0</v>
      </c>
    </row>
    <row r="1140" spans="2:24" s="589" customFormat="1" ht="15" x14ac:dyDescent="0.25">
      <c r="B1140" s="645">
        <f t="shared" si="372"/>
        <v>25</v>
      </c>
      <c r="C1140" s="647"/>
      <c r="D1140" s="233" t="s">
        <v>444</v>
      </c>
      <c r="E1140" s="645"/>
      <c r="F1140" s="805">
        <f>SUM(F1133:F1139)</f>
        <v>-3632386.7199999997</v>
      </c>
      <c r="G1140" s="645"/>
      <c r="H1140" s="645"/>
      <c r="I1140" s="645"/>
      <c r="J1140" s="805">
        <f ca="1">SUM(J1133:J1139)</f>
        <v>-1889480.6965421</v>
      </c>
      <c r="K1140" s="805">
        <f t="shared" ref="K1140:S1140" ca="1" si="382">SUM(K1133:K1138)</f>
        <v>-37572.758453416536</v>
      </c>
      <c r="L1140" s="805">
        <f t="shared" ca="1" si="382"/>
        <v>-1207607.5238119545</v>
      </c>
      <c r="M1140" s="805">
        <f t="shared" ca="1" si="382"/>
        <v>-3236.1364382115321</v>
      </c>
      <c r="N1140" s="805">
        <f t="shared" ca="1" si="382"/>
        <v>-379707.10258359532</v>
      </c>
      <c r="O1140" s="805">
        <f t="shared" ca="1" si="382"/>
        <v>-52731.099725818</v>
      </c>
      <c r="P1140" s="805">
        <f t="shared" ca="1" si="382"/>
        <v>3716.1768573990985</v>
      </c>
      <c r="Q1140" s="805">
        <f t="shared" ca="1" si="382"/>
        <v>-48361.02243123982</v>
      </c>
      <c r="R1140" s="805">
        <f t="shared" ca="1" si="382"/>
        <v>-3589.6375241440869</v>
      </c>
      <c r="S1140" s="805">
        <f t="shared" ca="1" si="382"/>
        <v>-13816.919346918028</v>
      </c>
      <c r="T1140" s="645"/>
      <c r="U1140" s="235">
        <f ca="1">SUM(I1140:T1140)</f>
        <v>-3632386.7199999983</v>
      </c>
      <c r="W1140" s="646" t="b">
        <f>' WP II-I-1.4'!$G$1140=F1140</f>
        <v>1</v>
      </c>
      <c r="X1140" s="646">
        <f ca="1">U1140-F1140</f>
        <v>0</v>
      </c>
    </row>
    <row r="1141" spans="2:24" s="589" customFormat="1" ht="15" x14ac:dyDescent="0.25">
      <c r="B1141" s="645">
        <f t="shared" si="372"/>
        <v>26</v>
      </c>
      <c r="C1141" s="647"/>
      <c r="D1141" s="233"/>
      <c r="E1141" s="645"/>
      <c r="F1141" s="805"/>
      <c r="G1141" s="645"/>
      <c r="H1141" s="645"/>
      <c r="I1141" s="645"/>
      <c r="J1141" s="805"/>
      <c r="K1141" s="805"/>
      <c r="L1141" s="805"/>
      <c r="M1141" s="805"/>
      <c r="N1141" s="805"/>
      <c r="O1141" s="805"/>
      <c r="P1141" s="805"/>
      <c r="Q1141" s="805"/>
      <c r="R1141" s="805"/>
      <c r="S1141" s="805"/>
      <c r="T1141" s="645"/>
      <c r="U1141" s="235"/>
      <c r="W1141" s="646"/>
      <c r="X1141" s="646"/>
    </row>
    <row r="1142" spans="2:24" s="589" customFormat="1" ht="15" x14ac:dyDescent="0.25">
      <c r="B1142" s="645">
        <f t="shared" si="372"/>
        <v>27</v>
      </c>
      <c r="C1142" s="8"/>
      <c r="D1142" s="8" t="s">
        <v>402</v>
      </c>
      <c r="E1142" s="1005"/>
      <c r="F1142" s="805">
        <f>+F1118-F1130+F1140</f>
        <v>614304944.47918296</v>
      </c>
      <c r="G1142" s="644"/>
      <c r="H1142" s="644"/>
      <c r="I1142" s="644"/>
      <c r="J1142" s="805">
        <f t="shared" ref="J1142:S1142" ca="1" si="383">+J1118-J1130+J1140</f>
        <v>334700456.27011496</v>
      </c>
      <c r="K1142" s="805">
        <f t="shared" ca="1" si="383"/>
        <v>8789276.9932779279</v>
      </c>
      <c r="L1142" s="805">
        <f t="shared" ca="1" si="383"/>
        <v>214107043.01321232</v>
      </c>
      <c r="M1142" s="805">
        <f t="shared" ca="1" si="383"/>
        <v>61238.522163616995</v>
      </c>
      <c r="N1142" s="805">
        <f t="shared" ca="1" si="383"/>
        <v>40394390.14724303</v>
      </c>
      <c r="O1142" s="805">
        <f t="shared" ca="1" si="383"/>
        <v>4740642.7538924534</v>
      </c>
      <c r="P1142" s="805">
        <f t="shared" ca="1" si="383"/>
        <v>1204020.7770435158</v>
      </c>
      <c r="Q1142" s="805">
        <f t="shared" ca="1" si="383"/>
        <v>8434363.503992714</v>
      </c>
      <c r="R1142" s="805">
        <f t="shared" ca="1" si="383"/>
        <v>330170.0371713466</v>
      </c>
      <c r="S1142" s="805">
        <f t="shared" ca="1" si="383"/>
        <v>1543342.4610706542</v>
      </c>
      <c r="T1142" s="913"/>
      <c r="U1142" s="235">
        <f ca="1">SUM(I1142:T1142)</f>
        <v>614304944.47918236</v>
      </c>
      <c r="X1142" s="646">
        <f t="shared" ca="1" si="367"/>
        <v>0</v>
      </c>
    </row>
    <row r="1143" spans="2:24" s="589" customFormat="1" ht="15" x14ac:dyDescent="0.25">
      <c r="B1143" s="645">
        <f t="shared" si="372"/>
        <v>28</v>
      </c>
      <c r="C1143" s="8"/>
      <c r="D1143" s="8" t="s">
        <v>403</v>
      </c>
      <c r="E1143" s="1005" t="s">
        <v>299</v>
      </c>
      <c r="F1143" s="811">
        <f>0.21/(1-0.21)</f>
        <v>0.26582278481012656</v>
      </c>
      <c r="G1143" s="644"/>
      <c r="H1143" s="644"/>
      <c r="I1143" s="644"/>
      <c r="J1143" s="811">
        <f t="shared" ref="J1143:S1143" si="384">0.21/(1-0.21)</f>
        <v>0.26582278481012656</v>
      </c>
      <c r="K1143" s="811">
        <f t="shared" si="384"/>
        <v>0.26582278481012656</v>
      </c>
      <c r="L1143" s="811">
        <f t="shared" si="384"/>
        <v>0.26582278481012656</v>
      </c>
      <c r="M1143" s="811">
        <f t="shared" si="384"/>
        <v>0.26582278481012656</v>
      </c>
      <c r="N1143" s="811">
        <f t="shared" si="384"/>
        <v>0.26582278481012656</v>
      </c>
      <c r="O1143" s="811">
        <f t="shared" si="384"/>
        <v>0.26582278481012656</v>
      </c>
      <c r="P1143" s="811">
        <f t="shared" si="384"/>
        <v>0.26582278481012656</v>
      </c>
      <c r="Q1143" s="811">
        <f t="shared" si="384"/>
        <v>0.26582278481012656</v>
      </c>
      <c r="R1143" s="811">
        <f t="shared" si="384"/>
        <v>0.26582278481012656</v>
      </c>
      <c r="S1143" s="811">
        <f t="shared" si="384"/>
        <v>0.26582278481012656</v>
      </c>
      <c r="T1143" s="913"/>
      <c r="U1143" s="671">
        <f ca="1">U1145/U1142</f>
        <v>0.26582278481012661</v>
      </c>
      <c r="X1143" s="646">
        <f t="shared" ca="1" si="367"/>
        <v>0</v>
      </c>
    </row>
    <row r="1144" spans="2:24" s="589" customFormat="1" ht="15" x14ac:dyDescent="0.25">
      <c r="B1144" s="645">
        <f t="shared" si="372"/>
        <v>29</v>
      </c>
      <c r="C1144" s="647"/>
      <c r="D1144" s="647"/>
      <c r="E1144" s="645"/>
      <c r="F1144" s="614"/>
      <c r="G1144" s="645"/>
      <c r="H1144" s="645"/>
      <c r="I1144" s="645"/>
      <c r="J1144" s="803"/>
      <c r="K1144" s="803"/>
      <c r="L1144" s="803"/>
      <c r="M1144" s="803"/>
      <c r="N1144" s="803"/>
      <c r="O1144" s="803"/>
      <c r="P1144" s="803"/>
      <c r="Q1144" s="803"/>
      <c r="R1144" s="803"/>
      <c r="S1144" s="803"/>
      <c r="T1144" s="645"/>
      <c r="U1144" s="8"/>
      <c r="X1144" s="646">
        <f t="shared" si="367"/>
        <v>0</v>
      </c>
    </row>
    <row r="1145" spans="2:24" s="589" customFormat="1" ht="15" x14ac:dyDescent="0.25">
      <c r="B1145" s="645">
        <f t="shared" si="372"/>
        <v>30</v>
      </c>
      <c r="C1145" s="8"/>
      <c r="D1145" s="8" t="s">
        <v>666</v>
      </c>
      <c r="E1145" s="1005"/>
      <c r="F1145" s="21">
        <f>+F1142*F1143</f>
        <v>163296251.06408659</v>
      </c>
      <c r="G1145" s="644"/>
      <c r="H1145" s="644"/>
      <c r="I1145" s="644"/>
      <c r="J1145" s="805">
        <f t="shared" ref="J1145:Q1145" ca="1" si="385">+J1142*J1143</f>
        <v>88971007.362941936</v>
      </c>
      <c r="K1145" s="805">
        <f t="shared" ca="1" si="385"/>
        <v>2336390.0868207146</v>
      </c>
      <c r="L1145" s="805">
        <f t="shared" ca="1" si="385"/>
        <v>56914530.421233647</v>
      </c>
      <c r="M1145" s="805">
        <f t="shared" ca="1" si="385"/>
        <v>16278.594499189327</v>
      </c>
      <c r="N1145" s="805">
        <f t="shared" ca="1" si="385"/>
        <v>10737749.279646881</v>
      </c>
      <c r="O1145" s="805">
        <f ca="1">+O1142*O1143</f>
        <v>1260170.8586296395</v>
      </c>
      <c r="P1145" s="805">
        <f t="shared" ca="1" si="385"/>
        <v>320056.15592295985</v>
      </c>
      <c r="Q1145" s="805">
        <f t="shared" ca="1" si="385"/>
        <v>2242045.9947322402</v>
      </c>
      <c r="R1145" s="805">
        <f ca="1">+R1142*R1143</f>
        <v>87766.718741750359</v>
      </c>
      <c r="S1145" s="805">
        <f ca="1">+S1142*S1143</f>
        <v>410255.59091751563</v>
      </c>
      <c r="T1145" s="913"/>
      <c r="U1145" s="235">
        <f ca="1">SUM(I1145:T1145)</f>
        <v>163296251.06408647</v>
      </c>
      <c r="W1145" s="589" t="b">
        <f>' WP II-I-1.4'!$G$1145=F1145</f>
        <v>1</v>
      </c>
      <c r="X1145" s="646">
        <f t="shared" ca="1" si="367"/>
        <v>0</v>
      </c>
    </row>
    <row r="1146" spans="2:24" s="589" customFormat="1" x14ac:dyDescent="0.2">
      <c r="B1146" s="645">
        <f t="shared" si="372"/>
        <v>31</v>
      </c>
      <c r="C1146" s="647"/>
      <c r="D1146" s="647"/>
      <c r="E1146" s="645"/>
      <c r="F1146" s="614"/>
      <c r="G1146" s="645"/>
      <c r="H1146" s="645"/>
      <c r="I1146" s="645"/>
      <c r="J1146" s="645"/>
      <c r="K1146" s="645"/>
      <c r="L1146" s="645"/>
      <c r="M1146" s="645"/>
      <c r="N1146" s="645"/>
      <c r="O1146" s="645"/>
      <c r="P1146" s="645"/>
      <c r="Q1146" s="645"/>
      <c r="R1146" s="645"/>
      <c r="S1146" s="645"/>
      <c r="T1146" s="645"/>
      <c r="U1146" s="647"/>
      <c r="X1146" s="646">
        <f t="shared" si="367"/>
        <v>0</v>
      </c>
    </row>
    <row r="1147" spans="2:24" s="589" customFormat="1" ht="15" x14ac:dyDescent="0.25">
      <c r="B1147" s="645">
        <f t="shared" si="372"/>
        <v>32</v>
      </c>
      <c r="C1147" s="8"/>
      <c r="D1147" s="8" t="s">
        <v>307</v>
      </c>
      <c r="E1147" s="1005" t="s">
        <v>299</v>
      </c>
      <c r="F1147" s="21"/>
      <c r="G1147" s="644"/>
      <c r="H1147" s="644"/>
      <c r="I1147" s="913"/>
      <c r="J1147" s="961"/>
      <c r="K1147" s="961"/>
      <c r="L1147" s="961"/>
      <c r="M1147" s="961"/>
      <c r="N1147" s="961"/>
      <c r="O1147" s="961"/>
      <c r="P1147" s="961"/>
      <c r="Q1147" s="961"/>
      <c r="R1147" s="961"/>
      <c r="S1147" s="961"/>
      <c r="T1147" s="913"/>
      <c r="U1147" s="8"/>
      <c r="X1147" s="646">
        <f t="shared" si="367"/>
        <v>0</v>
      </c>
    </row>
    <row r="1148" spans="2:24" s="589" customFormat="1" x14ac:dyDescent="0.2">
      <c r="B1148" s="645">
        <f t="shared" si="372"/>
        <v>33</v>
      </c>
      <c r="C1148" s="647"/>
      <c r="D1148" s="695" t="s">
        <v>302</v>
      </c>
      <c r="E1148" s="645"/>
      <c r="F1148" s="692">
        <f>' WP II-I-1.4'!G1148</f>
        <v>0</v>
      </c>
      <c r="G1148" s="645">
        <v>59</v>
      </c>
      <c r="H1148" s="647" t="str">
        <f t="shared" ref="H1148:H1152" si="386">VLOOKUP(G1148,FactorTable,2)</f>
        <v>PLANT_N</v>
      </c>
      <c r="I1148" s="645"/>
      <c r="J1148" s="648">
        <f t="shared" ref="J1148:S1152" ca="1" si="387">$F1148*HLOOKUP(J$1354,FactorTable,$G1148+1)</f>
        <v>0</v>
      </c>
      <c r="K1148" s="648">
        <f t="shared" ca="1" si="387"/>
        <v>0</v>
      </c>
      <c r="L1148" s="648">
        <f t="shared" ca="1" si="387"/>
        <v>0</v>
      </c>
      <c r="M1148" s="648">
        <f t="shared" ca="1" si="387"/>
        <v>0</v>
      </c>
      <c r="N1148" s="648">
        <f t="shared" ca="1" si="387"/>
        <v>0</v>
      </c>
      <c r="O1148" s="648">
        <f t="shared" ca="1" si="387"/>
        <v>0</v>
      </c>
      <c r="P1148" s="648">
        <f t="shared" ca="1" si="387"/>
        <v>0</v>
      </c>
      <c r="Q1148" s="648">
        <f t="shared" ca="1" si="387"/>
        <v>0</v>
      </c>
      <c r="R1148" s="648">
        <f t="shared" ca="1" si="387"/>
        <v>0</v>
      </c>
      <c r="S1148" s="648">
        <f t="shared" ca="1" si="387"/>
        <v>0</v>
      </c>
      <c r="T1148" s="645"/>
      <c r="U1148" s="669">
        <f ca="1">SUM(I1148:T1148)</f>
        <v>0</v>
      </c>
      <c r="X1148" s="646">
        <f t="shared" ca="1" si="367"/>
        <v>0</v>
      </c>
    </row>
    <row r="1149" spans="2:24" s="589" customFormat="1" x14ac:dyDescent="0.2">
      <c r="B1149" s="645">
        <f t="shared" si="372"/>
        <v>34</v>
      </c>
      <c r="C1149" s="647"/>
      <c r="D1149" s="695" t="s">
        <v>1128</v>
      </c>
      <c r="E1149" s="645"/>
      <c r="F1149" s="692">
        <f>' WP II-I-1.4'!G1149</f>
        <v>7936236.2800000003</v>
      </c>
      <c r="G1149" s="645">
        <v>68</v>
      </c>
      <c r="H1149" s="647" t="str">
        <f t="shared" si="386"/>
        <v>RATEBASE</v>
      </c>
      <c r="I1149" s="645"/>
      <c r="J1149" s="648">
        <f t="shared" ca="1" si="387"/>
        <v>4322861.1290627131</v>
      </c>
      <c r="K1149" s="648">
        <f t="shared" ca="1" si="387"/>
        <v>113364.19034897101</v>
      </c>
      <c r="L1149" s="648">
        <f t="shared" ca="1" si="387"/>
        <v>2765309.4495704649</v>
      </c>
      <c r="M1149" s="648">
        <f t="shared" ca="1" si="387"/>
        <v>828.05504523161983</v>
      </c>
      <c r="N1149" s="648">
        <f t="shared" ca="1" si="387"/>
        <v>523666.1608554236</v>
      </c>
      <c r="O1149" s="648">
        <f t="shared" ca="1" si="387"/>
        <v>61561.821175077537</v>
      </c>
      <c r="P1149" s="648">
        <f t="shared" ca="1" si="387"/>
        <v>15415.642386521276</v>
      </c>
      <c r="Q1149" s="648">
        <f t="shared" ca="1" si="387"/>
        <v>108944.55269308164</v>
      </c>
      <c r="R1149" s="648">
        <f t="shared" ca="1" si="387"/>
        <v>4286.5117632220745</v>
      </c>
      <c r="S1149" s="648">
        <f t="shared" ca="1" si="387"/>
        <v>19998.767099294822</v>
      </c>
      <c r="T1149" s="645"/>
      <c r="U1149" s="669">
        <f ca="1">SUM(I1149:T1149)</f>
        <v>7936236.2800000021</v>
      </c>
      <c r="X1149" s="646">
        <f t="shared" ca="1" si="367"/>
        <v>0</v>
      </c>
    </row>
    <row r="1150" spans="2:24" s="589" customFormat="1" x14ac:dyDescent="0.2">
      <c r="B1150" s="645">
        <f t="shared" si="372"/>
        <v>35</v>
      </c>
      <c r="C1150" s="647"/>
      <c r="D1150" s="695" t="s">
        <v>1129</v>
      </c>
      <c r="E1150" s="645"/>
      <c r="F1150" s="692">
        <f>' WP II-I-1.4'!G1150</f>
        <v>18862682.34</v>
      </c>
      <c r="G1150" s="645">
        <v>68</v>
      </c>
      <c r="H1150" s="647" t="str">
        <f t="shared" si="386"/>
        <v>RATEBASE</v>
      </c>
      <c r="I1150" s="645"/>
      <c r="J1150" s="648">
        <f t="shared" ca="1" si="387"/>
        <v>10274486.973495664</v>
      </c>
      <c r="K1150" s="648">
        <f t="shared" ca="1" si="387"/>
        <v>269441.66426505812</v>
      </c>
      <c r="L1150" s="648">
        <f t="shared" ca="1" si="387"/>
        <v>6572530.3379006665</v>
      </c>
      <c r="M1150" s="648">
        <f t="shared" ca="1" si="387"/>
        <v>1968.10411474271</v>
      </c>
      <c r="N1150" s="648">
        <f t="shared" ca="1" si="387"/>
        <v>1244638.9063939508</v>
      </c>
      <c r="O1150" s="648">
        <f t="shared" ca="1" si="387"/>
        <v>146318.86402169632</v>
      </c>
      <c r="P1150" s="648">
        <f t="shared" ca="1" si="387"/>
        <v>36639.580166833228</v>
      </c>
      <c r="Q1150" s="648">
        <f t="shared" ca="1" si="387"/>
        <v>258937.1608430729</v>
      </c>
      <c r="R1150" s="648">
        <f t="shared" ca="1" si="387"/>
        <v>10188.092552145043</v>
      </c>
      <c r="S1150" s="648">
        <f t="shared" ca="1" si="387"/>
        <v>47532.65624617233</v>
      </c>
      <c r="T1150" s="645"/>
      <c r="U1150" s="669">
        <f ca="1">SUM(I1150:T1150)</f>
        <v>18862682.340000004</v>
      </c>
      <c r="X1150" s="646">
        <f t="shared" ca="1" si="367"/>
        <v>0</v>
      </c>
    </row>
    <row r="1151" spans="2:24" s="589" customFormat="1" x14ac:dyDescent="0.2">
      <c r="B1151" s="645">
        <f t="shared" si="372"/>
        <v>36</v>
      </c>
      <c r="C1151" s="647"/>
      <c r="D1151" s="695" t="s">
        <v>1130</v>
      </c>
      <c r="E1151" s="645"/>
      <c r="F1151" s="692">
        <f>' WP II-I-1.4'!G1151</f>
        <v>-3166047.5599999996</v>
      </c>
      <c r="G1151" s="645">
        <v>68</v>
      </c>
      <c r="H1151" s="647" t="str">
        <f t="shared" si="386"/>
        <v>RATEBASE</v>
      </c>
      <c r="I1151" s="645"/>
      <c r="J1151" s="648">
        <f t="shared" ca="1" si="387"/>
        <v>-1724543.4040791744</v>
      </c>
      <c r="K1151" s="648">
        <f t="shared" ca="1" si="387"/>
        <v>-45225.016693396021</v>
      </c>
      <c r="L1151" s="648">
        <f t="shared" ca="1" si="387"/>
        <v>-1103180.5161246425</v>
      </c>
      <c r="M1151" s="648">
        <f t="shared" ca="1" si="387"/>
        <v>-330.34067573165288</v>
      </c>
      <c r="N1151" s="648">
        <f t="shared" ca="1" si="387"/>
        <v>-208909.09901574667</v>
      </c>
      <c r="O1151" s="648">
        <f t="shared" ca="1" si="387"/>
        <v>-24559.20499893566</v>
      </c>
      <c r="P1151" s="648">
        <f t="shared" ca="1" si="387"/>
        <v>-6149.8492788924696</v>
      </c>
      <c r="Q1151" s="648">
        <f t="shared" ca="1" si="387"/>
        <v>-43461.865682913172</v>
      </c>
      <c r="R1151" s="648">
        <f t="shared" ca="1" si="387"/>
        <v>-1710.0423462770875</v>
      </c>
      <c r="S1151" s="648">
        <f t="shared" ca="1" si="387"/>
        <v>-7978.2211042903373</v>
      </c>
      <c r="T1151" s="645"/>
      <c r="U1151" s="802">
        <f t="shared" ref="U1151:U1152" ca="1" si="388">SUM(I1151:T1151)</f>
        <v>-3166047.5599999996</v>
      </c>
      <c r="X1151" s="646">
        <f t="shared" ref="X1151:X1152" ca="1" si="389">U1151-F1151</f>
        <v>0</v>
      </c>
    </row>
    <row r="1152" spans="2:24" s="589" customFormat="1" x14ac:dyDescent="0.2">
      <c r="B1152" s="645">
        <f t="shared" si="372"/>
        <v>37</v>
      </c>
      <c r="C1152" s="647"/>
      <c r="D1152" s="589" t="s">
        <v>1295</v>
      </c>
      <c r="E1152" s="645"/>
      <c r="F1152" s="692">
        <f>' WP II-I-1.4'!G1152</f>
        <v>41205.93</v>
      </c>
      <c r="G1152" s="645">
        <v>68</v>
      </c>
      <c r="H1152" s="647" t="str">
        <f t="shared" si="386"/>
        <v>RATEBASE</v>
      </c>
      <c r="I1152" s="645"/>
      <c r="J1152" s="651">
        <f t="shared" ca="1" si="387"/>
        <v>22444.834906538228</v>
      </c>
      <c r="K1152" s="651">
        <f t="shared" ca="1" si="387"/>
        <v>588.60103545535753</v>
      </c>
      <c r="L1152" s="651">
        <f t="shared" ca="1" si="387"/>
        <v>14357.832048737731</v>
      </c>
      <c r="M1152" s="651">
        <f t="shared" ca="1" si="387"/>
        <v>4.2993652187433309</v>
      </c>
      <c r="N1152" s="651">
        <f t="shared" ca="1" si="387"/>
        <v>2718.9401129545658</v>
      </c>
      <c r="O1152" s="651">
        <f t="shared" ca="1" si="387"/>
        <v>319.63666459950241</v>
      </c>
      <c r="P1152" s="651">
        <f t="shared" ca="1" si="387"/>
        <v>80.039940681306007</v>
      </c>
      <c r="Q1152" s="651">
        <f t="shared" ca="1" si="387"/>
        <v>565.65372473416755</v>
      </c>
      <c r="R1152" s="651">
        <f t="shared" ca="1" si="387"/>
        <v>22.256104459065497</v>
      </c>
      <c r="S1152" s="651">
        <f t="shared" ca="1" si="387"/>
        <v>103.83609662133767</v>
      </c>
      <c r="T1152" s="645"/>
      <c r="U1152" s="802">
        <f t="shared" ca="1" si="388"/>
        <v>41205.93</v>
      </c>
      <c r="X1152" s="646">
        <f t="shared" ca="1" si="389"/>
        <v>0</v>
      </c>
    </row>
    <row r="1153" spans="2:24" s="589" customFormat="1" ht="15" x14ac:dyDescent="0.25">
      <c r="B1153" s="645">
        <f t="shared" si="372"/>
        <v>38</v>
      </c>
      <c r="C1153" s="647"/>
      <c r="D1153" s="233" t="s">
        <v>444</v>
      </c>
      <c r="E1153" s="645"/>
      <c r="F1153" s="21">
        <f>SUM(F1148:F1152)</f>
        <v>23674076.990000002</v>
      </c>
      <c r="G1153" s="645"/>
      <c r="H1153" s="620"/>
      <c r="I1153" s="645"/>
      <c r="J1153" s="805">
        <f t="shared" ref="J1153:S1153" ca="1" si="390">SUM(J1148:J1152)</f>
        <v>12895249.533385742</v>
      </c>
      <c r="K1153" s="805">
        <f t="shared" ca="1" si="390"/>
        <v>338169.43895608844</v>
      </c>
      <c r="L1153" s="805">
        <f t="shared" ca="1" si="390"/>
        <v>8249017.1033952255</v>
      </c>
      <c r="M1153" s="805">
        <f t="shared" ca="1" si="390"/>
        <v>2470.1178494614201</v>
      </c>
      <c r="N1153" s="805">
        <f t="shared" ca="1" si="390"/>
        <v>1562114.9083465822</v>
      </c>
      <c r="O1153" s="805">
        <f t="shared" ca="1" si="390"/>
        <v>183641.11686243769</v>
      </c>
      <c r="P1153" s="805">
        <f t="shared" ca="1" si="390"/>
        <v>45985.413215143344</v>
      </c>
      <c r="Q1153" s="805">
        <f t="shared" ca="1" si="390"/>
        <v>324985.50157797552</v>
      </c>
      <c r="R1153" s="805">
        <f t="shared" ca="1" si="390"/>
        <v>12786.818073549095</v>
      </c>
      <c r="S1153" s="805">
        <f t="shared" ca="1" si="390"/>
        <v>59657.038337798149</v>
      </c>
      <c r="T1153" s="645"/>
      <c r="U1153" s="235">
        <f ca="1">SUM(I1153:T1153)</f>
        <v>23674076.990000006</v>
      </c>
      <c r="W1153" s="646" t="b">
        <f>' WP II-I-1.4'!$G$1153=F1153</f>
        <v>1</v>
      </c>
      <c r="X1153" s="646">
        <f t="shared" ca="1" si="367"/>
        <v>0</v>
      </c>
    </row>
    <row r="1154" spans="2:24" s="589" customFormat="1" x14ac:dyDescent="0.2">
      <c r="B1154" s="645">
        <f t="shared" si="372"/>
        <v>39</v>
      </c>
      <c r="C1154" s="647"/>
      <c r="D1154" s="647"/>
      <c r="E1154" s="645"/>
      <c r="F1154" s="230"/>
      <c r="G1154" s="645"/>
      <c r="H1154" s="645"/>
      <c r="I1154" s="645"/>
      <c r="J1154" s="645"/>
      <c r="K1154" s="645"/>
      <c r="L1154" s="645"/>
      <c r="M1154" s="645"/>
      <c r="N1154" s="645"/>
      <c r="O1154" s="645"/>
      <c r="P1154" s="645"/>
      <c r="Q1154" s="645"/>
      <c r="R1154" s="645"/>
      <c r="S1154" s="645"/>
      <c r="T1154" s="645"/>
      <c r="U1154" s="669"/>
      <c r="X1154" s="646">
        <f t="shared" si="367"/>
        <v>0</v>
      </c>
    </row>
    <row r="1155" spans="2:24" s="589" customFormat="1" ht="15" x14ac:dyDescent="0.25">
      <c r="B1155" s="645">
        <f t="shared" si="372"/>
        <v>40</v>
      </c>
      <c r="C1155" s="8"/>
      <c r="D1155" s="8" t="s">
        <v>308</v>
      </c>
      <c r="E1155" s="1005" t="s">
        <v>299</v>
      </c>
      <c r="F1155" s="21"/>
      <c r="G1155" s="644"/>
      <c r="H1155" s="644"/>
      <c r="I1155" s="913"/>
      <c r="J1155" s="961"/>
      <c r="K1155" s="961"/>
      <c r="L1155" s="961"/>
      <c r="M1155" s="961"/>
      <c r="N1155" s="961"/>
      <c r="O1155" s="961"/>
      <c r="P1155" s="961"/>
      <c r="Q1155" s="961"/>
      <c r="R1155" s="961"/>
      <c r="S1155" s="961"/>
      <c r="T1155" s="913"/>
      <c r="U1155" s="669"/>
      <c r="X1155" s="646">
        <f t="shared" si="367"/>
        <v>0</v>
      </c>
    </row>
    <row r="1156" spans="2:24" s="589" customFormat="1" x14ac:dyDescent="0.2">
      <c r="B1156" s="645">
        <f t="shared" si="372"/>
        <v>41</v>
      </c>
      <c r="C1156" s="647"/>
      <c r="D1156" s="695" t="s">
        <v>306</v>
      </c>
      <c r="E1156" s="645"/>
      <c r="F1156" s="646">
        <f>' WP II-I-1.4'!G1156</f>
        <v>459298.48</v>
      </c>
      <c r="G1156" s="645">
        <v>68</v>
      </c>
      <c r="H1156" s="620" t="str">
        <f>VLOOKUP(G1156,FactorTable,2)</f>
        <v>RATEBASE</v>
      </c>
      <c r="I1156" s="645"/>
      <c r="J1156" s="648">
        <f t="shared" ref="J1156:S1158" ca="1" si="391">$F1156*HLOOKUP(J$1354,FactorTable,$G1156+1)</f>
        <v>250179.49009824437</v>
      </c>
      <c r="K1156" s="648">
        <f t="shared" ca="1" si="391"/>
        <v>6560.7926070609692</v>
      </c>
      <c r="L1156" s="648">
        <f t="shared" ca="1" si="391"/>
        <v>160038.38370061119</v>
      </c>
      <c r="M1156" s="648">
        <f t="shared" ca="1" si="391"/>
        <v>47.922517703973178</v>
      </c>
      <c r="N1156" s="648">
        <f t="shared" ca="1" si="391"/>
        <v>30306.440385911937</v>
      </c>
      <c r="O1156" s="648">
        <f t="shared" ca="1" si="391"/>
        <v>3562.8035625654188</v>
      </c>
      <c r="P1156" s="648">
        <f t="shared" ca="1" si="391"/>
        <v>892.15855810593314</v>
      </c>
      <c r="Q1156" s="648">
        <f t="shared" ca="1" si="391"/>
        <v>6305.0123119837735</v>
      </c>
      <c r="R1156" s="648">
        <f t="shared" ca="1" si="391"/>
        <v>248.07582182394631</v>
      </c>
      <c r="S1156" s="648">
        <f t="shared" ca="1" si="391"/>
        <v>1157.4004359885464</v>
      </c>
      <c r="T1156" s="645"/>
      <c r="U1156" s="669">
        <f ca="1">SUM(I1156:T1156)</f>
        <v>459298.48000000016</v>
      </c>
      <c r="X1156" s="646">
        <f t="shared" ca="1" si="367"/>
        <v>0</v>
      </c>
    </row>
    <row r="1157" spans="2:24" s="589" customFormat="1" x14ac:dyDescent="0.2">
      <c r="B1157" s="645">
        <f t="shared" si="372"/>
        <v>42</v>
      </c>
      <c r="C1157" s="647"/>
      <c r="D1157" s="1109" t="s">
        <v>1181</v>
      </c>
      <c r="E1157" s="645"/>
      <c r="F1157" s="646">
        <f>' WP II-I-1.4'!G1157</f>
        <v>0</v>
      </c>
      <c r="G1157" s="645">
        <v>68</v>
      </c>
      <c r="H1157" s="620" t="str">
        <f>VLOOKUP(G1157,FactorTable,2)</f>
        <v>RATEBASE</v>
      </c>
      <c r="I1157" s="645"/>
      <c r="J1157" s="648">
        <f t="shared" ca="1" si="391"/>
        <v>0</v>
      </c>
      <c r="K1157" s="648">
        <f t="shared" ca="1" si="391"/>
        <v>0</v>
      </c>
      <c r="L1157" s="648">
        <f t="shared" ca="1" si="391"/>
        <v>0</v>
      </c>
      <c r="M1157" s="648">
        <f t="shared" ca="1" si="391"/>
        <v>0</v>
      </c>
      <c r="N1157" s="648">
        <f t="shared" ca="1" si="391"/>
        <v>0</v>
      </c>
      <c r="O1157" s="648">
        <f t="shared" ca="1" si="391"/>
        <v>0</v>
      </c>
      <c r="P1157" s="648">
        <f t="shared" ca="1" si="391"/>
        <v>0</v>
      </c>
      <c r="Q1157" s="648">
        <f t="shared" ca="1" si="391"/>
        <v>0</v>
      </c>
      <c r="R1157" s="648">
        <f t="shared" ca="1" si="391"/>
        <v>0</v>
      </c>
      <c r="S1157" s="648">
        <f t="shared" ca="1" si="391"/>
        <v>0</v>
      </c>
      <c r="T1157" s="645"/>
      <c r="U1157" s="802">
        <f t="shared" ref="U1157:U1158" ca="1" si="392">SUM(I1157:T1157)</f>
        <v>0</v>
      </c>
      <c r="X1157" s="646">
        <f ca="1">U1157-F1157</f>
        <v>0</v>
      </c>
    </row>
    <row r="1158" spans="2:24" s="589" customFormat="1" x14ac:dyDescent="0.2">
      <c r="B1158" s="645">
        <f t="shared" si="372"/>
        <v>43</v>
      </c>
      <c r="C1158" s="647"/>
      <c r="D1158" s="695" t="s">
        <v>309</v>
      </c>
      <c r="E1158" s="620"/>
      <c r="F1158" s="646">
        <f>' WP II-I-1.4'!G1158</f>
        <v>0</v>
      </c>
      <c r="G1158" s="645">
        <v>59</v>
      </c>
      <c r="H1158" s="620" t="str">
        <f>VLOOKUP(G1158,FactorTable,2)</f>
        <v>PLANT_N</v>
      </c>
      <c r="J1158" s="648">
        <f t="shared" ca="1" si="391"/>
        <v>0</v>
      </c>
      <c r="K1158" s="648">
        <f t="shared" ca="1" si="391"/>
        <v>0</v>
      </c>
      <c r="L1158" s="648">
        <f t="shared" ca="1" si="391"/>
        <v>0</v>
      </c>
      <c r="M1158" s="648">
        <f t="shared" ca="1" si="391"/>
        <v>0</v>
      </c>
      <c r="N1158" s="648">
        <f t="shared" ca="1" si="391"/>
        <v>0</v>
      </c>
      <c r="O1158" s="648">
        <f t="shared" ca="1" si="391"/>
        <v>0</v>
      </c>
      <c r="P1158" s="648">
        <f t="shared" ca="1" si="391"/>
        <v>0</v>
      </c>
      <c r="Q1158" s="648">
        <f t="shared" ca="1" si="391"/>
        <v>0</v>
      </c>
      <c r="R1158" s="648">
        <f t="shared" ca="1" si="391"/>
        <v>0</v>
      </c>
      <c r="S1158" s="648">
        <f t="shared" ca="1" si="391"/>
        <v>0</v>
      </c>
      <c r="T1158" s="645"/>
      <c r="U1158" s="802">
        <f t="shared" ca="1" si="392"/>
        <v>0</v>
      </c>
      <c r="X1158" s="646">
        <f ca="1">U1158-F1158</f>
        <v>0</v>
      </c>
    </row>
    <row r="1159" spans="2:24" s="589" customFormat="1" x14ac:dyDescent="0.2">
      <c r="B1159" s="645">
        <f t="shared" si="372"/>
        <v>44</v>
      </c>
      <c r="C1159" s="647"/>
      <c r="D1159" s="803"/>
      <c r="E1159" s="645"/>
      <c r="F1159" s="646"/>
      <c r="G1159" s="645"/>
      <c r="H1159" s="620"/>
      <c r="I1159" s="645"/>
      <c r="J1159" s="651"/>
      <c r="K1159" s="651"/>
      <c r="L1159" s="651"/>
      <c r="M1159" s="651"/>
      <c r="N1159" s="651"/>
      <c r="O1159" s="651"/>
      <c r="P1159" s="651"/>
      <c r="Q1159" s="651"/>
      <c r="R1159" s="651"/>
      <c r="S1159" s="651"/>
      <c r="T1159" s="645"/>
      <c r="U1159" s="669"/>
      <c r="X1159" s="646">
        <f t="shared" si="367"/>
        <v>0</v>
      </c>
    </row>
    <row r="1160" spans="2:24" s="589" customFormat="1" ht="15" x14ac:dyDescent="0.25">
      <c r="B1160" s="645">
        <f t="shared" si="372"/>
        <v>45</v>
      </c>
      <c r="C1160" s="647"/>
      <c r="D1160" s="233" t="s">
        <v>444</v>
      </c>
      <c r="E1160" s="645"/>
      <c r="F1160" s="21">
        <f>SUM(F1156:F1157)</f>
        <v>459298.48</v>
      </c>
      <c r="G1160" s="645"/>
      <c r="H1160" s="645"/>
      <c r="I1160" s="645"/>
      <c r="J1160" s="21">
        <f t="shared" ref="J1160:Q1160" ca="1" si="393">SUM(J1156:J1159)</f>
        <v>250179.49009824437</v>
      </c>
      <c r="K1160" s="21">
        <f t="shared" ca="1" si="393"/>
        <v>6560.7926070609692</v>
      </c>
      <c r="L1160" s="21">
        <f t="shared" ca="1" si="393"/>
        <v>160038.38370061119</v>
      </c>
      <c r="M1160" s="21">
        <f t="shared" ca="1" si="393"/>
        <v>47.922517703973178</v>
      </c>
      <c r="N1160" s="21">
        <f t="shared" ca="1" si="393"/>
        <v>30306.440385911937</v>
      </c>
      <c r="O1160" s="21">
        <f ca="1">SUM(O1156:O1159)</f>
        <v>3562.8035625654188</v>
      </c>
      <c r="P1160" s="21">
        <f t="shared" ca="1" si="393"/>
        <v>892.15855810593314</v>
      </c>
      <c r="Q1160" s="21">
        <f t="shared" ca="1" si="393"/>
        <v>6305.0123119837735</v>
      </c>
      <c r="R1160" s="21">
        <f ca="1">SUM(R1156:R1159)</f>
        <v>248.07582182394631</v>
      </c>
      <c r="S1160" s="21">
        <f ca="1">SUM(S1156:S1159)</f>
        <v>1157.4004359885464</v>
      </c>
      <c r="T1160" s="645"/>
      <c r="U1160" s="235">
        <f ca="1">SUM(I1160:T1160)</f>
        <v>459298.48000000016</v>
      </c>
      <c r="X1160" s="646">
        <f t="shared" ca="1" si="367"/>
        <v>0</v>
      </c>
    </row>
    <row r="1161" spans="2:24" s="589" customFormat="1" ht="15" thickBot="1" x14ac:dyDescent="0.25">
      <c r="B1161" s="645">
        <f t="shared" si="372"/>
        <v>46</v>
      </c>
      <c r="C1161" s="647"/>
      <c r="D1161" s="647"/>
      <c r="E1161" s="645"/>
      <c r="F1161" s="614"/>
      <c r="G1161" s="645"/>
      <c r="H1161" s="645"/>
      <c r="I1161" s="645"/>
      <c r="J1161" s="645"/>
      <c r="K1161" s="645"/>
      <c r="L1161" s="645"/>
      <c r="M1161" s="645"/>
      <c r="N1161" s="645"/>
      <c r="O1161" s="645"/>
      <c r="P1161" s="645"/>
      <c r="Q1161" s="645"/>
      <c r="R1161" s="645"/>
      <c r="S1161" s="645"/>
      <c r="T1161" s="645"/>
      <c r="U1161" s="647"/>
      <c r="X1161" s="646">
        <f t="shared" si="367"/>
        <v>0</v>
      </c>
    </row>
    <row r="1162" spans="2:24" s="589" customFormat="1" ht="15.75" thickBot="1" x14ac:dyDescent="0.3">
      <c r="B1162" s="645">
        <f t="shared" si="372"/>
        <v>47</v>
      </c>
      <c r="C1162" s="223" t="s">
        <v>667</v>
      </c>
      <c r="D1162" s="224"/>
      <c r="E1162" s="309" t="s">
        <v>299</v>
      </c>
      <c r="F1162" s="194">
        <f>+F1145-SUM(F1148:F1152)+SUM(F1156:F1157)</f>
        <v>140081472.55408657</v>
      </c>
      <c r="G1162" s="309"/>
      <c r="H1162" s="402"/>
      <c r="I1162" s="403"/>
      <c r="J1162" s="812">
        <f t="shared" ref="J1162:S1162" ca="1" si="394">+J1145-SUM(J1148:J1152)+SUM(J1156:J1157)</f>
        <v>76325937.319654435</v>
      </c>
      <c r="K1162" s="812">
        <f t="shared" ca="1" si="394"/>
        <v>2004781.4404716871</v>
      </c>
      <c r="L1162" s="812">
        <f t="shared" ca="1" si="394"/>
        <v>48825551.701539032</v>
      </c>
      <c r="M1162" s="812">
        <f t="shared" ca="1" si="394"/>
        <v>13856.39916743188</v>
      </c>
      <c r="N1162" s="812">
        <f t="shared" ca="1" si="394"/>
        <v>9205940.8116862103</v>
      </c>
      <c r="O1162" s="812">
        <f t="shared" ca="1" si="394"/>
        <v>1080092.5453297673</v>
      </c>
      <c r="P1162" s="812">
        <f t="shared" ca="1" si="394"/>
        <v>274962.90126592247</v>
      </c>
      <c r="Q1162" s="812">
        <f t="shared" ca="1" si="394"/>
        <v>1923365.5054662486</v>
      </c>
      <c r="R1162" s="812">
        <f t="shared" ca="1" si="394"/>
        <v>75227.976490025219</v>
      </c>
      <c r="S1162" s="812">
        <f t="shared" ca="1" si="394"/>
        <v>351755.95301570604</v>
      </c>
      <c r="T1162" s="403"/>
      <c r="U1162" s="315">
        <f ca="1">SUM(I1162:T1162)</f>
        <v>140081472.55408648</v>
      </c>
      <c r="W1162" s="646">
        <f>F1162-'WP II-I-1.1'!G498</f>
        <v>0</v>
      </c>
      <c r="X1162" s="646">
        <f t="shared" ca="1" si="367"/>
        <v>0</v>
      </c>
    </row>
    <row r="1163" spans="2:24" s="589" customFormat="1" x14ac:dyDescent="0.2">
      <c r="X1163" s="646">
        <f t="shared" si="367"/>
        <v>0</v>
      </c>
    </row>
    <row r="1164" spans="2:24" s="589" customFormat="1" x14ac:dyDescent="0.2">
      <c r="H1164" s="653"/>
      <c r="U1164" s="653"/>
      <c r="V1164" s="653">
        <f>$H$2</f>
        <v>0</v>
      </c>
      <c r="W1164" s="653"/>
      <c r="X1164" s="646"/>
    </row>
    <row r="1165" spans="2:24" s="589" customFormat="1" ht="15" thickBot="1" x14ac:dyDescent="0.25">
      <c r="F1165" s="854"/>
      <c r="G1165" s="854"/>
      <c r="H1165" s="854"/>
      <c r="X1165" s="646">
        <f t="shared" si="367"/>
        <v>0</v>
      </c>
    </row>
    <row r="1166" spans="2:24" s="589" customFormat="1" ht="15" x14ac:dyDescent="0.25">
      <c r="B1166" s="829" t="str">
        <f>+$B$4</f>
        <v>2025 RATE CASE</v>
      </c>
      <c r="C1166" s="844"/>
      <c r="D1166" s="874"/>
      <c r="F1166" s="654"/>
      <c r="U1166" s="653"/>
      <c r="X1166" s="646">
        <f t="shared" ref="X1166:X1230" si="395">U1166-F1166</f>
        <v>0</v>
      </c>
    </row>
    <row r="1167" spans="2:24" s="589" customFormat="1" ht="15" x14ac:dyDescent="0.25">
      <c r="B1167" s="826" t="str">
        <f>+$B$5</f>
        <v>ONCOR ELECTRIC DELIVERY COMPANY LLC</v>
      </c>
      <c r="C1167" s="8"/>
      <c r="D1167" s="875"/>
      <c r="F1167" s="654"/>
      <c r="U1167" s="653"/>
      <c r="X1167" s="646">
        <f t="shared" si="395"/>
        <v>0</v>
      </c>
    </row>
    <row r="1168" spans="2:24" s="589" customFormat="1" ht="15" x14ac:dyDescent="0.25">
      <c r="B1168" s="826" t="str">
        <f>+$B$6</f>
        <v>II-I-1-DIST:  CLASS REVENUE REQUIREMENT</v>
      </c>
      <c r="C1168" s="82"/>
      <c r="D1168" s="875"/>
      <c r="F1168" s="654"/>
      <c r="U1168" s="654"/>
      <c r="X1168" s="646">
        <f t="shared" si="395"/>
        <v>0</v>
      </c>
    </row>
    <row r="1169" spans="1:24" s="589" customFormat="1" ht="15" x14ac:dyDescent="0.25">
      <c r="B1169" s="341" t="str">
        <f>+$B$7</f>
        <v>TEST YEAR ENDING 12/31/2024</v>
      </c>
      <c r="C1169" s="82"/>
      <c r="D1169" s="875"/>
      <c r="F1169" s="654"/>
      <c r="U1169" s="654"/>
      <c r="X1169" s="646">
        <f t="shared" si="395"/>
        <v>0</v>
      </c>
    </row>
    <row r="1170" spans="1:24" s="589" customFormat="1" ht="15" x14ac:dyDescent="0.25">
      <c r="B1170" s="341" t="str">
        <f>+$B$8</f>
        <v>SPONSOR:  MATTHEW A. TROXLE</v>
      </c>
      <c r="C1170" s="82"/>
      <c r="D1170" s="875"/>
      <c r="F1170" s="654"/>
      <c r="U1170" s="654"/>
      <c r="X1170" s="646">
        <f t="shared" si="395"/>
        <v>0</v>
      </c>
    </row>
    <row r="1171" spans="1:24" s="589" customFormat="1" ht="15.75" thickBot="1" x14ac:dyDescent="0.3">
      <c r="B1171" s="345"/>
      <c r="C1171" s="843"/>
      <c r="D1171" s="876"/>
      <c r="F1171" s="654"/>
      <c r="U1171" s="654"/>
      <c r="X1171" s="646">
        <f t="shared" si="395"/>
        <v>0</v>
      </c>
    </row>
    <row r="1172" spans="1:24" s="589" customFormat="1" ht="15" thickBot="1" x14ac:dyDescent="0.25">
      <c r="B1172" s="655"/>
      <c r="C1172" s="656"/>
      <c r="D1172" s="656"/>
      <c r="E1172" s="656"/>
      <c r="F1172" s="655"/>
      <c r="G1172" s="656"/>
      <c r="H1172" s="656"/>
      <c r="I1172" s="656"/>
      <c r="J1172" s="657"/>
      <c r="K1172" s="657"/>
      <c r="L1172" s="656"/>
      <c r="M1172" s="657"/>
      <c r="N1172" s="657"/>
      <c r="O1172" s="657"/>
      <c r="P1172" s="657"/>
      <c r="Q1172" s="656"/>
      <c r="R1172" s="658" t="str">
        <f>R$10</f>
        <v xml:space="preserve"> </v>
      </c>
      <c r="S1172" s="659"/>
      <c r="T1172" s="657"/>
      <c r="U1172" s="655"/>
      <c r="X1172" s="646">
        <f t="shared" si="395"/>
        <v>0</v>
      </c>
    </row>
    <row r="1173" spans="1:24" s="589" customFormat="1" ht="15" x14ac:dyDescent="0.25">
      <c r="B1173" s="660" t="s">
        <v>2</v>
      </c>
      <c r="C1173" s="660" t="s">
        <v>349</v>
      </c>
      <c r="D1173" s="226" t="s">
        <v>668</v>
      </c>
      <c r="E1173" s="660" t="s">
        <v>350</v>
      </c>
      <c r="F1173" s="226" t="str">
        <f>F$11</f>
        <v>DIST</v>
      </c>
      <c r="G1173" s="661" t="s">
        <v>688</v>
      </c>
      <c r="H1173" s="661" t="s">
        <v>355</v>
      </c>
      <c r="I1173" s="660"/>
      <c r="J1173" s="661" t="s">
        <v>679</v>
      </c>
      <c r="K1173" s="661" t="s">
        <v>388</v>
      </c>
      <c r="L1173" s="660" t="s">
        <v>388</v>
      </c>
      <c r="M1173" s="661" t="s">
        <v>389</v>
      </c>
      <c r="N1173" s="661" t="s">
        <v>389</v>
      </c>
      <c r="O1173" s="661" t="s">
        <v>389</v>
      </c>
      <c r="P1173" s="661" t="s">
        <v>390</v>
      </c>
      <c r="Q1173" s="660" t="s">
        <v>391</v>
      </c>
      <c r="R1173" s="662" t="str">
        <f>R$11</f>
        <v>Wholesale</v>
      </c>
      <c r="S1173" s="655" t="str">
        <f>S$11</f>
        <v>Wholesale</v>
      </c>
      <c r="T1173" s="661"/>
      <c r="U1173" s="660" t="s">
        <v>10</v>
      </c>
      <c r="X1173" s="646"/>
    </row>
    <row r="1174" spans="1:24" s="589" customFormat="1" x14ac:dyDescent="0.2">
      <c r="B1174" s="660"/>
      <c r="C1174" s="660"/>
      <c r="D1174" s="660"/>
      <c r="E1174" s="660"/>
      <c r="F1174" s="660"/>
      <c r="G1174" s="661" t="s">
        <v>689</v>
      </c>
      <c r="H1174" s="661" t="s">
        <v>690</v>
      </c>
      <c r="I1174" s="660"/>
      <c r="J1174" s="661"/>
      <c r="K1174" s="661" t="s">
        <v>680</v>
      </c>
      <c r="L1174" s="660" t="s">
        <v>681</v>
      </c>
      <c r="M1174" s="661" t="s">
        <v>680</v>
      </c>
      <c r="N1174" s="661" t="s">
        <v>681</v>
      </c>
      <c r="O1174" s="661" t="s">
        <v>393</v>
      </c>
      <c r="P1174" s="661"/>
      <c r="Q1174" s="660"/>
      <c r="R1174" s="663" t="str">
        <f>R$12</f>
        <v>XFMR</v>
      </c>
      <c r="S1174" s="660" t="str">
        <f>S$12</f>
        <v>DLS</v>
      </c>
      <c r="T1174" s="661"/>
      <c r="U1174" s="660"/>
      <c r="X1174" s="646">
        <f t="shared" si="395"/>
        <v>0</v>
      </c>
    </row>
    <row r="1175" spans="1:24" s="589" customFormat="1" ht="15" thickBot="1" x14ac:dyDescent="0.25">
      <c r="B1175" s="664"/>
      <c r="C1175" s="664"/>
      <c r="D1175" s="664"/>
      <c r="E1175" s="664"/>
      <c r="F1175" s="664" t="s">
        <v>13</v>
      </c>
      <c r="G1175" s="664" t="s">
        <v>14</v>
      </c>
      <c r="H1175" s="664" t="s">
        <v>15</v>
      </c>
      <c r="I1175" s="664"/>
      <c r="J1175" s="665" t="str">
        <f t="shared" ref="J1175:Q1175" si="396">J$13</f>
        <v>(d)</v>
      </c>
      <c r="K1175" s="665" t="str">
        <f t="shared" si="396"/>
        <v>(e)</v>
      </c>
      <c r="L1175" s="664" t="str">
        <f t="shared" si="396"/>
        <v>(f)</v>
      </c>
      <c r="M1175" s="665" t="str">
        <f t="shared" si="396"/>
        <v>(g)</v>
      </c>
      <c r="N1175" s="665" t="str">
        <f t="shared" si="396"/>
        <v>(h)</v>
      </c>
      <c r="O1175" s="665" t="str">
        <f>O$13</f>
        <v>(i)</v>
      </c>
      <c r="P1175" s="665" t="str">
        <f t="shared" si="396"/>
        <v>(j)</v>
      </c>
      <c r="Q1175" s="665" t="str">
        <f t="shared" si="396"/>
        <v>(k)</v>
      </c>
      <c r="R1175" s="665" t="str">
        <f>R$13</f>
        <v>(l)</v>
      </c>
      <c r="S1175" s="664" t="str">
        <f>S$13</f>
        <v>(m)</v>
      </c>
      <c r="T1175" s="664"/>
      <c r="U1175" s="664" t="s">
        <v>683</v>
      </c>
      <c r="X1175" s="646"/>
    </row>
    <row r="1176" spans="1:24" s="589" customFormat="1" x14ac:dyDescent="0.2">
      <c r="C1176" s="666"/>
      <c r="D1176" s="666"/>
      <c r="E1176" s="666"/>
      <c r="F1176" s="666"/>
      <c r="G1176" s="666"/>
      <c r="H1176" s="666"/>
      <c r="I1176" s="666"/>
      <c r="J1176" s="666"/>
      <c r="K1176" s="666"/>
      <c r="L1176" s="666"/>
      <c r="M1176" s="666"/>
      <c r="N1176" s="666"/>
      <c r="O1176" s="666"/>
      <c r="P1176" s="666"/>
      <c r="Q1176" s="666"/>
      <c r="R1176" s="666"/>
      <c r="S1176" s="666"/>
      <c r="T1176" s="666"/>
      <c r="U1176" s="611"/>
      <c r="X1176" s="646">
        <f t="shared" si="395"/>
        <v>0</v>
      </c>
    </row>
    <row r="1177" spans="1:24" s="589" customFormat="1" ht="15" x14ac:dyDescent="0.25">
      <c r="B1177" s="645">
        <f t="shared" ref="B1177:B1188" si="397">B1176+1</f>
        <v>1</v>
      </c>
      <c r="C1177" s="301" t="s">
        <v>668</v>
      </c>
      <c r="D1177" s="8"/>
      <c r="E1177" s="644"/>
      <c r="F1177" s="21"/>
      <c r="G1177" s="644"/>
      <c r="H1177" s="644"/>
      <c r="I1177" s="644"/>
      <c r="J1177" s="644"/>
      <c r="K1177" s="644"/>
      <c r="L1177" s="644"/>
      <c r="M1177" s="644"/>
      <c r="N1177" s="644"/>
      <c r="O1177" s="644"/>
      <c r="P1177" s="644"/>
      <c r="Q1177" s="644"/>
      <c r="R1177" s="644"/>
      <c r="S1177" s="644"/>
      <c r="T1177" s="644"/>
      <c r="U1177" s="8"/>
      <c r="X1177" s="646">
        <f t="shared" si="395"/>
        <v>0</v>
      </c>
    </row>
    <row r="1178" spans="1:24" s="589" customFormat="1" x14ac:dyDescent="0.2">
      <c r="B1178" s="645">
        <f t="shared" si="397"/>
        <v>2</v>
      </c>
      <c r="D1178" s="647"/>
      <c r="E1178" s="645"/>
      <c r="F1178" s="614"/>
      <c r="G1178" s="645"/>
      <c r="H1178" s="645"/>
      <c r="I1178" s="645"/>
      <c r="J1178" s="645"/>
      <c r="K1178" s="645"/>
      <c r="L1178" s="645"/>
      <c r="M1178" s="645"/>
      <c r="N1178" s="645"/>
      <c r="O1178" s="645"/>
      <c r="P1178" s="645"/>
      <c r="Q1178" s="645"/>
      <c r="R1178" s="645"/>
      <c r="S1178" s="645"/>
      <c r="T1178" s="645"/>
      <c r="U1178" s="647"/>
      <c r="X1178" s="646">
        <f t="shared" si="395"/>
        <v>0</v>
      </c>
    </row>
    <row r="1179" spans="1:24" s="589" customFormat="1" ht="15" x14ac:dyDescent="0.25">
      <c r="B1179" s="645">
        <f t="shared" si="397"/>
        <v>3</v>
      </c>
      <c r="C1179" s="8" t="s">
        <v>669</v>
      </c>
      <c r="X1179" s="646"/>
    </row>
    <row r="1180" spans="1:24" s="589" customFormat="1" ht="15" x14ac:dyDescent="0.25">
      <c r="B1180" s="645">
        <f t="shared" si="397"/>
        <v>4</v>
      </c>
      <c r="C1180" s="647" t="s">
        <v>311</v>
      </c>
      <c r="D1180" s="647" t="s">
        <v>312</v>
      </c>
      <c r="E1180" s="644" t="s">
        <v>313</v>
      </c>
      <c r="F1180" s="646">
        <f>' WP II-I-1.4'!G1181</f>
        <v>7439</v>
      </c>
      <c r="G1180" s="645">
        <v>10</v>
      </c>
      <c r="H1180" s="620" t="str">
        <f>VLOOKUP(G1180,FactorTable,2)</f>
        <v>CUS U RTL</v>
      </c>
      <c r="I1180" s="913"/>
      <c r="J1180" s="648">
        <f t="shared" ref="J1180:S1180" si="398">$F1180*HLOOKUP(J$1354,FactorTable,$G1180+1)</f>
        <v>6365.7712598815415</v>
      </c>
      <c r="K1180" s="648">
        <f t="shared" si="398"/>
        <v>528.02581886751227</v>
      </c>
      <c r="L1180" s="648">
        <f t="shared" si="398"/>
        <v>431.4299000371002</v>
      </c>
      <c r="M1180" s="648">
        <f t="shared" si="398"/>
        <v>5.764313420259672</v>
      </c>
      <c r="N1180" s="648">
        <f t="shared" si="398"/>
        <v>12.903971796932177</v>
      </c>
      <c r="O1180" s="648">
        <f t="shared" si="398"/>
        <v>0.29970752392418709</v>
      </c>
      <c r="P1180" s="648">
        <f t="shared" si="398"/>
        <v>0.62515679836947002</v>
      </c>
      <c r="Q1180" s="648">
        <f t="shared" si="398"/>
        <v>94.179871674360641</v>
      </c>
      <c r="R1180" s="648">
        <f t="shared" si="398"/>
        <v>0</v>
      </c>
      <c r="S1180" s="648">
        <f t="shared" si="398"/>
        <v>0</v>
      </c>
      <c r="T1180" s="913"/>
      <c r="U1180" s="807">
        <f>SUM(I1180:T1180)</f>
        <v>7439</v>
      </c>
      <c r="X1180" s="646">
        <f>U1180-F1180</f>
        <v>0</v>
      </c>
    </row>
    <row r="1181" spans="1:24" s="589" customFormat="1" ht="15" thickBot="1" x14ac:dyDescent="0.25">
      <c r="B1181" s="645">
        <f t="shared" si="397"/>
        <v>5</v>
      </c>
      <c r="C1181" s="647"/>
      <c r="D1181" s="647"/>
      <c r="E1181" s="645"/>
      <c r="F1181" s="614"/>
      <c r="G1181" s="645"/>
      <c r="H1181" s="645"/>
      <c r="I1181" s="645"/>
      <c r="J1181" s="645"/>
      <c r="K1181" s="645"/>
      <c r="L1181" s="645"/>
      <c r="M1181" s="645"/>
      <c r="N1181" s="645"/>
      <c r="O1181" s="645"/>
      <c r="P1181" s="645"/>
      <c r="Q1181" s="645"/>
      <c r="R1181" s="645"/>
      <c r="S1181" s="645"/>
      <c r="T1181" s="645"/>
      <c r="U1181" s="647"/>
      <c r="X1181" s="646">
        <f t="shared" si="395"/>
        <v>0</v>
      </c>
    </row>
    <row r="1182" spans="1:24" s="589" customFormat="1" ht="15.75" thickBot="1" x14ac:dyDescent="0.3">
      <c r="B1182" s="645">
        <f t="shared" si="397"/>
        <v>6</v>
      </c>
      <c r="C1182" s="223" t="s">
        <v>670</v>
      </c>
      <c r="D1182" s="271"/>
      <c r="E1182" s="272"/>
      <c r="F1182" s="217">
        <f>+F1180+F1103+F1070-F1068-F1067</f>
        <v>1133944768.9199998</v>
      </c>
      <c r="G1182" s="272"/>
      <c r="H1182" s="392"/>
      <c r="I1182" s="568"/>
      <c r="J1182" s="291">
        <f t="shared" ref="J1182:S1182" ca="1" si="399">+J1180+J1103+J1070-J1068-J1067</f>
        <v>560448501.22836387</v>
      </c>
      <c r="K1182" s="814">
        <f t="shared" ca="1" si="399"/>
        <v>18450850.467244733</v>
      </c>
      <c r="L1182" s="814">
        <f t="shared" ca="1" si="399"/>
        <v>404851922.55244869</v>
      </c>
      <c r="M1182" s="814">
        <f t="shared" ca="1" si="399"/>
        <v>89171.798670966833</v>
      </c>
      <c r="N1182" s="814">
        <f t="shared" ca="1" si="399"/>
        <v>72210669.802171499</v>
      </c>
      <c r="O1182" s="814">
        <f t="shared" ca="1" si="399"/>
        <v>9000954.2198925484</v>
      </c>
      <c r="P1182" s="814">
        <f t="shared" ca="1" si="399"/>
        <v>28139991.966334909</v>
      </c>
      <c r="Q1182" s="814">
        <f t="shared" ca="1" si="399"/>
        <v>37778934.55338715</v>
      </c>
      <c r="R1182" s="814">
        <f t="shared" ca="1" si="399"/>
        <v>647934.22733542498</v>
      </c>
      <c r="S1182" s="218">
        <f t="shared" ca="1" si="399"/>
        <v>2325838.1041500214</v>
      </c>
      <c r="T1182" s="392"/>
      <c r="U1182" s="218">
        <f ca="1">SUM(I1182:T1182)</f>
        <v>1133944768.9199998</v>
      </c>
      <c r="X1182" s="646">
        <f t="shared" ca="1" si="395"/>
        <v>0</v>
      </c>
    </row>
    <row r="1183" spans="1:24" s="589" customFormat="1" ht="15.75" thickBot="1" x14ac:dyDescent="0.3">
      <c r="A1183" s="620"/>
      <c r="B1183" s="645">
        <f t="shared" si="397"/>
        <v>7</v>
      </c>
      <c r="C1183" s="8"/>
      <c r="D1183" s="34"/>
      <c r="E1183" s="35"/>
      <c r="F1183" s="37"/>
      <c r="G1183" s="35"/>
      <c r="H1183" s="35"/>
      <c r="I1183" s="35"/>
      <c r="J1183" s="807"/>
      <c r="K1183" s="807"/>
      <c r="L1183" s="807"/>
      <c r="M1183" s="807"/>
      <c r="N1183" s="807"/>
      <c r="O1183" s="807"/>
      <c r="P1183" s="807"/>
      <c r="Q1183" s="807"/>
      <c r="R1183" s="807"/>
      <c r="S1183" s="807"/>
      <c r="T1183" s="35"/>
      <c r="U1183" s="668"/>
      <c r="V1183" s="620"/>
      <c r="W1183" s="620"/>
      <c r="X1183" s="646">
        <f t="shared" si="395"/>
        <v>0</v>
      </c>
    </row>
    <row r="1184" spans="1:24" s="589" customFormat="1" ht="15.75" thickBot="1" x14ac:dyDescent="0.3">
      <c r="B1184" s="645">
        <f t="shared" si="397"/>
        <v>8</v>
      </c>
      <c r="C1184" s="223" t="s">
        <v>671</v>
      </c>
      <c r="D1184" s="271"/>
      <c r="E1184" s="272"/>
      <c r="F1184" s="217">
        <f>F1182+F1162</f>
        <v>1274026241.4740863</v>
      </c>
      <c r="G1184" s="272"/>
      <c r="H1184" s="392"/>
      <c r="I1184" s="568"/>
      <c r="J1184" s="291">
        <f t="shared" ref="J1184:Q1184" ca="1" si="400">J1182+J1162</f>
        <v>636774438.54801834</v>
      </c>
      <c r="K1184" s="814">
        <f t="shared" ca="1" si="400"/>
        <v>20455631.90771642</v>
      </c>
      <c r="L1184" s="814">
        <f t="shared" ca="1" si="400"/>
        <v>453677474.25398773</v>
      </c>
      <c r="M1184" s="814">
        <f t="shared" ca="1" si="400"/>
        <v>103028.19783839872</v>
      </c>
      <c r="N1184" s="814">
        <f t="shared" ca="1" si="400"/>
        <v>81416610.613857716</v>
      </c>
      <c r="O1184" s="814">
        <f ca="1">O1182+O1162</f>
        <v>10081046.765222315</v>
      </c>
      <c r="P1184" s="814">
        <f t="shared" ca="1" si="400"/>
        <v>28414954.867600832</v>
      </c>
      <c r="Q1184" s="814">
        <f t="shared" ca="1" si="400"/>
        <v>39702300.058853395</v>
      </c>
      <c r="R1184" s="814">
        <f ca="1">R1182+R1162</f>
        <v>723162.20382545015</v>
      </c>
      <c r="S1184" s="218">
        <f ca="1">S1182+S1162</f>
        <v>2677594.0571657275</v>
      </c>
      <c r="T1184" s="392"/>
      <c r="U1184" s="218">
        <f ca="1">SUM(I1184:T1184)</f>
        <v>1274026241.4740863</v>
      </c>
      <c r="X1184" s="646">
        <f t="shared" ca="1" si="395"/>
        <v>0</v>
      </c>
    </row>
    <row r="1185" spans="1:24" s="589" customFormat="1" ht="15.75" thickBot="1" x14ac:dyDescent="0.3">
      <c r="A1185" s="620"/>
      <c r="B1185" s="645">
        <f t="shared" si="397"/>
        <v>9</v>
      </c>
      <c r="C1185" s="8"/>
      <c r="D1185" s="34"/>
      <c r="E1185" s="35"/>
      <c r="F1185" s="37"/>
      <c r="G1185" s="35"/>
      <c r="H1185" s="35"/>
      <c r="I1185" s="35"/>
      <c r="J1185" s="807"/>
      <c r="K1185" s="807"/>
      <c r="L1185" s="807"/>
      <c r="M1185" s="807"/>
      <c r="N1185" s="807"/>
      <c r="O1185" s="807"/>
      <c r="P1185" s="807"/>
      <c r="Q1185" s="807"/>
      <c r="R1185" s="807"/>
      <c r="S1185" s="807"/>
      <c r="T1185" s="35"/>
      <c r="U1185" s="668"/>
      <c r="V1185" s="620"/>
      <c r="W1185" s="620"/>
      <c r="X1185" s="646">
        <f t="shared" si="395"/>
        <v>0</v>
      </c>
    </row>
    <row r="1186" spans="1:24" s="589" customFormat="1" ht="15.75" thickBot="1" x14ac:dyDescent="0.3">
      <c r="B1186" s="645">
        <f t="shared" si="397"/>
        <v>10</v>
      </c>
      <c r="C1186" s="223" t="s">
        <v>672</v>
      </c>
      <c r="D1186" s="271"/>
      <c r="E1186" s="272"/>
      <c r="F1186" s="217">
        <f>F1162+F1103+F1070+F785</f>
        <v>4617887231.4740868</v>
      </c>
      <c r="G1186" s="272"/>
      <c r="H1186" s="392"/>
      <c r="I1186" s="568"/>
      <c r="J1186" s="291">
        <f t="shared" ref="J1186:S1186" ca="1" si="401">J1162+J1103+J1070+J785</f>
        <v>2217884222.9372473</v>
      </c>
      <c r="K1186" s="814">
        <f t="shared" ca="1" si="401"/>
        <v>56833904.025965631</v>
      </c>
      <c r="L1186" s="814">
        <f t="shared" ca="1" si="401"/>
        <v>1514667294.0646701</v>
      </c>
      <c r="M1186" s="814">
        <f t="shared" ca="1" si="401"/>
        <v>649019.1949076138</v>
      </c>
      <c r="N1186" s="814">
        <f t="shared" ca="1" si="401"/>
        <v>372380069.88404119</v>
      </c>
      <c r="O1186" s="814">
        <f t="shared" ca="1" si="401"/>
        <v>92032829.583950996</v>
      </c>
      <c r="P1186" s="814">
        <f t="shared" ca="1" si="401"/>
        <v>276688024.38438559</v>
      </c>
      <c r="Q1186" s="814">
        <f t="shared" ca="1" si="401"/>
        <v>79245692.308569506</v>
      </c>
      <c r="R1186" s="814">
        <f t="shared" ca="1" si="401"/>
        <v>1378118.8033223208</v>
      </c>
      <c r="S1186" s="218">
        <f t="shared" ca="1" si="401"/>
        <v>6128056.2870259015</v>
      </c>
      <c r="T1186" s="392"/>
      <c r="U1186" s="218">
        <f ca="1">SUM(I1186:T1186)</f>
        <v>4617887231.4740868</v>
      </c>
      <c r="X1186" s="646">
        <f t="shared" ca="1" si="395"/>
        <v>0</v>
      </c>
    </row>
    <row r="1187" spans="1:24" s="589" customFormat="1" ht="15.75" thickBot="1" x14ac:dyDescent="0.3">
      <c r="A1187" s="620"/>
      <c r="B1187" s="645">
        <f t="shared" si="397"/>
        <v>11</v>
      </c>
      <c r="C1187" s="8"/>
      <c r="D1187" s="34"/>
      <c r="E1187" s="35"/>
      <c r="F1187" s="37"/>
      <c r="G1187" s="35"/>
      <c r="H1187" s="35"/>
      <c r="I1187" s="35"/>
      <c r="J1187" s="807"/>
      <c r="K1187" s="807"/>
      <c r="L1187" s="807"/>
      <c r="M1187" s="807"/>
      <c r="N1187" s="807"/>
      <c r="O1187" s="807"/>
      <c r="P1187" s="807"/>
      <c r="Q1187" s="807"/>
      <c r="R1187" s="807"/>
      <c r="S1187" s="807"/>
      <c r="T1187" s="35"/>
      <c r="U1187" s="668"/>
      <c r="V1187" s="620"/>
      <c r="W1187" s="620"/>
      <c r="X1187" s="646">
        <f t="shared" si="395"/>
        <v>0</v>
      </c>
    </row>
    <row r="1188" spans="1:24" s="589" customFormat="1" ht="15.75" thickBot="1" x14ac:dyDescent="0.3">
      <c r="B1188" s="645">
        <f t="shared" si="397"/>
        <v>12</v>
      </c>
      <c r="C1188" s="223" t="s">
        <v>1218</v>
      </c>
      <c r="D1188" s="271"/>
      <c r="E1188" s="272"/>
      <c r="F1188" s="814">
        <f>F1186-F645-('WP II-I-2.2'!$P$45)*F776</f>
        <v>2517045758.8140869</v>
      </c>
      <c r="G1188" s="272"/>
      <c r="H1188" s="392"/>
      <c r="I1188" s="568"/>
      <c r="J1188" s="291">
        <f ca="1">J1186-J645-('WP II-I-2.2'!$P$45)*J776</f>
        <v>1296479235.3690145</v>
      </c>
      <c r="K1188" s="814">
        <f ca="1">K1186-K645-('WP II-I-2.2'!$P$45)*K776</f>
        <v>38259026.800025925</v>
      </c>
      <c r="L1188" s="814">
        <f ca="1">L1186-L645-('WP II-I-2.2'!$P$45)*L776</f>
        <v>873207773.73041546</v>
      </c>
      <c r="M1188" s="814">
        <f ca="1">M1186-M645-('WP II-I-2.2'!$P$45)*M776</f>
        <v>446089.80622591596</v>
      </c>
      <c r="N1188" s="814">
        <f ca="1">N1186-N645-('WP II-I-2.2'!$P$45)*N776</f>
        <v>172930650.26863515</v>
      </c>
      <c r="O1188" s="814">
        <f ca="1">O1186-O645-('WP II-I-2.2'!$P$45)*O776</f>
        <v>19624734.042525187</v>
      </c>
      <c r="P1188" s="814">
        <f ca="1">P1186-P645-('WP II-I-2.2'!$P$45)*P776</f>
        <v>29346381.398326188</v>
      </c>
      <c r="Q1188" s="814">
        <f ca="1">Q1186-Q645-('WP II-I-2.2'!$P$45)*Q776</f>
        <v>79245692.308569506</v>
      </c>
      <c r="R1188" s="814">
        <f ca="1">R1186-R645-('WP II-I-2.2'!$P$45)*R776</f>
        <v>1378118.8033223208</v>
      </c>
      <c r="S1188" s="814">
        <f ca="1">S1186-S645-('WP II-I-2.2'!$P$45)*S776</f>
        <v>6128056.2870259015</v>
      </c>
      <c r="T1188" s="392"/>
      <c r="U1188" s="218">
        <f ca="1">SUM(I1188:T1188)</f>
        <v>2517045758.8140864</v>
      </c>
      <c r="X1188" s="646">
        <f t="shared" ca="1" si="395"/>
        <v>0</v>
      </c>
    </row>
    <row r="1189" spans="1:24" s="589" customFormat="1" x14ac:dyDescent="0.2">
      <c r="X1189" s="646">
        <f t="shared" si="395"/>
        <v>0</v>
      </c>
    </row>
    <row r="1190" spans="1:24" s="589" customFormat="1" x14ac:dyDescent="0.2">
      <c r="H1190" s="653"/>
      <c r="U1190" s="653"/>
      <c r="V1190" s="653">
        <f>$H$2</f>
        <v>0</v>
      </c>
      <c r="W1190" s="653"/>
      <c r="X1190" s="646"/>
    </row>
    <row r="1191" spans="1:24" s="589" customFormat="1" ht="15" thickBot="1" x14ac:dyDescent="0.25">
      <c r="X1191" s="646">
        <f t="shared" si="395"/>
        <v>0</v>
      </c>
    </row>
    <row r="1192" spans="1:24" s="589" customFormat="1" ht="15" x14ac:dyDescent="0.25">
      <c r="B1192" s="829" t="str">
        <f>+$B$4</f>
        <v>2025 RATE CASE</v>
      </c>
      <c r="C1192" s="844"/>
      <c r="D1192" s="877"/>
      <c r="F1192" s="571"/>
      <c r="U1192" s="653"/>
      <c r="X1192" s="646">
        <f t="shared" si="395"/>
        <v>0</v>
      </c>
    </row>
    <row r="1193" spans="1:24" s="589" customFormat="1" ht="15" x14ac:dyDescent="0.25">
      <c r="B1193" s="826" t="str">
        <f>+$B$5</f>
        <v>ONCOR ELECTRIC DELIVERY COMPANY LLC</v>
      </c>
      <c r="C1193" s="8"/>
      <c r="D1193" s="878"/>
      <c r="F1193" s="571"/>
      <c r="H1193" s="1195"/>
      <c r="U1193" s="653"/>
      <c r="X1193" s="646">
        <f t="shared" si="395"/>
        <v>0</v>
      </c>
    </row>
    <row r="1194" spans="1:24" s="589" customFormat="1" ht="15" x14ac:dyDescent="0.25">
      <c r="B1194" s="826" t="str">
        <f>+$B$6</f>
        <v>II-I-1-DIST:  CLASS REVENUE REQUIREMENT</v>
      </c>
      <c r="C1194" s="82"/>
      <c r="D1194" s="878"/>
      <c r="F1194" s="571"/>
      <c r="U1194" s="571"/>
      <c r="X1194" s="646">
        <f t="shared" si="395"/>
        <v>0</v>
      </c>
    </row>
    <row r="1195" spans="1:24" s="589" customFormat="1" ht="15" x14ac:dyDescent="0.25">
      <c r="B1195" s="341" t="str">
        <f>+$B$7</f>
        <v>TEST YEAR ENDING 12/31/2024</v>
      </c>
      <c r="C1195" s="82"/>
      <c r="D1195" s="878"/>
      <c r="F1195" s="571"/>
      <c r="U1195" s="571"/>
      <c r="X1195" s="646">
        <f t="shared" si="395"/>
        <v>0</v>
      </c>
    </row>
    <row r="1196" spans="1:24" s="589" customFormat="1" ht="15" x14ac:dyDescent="0.25">
      <c r="B1196" s="341" t="str">
        <f>+$B$8</f>
        <v>SPONSOR:  MATTHEW A. TROXLE</v>
      </c>
      <c r="C1196" s="82"/>
      <c r="D1196" s="878"/>
      <c r="F1196" s="571"/>
      <c r="U1196" s="571"/>
      <c r="X1196" s="646">
        <f t="shared" si="395"/>
        <v>0</v>
      </c>
    </row>
    <row r="1197" spans="1:24" s="589" customFormat="1" ht="15.75" thickBot="1" x14ac:dyDescent="0.3">
      <c r="B1197" s="345"/>
      <c r="C1197" s="843"/>
      <c r="D1197" s="879"/>
      <c r="F1197" s="571"/>
      <c r="U1197" s="571"/>
      <c r="X1197" s="646">
        <f t="shared" si="395"/>
        <v>0</v>
      </c>
    </row>
    <row r="1198" spans="1:24" s="589" customFormat="1" ht="15" thickBot="1" x14ac:dyDescent="0.25">
      <c r="B1198" s="655"/>
      <c r="C1198" s="656"/>
      <c r="D1198" s="656"/>
      <c r="E1198" s="656"/>
      <c r="F1198" s="655"/>
      <c r="G1198" s="656"/>
      <c r="H1198" s="656"/>
      <c r="I1198" s="656"/>
      <c r="J1198" s="657"/>
      <c r="K1198" s="657"/>
      <c r="L1198" s="656"/>
      <c r="M1198" s="657"/>
      <c r="N1198" s="657"/>
      <c r="O1198" s="657"/>
      <c r="P1198" s="657"/>
      <c r="Q1198" s="656"/>
      <c r="R1198" s="658" t="str">
        <f>R$10</f>
        <v xml:space="preserve"> </v>
      </c>
      <c r="S1198" s="659"/>
      <c r="T1198" s="657"/>
      <c r="U1198" s="655"/>
      <c r="X1198" s="646">
        <f t="shared" si="395"/>
        <v>0</v>
      </c>
    </row>
    <row r="1199" spans="1:24" s="589" customFormat="1" ht="15" x14ac:dyDescent="0.25">
      <c r="B1199" s="660" t="s">
        <v>2</v>
      </c>
      <c r="C1199" s="660" t="s">
        <v>349</v>
      </c>
      <c r="D1199" s="226" t="s">
        <v>317</v>
      </c>
      <c r="E1199" s="660" t="s">
        <v>350</v>
      </c>
      <c r="F1199" s="226" t="str">
        <f>F$11</f>
        <v>DIST</v>
      </c>
      <c r="G1199" s="661" t="s">
        <v>688</v>
      </c>
      <c r="H1199" s="661" t="s">
        <v>355</v>
      </c>
      <c r="I1199" s="660"/>
      <c r="J1199" s="661" t="s">
        <v>679</v>
      </c>
      <c r="K1199" s="661" t="s">
        <v>388</v>
      </c>
      <c r="L1199" s="660" t="s">
        <v>388</v>
      </c>
      <c r="M1199" s="661" t="s">
        <v>389</v>
      </c>
      <c r="N1199" s="661" t="s">
        <v>389</v>
      </c>
      <c r="O1199" s="661" t="s">
        <v>389</v>
      </c>
      <c r="P1199" s="661" t="s">
        <v>390</v>
      </c>
      <c r="Q1199" s="660" t="s">
        <v>391</v>
      </c>
      <c r="R1199" s="662" t="str">
        <f>R$11</f>
        <v>Wholesale</v>
      </c>
      <c r="S1199" s="655" t="str">
        <f>S$11</f>
        <v>Wholesale</v>
      </c>
      <c r="T1199" s="661"/>
      <c r="U1199" s="660" t="s">
        <v>10</v>
      </c>
      <c r="X1199" s="646"/>
    </row>
    <row r="1200" spans="1:24" s="589" customFormat="1" x14ac:dyDescent="0.2">
      <c r="B1200" s="660"/>
      <c r="C1200" s="660"/>
      <c r="D1200" s="660"/>
      <c r="E1200" s="660"/>
      <c r="F1200" s="660"/>
      <c r="G1200" s="661" t="s">
        <v>689</v>
      </c>
      <c r="H1200" s="661" t="s">
        <v>690</v>
      </c>
      <c r="I1200" s="660"/>
      <c r="J1200" s="661"/>
      <c r="K1200" s="661" t="s">
        <v>680</v>
      </c>
      <c r="L1200" s="660" t="s">
        <v>681</v>
      </c>
      <c r="M1200" s="661" t="s">
        <v>680</v>
      </c>
      <c r="N1200" s="661" t="s">
        <v>681</v>
      </c>
      <c r="O1200" s="661" t="s">
        <v>393</v>
      </c>
      <c r="P1200" s="661"/>
      <c r="Q1200" s="660"/>
      <c r="R1200" s="663" t="str">
        <f>R$12</f>
        <v>XFMR</v>
      </c>
      <c r="S1200" s="660" t="str">
        <f>S$12</f>
        <v>DLS</v>
      </c>
      <c r="T1200" s="661"/>
      <c r="U1200" s="660"/>
      <c r="X1200" s="646">
        <f t="shared" si="395"/>
        <v>0</v>
      </c>
    </row>
    <row r="1201" spans="2:24" s="589" customFormat="1" ht="15" thickBot="1" x14ac:dyDescent="0.25">
      <c r="B1201" s="664"/>
      <c r="C1201" s="664"/>
      <c r="D1201" s="664"/>
      <c r="E1201" s="664"/>
      <c r="F1201" s="664" t="s">
        <v>13</v>
      </c>
      <c r="G1201" s="664" t="s">
        <v>14</v>
      </c>
      <c r="H1201" s="664" t="s">
        <v>15</v>
      </c>
      <c r="I1201" s="664"/>
      <c r="J1201" s="665" t="str">
        <f t="shared" ref="J1201:Q1201" si="402">J$13</f>
        <v>(d)</v>
      </c>
      <c r="K1201" s="665" t="str">
        <f t="shared" si="402"/>
        <v>(e)</v>
      </c>
      <c r="L1201" s="664" t="str">
        <f t="shared" si="402"/>
        <v>(f)</v>
      </c>
      <c r="M1201" s="665" t="str">
        <f t="shared" si="402"/>
        <v>(g)</v>
      </c>
      <c r="N1201" s="665" t="str">
        <f t="shared" si="402"/>
        <v>(h)</v>
      </c>
      <c r="O1201" s="665" t="str">
        <f>O$13</f>
        <v>(i)</v>
      </c>
      <c r="P1201" s="665" t="str">
        <f t="shared" si="402"/>
        <v>(j)</v>
      </c>
      <c r="Q1201" s="665" t="str">
        <f t="shared" si="402"/>
        <v>(k)</v>
      </c>
      <c r="R1201" s="665" t="str">
        <f>R$13</f>
        <v>(l)</v>
      </c>
      <c r="S1201" s="664" t="str">
        <f>S$13</f>
        <v>(m)</v>
      </c>
      <c r="T1201" s="664"/>
      <c r="U1201" s="664" t="s">
        <v>683</v>
      </c>
      <c r="X1201" s="646"/>
    </row>
    <row r="1202" spans="2:24" s="589" customFormat="1" x14ac:dyDescent="0.2">
      <c r="C1202" s="672"/>
      <c r="D1202" s="672"/>
      <c r="E1202" s="673"/>
      <c r="F1202" s="674"/>
      <c r="G1202" s="645"/>
      <c r="H1202" s="673"/>
      <c r="I1202" s="673"/>
      <c r="J1202" s="673"/>
      <c r="K1202" s="673"/>
      <c r="L1202" s="673"/>
      <c r="M1202" s="673"/>
      <c r="N1202" s="673"/>
      <c r="O1202" s="673"/>
      <c r="P1202" s="673"/>
      <c r="Q1202" s="673"/>
      <c r="R1202" s="673"/>
      <c r="S1202" s="673"/>
      <c r="T1202" s="673"/>
      <c r="U1202" s="647"/>
      <c r="X1202" s="646">
        <f t="shared" si="395"/>
        <v>0</v>
      </c>
    </row>
    <row r="1203" spans="2:24" s="589" customFormat="1" ht="15" x14ac:dyDescent="0.25">
      <c r="B1203" s="645">
        <f t="shared" ref="B1203:B1206" si="403">B1202+1</f>
        <v>1</v>
      </c>
      <c r="C1203" s="8" t="s">
        <v>673</v>
      </c>
      <c r="D1203" s="8"/>
      <c r="E1203" s="644" t="s">
        <v>318</v>
      </c>
      <c r="F1203" s="21"/>
      <c r="G1203" s="645"/>
      <c r="H1203" s="644"/>
      <c r="I1203" s="644"/>
      <c r="J1203" s="961"/>
      <c r="K1203" s="961"/>
      <c r="L1203" s="961"/>
      <c r="M1203" s="961"/>
      <c r="N1203" s="961"/>
      <c r="O1203" s="961"/>
      <c r="P1203" s="961"/>
      <c r="Q1203" s="961"/>
      <c r="R1203" s="961"/>
      <c r="S1203" s="961"/>
      <c r="T1203" s="644"/>
      <c r="U1203" s="8"/>
      <c r="X1203" s="646">
        <f t="shared" si="395"/>
        <v>0</v>
      </c>
    </row>
    <row r="1204" spans="2:24" s="589" customFormat="1" ht="15" x14ac:dyDescent="0.25">
      <c r="B1204" s="645">
        <f t="shared" si="403"/>
        <v>2</v>
      </c>
      <c r="C1204" s="8" t="s">
        <v>319</v>
      </c>
      <c r="D1204" s="8"/>
      <c r="E1204" s="644"/>
      <c r="F1204" s="21"/>
      <c r="G1204" s="645"/>
      <c r="H1204" s="644"/>
      <c r="I1204" s="913"/>
      <c r="J1204" s="961"/>
      <c r="K1204" s="961"/>
      <c r="L1204" s="961"/>
      <c r="M1204" s="961"/>
      <c r="N1204" s="961"/>
      <c r="O1204" s="961"/>
      <c r="P1204" s="961"/>
      <c r="Q1204" s="961"/>
      <c r="R1204" s="961"/>
      <c r="S1204" s="961"/>
      <c r="T1204" s="644"/>
      <c r="U1204" s="8"/>
      <c r="X1204" s="646">
        <f t="shared" si="395"/>
        <v>0</v>
      </c>
    </row>
    <row r="1205" spans="2:24" s="589" customFormat="1" ht="15" x14ac:dyDescent="0.25">
      <c r="B1205" s="645">
        <f t="shared" si="403"/>
        <v>3</v>
      </c>
      <c r="C1205" s="647" t="s">
        <v>320</v>
      </c>
      <c r="D1205" s="8" t="s">
        <v>321</v>
      </c>
      <c r="E1205" s="645"/>
      <c r="F1205" s="668">
        <f>' WP II-I-1.4'!G1206</f>
        <v>34378539</v>
      </c>
      <c r="G1205" s="645">
        <v>26</v>
      </c>
      <c r="H1205" s="620" t="str">
        <f t="shared" ref="H1205:H1217" si="404">VLOOKUP(G1205,FactorTable,2)</f>
        <v>NCP ALL</v>
      </c>
      <c r="I1205" s="645"/>
      <c r="J1205" s="648">
        <f t="shared" ref="J1205:S1206" si="405">$F1205*HLOOKUP(J$1354,FactorTable,$G1205+1)</f>
        <v>15298344.145626949</v>
      </c>
      <c r="K1205" s="648">
        <f t="shared" si="405"/>
        <v>289026.52473550406</v>
      </c>
      <c r="L1205" s="648">
        <f t="shared" si="405"/>
        <v>9826191.047986716</v>
      </c>
      <c r="M1205" s="648">
        <f t="shared" si="405"/>
        <v>4598.0749237971067</v>
      </c>
      <c r="N1205" s="648">
        <f t="shared" si="405"/>
        <v>2890290.4854989797</v>
      </c>
      <c r="O1205" s="648">
        <f t="shared" si="405"/>
        <v>1242303.741058121</v>
      </c>
      <c r="P1205" s="648">
        <f t="shared" si="405"/>
        <v>4543625.9254756616</v>
      </c>
      <c r="Q1205" s="648">
        <f t="shared" si="405"/>
        <v>87384.996334564523</v>
      </c>
      <c r="R1205" s="648">
        <f t="shared" si="405"/>
        <v>85872.888072538306</v>
      </c>
      <c r="S1205" s="648">
        <f t="shared" si="405"/>
        <v>110901.17028716636</v>
      </c>
      <c r="T1205" s="645"/>
      <c r="U1205" s="694">
        <f t="shared" ref="U1205:U1220" si="406">SUM(I1205:T1205)</f>
        <v>34378539.000000007</v>
      </c>
      <c r="X1205" s="646">
        <f t="shared" si="395"/>
        <v>0</v>
      </c>
    </row>
    <row r="1206" spans="2:24" s="589" customFormat="1" x14ac:dyDescent="0.2">
      <c r="B1206" s="645">
        <f t="shared" si="403"/>
        <v>4</v>
      </c>
      <c r="C1206" s="647" t="s">
        <v>322</v>
      </c>
      <c r="D1206" s="647" t="s">
        <v>323</v>
      </c>
      <c r="E1206" s="645"/>
      <c r="F1206" s="668">
        <f>' WP II-I-1.4'!G1207</f>
        <v>758930.8</v>
      </c>
      <c r="G1206" s="645">
        <v>92</v>
      </c>
      <c r="H1206" s="620" t="str">
        <f t="shared" si="404"/>
        <v>RCOS x565</v>
      </c>
      <c r="I1206" s="645"/>
      <c r="J1206" s="648">
        <f t="shared" ca="1" si="405"/>
        <v>398539.86932487029</v>
      </c>
      <c r="K1206" s="648">
        <f t="shared" ca="1" si="405"/>
        <v>11371.045908457321</v>
      </c>
      <c r="L1206" s="648">
        <f t="shared" ca="1" si="405"/>
        <v>264411.7508909051</v>
      </c>
      <c r="M1206" s="648">
        <f t="shared" ca="1" si="405"/>
        <v>119.03133575590283</v>
      </c>
      <c r="N1206" s="648">
        <f t="shared" ca="1" si="405"/>
        <v>51706.154655778155</v>
      </c>
      <c r="O1206" s="648">
        <f t="shared" ca="1" si="405"/>
        <v>5926.3691587533831</v>
      </c>
      <c r="P1206" s="648">
        <f t="shared" ca="1" si="405"/>
        <v>6758.5105064496292</v>
      </c>
      <c r="Q1206" s="648">
        <f t="shared" ca="1" si="405"/>
        <v>20098.068219030192</v>
      </c>
      <c r="R1206" s="648">
        <f t="shared" si="405"/>
        <v>0</v>
      </c>
      <c r="S1206" s="648">
        <f t="shared" si="405"/>
        <v>0</v>
      </c>
      <c r="T1206" s="645"/>
      <c r="U1206" s="694">
        <f t="shared" ca="1" si="406"/>
        <v>758930.8</v>
      </c>
      <c r="X1206" s="646">
        <f t="shared" ca="1" si="395"/>
        <v>0</v>
      </c>
    </row>
    <row r="1207" spans="2:24" s="589" customFormat="1" x14ac:dyDescent="0.2">
      <c r="B1207" s="645">
        <f>B1206+1</f>
        <v>5</v>
      </c>
      <c r="C1207" s="620" t="s">
        <v>322</v>
      </c>
      <c r="D1207" s="620" t="s">
        <v>1297</v>
      </c>
      <c r="E1207" s="620"/>
      <c r="F1207" s="668">
        <f>' WP II-I-1.4'!G1208</f>
        <v>0</v>
      </c>
      <c r="G1207" s="645">
        <v>6</v>
      </c>
      <c r="H1207" s="620" t="str">
        <f t="shared" si="404"/>
        <v>CUS W ALL</v>
      </c>
      <c r="I1207" s="645"/>
      <c r="J1207" s="648"/>
      <c r="K1207" s="648"/>
      <c r="L1207" s="648"/>
      <c r="M1207" s="648"/>
      <c r="N1207" s="648"/>
      <c r="O1207" s="648"/>
      <c r="P1207" s="648"/>
      <c r="Q1207" s="648"/>
      <c r="R1207" s="648"/>
      <c r="S1207" s="648"/>
      <c r="T1207" s="645"/>
      <c r="U1207" s="694"/>
      <c r="X1207" s="646"/>
    </row>
    <row r="1208" spans="2:24" s="589" customFormat="1" x14ac:dyDescent="0.2">
      <c r="B1208" s="645">
        <f t="shared" ref="B1208:B1230" si="407">B1207+1</f>
        <v>6</v>
      </c>
      <c r="C1208" s="647" t="s">
        <v>674</v>
      </c>
      <c r="D1208" s="650" t="s">
        <v>324</v>
      </c>
      <c r="E1208" s="645"/>
      <c r="F1208" s="668">
        <f>' WP II-I-1.4'!G1209</f>
        <v>13606322</v>
      </c>
      <c r="G1208" s="645">
        <v>10</v>
      </c>
      <c r="H1208" s="620" t="str">
        <f t="shared" si="404"/>
        <v>CUS U RTL</v>
      </c>
      <c r="I1208" s="645"/>
      <c r="J1208" s="648">
        <f t="shared" ref="J1208:S1214" si="408">$F1208*HLOOKUP(J$1354,FactorTable,$G1208+1)</f>
        <v>11643330.224532051</v>
      </c>
      <c r="K1208" s="648">
        <f t="shared" si="408"/>
        <v>965786.97618296102</v>
      </c>
      <c r="L1208" s="648">
        <f t="shared" si="408"/>
        <v>789107.96348065557</v>
      </c>
      <c r="M1208" s="648">
        <f t="shared" si="408"/>
        <v>10543.232222741553</v>
      </c>
      <c r="N1208" s="648">
        <f t="shared" si="408"/>
        <v>23602.04266003197</v>
      </c>
      <c r="O1208" s="648">
        <f t="shared" si="408"/>
        <v>548.18081413297386</v>
      </c>
      <c r="P1208" s="648">
        <f t="shared" si="408"/>
        <v>1143.4446429767554</v>
      </c>
      <c r="Q1208" s="648">
        <f t="shared" si="408"/>
        <v>172259.93546444818</v>
      </c>
      <c r="R1208" s="648">
        <f t="shared" si="408"/>
        <v>0</v>
      </c>
      <c r="S1208" s="648">
        <f t="shared" si="408"/>
        <v>0</v>
      </c>
      <c r="T1208" s="645"/>
      <c r="U1208" s="694">
        <f t="shared" si="406"/>
        <v>13606321.999999996</v>
      </c>
      <c r="X1208" s="646">
        <f t="shared" si="395"/>
        <v>0</v>
      </c>
    </row>
    <row r="1209" spans="2:24" s="589" customFormat="1" x14ac:dyDescent="0.2">
      <c r="B1209" s="645">
        <f t="shared" si="407"/>
        <v>7</v>
      </c>
      <c r="C1209" s="647" t="s">
        <v>674</v>
      </c>
      <c r="D1209" s="647" t="s">
        <v>325</v>
      </c>
      <c r="E1209" s="645"/>
      <c r="F1209" s="668">
        <f>' WP II-I-1.4'!G1210</f>
        <v>107361.28</v>
      </c>
      <c r="G1209" s="645">
        <v>58</v>
      </c>
      <c r="H1209" s="620" t="str">
        <f t="shared" si="404"/>
        <v>PLTDIST_N</v>
      </c>
      <c r="I1209" s="645"/>
      <c r="J1209" s="648">
        <f t="shared" ca="1" si="408"/>
        <v>58663.727444449381</v>
      </c>
      <c r="K1209" s="648">
        <f t="shared" ca="1" si="408"/>
        <v>1563.4618147126523</v>
      </c>
      <c r="L1209" s="648">
        <f t="shared" ca="1" si="408"/>
        <v>37340.233075917364</v>
      </c>
      <c r="M1209" s="648">
        <f t="shared" ca="1" si="408"/>
        <v>11.100690921680261</v>
      </c>
      <c r="N1209" s="648">
        <f t="shared" ca="1" si="408"/>
        <v>6977.7508816455065</v>
      </c>
      <c r="O1209" s="648">
        <f t="shared" ca="1" si="408"/>
        <v>732.79663314973027</v>
      </c>
      <c r="P1209" s="648">
        <f t="shared" ca="1" si="408"/>
        <v>142.80625016759222</v>
      </c>
      <c r="Q1209" s="648">
        <f t="shared" ca="1" si="408"/>
        <v>1611.0113927503951</v>
      </c>
      <c r="R1209" s="648">
        <f t="shared" ca="1" si="408"/>
        <v>50.653766207611909</v>
      </c>
      <c r="S1209" s="648">
        <f t="shared" ca="1" si="408"/>
        <v>267.73805007810404</v>
      </c>
      <c r="T1209" s="645"/>
      <c r="U1209" s="694">
        <f t="shared" ca="1" si="406"/>
        <v>107361.28000000003</v>
      </c>
      <c r="X1209" s="646">
        <f t="shared" ca="1" si="395"/>
        <v>0</v>
      </c>
    </row>
    <row r="1210" spans="2:24" s="589" customFormat="1" x14ac:dyDescent="0.2">
      <c r="B1210" s="645">
        <f t="shared" si="407"/>
        <v>8</v>
      </c>
      <c r="C1210" s="647" t="s">
        <v>1135</v>
      </c>
      <c r="D1210" s="647" t="s">
        <v>327</v>
      </c>
      <c r="E1210" s="645"/>
      <c r="F1210" s="668">
        <f>' WP II-I-1.4'!G1211</f>
        <v>10615770.26</v>
      </c>
      <c r="G1210" s="645">
        <v>45</v>
      </c>
      <c r="H1210" s="620" t="str">
        <f t="shared" si="404"/>
        <v>PLT 364</v>
      </c>
      <c r="I1210" s="645"/>
      <c r="J1210" s="648">
        <f t="shared" si="408"/>
        <v>5801954.3944982234</v>
      </c>
      <c r="K1210" s="648">
        <f t="shared" si="408"/>
        <v>109614.39351559214</v>
      </c>
      <c r="L1210" s="648">
        <f t="shared" si="408"/>
        <v>3726619.8086112682</v>
      </c>
      <c r="M1210" s="648">
        <f t="shared" si="408"/>
        <v>1444.7479423159862</v>
      </c>
      <c r="N1210" s="648">
        <f t="shared" si="408"/>
        <v>908149.88899132202</v>
      </c>
      <c r="O1210" s="648">
        <f t="shared" si="408"/>
        <v>0</v>
      </c>
      <c r="P1210" s="648">
        <f t="shared" si="408"/>
        <v>0</v>
      </c>
      <c r="Q1210" s="648">
        <f t="shared" si="408"/>
        <v>33141.087602050415</v>
      </c>
      <c r="R1210" s="648">
        <f t="shared" si="408"/>
        <v>0</v>
      </c>
      <c r="S1210" s="648">
        <f t="shared" si="408"/>
        <v>34845.93883922723</v>
      </c>
      <c r="T1210" s="645"/>
      <c r="U1210" s="694">
        <f t="shared" si="406"/>
        <v>10615770.26</v>
      </c>
      <c r="X1210" s="646">
        <f t="shared" si="395"/>
        <v>0</v>
      </c>
    </row>
    <row r="1211" spans="2:24" s="589" customFormat="1" x14ac:dyDescent="0.2">
      <c r="B1211" s="645">
        <f t="shared" si="407"/>
        <v>9</v>
      </c>
      <c r="C1211" s="647" t="s">
        <v>1135</v>
      </c>
      <c r="D1211" s="647" t="s">
        <v>900</v>
      </c>
      <c r="E1211" s="645" t="s">
        <v>902</v>
      </c>
      <c r="F1211" s="668">
        <f>' WP II-I-1.4'!G1212</f>
        <v>191157.49081999998</v>
      </c>
      <c r="G1211" s="645">
        <v>45</v>
      </c>
      <c r="H1211" s="620" t="str">
        <f t="shared" si="404"/>
        <v>PLT 364</v>
      </c>
      <c r="I1211" s="645"/>
      <c r="J1211" s="648">
        <f t="shared" si="408"/>
        <v>104475.41881001038</v>
      </c>
      <c r="K1211" s="648">
        <f t="shared" si="408"/>
        <v>1973.8193187120337</v>
      </c>
      <c r="L1211" s="648">
        <f t="shared" si="408"/>
        <v>67105.002690048655</v>
      </c>
      <c r="M1211" s="648">
        <f t="shared" si="408"/>
        <v>26.01548307437486</v>
      </c>
      <c r="N1211" s="648">
        <f t="shared" si="408"/>
        <v>16352.996515209312</v>
      </c>
      <c r="O1211" s="648">
        <f t="shared" si="408"/>
        <v>0</v>
      </c>
      <c r="P1211" s="648">
        <f t="shared" si="408"/>
        <v>0</v>
      </c>
      <c r="Q1211" s="648">
        <f t="shared" si="408"/>
        <v>596.76942830277187</v>
      </c>
      <c r="R1211" s="648">
        <f t="shared" si="408"/>
        <v>0</v>
      </c>
      <c r="S1211" s="648">
        <f t="shared" si="408"/>
        <v>627.46857464244533</v>
      </c>
      <c r="T1211" s="645"/>
      <c r="U1211" s="694">
        <f t="shared" si="406"/>
        <v>191157.49081999998</v>
      </c>
      <c r="X1211" s="646">
        <f t="shared" si="395"/>
        <v>0</v>
      </c>
    </row>
    <row r="1212" spans="2:24" s="589" customFormat="1" x14ac:dyDescent="0.2">
      <c r="B1212" s="645">
        <f t="shared" si="407"/>
        <v>10</v>
      </c>
      <c r="C1212" s="647" t="s">
        <v>1135</v>
      </c>
      <c r="D1212" s="647" t="s">
        <v>901</v>
      </c>
      <c r="E1212" s="645" t="s">
        <v>902</v>
      </c>
      <c r="F1212" s="668">
        <f>' WP II-I-1.4'!G1213</f>
        <v>1091778.68918</v>
      </c>
      <c r="G1212" s="645">
        <v>47</v>
      </c>
      <c r="H1212" s="620" t="str">
        <f t="shared" si="404"/>
        <v>PLT 366</v>
      </c>
      <c r="I1212" s="645"/>
      <c r="J1212" s="648">
        <f t="shared" si="408"/>
        <v>609421.0433746581</v>
      </c>
      <c r="K1212" s="648">
        <f t="shared" si="408"/>
        <v>11513.588960385094</v>
      </c>
      <c r="L1212" s="648">
        <f t="shared" si="408"/>
        <v>391433.70967860916</v>
      </c>
      <c r="M1212" s="648">
        <f t="shared" si="408"/>
        <v>116.15204061496429</v>
      </c>
      <c r="N1212" s="648">
        <f t="shared" si="408"/>
        <v>73011.671933237914</v>
      </c>
      <c r="O1212" s="648">
        <f t="shared" si="408"/>
        <v>0</v>
      </c>
      <c r="P1212" s="648">
        <f t="shared" si="408"/>
        <v>0</v>
      </c>
      <c r="Q1212" s="648">
        <f t="shared" si="408"/>
        <v>3481.0470423835886</v>
      </c>
      <c r="R1212" s="648">
        <f t="shared" si="408"/>
        <v>0</v>
      </c>
      <c r="S1212" s="648">
        <f t="shared" si="408"/>
        <v>2801.4761501112107</v>
      </c>
      <c r="T1212" s="645"/>
      <c r="U1212" s="694">
        <f>SUM(I1212:T1212)</f>
        <v>1091778.68918</v>
      </c>
      <c r="X1212" s="646">
        <f t="shared" si="395"/>
        <v>0</v>
      </c>
    </row>
    <row r="1213" spans="2:24" s="589" customFormat="1" x14ac:dyDescent="0.2">
      <c r="B1213" s="645">
        <f t="shared" si="407"/>
        <v>11</v>
      </c>
      <c r="C1213" s="647" t="s">
        <v>1135</v>
      </c>
      <c r="D1213" s="647" t="s">
        <v>331</v>
      </c>
      <c r="E1213" s="645"/>
      <c r="F1213" s="668">
        <f>' WP II-I-1.4'!G1214</f>
        <v>0</v>
      </c>
      <c r="G1213" s="645">
        <v>45</v>
      </c>
      <c r="H1213" s="620" t="str">
        <f t="shared" si="404"/>
        <v>PLT 364</v>
      </c>
      <c r="I1213" s="645"/>
      <c r="J1213" s="648">
        <f t="shared" si="408"/>
        <v>0</v>
      </c>
      <c r="K1213" s="648">
        <f t="shared" si="408"/>
        <v>0</v>
      </c>
      <c r="L1213" s="648">
        <f t="shared" si="408"/>
        <v>0</v>
      </c>
      <c r="M1213" s="648">
        <f t="shared" si="408"/>
        <v>0</v>
      </c>
      <c r="N1213" s="648">
        <f t="shared" si="408"/>
        <v>0</v>
      </c>
      <c r="O1213" s="648">
        <f t="shared" si="408"/>
        <v>0</v>
      </c>
      <c r="P1213" s="648">
        <f t="shared" si="408"/>
        <v>0</v>
      </c>
      <c r="Q1213" s="648">
        <f t="shared" si="408"/>
        <v>0</v>
      </c>
      <c r="R1213" s="648">
        <f t="shared" si="408"/>
        <v>0</v>
      </c>
      <c r="S1213" s="648">
        <f t="shared" si="408"/>
        <v>0</v>
      </c>
      <c r="T1213" s="645"/>
      <c r="U1213" s="694">
        <f t="shared" si="406"/>
        <v>0</v>
      </c>
      <c r="X1213" s="646">
        <f t="shared" si="395"/>
        <v>0</v>
      </c>
    </row>
    <row r="1214" spans="2:24" s="589" customFormat="1" x14ac:dyDescent="0.2">
      <c r="B1214" s="645">
        <f t="shared" si="407"/>
        <v>12</v>
      </c>
      <c r="C1214" s="647" t="s">
        <v>1135</v>
      </c>
      <c r="D1214" s="647" t="s">
        <v>1304</v>
      </c>
      <c r="E1214" s="645"/>
      <c r="F1214" s="668">
        <f>' WP II-I-1.4'!G1215</f>
        <v>36752.630000000005</v>
      </c>
      <c r="G1214" s="645">
        <v>62</v>
      </c>
      <c r="H1214" s="620" t="str">
        <f t="shared" si="404"/>
        <v>PLTGEN</v>
      </c>
      <c r="I1214" s="645"/>
      <c r="J1214" s="648">
        <f t="shared" ca="1" si="408"/>
        <v>20051.582502039608</v>
      </c>
      <c r="K1214" s="648">
        <f t="shared" ca="1" si="408"/>
        <v>530.78459818548379</v>
      </c>
      <c r="L1214" s="648">
        <f t="shared" ca="1" si="408"/>
        <v>12765.794058830648</v>
      </c>
      <c r="M1214" s="648">
        <f t="shared" ca="1" si="408"/>
        <v>3.8461542247056308</v>
      </c>
      <c r="N1214" s="648">
        <f t="shared" ca="1" si="408"/>
        <v>2417.6428495967925</v>
      </c>
      <c r="O1214" s="648">
        <f t="shared" ca="1" si="408"/>
        <v>282.49170033040997</v>
      </c>
      <c r="P1214" s="648">
        <f t="shared" ca="1" si="408"/>
        <v>47.677660828017949</v>
      </c>
      <c r="Q1214" s="648">
        <f t="shared" ca="1" si="408"/>
        <v>540.51798394202592</v>
      </c>
      <c r="R1214" s="648">
        <f t="shared" ca="1" si="408"/>
        <v>19.526929978680158</v>
      </c>
      <c r="S1214" s="648">
        <f t="shared" ca="1" si="408"/>
        <v>92.765562043635143</v>
      </c>
      <c r="T1214" s="645"/>
      <c r="U1214" s="694">
        <f t="shared" ca="1" si="406"/>
        <v>36752.630000000005</v>
      </c>
      <c r="X1214" s="646">
        <f t="shared" ca="1" si="395"/>
        <v>0</v>
      </c>
    </row>
    <row r="1215" spans="2:24" s="589" customFormat="1" x14ac:dyDescent="0.2">
      <c r="B1215" s="645">
        <f t="shared" si="407"/>
        <v>13</v>
      </c>
      <c r="C1215" s="647" t="s">
        <v>1135</v>
      </c>
      <c r="D1215" s="321" t="s">
        <v>1305</v>
      </c>
      <c r="E1215" s="645"/>
      <c r="F1215" s="668">
        <f>' WP II-I-1.4'!G1216</f>
        <v>0</v>
      </c>
      <c r="G1215" s="645">
        <v>6</v>
      </c>
      <c r="H1215" s="620" t="str">
        <f t="shared" si="404"/>
        <v>CUS W ALL</v>
      </c>
      <c r="I1215" s="645"/>
      <c r="J1215" s="648"/>
      <c r="K1215" s="648"/>
      <c r="L1215" s="648"/>
      <c r="M1215" s="648"/>
      <c r="N1215" s="648"/>
      <c r="O1215" s="648"/>
      <c r="P1215" s="648"/>
      <c r="Q1215" s="648"/>
      <c r="R1215" s="648"/>
      <c r="S1215" s="648"/>
      <c r="T1215" s="645"/>
      <c r="U1215" s="694"/>
      <c r="X1215" s="646"/>
    </row>
    <row r="1216" spans="2:24" s="589" customFormat="1" x14ac:dyDescent="0.2">
      <c r="B1216" s="645">
        <f t="shared" si="407"/>
        <v>14</v>
      </c>
      <c r="C1216" s="647" t="s">
        <v>1135</v>
      </c>
      <c r="D1216" s="321" t="s">
        <v>1306</v>
      </c>
      <c r="E1216" s="645"/>
      <c r="F1216" s="668">
        <f>' WP II-I-1.4'!G1217</f>
        <v>0</v>
      </c>
      <c r="G1216" s="645">
        <v>6</v>
      </c>
      <c r="H1216" s="620" t="str">
        <f t="shared" si="404"/>
        <v>CUS W ALL</v>
      </c>
      <c r="I1216" s="645"/>
      <c r="J1216" s="648">
        <f t="shared" ref="J1216:S1217" si="409">$F1216*HLOOKUP(J$1354,FactorTable,$G1216+1)</f>
        <v>0</v>
      </c>
      <c r="K1216" s="648">
        <f t="shared" si="409"/>
        <v>0</v>
      </c>
      <c r="L1216" s="648">
        <f t="shared" si="409"/>
        <v>0</v>
      </c>
      <c r="M1216" s="648">
        <f t="shared" si="409"/>
        <v>0</v>
      </c>
      <c r="N1216" s="648">
        <f t="shared" si="409"/>
        <v>0</v>
      </c>
      <c r="O1216" s="648">
        <f t="shared" si="409"/>
        <v>0</v>
      </c>
      <c r="P1216" s="648">
        <f t="shared" si="409"/>
        <v>0</v>
      </c>
      <c r="Q1216" s="648">
        <f t="shared" si="409"/>
        <v>0</v>
      </c>
      <c r="R1216" s="648">
        <f t="shared" si="409"/>
        <v>0</v>
      </c>
      <c r="S1216" s="648">
        <f t="shared" si="409"/>
        <v>0</v>
      </c>
      <c r="T1216" s="645"/>
      <c r="U1216" s="694">
        <f t="shared" si="406"/>
        <v>0</v>
      </c>
      <c r="X1216" s="646">
        <f t="shared" si="395"/>
        <v>0</v>
      </c>
    </row>
    <row r="1217" spans="1:24" s="589" customFormat="1" ht="15" x14ac:dyDescent="0.25">
      <c r="B1217" s="645">
        <f t="shared" si="407"/>
        <v>15</v>
      </c>
      <c r="C1217" s="647" t="s">
        <v>334</v>
      </c>
      <c r="D1217" s="8" t="s">
        <v>335</v>
      </c>
      <c r="E1217" s="645"/>
      <c r="F1217" s="668">
        <f>' WP II-I-1.4'!G1218</f>
        <v>6026344.0000000075</v>
      </c>
      <c r="G1217" s="645">
        <v>58</v>
      </c>
      <c r="H1217" s="620" t="str">
        <f t="shared" si="404"/>
        <v>PLTDIST_N</v>
      </c>
      <c r="I1217" s="645"/>
      <c r="J1217" s="648">
        <f t="shared" ca="1" si="409"/>
        <v>3292879.9088693177</v>
      </c>
      <c r="K1217" s="648">
        <f t="shared" ca="1" si="409"/>
        <v>87759.374015685316</v>
      </c>
      <c r="L1217" s="648">
        <f t="shared" ca="1" si="409"/>
        <v>2095961.3145042274</v>
      </c>
      <c r="M1217" s="648">
        <f t="shared" ca="1" si="409"/>
        <v>623.09784432266815</v>
      </c>
      <c r="N1217" s="648">
        <f t="shared" ca="1" si="409"/>
        <v>391671.25391108566</v>
      </c>
      <c r="O1217" s="648">
        <f t="shared" ca="1" si="409"/>
        <v>41132.935387898535</v>
      </c>
      <c r="P1217" s="648">
        <f t="shared" ca="1" si="409"/>
        <v>8015.9214649822497</v>
      </c>
      <c r="Q1217" s="648">
        <f t="shared" ca="1" si="409"/>
        <v>90428.400635992788</v>
      </c>
      <c r="R1217" s="648">
        <f t="shared" ca="1" si="409"/>
        <v>2843.2691940953496</v>
      </c>
      <c r="S1217" s="648">
        <f t="shared" ca="1" si="409"/>
        <v>15028.524172400737</v>
      </c>
      <c r="T1217" s="645"/>
      <c r="U1217" s="694">
        <f t="shared" ca="1" si="406"/>
        <v>6026344.0000000084</v>
      </c>
      <c r="X1217" s="646">
        <f t="shared" ca="1" si="395"/>
        <v>0</v>
      </c>
    </row>
    <row r="1218" spans="1:24" s="589" customFormat="1" x14ac:dyDescent="0.2">
      <c r="B1218" s="645">
        <f t="shared" si="407"/>
        <v>16</v>
      </c>
      <c r="C1218" s="321" t="s">
        <v>334</v>
      </c>
      <c r="D1218" s="321" t="s">
        <v>1301</v>
      </c>
      <c r="E1218" s="645"/>
      <c r="F1218" s="668">
        <f>' WP II-I-1.4'!G1219</f>
        <v>0</v>
      </c>
      <c r="G1218" s="645">
        <v>6</v>
      </c>
      <c r="H1218" s="620" t="str">
        <f t="shared" ref="H1218:H1219" si="410">VLOOKUP(G1218,FactorTable,2)</f>
        <v>CUS W ALL</v>
      </c>
      <c r="I1218" s="645"/>
      <c r="J1218" s="648"/>
      <c r="K1218" s="648"/>
      <c r="L1218" s="648"/>
      <c r="M1218" s="648"/>
      <c r="N1218" s="648"/>
      <c r="O1218" s="648"/>
      <c r="P1218" s="648"/>
      <c r="Q1218" s="648"/>
      <c r="R1218" s="648"/>
      <c r="S1218" s="648"/>
      <c r="T1218" s="645"/>
      <c r="U1218" s="694"/>
      <c r="X1218" s="646"/>
    </row>
    <row r="1219" spans="1:24" s="589" customFormat="1" x14ac:dyDescent="0.2">
      <c r="B1219" s="645">
        <f t="shared" si="407"/>
        <v>17</v>
      </c>
      <c r="C1219" s="321" t="s">
        <v>334</v>
      </c>
      <c r="D1219" s="321" t="s">
        <v>1302</v>
      </c>
      <c r="E1219" s="645"/>
      <c r="F1219" s="668">
        <f>' WP II-I-1.4'!G1220</f>
        <v>0</v>
      </c>
      <c r="G1219" s="645">
        <v>6</v>
      </c>
      <c r="H1219" s="620" t="str">
        <f t="shared" si="410"/>
        <v>CUS W ALL</v>
      </c>
      <c r="I1219" s="645"/>
      <c r="J1219" s="651"/>
      <c r="K1219" s="651"/>
      <c r="L1219" s="651"/>
      <c r="M1219" s="651"/>
      <c r="N1219" s="651"/>
      <c r="O1219" s="651"/>
      <c r="P1219" s="651"/>
      <c r="Q1219" s="651"/>
      <c r="R1219" s="651"/>
      <c r="S1219" s="651"/>
      <c r="T1219" s="645"/>
      <c r="U1219" s="694"/>
      <c r="X1219" s="646"/>
    </row>
    <row r="1220" spans="1:24" s="589" customFormat="1" ht="15" x14ac:dyDescent="0.25">
      <c r="B1220" s="645">
        <f t="shared" si="407"/>
        <v>18</v>
      </c>
      <c r="C1220" s="191"/>
      <c r="D1220" s="323" t="s">
        <v>444</v>
      </c>
      <c r="E1220" s="191"/>
      <c r="F1220" s="21">
        <f>SUM(F1205:F1219)</f>
        <v>66812956.150000006</v>
      </c>
      <c r="G1220" s="191"/>
      <c r="H1220" s="191"/>
      <c r="I1220" s="191"/>
      <c r="J1220" s="805">
        <f t="shared" ref="J1220:S1220" ca="1" si="411">SUM(J1205:J1219)</f>
        <v>37227660.314982563</v>
      </c>
      <c r="K1220" s="805">
        <f t="shared" ca="1" si="411"/>
        <v>1479139.9690501953</v>
      </c>
      <c r="L1220" s="805">
        <f t="shared" ca="1" si="411"/>
        <v>17210936.624977179</v>
      </c>
      <c r="M1220" s="805">
        <f t="shared" ca="1" si="411"/>
        <v>17485.298637768941</v>
      </c>
      <c r="N1220" s="805">
        <f t="shared" ca="1" si="411"/>
        <v>4364179.887896887</v>
      </c>
      <c r="O1220" s="805">
        <f t="shared" ca="1" si="411"/>
        <v>1290926.5147523861</v>
      </c>
      <c r="P1220" s="805">
        <f t="shared" ca="1" si="411"/>
        <v>4559734.2860010667</v>
      </c>
      <c r="Q1220" s="805">
        <f t="shared" ca="1" si="411"/>
        <v>409541.83410346473</v>
      </c>
      <c r="R1220" s="805">
        <f t="shared" ca="1" si="411"/>
        <v>88786.337962819947</v>
      </c>
      <c r="S1220" s="805">
        <f t="shared" ca="1" si="411"/>
        <v>164565.08163566972</v>
      </c>
      <c r="T1220" s="191"/>
      <c r="U1220" s="21">
        <f t="shared" ca="1" si="406"/>
        <v>66812956.150000006</v>
      </c>
      <c r="X1220" s="646">
        <f t="shared" ca="1" si="395"/>
        <v>0</v>
      </c>
    </row>
    <row r="1221" spans="1:24" ht="15" thickBot="1" x14ac:dyDescent="0.25">
      <c r="A1221" s="64"/>
      <c r="B1221" s="645">
        <f t="shared" si="407"/>
        <v>19</v>
      </c>
      <c r="C1221" s="1"/>
      <c r="D1221" s="1"/>
      <c r="E1221" s="16"/>
      <c r="F1221" s="18"/>
      <c r="G1221" s="16"/>
      <c r="H1221" s="16"/>
      <c r="I1221" s="16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6"/>
      <c r="U1221" s="23"/>
      <c r="V1221" s="64"/>
      <c r="W1221" s="64"/>
      <c r="X1221" s="305">
        <f t="shared" si="395"/>
        <v>0</v>
      </c>
    </row>
    <row r="1222" spans="1:24" ht="15.75" thickBot="1" x14ac:dyDescent="0.3">
      <c r="A1222" s="45"/>
      <c r="B1222" s="645">
        <f t="shared" si="407"/>
        <v>20</v>
      </c>
      <c r="C1222" s="223" t="s">
        <v>676</v>
      </c>
      <c r="D1222" s="252"/>
      <c r="E1222" s="252" t="s">
        <v>318</v>
      </c>
      <c r="F1222" s="194">
        <f>+F1220</f>
        <v>66812956.150000006</v>
      </c>
      <c r="G1222" s="252"/>
      <c r="H1222" s="379"/>
      <c r="I1222" s="963"/>
      <c r="J1222" s="381">
        <f t="shared" ref="J1222:Q1222" ca="1" si="412">+J1220</f>
        <v>37227660.314982563</v>
      </c>
      <c r="K1222" s="812">
        <f t="shared" ca="1" si="412"/>
        <v>1479139.9690501953</v>
      </c>
      <c r="L1222" s="812">
        <f t="shared" ca="1" si="412"/>
        <v>17210936.624977179</v>
      </c>
      <c r="M1222" s="812">
        <f t="shared" ca="1" si="412"/>
        <v>17485.298637768941</v>
      </c>
      <c r="N1222" s="812">
        <f t="shared" ca="1" si="412"/>
        <v>4364179.887896887</v>
      </c>
      <c r="O1222" s="812">
        <f ca="1">+O1220</f>
        <v>1290926.5147523861</v>
      </c>
      <c r="P1222" s="812">
        <f t="shared" ca="1" si="412"/>
        <v>4559734.2860010667</v>
      </c>
      <c r="Q1222" s="812">
        <f t="shared" ca="1" si="412"/>
        <v>409541.83410346473</v>
      </c>
      <c r="R1222" s="812">
        <f ca="1">+R1220</f>
        <v>88786.337962819947</v>
      </c>
      <c r="S1222" s="315">
        <f ca="1">+S1220</f>
        <v>164565.08163566972</v>
      </c>
      <c r="T1222" s="379"/>
      <c r="U1222" s="195">
        <f ca="1">SUM(I1222:T1222)</f>
        <v>66812956.150000006</v>
      </c>
      <c r="V1222" s="64"/>
      <c r="W1222" s="64"/>
      <c r="X1222" s="305">
        <f t="shared" ca="1" si="395"/>
        <v>0</v>
      </c>
    </row>
    <row r="1223" spans="1:24" ht="15" thickBot="1" x14ac:dyDescent="0.25">
      <c r="A1223" s="64"/>
      <c r="B1223" s="645">
        <f t="shared" si="407"/>
        <v>21</v>
      </c>
      <c r="C1223" s="64"/>
      <c r="D1223" s="64"/>
      <c r="E1223" s="64"/>
      <c r="F1223" s="64"/>
      <c r="G1223" s="64"/>
      <c r="H1223" s="64"/>
      <c r="I1223" s="64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64"/>
      <c r="U1223" s="64"/>
      <c r="V1223" s="64"/>
      <c r="W1223" s="64"/>
      <c r="X1223" s="305">
        <f t="shared" si="395"/>
        <v>0</v>
      </c>
    </row>
    <row r="1224" spans="1:24" ht="15.75" thickBot="1" x14ac:dyDescent="0.3">
      <c r="A1224" s="101"/>
      <c r="B1224" s="645">
        <f t="shared" si="407"/>
        <v>22</v>
      </c>
      <c r="C1224" s="223" t="s">
        <v>463</v>
      </c>
      <c r="D1224" s="252"/>
      <c r="E1224" s="252"/>
      <c r="F1224" s="194">
        <f>F622+F1186</f>
        <v>5626905593.4032698</v>
      </c>
      <c r="G1224" s="252"/>
      <c r="H1224" s="379"/>
      <c r="I1224" s="963"/>
      <c r="J1224" s="381">
        <f t="shared" ref="J1224:S1224" ca="1" si="413">J622+J1186</f>
        <v>2767495663.6004272</v>
      </c>
      <c r="K1224" s="812">
        <f t="shared" ca="1" si="413"/>
        <v>71247102.626870543</v>
      </c>
      <c r="L1224" s="812">
        <f t="shared" ca="1" si="413"/>
        <v>1866250577.7005854</v>
      </c>
      <c r="M1224" s="812">
        <f t="shared" ca="1" si="413"/>
        <v>754298.66440027417</v>
      </c>
      <c r="N1224" s="812">
        <f t="shared" ca="1" si="413"/>
        <v>438959334.05686688</v>
      </c>
      <c r="O1224" s="812">
        <f t="shared" ca="1" si="413"/>
        <v>99859840.495407119</v>
      </c>
      <c r="P1224" s="812">
        <f t="shared" ca="1" si="413"/>
        <v>278647979.41598326</v>
      </c>
      <c r="Q1224" s="812">
        <f t="shared" ca="1" si="413"/>
        <v>93096975.236789078</v>
      </c>
      <c r="R1224" s="812">
        <f t="shared" ca="1" si="413"/>
        <v>1923108.7614232795</v>
      </c>
      <c r="S1224" s="315">
        <f t="shared" ca="1" si="413"/>
        <v>8670712.8445161097</v>
      </c>
      <c r="T1224" s="379"/>
      <c r="U1224" s="195">
        <f ca="1">SUM(I1224:T1224)</f>
        <v>5626905593.4032679</v>
      </c>
      <c r="V1224" s="101"/>
      <c r="W1224" s="101"/>
      <c r="X1224" s="305">
        <f t="shared" ca="1" si="395"/>
        <v>0</v>
      </c>
    </row>
    <row r="1225" spans="1:24" ht="15" thickBot="1" x14ac:dyDescent="0.25">
      <c r="A1225" s="64"/>
      <c r="B1225" s="645">
        <f t="shared" si="407"/>
        <v>23</v>
      </c>
      <c r="C1225" s="64"/>
      <c r="D1225" s="64"/>
      <c r="E1225" s="64"/>
      <c r="F1225" s="64"/>
      <c r="G1225" s="64"/>
      <c r="H1225" s="64"/>
      <c r="I1225" s="64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64"/>
      <c r="U1225" s="64"/>
      <c r="V1225" s="64"/>
      <c r="W1225" s="64"/>
      <c r="X1225" s="305">
        <f t="shared" si="395"/>
        <v>0</v>
      </c>
    </row>
    <row r="1226" spans="1:24" ht="15.75" thickBot="1" x14ac:dyDescent="0.3">
      <c r="A1226" s="101"/>
      <c r="B1226" s="645">
        <f t="shared" si="407"/>
        <v>24</v>
      </c>
      <c r="C1226" s="223" t="s">
        <v>677</v>
      </c>
      <c r="D1226" s="252"/>
      <c r="E1226" s="252"/>
      <c r="F1226" s="194">
        <f>F1224-F1222</f>
        <v>5560092637.2532701</v>
      </c>
      <c r="G1226" s="252"/>
      <c r="H1226" s="379"/>
      <c r="I1226" s="963"/>
      <c r="J1226" s="381">
        <f t="shared" ref="J1226:Q1226" ca="1" si="414">J1224-J1222</f>
        <v>2730268003.2854447</v>
      </c>
      <c r="K1226" s="812">
        <f t="shared" ca="1" si="414"/>
        <v>69767962.657820344</v>
      </c>
      <c r="L1226" s="812">
        <f t="shared" ca="1" si="414"/>
        <v>1849039641.0756083</v>
      </c>
      <c r="M1226" s="812">
        <f t="shared" ca="1" si="414"/>
        <v>736813.36576250521</v>
      </c>
      <c r="N1226" s="812">
        <f t="shared" ca="1" si="414"/>
        <v>434595154.16896999</v>
      </c>
      <c r="O1226" s="812">
        <f ca="1">O1224-O1222</f>
        <v>98568913.980654731</v>
      </c>
      <c r="P1226" s="812">
        <f t="shared" ca="1" si="414"/>
        <v>274088245.12998217</v>
      </c>
      <c r="Q1226" s="812">
        <f t="shared" ca="1" si="414"/>
        <v>92687433.402685612</v>
      </c>
      <c r="R1226" s="812">
        <f ca="1">R1224-R1222</f>
        <v>1834322.4234604596</v>
      </c>
      <c r="S1226" s="315">
        <f ca="1">S1224-S1222</f>
        <v>8506147.7628804408</v>
      </c>
      <c r="T1226" s="379"/>
      <c r="U1226" s="195">
        <f ca="1">SUM(I1226:T1226)</f>
        <v>5560092637.2532682</v>
      </c>
      <c r="V1226" s="101"/>
      <c r="W1226" s="101"/>
      <c r="X1226" s="305">
        <f t="shared" ca="1" si="395"/>
        <v>0</v>
      </c>
    </row>
    <row r="1227" spans="1:24" ht="15" thickBot="1" x14ac:dyDescent="0.25">
      <c r="A1227" s="64"/>
      <c r="B1227" s="645">
        <f t="shared" si="407"/>
        <v>25</v>
      </c>
      <c r="C1227" s="64"/>
      <c r="D1227" s="64"/>
      <c r="E1227" s="64"/>
      <c r="F1227" s="64"/>
      <c r="G1227" s="64"/>
      <c r="H1227" s="64"/>
      <c r="I1227" s="64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64"/>
      <c r="U1227" s="64"/>
      <c r="V1227" s="64"/>
      <c r="W1227" s="64"/>
      <c r="X1227" s="305">
        <f t="shared" si="395"/>
        <v>0</v>
      </c>
    </row>
    <row r="1228" spans="1:24" ht="15" x14ac:dyDescent="0.25">
      <c r="A1228" s="101"/>
      <c r="B1228" s="645">
        <f t="shared" si="407"/>
        <v>26</v>
      </c>
      <c r="C1228" s="255" t="s">
        <v>1219</v>
      </c>
      <c r="D1228" s="241"/>
      <c r="E1228" s="241"/>
      <c r="F1228" s="817">
        <f>F1224-F645-('WP II-I-2.2'!$P$45)*F776</f>
        <v>3526064120.7432699</v>
      </c>
      <c r="G1228" s="241"/>
      <c r="H1228" s="372"/>
      <c r="I1228" s="373"/>
      <c r="J1228" s="817">
        <f ca="1">J1224-J645-('WP II-I-2.2'!$P$45)*J776</f>
        <v>1846090676.0321944</v>
      </c>
      <c r="K1228" s="817">
        <f ca="1">K1224-K645-('WP II-I-2.2'!$P$45)*K776</f>
        <v>52672225.400930837</v>
      </c>
      <c r="L1228" s="817">
        <f ca="1">L1224-L645-('WP II-I-2.2'!$P$45)*L776</f>
        <v>1224791057.3663306</v>
      </c>
      <c r="M1228" s="817">
        <f ca="1">M1224-M645-('WP II-I-2.2'!$P$45)*M776</f>
        <v>551369.27571857627</v>
      </c>
      <c r="N1228" s="817">
        <f ca="1">N1224-N645-('WP II-I-2.2'!$P$45)*N776</f>
        <v>239509914.44146085</v>
      </c>
      <c r="O1228" s="817">
        <f ca="1">O1224-O645-('WP II-I-2.2'!$P$45)*O776</f>
        <v>27451744.95398131</v>
      </c>
      <c r="P1228" s="817">
        <f ca="1">P1224-P645-('WP II-I-2.2'!$P$45)*P776</f>
        <v>31306336.429923862</v>
      </c>
      <c r="Q1228" s="817">
        <f ca="1">Q1224-Q645-('WP II-I-2.2'!$P$45)*Q776</f>
        <v>93096975.236789078</v>
      </c>
      <c r="R1228" s="817">
        <f ca="1">R1224-R645-('WP II-I-2.2'!$P$45)*R776</f>
        <v>1923108.7614232795</v>
      </c>
      <c r="S1228" s="817">
        <f ca="1">S1224-S645-('WP II-I-2.2'!$P$45)*S776</f>
        <v>8670712.8445161097</v>
      </c>
      <c r="T1228" s="373"/>
      <c r="U1228" s="243">
        <f ca="1">SUM(I1228:T1228)</f>
        <v>3526064120.743269</v>
      </c>
      <c r="V1228" s="101"/>
      <c r="W1228" s="101"/>
      <c r="X1228" s="305">
        <f t="shared" ca="1" si="395"/>
        <v>0</v>
      </c>
    </row>
    <row r="1229" spans="1:24" x14ac:dyDescent="0.2">
      <c r="A1229" s="64"/>
      <c r="B1229" s="645">
        <f t="shared" si="407"/>
        <v>27</v>
      </c>
      <c r="C1229" s="324"/>
      <c r="D1229" s="325"/>
      <c r="E1229" s="325"/>
      <c r="F1229" s="325"/>
      <c r="G1229" s="325"/>
      <c r="H1229" s="237"/>
      <c r="I1229" s="404"/>
      <c r="J1229" s="325"/>
      <c r="K1229" s="325"/>
      <c r="L1229" s="325"/>
      <c r="M1229" s="325"/>
      <c r="N1229" s="325"/>
      <c r="O1229" s="325"/>
      <c r="P1229" s="325"/>
      <c r="Q1229" s="325"/>
      <c r="R1229" s="325"/>
      <c r="S1229" s="325"/>
      <c r="T1229" s="404"/>
      <c r="U1229" s="237"/>
      <c r="V1229" s="64"/>
      <c r="W1229" s="64"/>
      <c r="X1229" s="305">
        <f t="shared" si="395"/>
        <v>0</v>
      </c>
    </row>
    <row r="1230" spans="1:24" ht="15.75" thickBot="1" x14ac:dyDescent="0.3">
      <c r="A1230" s="101"/>
      <c r="B1230" s="645">
        <f t="shared" si="407"/>
        <v>28</v>
      </c>
      <c r="C1230" s="262" t="s">
        <v>1222</v>
      </c>
      <c r="D1230" s="247"/>
      <c r="E1230" s="247"/>
      <c r="F1230" s="248">
        <f>F1228-F1222</f>
        <v>3459251164.5932698</v>
      </c>
      <c r="G1230" s="247"/>
      <c r="H1230" s="375"/>
      <c r="I1230" s="376"/>
      <c r="J1230" s="248">
        <f t="shared" ref="J1230:Q1230" ca="1" si="415">J1228-J1222</f>
        <v>1808863015.7172117</v>
      </c>
      <c r="K1230" s="248">
        <f t="shared" ca="1" si="415"/>
        <v>51193085.431880638</v>
      </c>
      <c r="L1230" s="248">
        <f t="shared" ca="1" si="415"/>
        <v>1207580120.7413535</v>
      </c>
      <c r="M1230" s="248">
        <f t="shared" ca="1" si="415"/>
        <v>533883.97708080732</v>
      </c>
      <c r="N1230" s="248">
        <f t="shared" ca="1" si="415"/>
        <v>235145734.55356395</v>
      </c>
      <c r="O1230" s="248">
        <f ca="1">O1228-O1222</f>
        <v>26160818.439228922</v>
      </c>
      <c r="P1230" s="248">
        <f t="shared" ca="1" si="415"/>
        <v>26746602.143922795</v>
      </c>
      <c r="Q1230" s="248">
        <f t="shared" ca="1" si="415"/>
        <v>92687433.402685612</v>
      </c>
      <c r="R1230" s="248">
        <f ca="1">R1228-R1222</f>
        <v>1834322.4234604596</v>
      </c>
      <c r="S1230" s="248">
        <f ca="1">S1228-S1222</f>
        <v>8506147.7628804408</v>
      </c>
      <c r="T1230" s="376"/>
      <c r="U1230" s="249">
        <f ca="1">SUM(I1230:T1230)</f>
        <v>3459251164.5932689</v>
      </c>
      <c r="V1230" s="101"/>
      <c r="W1230" s="101"/>
      <c r="X1230" s="305">
        <f t="shared" ca="1" si="395"/>
        <v>0</v>
      </c>
    </row>
    <row r="1231" spans="1:24" x14ac:dyDescent="0.2">
      <c r="B1231" s="16"/>
      <c r="U1231" s="172"/>
      <c r="X1231" s="305"/>
    </row>
    <row r="1232" spans="1:24" x14ac:dyDescent="0.2">
      <c r="B1232" s="16"/>
      <c r="F1232" s="305"/>
      <c r="U1232" s="172"/>
      <c r="X1232" s="305"/>
    </row>
    <row r="1233" spans="1:24" x14ac:dyDescent="0.2">
      <c r="B1233" s="16"/>
      <c r="C1233" s="64"/>
      <c r="F1233" s="327"/>
      <c r="J1233" s="305"/>
      <c r="U1233" s="327"/>
      <c r="X1233" s="305"/>
    </row>
    <row r="1234" spans="1:24" x14ac:dyDescent="0.2">
      <c r="U1234" s="172"/>
      <c r="X1234" s="305"/>
    </row>
    <row r="1235" spans="1:24" ht="15" thickBot="1" x14ac:dyDescent="0.25">
      <c r="H1235" s="105"/>
      <c r="U1235" s="105"/>
      <c r="X1235" s="305"/>
    </row>
    <row r="1236" spans="1:24" ht="15" x14ac:dyDescent="0.25">
      <c r="A1236" s="64"/>
      <c r="B1236" s="829" t="str">
        <f>+$B$4</f>
        <v>2025 RATE CASE</v>
      </c>
      <c r="C1236" s="844"/>
      <c r="D1236" s="547"/>
      <c r="F1236" s="11"/>
      <c r="U1236" s="105"/>
      <c r="X1236" s="305"/>
    </row>
    <row r="1237" spans="1:24" ht="15" x14ac:dyDescent="0.25">
      <c r="A1237" s="64"/>
      <c r="B1237" s="826" t="str">
        <f>+$B$5</f>
        <v>ONCOR ELECTRIC DELIVERY COMPANY LLC</v>
      </c>
      <c r="C1237" s="8"/>
      <c r="D1237" s="548"/>
      <c r="F1237" s="11"/>
      <c r="U1237" s="105"/>
      <c r="V1237" s="64"/>
      <c r="W1237" s="64"/>
      <c r="X1237" s="305"/>
    </row>
    <row r="1238" spans="1:24" ht="15" x14ac:dyDescent="0.25">
      <c r="A1238" s="64"/>
      <c r="B1238" s="826" t="s">
        <v>904</v>
      </c>
      <c r="C1238" s="82"/>
      <c r="D1238" s="548"/>
      <c r="F1238" s="11"/>
      <c r="U1238" s="11"/>
      <c r="V1238" s="64"/>
      <c r="W1238" s="64"/>
      <c r="X1238" s="305"/>
    </row>
    <row r="1239" spans="1:24" ht="15" x14ac:dyDescent="0.25">
      <c r="A1239" s="64"/>
      <c r="B1239" s="341" t="str">
        <f>+$B$7</f>
        <v>TEST YEAR ENDING 12/31/2024</v>
      </c>
      <c r="C1239" s="82"/>
      <c r="D1239" s="548"/>
      <c r="F1239" s="11"/>
      <c r="U1239" s="11"/>
      <c r="V1239" s="64"/>
      <c r="W1239" s="64"/>
      <c r="X1239" s="305"/>
    </row>
    <row r="1240" spans="1:24" ht="15" x14ac:dyDescent="0.25">
      <c r="A1240" s="64"/>
      <c r="B1240" s="341" t="str">
        <f>+$B$8</f>
        <v>SPONSOR:  MATTHEW A. TROXLE</v>
      </c>
      <c r="C1240" s="82"/>
      <c r="D1240" s="548"/>
      <c r="F1240" s="11"/>
      <c r="U1240" s="11"/>
      <c r="V1240" s="64"/>
      <c r="W1240" s="64"/>
      <c r="X1240" s="305"/>
    </row>
    <row r="1241" spans="1:24" ht="15.75" thickBot="1" x14ac:dyDescent="0.3">
      <c r="A1241" s="64"/>
      <c r="B1241" s="345"/>
      <c r="C1241" s="82"/>
      <c r="D1241" s="548"/>
      <c r="F1241" s="11"/>
      <c r="U1241" s="11"/>
      <c r="V1241" s="64"/>
      <c r="W1241" s="64"/>
      <c r="X1241" s="305"/>
    </row>
    <row r="1242" spans="1:24" ht="15.75" thickBot="1" x14ac:dyDescent="0.3">
      <c r="A1242" s="64"/>
      <c r="B1242" s="331"/>
      <c r="C1242" s="405"/>
      <c r="D1242" s="406"/>
      <c r="E1242" s="406"/>
      <c r="F1242" s="176"/>
      <c r="G1242" s="177"/>
      <c r="H1242" s="373" t="str">
        <f>F$11</f>
        <v>DIST</v>
      </c>
      <c r="I1242" s="13"/>
      <c r="J1242" s="13"/>
      <c r="K1242" s="177"/>
      <c r="L1242" s="13"/>
      <c r="M1242" s="13"/>
      <c r="N1242" s="177"/>
      <c r="O1242" s="177"/>
      <c r="P1242" s="177"/>
      <c r="Q1242" s="13"/>
      <c r="R1242" s="328" t="str">
        <f>R$10</f>
        <v xml:space="preserve"> </v>
      </c>
      <c r="S1242" s="329"/>
      <c r="T1242" s="177"/>
      <c r="U1242" s="12"/>
      <c r="V1242" s="64"/>
      <c r="W1242" s="64"/>
      <c r="X1242" s="305"/>
    </row>
    <row r="1243" spans="1:24" ht="15" x14ac:dyDescent="0.25">
      <c r="A1243" s="64"/>
      <c r="B1243" s="174" t="s">
        <v>2</v>
      </c>
      <c r="C1243" s="174"/>
      <c r="D1243" s="407" t="s">
        <v>691</v>
      </c>
      <c r="E1243" s="330"/>
      <c r="F1243" s="181"/>
      <c r="G1243" s="181" t="s">
        <v>688</v>
      </c>
      <c r="H1243" s="14" t="s">
        <v>355</v>
      </c>
      <c r="I1243" s="14"/>
      <c r="J1243" s="14" t="s">
        <v>679</v>
      </c>
      <c r="K1243" s="181" t="s">
        <v>388</v>
      </c>
      <c r="L1243" s="14" t="s">
        <v>388</v>
      </c>
      <c r="M1243" s="14" t="s">
        <v>389</v>
      </c>
      <c r="N1243" s="181" t="s">
        <v>389</v>
      </c>
      <c r="O1243" s="181" t="s">
        <v>389</v>
      </c>
      <c r="P1243" s="181" t="s">
        <v>390</v>
      </c>
      <c r="Q1243" s="14" t="s">
        <v>391</v>
      </c>
      <c r="R1243" s="331" t="str">
        <f>R$11</f>
        <v>Wholesale</v>
      </c>
      <c r="S1243" s="12" t="str">
        <f>S$11</f>
        <v>Wholesale</v>
      </c>
      <c r="T1243" s="181"/>
      <c r="U1243" s="14" t="s">
        <v>10</v>
      </c>
      <c r="V1243" s="64"/>
      <c r="W1243" s="64"/>
      <c r="X1243" s="305"/>
    </row>
    <row r="1244" spans="1:24" x14ac:dyDescent="0.2">
      <c r="A1244" s="64"/>
      <c r="B1244" s="174"/>
      <c r="C1244" s="174"/>
      <c r="D1244" s="330"/>
      <c r="E1244" s="330"/>
      <c r="F1244" s="181"/>
      <c r="G1244" s="181" t="s">
        <v>689</v>
      </c>
      <c r="H1244" s="14" t="s">
        <v>690</v>
      </c>
      <c r="I1244" s="14"/>
      <c r="J1244" s="14"/>
      <c r="K1244" s="181" t="s">
        <v>680</v>
      </c>
      <c r="L1244" s="14" t="s">
        <v>681</v>
      </c>
      <c r="M1244" s="14" t="s">
        <v>680</v>
      </c>
      <c r="N1244" s="181" t="s">
        <v>681</v>
      </c>
      <c r="O1244" s="181" t="s">
        <v>393</v>
      </c>
      <c r="P1244" s="181"/>
      <c r="Q1244" s="14"/>
      <c r="R1244" s="174" t="str">
        <f>R$12</f>
        <v>XFMR</v>
      </c>
      <c r="S1244" s="14" t="str">
        <f>S$12</f>
        <v>DLS</v>
      </c>
      <c r="T1244" s="181"/>
      <c r="U1244" s="14"/>
      <c r="V1244" s="64"/>
      <c r="W1244" s="64"/>
      <c r="X1244" s="305"/>
    </row>
    <row r="1245" spans="1:24" ht="15" thickBot="1" x14ac:dyDescent="0.25">
      <c r="A1245" s="64"/>
      <c r="B1245" s="182"/>
      <c r="C1245" s="182"/>
      <c r="D1245" s="408" t="s">
        <v>13</v>
      </c>
      <c r="E1245" s="408"/>
      <c r="F1245" s="184"/>
      <c r="G1245" s="184" t="s">
        <v>14</v>
      </c>
      <c r="H1245" s="15" t="s">
        <v>15</v>
      </c>
      <c r="I1245" s="15"/>
      <c r="J1245" s="15" t="str">
        <f t="shared" ref="J1245:Q1245" si="416">J$13</f>
        <v>(d)</v>
      </c>
      <c r="K1245" s="182" t="str">
        <f t="shared" si="416"/>
        <v>(e)</v>
      </c>
      <c r="L1245" s="15" t="str">
        <f t="shared" si="416"/>
        <v>(f)</v>
      </c>
      <c r="M1245" s="15" t="str">
        <f t="shared" si="416"/>
        <v>(g)</v>
      </c>
      <c r="N1245" s="182" t="str">
        <f t="shared" si="416"/>
        <v>(h)</v>
      </c>
      <c r="O1245" s="182" t="str">
        <f>O$13</f>
        <v>(i)</v>
      </c>
      <c r="P1245" s="182" t="str">
        <f t="shared" si="416"/>
        <v>(j)</v>
      </c>
      <c r="Q1245" s="182" t="str">
        <f t="shared" si="416"/>
        <v>(k)</v>
      </c>
      <c r="R1245" s="182" t="str">
        <f>R$13</f>
        <v>(l)</v>
      </c>
      <c r="S1245" s="15" t="str">
        <f>S$13</f>
        <v>(m)</v>
      </c>
      <c r="T1245" s="15"/>
      <c r="U1245" s="15" t="s">
        <v>683</v>
      </c>
      <c r="V1245" s="64"/>
      <c r="W1245" s="64"/>
      <c r="X1245" s="305"/>
    </row>
    <row r="1246" spans="1:24" x14ac:dyDescent="0.2">
      <c r="B1246" s="16"/>
      <c r="J1246" s="64"/>
      <c r="K1246" s="64"/>
      <c r="L1246" s="64"/>
      <c r="M1246" s="64"/>
      <c r="N1246" s="64"/>
      <c r="O1246" s="64"/>
      <c r="P1246" s="64"/>
      <c r="Q1246" s="64"/>
      <c r="R1246" s="64"/>
      <c r="S1246" s="64"/>
      <c r="U1246" s="172"/>
      <c r="X1246" s="305"/>
    </row>
    <row r="1247" spans="1:24" x14ac:dyDescent="0.2">
      <c r="B1247" s="16"/>
      <c r="J1247" s="64"/>
      <c r="K1247" s="64"/>
      <c r="L1247" s="64"/>
      <c r="M1247" s="64"/>
      <c r="N1247" s="64"/>
      <c r="O1247" s="64"/>
      <c r="P1247" s="64"/>
      <c r="Q1247" s="64"/>
      <c r="R1247" s="64"/>
      <c r="S1247" s="64"/>
      <c r="U1247" s="172"/>
      <c r="X1247" s="305"/>
    </row>
    <row r="1248" spans="1:24" x14ac:dyDescent="0.2">
      <c r="B1248" s="16">
        <f t="shared" ref="B1248:B1311" si="417">B1247+1</f>
        <v>1</v>
      </c>
      <c r="D1248" s="64" t="s">
        <v>692</v>
      </c>
      <c r="G1248" s="16">
        <f t="shared" ref="G1248:G1311" si="418">G1247+1</f>
        <v>1</v>
      </c>
      <c r="H1248" s="64" t="str">
        <f>VLOOKUP(G1248,FactorTable,2)</f>
        <v>ASSIGNED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321"/>
      <c r="U1248" s="17">
        <v>0</v>
      </c>
      <c r="X1248" s="305"/>
    </row>
    <row r="1249" spans="2:24" x14ac:dyDescent="0.2">
      <c r="B1249" s="16">
        <f t="shared" si="417"/>
        <v>2</v>
      </c>
      <c r="D1249" s="64" t="s">
        <v>693</v>
      </c>
      <c r="G1249" s="16">
        <f t="shared" si="418"/>
        <v>2</v>
      </c>
      <c r="H1249" s="64" t="str">
        <f>VLOOKUP(G1249,FactorTable,2)</f>
        <v>N / A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321"/>
      <c r="U1249" s="17">
        <v>0</v>
      </c>
      <c r="X1249" s="305"/>
    </row>
    <row r="1250" spans="2:24" x14ac:dyDescent="0.2">
      <c r="B1250" s="16">
        <f t="shared" si="417"/>
        <v>3</v>
      </c>
      <c r="G1250" s="16">
        <f t="shared" si="418"/>
        <v>3</v>
      </c>
      <c r="J1250" s="64"/>
      <c r="K1250" s="64"/>
      <c r="L1250" s="64"/>
      <c r="M1250" s="64"/>
      <c r="N1250" s="64"/>
      <c r="O1250" s="64"/>
      <c r="P1250" s="64"/>
      <c r="Q1250" s="64"/>
      <c r="R1250" s="64"/>
      <c r="S1250" s="64"/>
      <c r="U1250" s="172"/>
      <c r="X1250" s="305"/>
    </row>
    <row r="1251" spans="2:24" x14ac:dyDescent="0.2">
      <c r="B1251" s="16">
        <f t="shared" si="417"/>
        <v>4</v>
      </c>
      <c r="G1251" s="16">
        <f t="shared" si="418"/>
        <v>4</v>
      </c>
      <c r="J1251" s="64"/>
      <c r="K1251" s="64"/>
      <c r="L1251" s="64"/>
      <c r="M1251" s="64"/>
      <c r="N1251" s="64"/>
      <c r="O1251" s="64"/>
      <c r="P1251" s="64"/>
      <c r="Q1251" s="64"/>
      <c r="R1251" s="64"/>
      <c r="S1251" s="64"/>
      <c r="U1251" s="172"/>
      <c r="X1251" s="305"/>
    </row>
    <row r="1252" spans="2:24" x14ac:dyDescent="0.2">
      <c r="B1252" s="16">
        <f t="shared" si="417"/>
        <v>5</v>
      </c>
      <c r="G1252" s="16">
        <f t="shared" si="418"/>
        <v>5</v>
      </c>
      <c r="J1252" s="64"/>
      <c r="K1252" s="64"/>
      <c r="L1252" s="64"/>
      <c r="M1252" s="64"/>
      <c r="N1252" s="64"/>
      <c r="O1252" s="64"/>
      <c r="P1252" s="64"/>
      <c r="Q1252" s="64"/>
      <c r="R1252" s="64"/>
      <c r="S1252" s="64"/>
      <c r="U1252" s="172"/>
      <c r="X1252" s="305"/>
    </row>
    <row r="1253" spans="2:24" x14ac:dyDescent="0.2">
      <c r="B1253" s="16">
        <f t="shared" si="417"/>
        <v>6</v>
      </c>
      <c r="D1253" s="64" t="s">
        <v>694</v>
      </c>
      <c r="E1253" t="s">
        <v>0</v>
      </c>
      <c r="G1253" s="16">
        <f t="shared" si="418"/>
        <v>6</v>
      </c>
      <c r="H1253" s="45" t="str">
        <f>VLOOKUP(G1253,FactorTable,2)</f>
        <v>CUS W ALL</v>
      </c>
      <c r="J1253" s="410">
        <f>'WP II-I-2.2'!E17</f>
        <v>0.5220434734948457</v>
      </c>
      <c r="K1253" s="410">
        <f>'WP II-I-2.2'!F17</f>
        <v>7.3234910219164243E-2</v>
      </c>
      <c r="L1253" s="410">
        <f>'WP II-I-2.2'!G17</f>
        <v>0.28800912921560134</v>
      </c>
      <c r="M1253" s="410">
        <f>'WP II-I-2.2'!H17</f>
        <v>1.2128655972860062E-2</v>
      </c>
      <c r="N1253" s="410">
        <f>'WP II-I-2.2'!I17</f>
        <v>9.3397053702985858E-2</v>
      </c>
      <c r="O1253" s="410">
        <f>'WP II-I-2.2'!J17</f>
        <v>3.0645626579865848E-3</v>
      </c>
      <c r="P1253" s="410">
        <f>'WP II-I-2.2'!K17</f>
        <v>6.3923392865977858E-3</v>
      </c>
      <c r="Q1253" s="410">
        <f>'WP II-I-2.2'!L17</f>
        <v>5.3233524815684392E-4</v>
      </c>
      <c r="R1253" s="410">
        <f>'WP II-I-2.2'!M17</f>
        <v>3.3841796223164748E-4</v>
      </c>
      <c r="S1253" s="410">
        <f>'WP II-I-2.2'!N17</f>
        <v>8.5912223956998443E-4</v>
      </c>
      <c r="U1253" s="411">
        <f>MAX(0.0000001,SUM(I1253:T1253))</f>
        <v>1.0000000000000002</v>
      </c>
      <c r="X1253" s="305"/>
    </row>
    <row r="1254" spans="2:24" x14ac:dyDescent="0.2">
      <c r="B1254" s="16">
        <f t="shared" si="417"/>
        <v>7</v>
      </c>
      <c r="D1254" s="64" t="s">
        <v>695</v>
      </c>
      <c r="G1254" s="16">
        <f t="shared" si="418"/>
        <v>7</v>
      </c>
      <c r="H1254" s="64" t="str">
        <f>VLOOKUP(G1254,FactorTable,2)</f>
        <v>CUS W SEC</v>
      </c>
      <c r="J1254" s="64">
        <f>J1253</f>
        <v>0.5220434734948457</v>
      </c>
      <c r="K1254" s="64">
        <f>K1253</f>
        <v>7.3234910219164243E-2</v>
      </c>
      <c r="L1254" s="64">
        <f>L1253</f>
        <v>0.28800912921560134</v>
      </c>
      <c r="M1254" s="17">
        <v>0</v>
      </c>
      <c r="N1254" s="17">
        <v>0</v>
      </c>
      <c r="O1254" s="17">
        <v>0</v>
      </c>
      <c r="P1254" s="17">
        <v>0</v>
      </c>
      <c r="Q1254" s="64">
        <f>Q1253</f>
        <v>5.3233524815684392E-4</v>
      </c>
      <c r="R1254" s="17">
        <v>0</v>
      </c>
      <c r="S1254" s="17">
        <v>0</v>
      </c>
      <c r="U1254" s="411">
        <f>MAX(0.0000001,SUM(I1254:T1254))</f>
        <v>0.88381984817776826</v>
      </c>
      <c r="X1254" s="305"/>
    </row>
    <row r="1255" spans="2:24" x14ac:dyDescent="0.2">
      <c r="B1255" s="16">
        <f t="shared" si="417"/>
        <v>8</v>
      </c>
      <c r="D1255" s="64" t="s">
        <v>696</v>
      </c>
      <c r="G1255" s="16">
        <f t="shared" si="418"/>
        <v>8</v>
      </c>
      <c r="H1255" s="64" t="str">
        <f>VLOOKUP(G1255,FactorTable,2)</f>
        <v>CUS W RTL</v>
      </c>
      <c r="J1255" s="64">
        <f t="shared" ref="J1255:Q1255" si="419">J1253</f>
        <v>0.5220434734948457</v>
      </c>
      <c r="K1255" s="64">
        <f t="shared" si="419"/>
        <v>7.3234910219164243E-2</v>
      </c>
      <c r="L1255" s="64">
        <f t="shared" si="419"/>
        <v>0.28800912921560134</v>
      </c>
      <c r="M1255" s="64">
        <f t="shared" si="419"/>
        <v>1.2128655972860062E-2</v>
      </c>
      <c r="N1255" s="64">
        <f t="shared" si="419"/>
        <v>9.3397053702985858E-2</v>
      </c>
      <c r="O1255" s="64">
        <f>O1253</f>
        <v>3.0645626579865848E-3</v>
      </c>
      <c r="P1255" s="64">
        <f t="shared" si="419"/>
        <v>6.3923392865977858E-3</v>
      </c>
      <c r="Q1255" s="64">
        <f t="shared" si="419"/>
        <v>5.3233524815684392E-4</v>
      </c>
      <c r="R1255" s="25"/>
      <c r="S1255" s="25"/>
      <c r="U1255" s="411">
        <f>MAX(0.0000001,SUM(I1255:T1255))</f>
        <v>0.99880245979819859</v>
      </c>
      <c r="X1255" s="305"/>
    </row>
    <row r="1256" spans="2:24" x14ac:dyDescent="0.2">
      <c r="B1256" s="16">
        <f t="shared" si="417"/>
        <v>9</v>
      </c>
      <c r="D1256" s="64" t="s">
        <v>697</v>
      </c>
      <c r="G1256" s="16">
        <f t="shared" si="418"/>
        <v>9</v>
      </c>
      <c r="H1256" s="64" t="str">
        <f>VLOOKUP(G1256,FactorTable,2)</f>
        <v>CUS U ALL</v>
      </c>
      <c r="J1256" s="412">
        <f>'WP II-I-2.2'!E14</f>
        <v>3462111</v>
      </c>
      <c r="K1256" s="412">
        <f>'WP II-I-2.2'!F14</f>
        <v>287174</v>
      </c>
      <c r="L1256" s="412">
        <f>'WP II-I-2.2'!G14</f>
        <v>234639</v>
      </c>
      <c r="M1256" s="412">
        <f>'WP II-I-2.2'!H14</f>
        <v>3135</v>
      </c>
      <c r="N1256" s="412">
        <f>'WP II-I-2.2'!I14</f>
        <v>7018</v>
      </c>
      <c r="O1256" s="412">
        <f>'WP II-I-2.2'!J14</f>
        <v>163</v>
      </c>
      <c r="P1256" s="412">
        <f>'WP II-I-2.2'!K14</f>
        <v>340</v>
      </c>
      <c r="Q1256" s="412">
        <f>'WP II-I-2.2'!L14</f>
        <v>51221</v>
      </c>
      <c r="R1256" s="412">
        <f>'WP II-I-2.2'!M14</f>
        <v>18</v>
      </c>
      <c r="S1256" s="412">
        <f>'WP II-I-2.2'!N14</f>
        <v>52</v>
      </c>
      <c r="U1256" s="48">
        <f>MAX(0.0000001,SUM(I1256:T1256))</f>
        <v>4045871</v>
      </c>
      <c r="X1256" s="305"/>
    </row>
    <row r="1257" spans="2:24" x14ac:dyDescent="0.2">
      <c r="B1257" s="16">
        <f t="shared" si="417"/>
        <v>10</v>
      </c>
      <c r="D1257" s="64" t="s">
        <v>698</v>
      </c>
      <c r="G1257" s="16">
        <f t="shared" si="418"/>
        <v>10</v>
      </c>
      <c r="H1257" s="64" t="str">
        <f>VLOOKUP(G1257,FactorTable,2)</f>
        <v>CUS U RTL</v>
      </c>
      <c r="J1257" s="48">
        <f t="shared" ref="J1257:Q1257" si="420">J1256</f>
        <v>3462111</v>
      </c>
      <c r="K1257" s="48">
        <f t="shared" si="420"/>
        <v>287174</v>
      </c>
      <c r="L1257" s="48">
        <f t="shared" si="420"/>
        <v>234639</v>
      </c>
      <c r="M1257" s="48">
        <f t="shared" si="420"/>
        <v>3135</v>
      </c>
      <c r="N1257" s="48">
        <f t="shared" si="420"/>
        <v>7018</v>
      </c>
      <c r="O1257" s="48">
        <f>O1256</f>
        <v>163</v>
      </c>
      <c r="P1257" s="48">
        <f t="shared" si="420"/>
        <v>340</v>
      </c>
      <c r="Q1257" s="48">
        <f t="shared" si="420"/>
        <v>51221</v>
      </c>
      <c r="R1257" s="17">
        <v>0</v>
      </c>
      <c r="S1257" s="17">
        <v>0</v>
      </c>
      <c r="U1257" s="48">
        <f>MAX(0.0000001,SUM(I1257:T1257))</f>
        <v>4045801</v>
      </c>
      <c r="X1257" s="305"/>
    </row>
    <row r="1258" spans="2:24" x14ac:dyDescent="0.2">
      <c r="B1258" s="16">
        <f t="shared" si="417"/>
        <v>11</v>
      </c>
      <c r="D1258" s="64"/>
      <c r="G1258" s="16">
        <f t="shared" si="418"/>
        <v>11</v>
      </c>
      <c r="H1258" s="64"/>
      <c r="J1258" s="64"/>
      <c r="K1258" s="64"/>
      <c r="L1258" s="64"/>
      <c r="M1258" s="64"/>
      <c r="N1258" s="64"/>
      <c r="O1258" s="64"/>
      <c r="P1258" s="64"/>
      <c r="Q1258" s="64"/>
      <c r="R1258" s="64"/>
      <c r="S1258" s="64"/>
      <c r="U1258" s="172"/>
      <c r="X1258" s="305"/>
    </row>
    <row r="1259" spans="2:24" s="321" customFormat="1" x14ac:dyDescent="0.2">
      <c r="B1259" s="16">
        <f t="shared" si="417"/>
        <v>12</v>
      </c>
      <c r="D1259" s="45"/>
      <c r="G1259" s="16">
        <f t="shared" si="418"/>
        <v>12</v>
      </c>
      <c r="H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U1259" s="1120"/>
      <c r="X1259" s="751"/>
    </row>
    <row r="1260" spans="2:24" s="321" customFormat="1" x14ac:dyDescent="0.2">
      <c r="B1260" s="16">
        <f t="shared" si="417"/>
        <v>13</v>
      </c>
      <c r="D1260" s="45"/>
      <c r="G1260" s="16">
        <f t="shared" si="418"/>
        <v>13</v>
      </c>
      <c r="H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U1260" s="1120"/>
      <c r="X1260" s="751"/>
    </row>
    <row r="1261" spans="2:24" s="321" customFormat="1" x14ac:dyDescent="0.2">
      <c r="B1261" s="16">
        <f t="shared" si="417"/>
        <v>14</v>
      </c>
      <c r="D1261" s="45" t="s">
        <v>699</v>
      </c>
      <c r="G1261" s="16">
        <f t="shared" si="418"/>
        <v>14</v>
      </c>
      <c r="H1261" s="45" t="str">
        <f>VLOOKUP(G1261,FactorTable,2)</f>
        <v>REVENUE</v>
      </c>
      <c r="J1261" s="412">
        <f>'WP II-I-2.2'!E77</f>
        <v>2580905272.3055363</v>
      </c>
      <c r="K1261" s="412">
        <f>'WP II-I-2.2'!F77</f>
        <v>93725156.992601186</v>
      </c>
      <c r="L1261" s="412">
        <f>'WP II-I-2.2'!G77</f>
        <v>1772278110.3614011</v>
      </c>
      <c r="M1261" s="412">
        <f>'WP II-I-2.2'!H77</f>
        <v>1756235.0368453022</v>
      </c>
      <c r="N1261" s="412">
        <f>'WP II-I-2.2'!I77</f>
        <v>388717915.32085443</v>
      </c>
      <c r="O1261" s="412">
        <f>'WP II-I-2.2'!J77</f>
        <v>78824110.817420691</v>
      </c>
      <c r="P1261" s="412">
        <f>'WP II-I-2.2'!K77</f>
        <v>211271320.41081285</v>
      </c>
      <c r="Q1261" s="412">
        <f>'WP II-I-2.2'!L77</f>
        <v>64581935.083779074</v>
      </c>
      <c r="R1261" s="412">
        <f>'WP II-I-2.2'!M77</f>
        <v>1796210.6128</v>
      </c>
      <c r="S1261" s="412">
        <f>'WP II-I-2.2'!N77</f>
        <v>8861400.7717400007</v>
      </c>
      <c r="U1261" s="18">
        <f>MAX(0.0000001,SUM(I1261:T1261))</f>
        <v>5202717667.7137909</v>
      </c>
      <c r="X1261" s="751"/>
    </row>
    <row r="1262" spans="2:24" s="321" customFormat="1" x14ac:dyDescent="0.2">
      <c r="B1262" s="16">
        <f t="shared" si="417"/>
        <v>15</v>
      </c>
      <c r="D1262" s="45" t="s">
        <v>700</v>
      </c>
      <c r="G1262" s="16">
        <f t="shared" si="418"/>
        <v>15</v>
      </c>
      <c r="H1262" s="45" t="str">
        <f>VLOOKUP(G1262,FactorTable,2)</f>
        <v>REVENUE RTL</v>
      </c>
      <c r="J1262" s="18">
        <f t="shared" ref="J1262:Q1262" si="421">J1261</f>
        <v>2580905272.3055363</v>
      </c>
      <c r="K1262" s="18">
        <f t="shared" si="421"/>
        <v>93725156.992601186</v>
      </c>
      <c r="L1262" s="18">
        <f t="shared" si="421"/>
        <v>1772278110.3614011</v>
      </c>
      <c r="M1262" s="18">
        <f t="shared" si="421"/>
        <v>1756235.0368453022</v>
      </c>
      <c r="N1262" s="18">
        <f t="shared" si="421"/>
        <v>388717915.32085443</v>
      </c>
      <c r="O1262" s="18">
        <f>O1261</f>
        <v>78824110.817420691</v>
      </c>
      <c r="P1262" s="18">
        <f t="shared" si="421"/>
        <v>211271320.41081285</v>
      </c>
      <c r="Q1262" s="18">
        <f t="shared" si="421"/>
        <v>64581935.083779074</v>
      </c>
      <c r="R1262" s="25"/>
      <c r="S1262" s="25"/>
      <c r="U1262" s="18">
        <f>MAX(0.0000001,SUM(I1262:T1262))</f>
        <v>5192060056.3292513</v>
      </c>
      <c r="X1262" s="751"/>
    </row>
    <row r="1263" spans="2:24" s="321" customFormat="1" x14ac:dyDescent="0.2">
      <c r="B1263" s="16">
        <f t="shared" si="417"/>
        <v>16</v>
      </c>
      <c r="D1263" s="45"/>
      <c r="G1263" s="16">
        <f t="shared" si="418"/>
        <v>16</v>
      </c>
      <c r="H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U1263" s="1120"/>
      <c r="X1263" s="751"/>
    </row>
    <row r="1264" spans="2:24" s="321" customFormat="1" x14ac:dyDescent="0.2">
      <c r="B1264" s="16">
        <f t="shared" si="417"/>
        <v>17</v>
      </c>
      <c r="D1264" s="620" t="s">
        <v>969</v>
      </c>
      <c r="G1264" s="16">
        <f t="shared" si="418"/>
        <v>17</v>
      </c>
      <c r="H1264" s="620" t="s">
        <v>968</v>
      </c>
      <c r="J1264" s="1121">
        <v>2908779213.2116718</v>
      </c>
      <c r="K1264" s="1121">
        <v>89659832.564144641</v>
      </c>
      <c r="L1264" s="1121">
        <v>1951105002.4859004</v>
      </c>
      <c r="M1264" s="1121">
        <v>3902689.7167118127</v>
      </c>
      <c r="N1264" s="1121">
        <v>467860441.74455619</v>
      </c>
      <c r="O1264" s="1121">
        <v>103742531.55172689</v>
      </c>
      <c r="P1264" s="1121">
        <v>292407086.81673902</v>
      </c>
      <c r="Q1264" s="1121">
        <v>94915393.882881343</v>
      </c>
      <c r="R1264" s="1121">
        <v>2225044.8174865525</v>
      </c>
      <c r="S1264" s="1121">
        <v>9068537.4148711041</v>
      </c>
      <c r="U1264" s="18">
        <f>MAX(0.0000001,SUM(I1264:T1264))</f>
        <v>5923665774.2066908</v>
      </c>
      <c r="X1264" s="751"/>
    </row>
    <row r="1265" spans="2:24" x14ac:dyDescent="0.2">
      <c r="B1265" s="16">
        <f t="shared" si="417"/>
        <v>18</v>
      </c>
      <c r="D1265" s="45"/>
      <c r="G1265" s="16">
        <f t="shared" si="418"/>
        <v>18</v>
      </c>
      <c r="H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U1265" s="172"/>
      <c r="X1265" s="305"/>
    </row>
    <row r="1266" spans="2:24" x14ac:dyDescent="0.2">
      <c r="B1266" s="16">
        <f t="shared" si="417"/>
        <v>19</v>
      </c>
      <c r="D1266" s="589" t="s">
        <v>961</v>
      </c>
      <c r="G1266" s="16">
        <f t="shared" si="418"/>
        <v>19</v>
      </c>
      <c r="H1266" s="64" t="str">
        <f>VLOOKUP(G1266,FactorTable,2)</f>
        <v>ENERGY ICL</v>
      </c>
      <c r="J1266" s="413">
        <f>'WP II-I-2.2'!E20</f>
        <v>40817970.445</v>
      </c>
      <c r="K1266" s="413">
        <f>'WP II-I-2.2'!F20</f>
        <v>1236620.575</v>
      </c>
      <c r="L1266" s="413">
        <f>'WP II-I-2.2'!G20</f>
        <v>43461525.475000001</v>
      </c>
      <c r="M1266" s="413">
        <f>'WP II-I-2.2'!H20</f>
        <v>836.80100000000004</v>
      </c>
      <c r="N1266" s="413">
        <f>'WP II-I-2.2'!I20</f>
        <v>7196537.642</v>
      </c>
      <c r="O1266" s="413">
        <f>'WP II-I-2.2'!J20</f>
        <v>1371791.51</v>
      </c>
      <c r="P1266" s="413">
        <f>'WP II-I-2.2'!K20</f>
        <v>9461162.5539999995</v>
      </c>
      <c r="Q1266" s="413">
        <f>'WP II-I-2.2'!L20</f>
        <v>333986.83399999997</v>
      </c>
      <c r="R1266" s="413">
        <f>'WP II-I-2.2'!M20</f>
        <v>103747.4</v>
      </c>
      <c r="S1266" s="413">
        <f>'WP II-I-2.2'!N20</f>
        <v>122393.4</v>
      </c>
      <c r="U1266" s="48">
        <f>MAX(0.0000001,SUM(I1266:T1266))</f>
        <v>104106572.63600004</v>
      </c>
      <c r="X1266" s="305"/>
    </row>
    <row r="1267" spans="2:24" x14ac:dyDescent="0.2">
      <c r="B1267" s="16">
        <f t="shared" si="417"/>
        <v>20</v>
      </c>
      <c r="D1267" s="64"/>
      <c r="G1267" s="16">
        <f t="shared" si="418"/>
        <v>20</v>
      </c>
      <c r="H1267" s="64"/>
      <c r="J1267" s="64"/>
      <c r="K1267" s="64"/>
      <c r="L1267" s="64"/>
      <c r="M1267" s="64"/>
      <c r="N1267" s="64"/>
      <c r="O1267" s="64"/>
      <c r="P1267" s="64"/>
      <c r="Q1267" s="64"/>
      <c r="R1267" s="64"/>
      <c r="S1267" s="64"/>
      <c r="U1267" s="172"/>
      <c r="X1267" s="305"/>
    </row>
    <row r="1268" spans="2:24" x14ac:dyDescent="0.2">
      <c r="B1268" s="16">
        <f t="shared" si="417"/>
        <v>21</v>
      </c>
      <c r="D1268" s="64"/>
      <c r="G1268" s="16">
        <f t="shared" si="418"/>
        <v>21</v>
      </c>
      <c r="H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  <c r="U1268" s="172"/>
      <c r="X1268" s="305"/>
    </row>
    <row r="1269" spans="2:24" x14ac:dyDescent="0.2">
      <c r="B1269" s="16">
        <f t="shared" si="417"/>
        <v>22</v>
      </c>
      <c r="D1269" s="45"/>
      <c r="G1269" s="16">
        <f t="shared" si="418"/>
        <v>22</v>
      </c>
      <c r="H1269" s="64"/>
      <c r="J1269" s="64"/>
      <c r="K1269" s="64"/>
      <c r="L1269" s="64"/>
      <c r="M1269" s="64"/>
      <c r="N1269" s="64"/>
      <c r="O1269" s="64"/>
      <c r="P1269" s="64"/>
      <c r="Q1269" s="64"/>
      <c r="R1269" s="64"/>
      <c r="S1269" s="64"/>
      <c r="U1269" s="172"/>
      <c r="X1269" s="305"/>
    </row>
    <row r="1270" spans="2:24" x14ac:dyDescent="0.2">
      <c r="B1270" s="16">
        <f t="shared" si="417"/>
        <v>23</v>
      </c>
      <c r="D1270" s="64" t="s">
        <v>702</v>
      </c>
      <c r="G1270" s="16">
        <f t="shared" si="418"/>
        <v>23</v>
      </c>
      <c r="H1270" s="64" t="str">
        <f>VLOOKUP(G1270,FactorTable,2)</f>
        <v>4CP RTL</v>
      </c>
      <c r="J1270" s="413">
        <f>'WP II-I-2.2'!E40</f>
        <v>12679094.989879329</v>
      </c>
      <c r="K1270" s="413">
        <f>'WP II-I-2.2'!F40</f>
        <v>255601.64743040886</v>
      </c>
      <c r="L1270" s="413">
        <f>'WP II-I-2.2'!G40</f>
        <v>8826874.5016730912</v>
      </c>
      <c r="M1270" s="413">
        <f>'WP II-I-2.2'!H40</f>
        <v>2792.4322421174811</v>
      </c>
      <c r="N1270" s="413">
        <f>'WP II-I-2.2'!I40</f>
        <v>2744545.7438364113</v>
      </c>
      <c r="O1270" s="413">
        <f>'WP II-I-2.2'!J40</f>
        <v>996379.58746995602</v>
      </c>
      <c r="P1270" s="413">
        <f>'WP II-I-2.2'!K40</f>
        <v>3403571.9674686831</v>
      </c>
      <c r="Q1270" s="413">
        <f>'WP II-I-2.2'!L40</f>
        <v>0</v>
      </c>
      <c r="R1270" s="25">
        <v>0</v>
      </c>
      <c r="S1270" s="25">
        <v>0</v>
      </c>
      <c r="U1270" s="48">
        <f>MAX(0.0000001,SUM(I1270:T1270))</f>
        <v>28908860.869999997</v>
      </c>
      <c r="X1270" s="305"/>
    </row>
    <row r="1271" spans="2:24" x14ac:dyDescent="0.2">
      <c r="B1271" s="16">
        <f t="shared" si="417"/>
        <v>24</v>
      </c>
      <c r="D1271" s="64"/>
      <c r="G1271" s="16">
        <f t="shared" si="418"/>
        <v>24</v>
      </c>
      <c r="H1271" s="64"/>
      <c r="J1271" s="64"/>
      <c r="K1271" s="64"/>
      <c r="L1271" s="64"/>
      <c r="M1271" s="64"/>
      <c r="N1271" s="64"/>
      <c r="O1271" s="64"/>
      <c r="P1271" s="64"/>
      <c r="Q1271" s="64"/>
      <c r="R1271" s="64"/>
      <c r="S1271" s="64"/>
      <c r="U1271" s="172"/>
      <c r="X1271" s="305"/>
    </row>
    <row r="1272" spans="2:24" x14ac:dyDescent="0.2">
      <c r="B1272" s="16">
        <f t="shared" si="417"/>
        <v>25</v>
      </c>
      <c r="D1272" s="64"/>
      <c r="G1272" s="16">
        <f t="shared" si="418"/>
        <v>25</v>
      </c>
      <c r="H1272" s="64"/>
      <c r="J1272" s="64"/>
      <c r="K1272" s="64"/>
      <c r="L1272" s="64"/>
      <c r="M1272" s="64"/>
      <c r="N1272" s="64"/>
      <c r="O1272" s="64"/>
      <c r="P1272" s="64"/>
      <c r="Q1272" s="64"/>
      <c r="R1272" s="64"/>
      <c r="S1272" s="64"/>
      <c r="U1272" s="172"/>
      <c r="X1272" s="305"/>
    </row>
    <row r="1273" spans="2:24" s="321" customFormat="1" x14ac:dyDescent="0.2">
      <c r="B1273" s="16">
        <f t="shared" si="417"/>
        <v>26</v>
      </c>
      <c r="D1273" s="45" t="s">
        <v>703</v>
      </c>
      <c r="G1273" s="16">
        <f t="shared" si="418"/>
        <v>26</v>
      </c>
      <c r="H1273" s="45" t="str">
        <f t="shared" ref="H1273:H1280" si="422">VLOOKUP(G1273,FactorTable,2)</f>
        <v>NCP ALL</v>
      </c>
      <c r="J1273" s="412">
        <f>'WP II-I-2.2'!E37</f>
        <v>15919713.533920208</v>
      </c>
      <c r="K1273" s="412">
        <f>'WP II-I-2.2'!F37</f>
        <v>300765.84980009048</v>
      </c>
      <c r="L1273" s="412">
        <f>'WP II-I-2.2'!G37</f>
        <v>10225299.230063109</v>
      </c>
      <c r="M1273" s="412">
        <f>'WP II-I-2.2'!H37</f>
        <v>4784.8338942797454</v>
      </c>
      <c r="N1273" s="412">
        <f>'WP II-I-2.2'!I37</f>
        <v>3007684.7612368348</v>
      </c>
      <c r="O1273" s="412">
        <f>'WP II-I-2.2'!J37</f>
        <v>1292762.1114743971</v>
      </c>
      <c r="P1273" s="412">
        <f>'WP II-I-2.2'!K37</f>
        <v>4728173.3532934133</v>
      </c>
      <c r="Q1273" s="412">
        <f>'WP II-I-2.2'!L37</f>
        <v>90934.292990564922</v>
      </c>
      <c r="R1273" s="412">
        <f>'WP II-I-2.2'!M37</f>
        <v>89360.767768842663</v>
      </c>
      <c r="S1273" s="412">
        <f>'WP II-I-2.2'!N37</f>
        <v>115405.61806833629</v>
      </c>
      <c r="U1273" s="18">
        <f t="shared" ref="U1273:U1280" si="423">MAX(0.0000001,SUM(I1273:T1273))</f>
        <v>35774884.35251008</v>
      </c>
      <c r="X1273" s="751"/>
    </row>
    <row r="1274" spans="2:24" x14ac:dyDescent="0.2">
      <c r="B1274" s="16">
        <f t="shared" si="417"/>
        <v>27</v>
      </c>
      <c r="D1274" s="64"/>
      <c r="G1274" s="16">
        <f>G1273+1</f>
        <v>27</v>
      </c>
      <c r="H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  <c r="U1274" s="172"/>
      <c r="X1274" s="305"/>
    </row>
    <row r="1275" spans="2:24" x14ac:dyDescent="0.2">
      <c r="B1275" s="16">
        <f t="shared" si="417"/>
        <v>28</v>
      </c>
      <c r="D1275" s="64" t="s">
        <v>704</v>
      </c>
      <c r="G1275" s="16">
        <f t="shared" si="418"/>
        <v>28</v>
      </c>
      <c r="H1275" s="64" t="str">
        <f t="shared" si="422"/>
        <v>NCP XHV</v>
      </c>
      <c r="J1275" s="415">
        <f t="shared" ref="J1275:O1275" si="424">J1273</f>
        <v>15919713.533920208</v>
      </c>
      <c r="K1275" s="415">
        <f t="shared" si="424"/>
        <v>300765.84980009048</v>
      </c>
      <c r="L1275" s="415">
        <f t="shared" si="424"/>
        <v>10225299.230063109</v>
      </c>
      <c r="M1275" s="415">
        <f t="shared" si="424"/>
        <v>4784.8338942797454</v>
      </c>
      <c r="N1275" s="415">
        <f t="shared" si="424"/>
        <v>3007684.7612368348</v>
      </c>
      <c r="O1275" s="415">
        <f t="shared" si="424"/>
        <v>1292762.1114743971</v>
      </c>
      <c r="P1275" s="17">
        <v>0</v>
      </c>
      <c r="Q1275" s="415">
        <f>Q1273</f>
        <v>90934.292990564922</v>
      </c>
      <c r="R1275" s="414">
        <f>R1273</f>
        <v>89360.767768842663</v>
      </c>
      <c r="S1275" s="414">
        <f>S1273</f>
        <v>115405.61806833629</v>
      </c>
      <c r="U1275" s="48">
        <f t="shared" si="423"/>
        <v>31046710.999216665</v>
      </c>
      <c r="X1275" s="305"/>
    </row>
    <row r="1276" spans="2:24" x14ac:dyDescent="0.2">
      <c r="B1276" s="16">
        <f t="shared" si="417"/>
        <v>29</v>
      </c>
      <c r="D1276" s="64"/>
      <c r="G1276" s="16">
        <f>G1275+1</f>
        <v>29</v>
      </c>
      <c r="H1276" s="64"/>
      <c r="J1276" s="64"/>
      <c r="K1276" s="64"/>
      <c r="L1276" s="64"/>
      <c r="M1276" s="64"/>
      <c r="N1276" s="64"/>
      <c r="O1276" s="64"/>
      <c r="P1276" s="64"/>
      <c r="Q1276" s="64"/>
      <c r="R1276" s="64"/>
      <c r="S1276" s="64"/>
      <c r="U1276" s="172"/>
      <c r="X1276" s="305"/>
    </row>
    <row r="1277" spans="2:24" x14ac:dyDescent="0.2">
      <c r="B1277" s="16">
        <f t="shared" si="417"/>
        <v>30</v>
      </c>
      <c r="D1277" s="64" t="s">
        <v>705</v>
      </c>
      <c r="G1277" s="16">
        <f t="shared" si="418"/>
        <v>30</v>
      </c>
      <c r="H1277" s="64" t="str">
        <f t="shared" si="422"/>
        <v>NCP XSS</v>
      </c>
      <c r="J1277" s="415">
        <f>J1273</f>
        <v>15919713.533920208</v>
      </c>
      <c r="K1277" s="415">
        <f>K1273</f>
        <v>300765.84980009048</v>
      </c>
      <c r="L1277" s="415">
        <f>L1273</f>
        <v>10225299.230063109</v>
      </c>
      <c r="M1277" s="415">
        <f>M1273</f>
        <v>4784.8338942797454</v>
      </c>
      <c r="N1277" s="415">
        <f>N1273</f>
        <v>3007684.7612368348</v>
      </c>
      <c r="O1277" s="17">
        <v>0</v>
      </c>
      <c r="P1277" s="17">
        <v>0</v>
      </c>
      <c r="Q1277" s="415">
        <f>Q1273</f>
        <v>90934.292990564922</v>
      </c>
      <c r="R1277" s="17">
        <v>0</v>
      </c>
      <c r="S1277" s="414">
        <f>S1273</f>
        <v>115405.61806833629</v>
      </c>
      <c r="U1277" s="48">
        <f t="shared" si="423"/>
        <v>29664588.119973425</v>
      </c>
      <c r="X1277" s="305"/>
    </row>
    <row r="1278" spans="2:24" x14ac:dyDescent="0.2">
      <c r="B1278" s="16">
        <f t="shared" si="417"/>
        <v>31</v>
      </c>
      <c r="D1278" s="64"/>
      <c r="G1278" s="16">
        <f>G1277+1</f>
        <v>31</v>
      </c>
      <c r="H1278" s="64"/>
      <c r="J1278" s="64"/>
      <c r="K1278" s="64"/>
      <c r="L1278" s="64"/>
      <c r="M1278" s="64"/>
      <c r="N1278" s="64"/>
      <c r="O1278" s="64"/>
      <c r="P1278" s="64"/>
      <c r="Q1278" s="64"/>
      <c r="R1278" s="64"/>
      <c r="S1278" s="64"/>
      <c r="U1278" s="172"/>
      <c r="X1278" s="305"/>
    </row>
    <row r="1279" spans="2:24" x14ac:dyDescent="0.2">
      <c r="B1279" s="16">
        <f t="shared" si="417"/>
        <v>32</v>
      </c>
      <c r="D1279" s="64" t="s">
        <v>706</v>
      </c>
      <c r="G1279" s="16">
        <f t="shared" si="418"/>
        <v>32</v>
      </c>
      <c r="H1279" s="64" t="str">
        <f t="shared" si="422"/>
        <v>NCP SEC</v>
      </c>
      <c r="J1279" s="415">
        <f>J1273</f>
        <v>15919713.533920208</v>
      </c>
      <c r="K1279" s="415">
        <f>K1273</f>
        <v>300765.84980009048</v>
      </c>
      <c r="L1279" s="415">
        <f>L1273</f>
        <v>10225299.230063109</v>
      </c>
      <c r="M1279" s="17">
        <v>0</v>
      </c>
      <c r="N1279" s="17">
        <v>0</v>
      </c>
      <c r="O1279" s="17">
        <v>0</v>
      </c>
      <c r="P1279" s="17">
        <v>0</v>
      </c>
      <c r="Q1279" s="415">
        <f>Q1273</f>
        <v>90934.292990564922</v>
      </c>
      <c r="R1279" s="17">
        <v>0</v>
      </c>
      <c r="S1279" s="17">
        <v>0</v>
      </c>
      <c r="U1279" s="48">
        <f t="shared" si="423"/>
        <v>26536712.906773973</v>
      </c>
      <c r="X1279" s="305"/>
    </row>
    <row r="1280" spans="2:24" x14ac:dyDescent="0.2">
      <c r="B1280" s="16">
        <f t="shared" si="417"/>
        <v>33</v>
      </c>
      <c r="D1280" s="64" t="s">
        <v>707</v>
      </c>
      <c r="G1280" s="16">
        <f t="shared" si="418"/>
        <v>33</v>
      </c>
      <c r="H1280" s="64" t="str">
        <f t="shared" si="422"/>
        <v>NCP LGT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415">
        <f>Q1273</f>
        <v>90934.292990564922</v>
      </c>
      <c r="R1280" s="17">
        <v>0</v>
      </c>
      <c r="S1280" s="17">
        <v>0</v>
      </c>
      <c r="U1280" s="48">
        <f t="shared" si="423"/>
        <v>90934.292990564922</v>
      </c>
      <c r="X1280" s="305"/>
    </row>
    <row r="1281" spans="2:24" x14ac:dyDescent="0.2">
      <c r="B1281" s="16">
        <f t="shared" si="417"/>
        <v>34</v>
      </c>
      <c r="D1281" s="45"/>
      <c r="E1281" s="321"/>
      <c r="F1281" s="321"/>
      <c r="G1281" s="16">
        <f t="shared" si="418"/>
        <v>34</v>
      </c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U1281" s="172"/>
      <c r="X1281" s="305"/>
    </row>
    <row r="1282" spans="2:24" x14ac:dyDescent="0.2">
      <c r="B1282" s="16">
        <f t="shared" si="417"/>
        <v>35</v>
      </c>
      <c r="G1282" s="16">
        <f t="shared" si="418"/>
        <v>35</v>
      </c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  <c r="U1282" s="172"/>
      <c r="X1282" s="305"/>
    </row>
    <row r="1283" spans="2:24" x14ac:dyDescent="0.2">
      <c r="B1283" s="16">
        <f t="shared" si="417"/>
        <v>36</v>
      </c>
      <c r="D1283" s="45" t="s">
        <v>881</v>
      </c>
      <c r="G1283" s="16">
        <f t="shared" si="418"/>
        <v>36</v>
      </c>
      <c r="H1283" s="64" t="str">
        <f>VLOOKUP(G1283,FactorTable,2)</f>
        <v>OPEB MED</v>
      </c>
      <c r="J1283" s="412">
        <f ca="1">J1335</f>
        <v>118225454.66327918</v>
      </c>
      <c r="K1283" s="412">
        <f t="shared" ref="K1283:Q1283" ca="1" si="425">K1335</f>
        <v>2703528.7101148143</v>
      </c>
      <c r="L1283" s="412">
        <f t="shared" ca="1" si="425"/>
        <v>75566668.709479958</v>
      </c>
      <c r="M1283" s="412">
        <f t="shared" ca="1" si="425"/>
        <v>118373.67704047647</v>
      </c>
      <c r="N1283" s="412">
        <f t="shared" ca="1" si="425"/>
        <v>19339925.910444148</v>
      </c>
      <c r="O1283" s="412">
        <f ca="1">O1335</f>
        <v>2542407.0875614006</v>
      </c>
      <c r="P1283" s="412">
        <f t="shared" ca="1" si="425"/>
        <v>63506.617016247023</v>
      </c>
      <c r="Q1283" s="412">
        <f t="shared" ca="1" si="425"/>
        <v>3018880.5904894155</v>
      </c>
      <c r="R1283" s="412">
        <f ca="1">R1335*(1-'WP II-I-2.2'!$G$42)</f>
        <v>174235.92036270074</v>
      </c>
      <c r="S1283" s="412">
        <f ca="1">S1335*(1-'WP II-I-2.2'!$G$42)</f>
        <v>715988.93421163107</v>
      </c>
      <c r="U1283" s="48">
        <f ca="1">MAX(0.0000001,SUM(I1283:T1283))</f>
        <v>222468970.81999999</v>
      </c>
      <c r="X1283" s="305"/>
    </row>
    <row r="1284" spans="2:24" x14ac:dyDescent="0.2">
      <c r="B1284" s="16">
        <f t="shared" si="417"/>
        <v>37</v>
      </c>
      <c r="D1284" t="s">
        <v>890</v>
      </c>
      <c r="G1284" s="16">
        <f t="shared" si="418"/>
        <v>37</v>
      </c>
      <c r="H1284" s="64" t="str">
        <f>VLOOKUP(G1284,FactorTable,2)</f>
        <v>OPEB TOTAL</v>
      </c>
      <c r="J1284" s="412">
        <f ca="1">J1335</f>
        <v>118225454.66327918</v>
      </c>
      <c r="K1284" s="412">
        <f t="shared" ref="K1284:Q1284" ca="1" si="426">K1335</f>
        <v>2703528.7101148143</v>
      </c>
      <c r="L1284" s="412">
        <f t="shared" ca="1" si="426"/>
        <v>75566668.709479958</v>
      </c>
      <c r="M1284" s="412">
        <f t="shared" ca="1" si="426"/>
        <v>118373.67704047647</v>
      </c>
      <c r="N1284" s="412">
        <f t="shared" ca="1" si="426"/>
        <v>19339925.910444148</v>
      </c>
      <c r="O1284" s="412">
        <f ca="1">O1335</f>
        <v>2542407.0875614006</v>
      </c>
      <c r="P1284" s="412">
        <f t="shared" ca="1" si="426"/>
        <v>63506.617016247023</v>
      </c>
      <c r="Q1284" s="412">
        <f t="shared" ca="1" si="426"/>
        <v>3018880.5904894155</v>
      </c>
      <c r="R1284" s="412">
        <f ca="1">R1335*(1-'WP II-I-2.2'!$K$42)</f>
        <v>174235.92036270074</v>
      </c>
      <c r="S1284" s="412">
        <f ca="1">S1335*(1-'WP II-I-2.2'!$K$42)</f>
        <v>715988.93421163107</v>
      </c>
      <c r="U1284" s="48">
        <f ca="1">MAX(0.0000001,SUM(I1284:T1284))</f>
        <v>222468970.81999999</v>
      </c>
      <c r="X1284" s="305"/>
    </row>
    <row r="1285" spans="2:24" x14ac:dyDescent="0.2">
      <c r="B1285" s="16">
        <f t="shared" si="417"/>
        <v>38</v>
      </c>
      <c r="D1285" s="64"/>
      <c r="G1285" s="16">
        <f t="shared" si="418"/>
        <v>38</v>
      </c>
      <c r="H1285" s="64"/>
      <c r="J1285" s="416"/>
      <c r="K1285" s="416"/>
      <c r="L1285" s="416"/>
      <c r="M1285" s="416"/>
      <c r="N1285" s="416"/>
      <c r="O1285" s="416"/>
      <c r="P1285" s="416"/>
      <c r="Q1285" s="416"/>
      <c r="R1285" s="416"/>
      <c r="S1285" s="416"/>
      <c r="U1285" s="48"/>
      <c r="X1285" s="305"/>
    </row>
    <row r="1286" spans="2:24" x14ac:dyDescent="0.2">
      <c r="B1286" s="16">
        <f t="shared" si="417"/>
        <v>39</v>
      </c>
      <c r="D1286" s="64" t="s">
        <v>708</v>
      </c>
      <c r="G1286" s="16">
        <f t="shared" si="418"/>
        <v>39</v>
      </c>
      <c r="H1286" s="64" t="str">
        <f t="shared" ref="H1286:H1301" si="427">VLOOKUP(G1286,FactorTable,2)</f>
        <v>NOT USED</v>
      </c>
      <c r="J1286" s="415"/>
      <c r="K1286" s="415"/>
      <c r="L1286" s="415"/>
      <c r="M1286" s="415"/>
      <c r="N1286" s="415"/>
      <c r="O1286" s="415"/>
      <c r="P1286" s="415"/>
      <c r="Q1286" s="415"/>
      <c r="R1286" s="415"/>
      <c r="S1286" s="415"/>
      <c r="U1286" s="48"/>
      <c r="X1286" s="305"/>
    </row>
    <row r="1287" spans="2:24" x14ac:dyDescent="0.2">
      <c r="B1287" s="16">
        <f t="shared" si="417"/>
        <v>40</v>
      </c>
      <c r="D1287" s="64" t="s">
        <v>898</v>
      </c>
      <c r="G1287" s="16">
        <f t="shared" si="418"/>
        <v>40</v>
      </c>
      <c r="H1287" s="64" t="str">
        <f t="shared" si="427"/>
        <v>PLT 360</v>
      </c>
      <c r="J1287" s="415">
        <f t="shared" ref="J1287:S1287" ca="1" si="428">J136</f>
        <v>14148730.855112607</v>
      </c>
      <c r="K1287" s="415">
        <f t="shared" ca="1" si="428"/>
        <v>464309.78224280145</v>
      </c>
      <c r="L1287" s="415">
        <f t="shared" ca="1" si="428"/>
        <v>8940744.8745426014</v>
      </c>
      <c r="M1287" s="415">
        <f t="shared" ca="1" si="428"/>
        <v>2545.172335653544</v>
      </c>
      <c r="N1287" s="415">
        <f t="shared" ca="1" si="428"/>
        <v>1599862.4440899296</v>
      </c>
      <c r="O1287" s="415">
        <f t="shared" ca="1" si="428"/>
        <v>153781.90644036161</v>
      </c>
      <c r="P1287" s="415">
        <f t="shared" ca="1" si="428"/>
        <v>31252.298228751599</v>
      </c>
      <c r="Q1287" s="415">
        <f t="shared" ca="1" si="428"/>
        <v>907303.86789784185</v>
      </c>
      <c r="R1287" s="415">
        <f t="shared" ca="1" si="428"/>
        <v>10630.006175532322</v>
      </c>
      <c r="S1287" s="415">
        <f t="shared" ca="1" si="428"/>
        <v>61387.122933917999</v>
      </c>
      <c r="U1287" s="48">
        <f t="shared" ref="U1287:U1301" ca="1" si="429">MAX(0.0000001,SUM(I1287:T1287))</f>
        <v>26320548.330000002</v>
      </c>
      <c r="X1287" s="305"/>
    </row>
    <row r="1288" spans="2:24" x14ac:dyDescent="0.2">
      <c r="B1288" s="16">
        <f t="shared" si="417"/>
        <v>41</v>
      </c>
      <c r="D1288" s="64" t="s">
        <v>709</v>
      </c>
      <c r="G1288" s="16">
        <f t="shared" si="418"/>
        <v>41</v>
      </c>
      <c r="H1288" s="64" t="str">
        <f t="shared" si="427"/>
        <v>PLT 353</v>
      </c>
      <c r="J1288" s="415">
        <f t="shared" ref="J1288:S1288" si="430">J114</f>
        <v>240475249.45735416</v>
      </c>
      <c r="K1288" s="415">
        <f t="shared" si="430"/>
        <v>4543218.8591096783</v>
      </c>
      <c r="L1288" s="415">
        <f t="shared" si="430"/>
        <v>154458268.22739372</v>
      </c>
      <c r="M1288" s="415">
        <f t="shared" si="430"/>
        <v>72277.313400600062</v>
      </c>
      <c r="N1288" s="415">
        <f t="shared" si="430"/>
        <v>45432585.310434625</v>
      </c>
      <c r="O1288" s="415">
        <f t="shared" si="430"/>
        <v>19527819.42862438</v>
      </c>
      <c r="P1288" s="415">
        <f t="shared" si="430"/>
        <v>0</v>
      </c>
      <c r="Q1288" s="415">
        <f t="shared" si="430"/>
        <v>1373608.0579930763</v>
      </c>
      <c r="R1288" s="415">
        <f t="shared" si="430"/>
        <v>1349839.1711085949</v>
      </c>
      <c r="S1288" s="415">
        <f t="shared" si="430"/>
        <v>1743259.6845811061</v>
      </c>
      <c r="U1288" s="48">
        <f t="shared" si="429"/>
        <v>468976125.50999999</v>
      </c>
      <c r="X1288" s="305"/>
    </row>
    <row r="1289" spans="2:24" s="321" customFormat="1" x14ac:dyDescent="0.2">
      <c r="B1289" s="16">
        <f t="shared" si="417"/>
        <v>42</v>
      </c>
      <c r="D1289" s="45" t="s">
        <v>710</v>
      </c>
      <c r="G1289" s="16">
        <f t="shared" si="418"/>
        <v>42</v>
      </c>
      <c r="H1289" s="45" t="str">
        <f t="shared" si="427"/>
        <v>PLT 352-358</v>
      </c>
      <c r="J1289" s="750">
        <f t="shared" ref="J1289:S1289" si="431">SUM(J113:J119)</f>
        <v>240475249.45735416</v>
      </c>
      <c r="K1289" s="750">
        <f t="shared" si="431"/>
        <v>4543218.8591096783</v>
      </c>
      <c r="L1289" s="750">
        <f t="shared" si="431"/>
        <v>154458268.22739372</v>
      </c>
      <c r="M1289" s="750">
        <f t="shared" si="431"/>
        <v>72277.313400600062</v>
      </c>
      <c r="N1289" s="750">
        <f t="shared" si="431"/>
        <v>45432585.310434625</v>
      </c>
      <c r="O1289" s="750">
        <f t="shared" si="431"/>
        <v>19527819.42862438</v>
      </c>
      <c r="P1289" s="750">
        <f t="shared" si="431"/>
        <v>0</v>
      </c>
      <c r="Q1289" s="750">
        <f t="shared" si="431"/>
        <v>1373608.0579930763</v>
      </c>
      <c r="R1289" s="750">
        <f t="shared" si="431"/>
        <v>1349839.1711085949</v>
      </c>
      <c r="S1289" s="750">
        <f t="shared" si="431"/>
        <v>1743259.6845811061</v>
      </c>
      <c r="U1289" s="18">
        <f t="shared" si="429"/>
        <v>468976125.50999999</v>
      </c>
      <c r="X1289" s="751"/>
    </row>
    <row r="1290" spans="2:24" x14ac:dyDescent="0.2">
      <c r="B1290" s="16">
        <f t="shared" si="417"/>
        <v>43</v>
      </c>
      <c r="D1290" s="64" t="s">
        <v>711</v>
      </c>
      <c r="G1290" s="16">
        <f t="shared" si="418"/>
        <v>43</v>
      </c>
      <c r="H1290" s="64" t="str">
        <f t="shared" si="427"/>
        <v>PLT 361</v>
      </c>
      <c r="J1290" s="415">
        <f t="shared" ref="J1290:S1290" ca="1" si="432">J137</f>
        <v>141170772.9924359</v>
      </c>
      <c r="K1290" s="415">
        <f t="shared" ca="1" si="432"/>
        <v>4632710.2789916061</v>
      </c>
      <c r="L1290" s="415">
        <f t="shared" ca="1" si="432"/>
        <v>89207426.305042475</v>
      </c>
      <c r="M1290" s="415">
        <f t="shared" ca="1" si="432"/>
        <v>25394.782733699456</v>
      </c>
      <c r="N1290" s="415">
        <f t="shared" ca="1" si="432"/>
        <v>15962832.301112819</v>
      </c>
      <c r="O1290" s="415">
        <f t="shared" ca="1" si="432"/>
        <v>1534378.653940656</v>
      </c>
      <c r="P1290" s="415">
        <f t="shared" ca="1" si="432"/>
        <v>311823.80553579942</v>
      </c>
      <c r="Q1290" s="415">
        <f t="shared" ca="1" si="432"/>
        <v>9052740.467098657</v>
      </c>
      <c r="R1290" s="415">
        <f t="shared" ca="1" si="432"/>
        <v>106062.24714296623</v>
      </c>
      <c r="S1290" s="415">
        <f t="shared" ca="1" si="432"/>
        <v>612497.87596542155</v>
      </c>
      <c r="U1290" s="48">
        <f t="shared" ca="1" si="429"/>
        <v>262616639.71000001</v>
      </c>
      <c r="X1290" s="305"/>
    </row>
    <row r="1291" spans="2:24" x14ac:dyDescent="0.2">
      <c r="B1291" s="16">
        <f t="shared" si="417"/>
        <v>44</v>
      </c>
      <c r="D1291" s="64" t="s">
        <v>712</v>
      </c>
      <c r="G1291" s="16">
        <f t="shared" si="418"/>
        <v>44</v>
      </c>
      <c r="H1291" s="64" t="str">
        <f t="shared" si="427"/>
        <v>PLT 362</v>
      </c>
      <c r="J1291" s="415">
        <f t="shared" ref="J1291:S1291" si="433">J138</f>
        <v>1269162843.664326</v>
      </c>
      <c r="K1291" s="415">
        <f t="shared" si="433"/>
        <v>23977871.234684348</v>
      </c>
      <c r="L1291" s="415">
        <f t="shared" si="433"/>
        <v>815188654.02283597</v>
      </c>
      <c r="M1291" s="415">
        <f t="shared" si="433"/>
        <v>381459.96652429277</v>
      </c>
      <c r="N1291" s="415">
        <f t="shared" si="433"/>
        <v>239780806.12341335</v>
      </c>
      <c r="O1291" s="415">
        <f t="shared" si="433"/>
        <v>103062510.14407028</v>
      </c>
      <c r="P1291" s="415">
        <f t="shared" si="433"/>
        <v>0</v>
      </c>
      <c r="Q1291" s="415">
        <f t="shared" si="433"/>
        <v>7249529.0592135871</v>
      </c>
      <c r="R1291" s="415">
        <f t="shared" si="433"/>
        <v>7124083.3506131517</v>
      </c>
      <c r="S1291" s="415">
        <f t="shared" si="433"/>
        <v>9200449.6243206672</v>
      </c>
      <c r="U1291" s="48">
        <f t="shared" si="429"/>
        <v>2475128207.1900015</v>
      </c>
      <c r="X1291" s="305"/>
    </row>
    <row r="1292" spans="2:24" x14ac:dyDescent="0.2">
      <c r="B1292" s="16">
        <f t="shared" si="417"/>
        <v>45</v>
      </c>
      <c r="D1292" s="64" t="s">
        <v>713</v>
      </c>
      <c r="G1292" s="16">
        <f t="shared" si="418"/>
        <v>45</v>
      </c>
      <c r="H1292" s="64" t="str">
        <f t="shared" si="427"/>
        <v>PLT 364</v>
      </c>
      <c r="J1292" s="415">
        <f t="shared" ref="J1292:S1292" si="434">J161</f>
        <v>1925688944.0693686</v>
      </c>
      <c r="K1292" s="415">
        <f t="shared" si="434"/>
        <v>36381400.361231238</v>
      </c>
      <c r="L1292" s="415">
        <f t="shared" si="434"/>
        <v>1236878140.751615</v>
      </c>
      <c r="M1292" s="415">
        <f t="shared" si="434"/>
        <v>479516.89212225785</v>
      </c>
      <c r="N1292" s="415">
        <f t="shared" si="434"/>
        <v>301418122.56345004</v>
      </c>
      <c r="O1292" s="415">
        <f t="shared" si="434"/>
        <v>0</v>
      </c>
      <c r="P1292" s="415">
        <f t="shared" si="434"/>
        <v>0</v>
      </c>
      <c r="Q1292" s="415">
        <f t="shared" si="434"/>
        <v>10999642.818671666</v>
      </c>
      <c r="R1292" s="415">
        <f t="shared" si="434"/>
        <v>0</v>
      </c>
      <c r="S1292" s="415">
        <f t="shared" si="434"/>
        <v>11565488.903540507</v>
      </c>
      <c r="U1292" s="48">
        <f t="shared" si="429"/>
        <v>3523411256.3599992</v>
      </c>
      <c r="X1292" s="305"/>
    </row>
    <row r="1293" spans="2:24" x14ac:dyDescent="0.2">
      <c r="B1293" s="16">
        <f t="shared" si="417"/>
        <v>46</v>
      </c>
      <c r="D1293" s="64" t="s">
        <v>714</v>
      </c>
      <c r="G1293" s="16">
        <f t="shared" si="418"/>
        <v>46</v>
      </c>
      <c r="H1293" s="64" t="str">
        <f t="shared" si="427"/>
        <v>PLT 365</v>
      </c>
      <c r="J1293" s="415">
        <f t="shared" ref="J1293:S1293" si="435">J162</f>
        <v>1188820066.5766649</v>
      </c>
      <c r="K1293" s="415">
        <f t="shared" si="435"/>
        <v>22459981.884817433</v>
      </c>
      <c r="L1293" s="415">
        <f t="shared" si="435"/>
        <v>763584149.02058446</v>
      </c>
      <c r="M1293" s="415">
        <f t="shared" si="435"/>
        <v>307421.91615598864</v>
      </c>
      <c r="N1293" s="415">
        <f t="shared" si="435"/>
        <v>193241444.30551398</v>
      </c>
      <c r="O1293" s="415">
        <f t="shared" si="435"/>
        <v>0</v>
      </c>
      <c r="P1293" s="415">
        <f t="shared" si="435"/>
        <v>0</v>
      </c>
      <c r="Q1293" s="415">
        <f t="shared" si="435"/>
        <v>6790606.6284928154</v>
      </c>
      <c r="R1293" s="415">
        <f t="shared" si="435"/>
        <v>0</v>
      </c>
      <c r="S1293" s="415">
        <f t="shared" si="435"/>
        <v>7414722.6477701198</v>
      </c>
      <c r="U1293" s="48">
        <f t="shared" si="429"/>
        <v>2182618392.9799995</v>
      </c>
      <c r="X1293" s="305"/>
    </row>
    <row r="1294" spans="2:24" x14ac:dyDescent="0.2">
      <c r="B1294" s="16">
        <f t="shared" si="417"/>
        <v>47</v>
      </c>
      <c r="D1294" s="64" t="s">
        <v>715</v>
      </c>
      <c r="G1294" s="16">
        <f t="shared" si="418"/>
        <v>47</v>
      </c>
      <c r="H1294" s="64" t="str">
        <f t="shared" si="427"/>
        <v>PLT 366</v>
      </c>
      <c r="J1294" s="415">
        <f t="shared" ref="J1294:S1294" si="436">J163</f>
        <v>913938879.93856514</v>
      </c>
      <c r="K1294" s="415">
        <f t="shared" si="436"/>
        <v>17266743.104665413</v>
      </c>
      <c r="L1294" s="415">
        <f t="shared" si="436"/>
        <v>587026802.04945135</v>
      </c>
      <c r="M1294" s="415">
        <f t="shared" si="436"/>
        <v>174191.33627940214</v>
      </c>
      <c r="N1294" s="415">
        <f t="shared" si="436"/>
        <v>109494423.26375733</v>
      </c>
      <c r="O1294" s="415">
        <f t="shared" si="436"/>
        <v>0</v>
      </c>
      <c r="P1294" s="415">
        <f t="shared" si="436"/>
        <v>0</v>
      </c>
      <c r="Q1294" s="415">
        <f t="shared" si="436"/>
        <v>5220469.9353868887</v>
      </c>
      <c r="R1294" s="415">
        <f t="shared" si="436"/>
        <v>0</v>
      </c>
      <c r="S1294" s="415">
        <f t="shared" si="436"/>
        <v>4201328.4618942533</v>
      </c>
      <c r="U1294" s="48">
        <f t="shared" si="429"/>
        <v>1637322838.0899997</v>
      </c>
      <c r="X1294" s="305"/>
    </row>
    <row r="1295" spans="2:24" x14ac:dyDescent="0.2">
      <c r="B1295" s="16">
        <f t="shared" si="417"/>
        <v>48</v>
      </c>
      <c r="D1295" s="64" t="s">
        <v>716</v>
      </c>
      <c r="G1295" s="16">
        <f t="shared" si="418"/>
        <v>48</v>
      </c>
      <c r="H1295" s="64" t="str">
        <f t="shared" si="427"/>
        <v>PLT 367</v>
      </c>
      <c r="J1295" s="415">
        <f t="shared" ref="J1295:S1295" si="437">J164</f>
        <v>1745476637.5956655</v>
      </c>
      <c r="K1295" s="415">
        <f t="shared" si="437"/>
        <v>32976709.22872375</v>
      </c>
      <c r="L1295" s="415">
        <f t="shared" si="437"/>
        <v>1121127015.2865024</v>
      </c>
      <c r="M1295" s="415">
        <f t="shared" si="437"/>
        <v>409010.54361051985</v>
      </c>
      <c r="N1295" s="415">
        <f t="shared" si="437"/>
        <v>257098742.89956534</v>
      </c>
      <c r="O1295" s="415">
        <f t="shared" si="437"/>
        <v>0</v>
      </c>
      <c r="P1295" s="415">
        <f t="shared" si="437"/>
        <v>0</v>
      </c>
      <c r="Q1295" s="415">
        <f t="shared" si="437"/>
        <v>9970260.057325596</v>
      </c>
      <c r="R1295" s="415">
        <f t="shared" si="437"/>
        <v>0</v>
      </c>
      <c r="S1295" s="415">
        <f t="shared" si="437"/>
        <v>9864943.1986067984</v>
      </c>
      <c r="U1295" s="48">
        <f t="shared" si="429"/>
        <v>3176923318.8099995</v>
      </c>
      <c r="X1295" s="305"/>
    </row>
    <row r="1296" spans="2:24" x14ac:dyDescent="0.2">
      <c r="B1296" s="16">
        <f t="shared" si="417"/>
        <v>49</v>
      </c>
      <c r="D1296" s="64" t="s">
        <v>717</v>
      </c>
      <c r="G1296" s="16">
        <f t="shared" si="418"/>
        <v>49</v>
      </c>
      <c r="H1296" s="64" t="str">
        <f t="shared" si="427"/>
        <v>PLT 368</v>
      </c>
      <c r="J1296" s="415">
        <f t="shared" ref="J1296:S1296" si="438">J165</f>
        <v>1860479101.4478531</v>
      </c>
      <c r="K1296" s="415">
        <f t="shared" si="438"/>
        <v>35149412.506072849</v>
      </c>
      <c r="L1296" s="415">
        <f t="shared" si="438"/>
        <v>1194993583.4617126</v>
      </c>
      <c r="M1296" s="415">
        <f t="shared" si="438"/>
        <v>57718.991363793466</v>
      </c>
      <c r="N1296" s="415">
        <f t="shared" si="438"/>
        <v>36281412.185777441</v>
      </c>
      <c r="O1296" s="415">
        <f t="shared" si="438"/>
        <v>6069003.7273554644</v>
      </c>
      <c r="P1296" s="415">
        <f t="shared" si="438"/>
        <v>22196892.568264917</v>
      </c>
      <c r="Q1296" s="415">
        <f t="shared" si="438"/>
        <v>10627160.554956377</v>
      </c>
      <c r="R1296" s="415">
        <f t="shared" si="438"/>
        <v>419513.24830360548</v>
      </c>
      <c r="S1296" s="415">
        <f t="shared" si="438"/>
        <v>1392126.8783400967</v>
      </c>
      <c r="U1296" s="48">
        <f t="shared" si="429"/>
        <v>3167665925.5700006</v>
      </c>
      <c r="X1296" s="305"/>
    </row>
    <row r="1297" spans="2:24" s="321" customFormat="1" x14ac:dyDescent="0.2">
      <c r="B1297" s="16">
        <f t="shared" si="417"/>
        <v>50</v>
      </c>
      <c r="D1297" s="45" t="s">
        <v>718</v>
      </c>
      <c r="G1297" s="16">
        <f t="shared" si="418"/>
        <v>50</v>
      </c>
      <c r="H1297" s="45" t="str">
        <f t="shared" si="427"/>
        <v>PLT 369</v>
      </c>
      <c r="J1297" s="750">
        <f t="shared" ref="J1297:S1297" si="439">J153</f>
        <v>1163817714.5316858</v>
      </c>
      <c r="K1297" s="750">
        <f t="shared" si="439"/>
        <v>163266260.69015011</v>
      </c>
      <c r="L1297" s="750">
        <f t="shared" si="439"/>
        <v>642073205.67387891</v>
      </c>
      <c r="M1297" s="750">
        <f t="shared" si="439"/>
        <v>0</v>
      </c>
      <c r="N1297" s="750">
        <f t="shared" si="439"/>
        <v>0</v>
      </c>
      <c r="O1297" s="750">
        <f t="shared" si="439"/>
        <v>0</v>
      </c>
      <c r="P1297" s="750">
        <f t="shared" si="439"/>
        <v>0</v>
      </c>
      <c r="Q1297" s="750">
        <f t="shared" si="439"/>
        <v>1186761.6842846575</v>
      </c>
      <c r="R1297" s="750">
        <f t="shared" si="439"/>
        <v>0</v>
      </c>
      <c r="S1297" s="750">
        <f t="shared" si="439"/>
        <v>0</v>
      </c>
      <c r="U1297" s="18">
        <f t="shared" si="429"/>
        <v>1970343942.5799994</v>
      </c>
      <c r="X1297" s="751"/>
    </row>
    <row r="1298" spans="2:24" s="321" customFormat="1" x14ac:dyDescent="0.2">
      <c r="B1298" s="16">
        <f t="shared" si="417"/>
        <v>51</v>
      </c>
      <c r="D1298" s="45" t="s">
        <v>719</v>
      </c>
      <c r="G1298" s="16">
        <f t="shared" si="418"/>
        <v>51</v>
      </c>
      <c r="H1298" s="45" t="str">
        <f t="shared" si="427"/>
        <v>PLT 370</v>
      </c>
      <c r="J1298" s="750">
        <f t="shared" ref="J1298:S1298" si="440">J154</f>
        <v>0</v>
      </c>
      <c r="K1298" s="750">
        <f t="shared" si="440"/>
        <v>0</v>
      </c>
      <c r="L1298" s="750">
        <f t="shared" si="440"/>
        <v>0</v>
      </c>
      <c r="M1298" s="750">
        <f t="shared" si="440"/>
        <v>0</v>
      </c>
      <c r="N1298" s="750">
        <f t="shared" si="440"/>
        <v>0</v>
      </c>
      <c r="O1298" s="750">
        <f t="shared" si="440"/>
        <v>0</v>
      </c>
      <c r="P1298" s="750">
        <f t="shared" si="440"/>
        <v>0</v>
      </c>
      <c r="Q1298" s="750">
        <f t="shared" si="440"/>
        <v>0</v>
      </c>
      <c r="R1298" s="750">
        <f t="shared" si="440"/>
        <v>0</v>
      </c>
      <c r="S1298" s="750">
        <f t="shared" si="440"/>
        <v>0</v>
      </c>
      <c r="U1298" s="18">
        <f t="shared" si="429"/>
        <v>9.9999999999999995E-8</v>
      </c>
      <c r="X1298" s="751"/>
    </row>
    <row r="1299" spans="2:24" s="321" customFormat="1" x14ac:dyDescent="0.2">
      <c r="B1299" s="16">
        <f t="shared" si="417"/>
        <v>52</v>
      </c>
      <c r="D1299" s="45" t="s">
        <v>720</v>
      </c>
      <c r="G1299" s="16">
        <f t="shared" si="418"/>
        <v>52</v>
      </c>
      <c r="H1299" s="45" t="str">
        <f t="shared" si="427"/>
        <v>PLT OH</v>
      </c>
      <c r="J1299" s="750">
        <f t="shared" ref="J1299:S1299" si="441">SUM(J161:J162)</f>
        <v>3114509010.6460333</v>
      </c>
      <c r="K1299" s="750">
        <f t="shared" si="441"/>
        <v>58841382.246048674</v>
      </c>
      <c r="L1299" s="750">
        <f t="shared" si="441"/>
        <v>2000462289.7721996</v>
      </c>
      <c r="M1299" s="750">
        <f t="shared" si="441"/>
        <v>786938.80827824655</v>
      </c>
      <c r="N1299" s="750">
        <f t="shared" si="441"/>
        <v>494659566.86896402</v>
      </c>
      <c r="O1299" s="750">
        <f t="shared" si="441"/>
        <v>0</v>
      </c>
      <c r="P1299" s="750">
        <f t="shared" si="441"/>
        <v>0</v>
      </c>
      <c r="Q1299" s="750">
        <f t="shared" si="441"/>
        <v>17790249.447164483</v>
      </c>
      <c r="R1299" s="750">
        <f t="shared" si="441"/>
        <v>0</v>
      </c>
      <c r="S1299" s="750">
        <f t="shared" si="441"/>
        <v>18980211.551310629</v>
      </c>
      <c r="U1299" s="18">
        <f t="shared" si="429"/>
        <v>5706029649.3399992</v>
      </c>
      <c r="X1299" s="751"/>
    </row>
    <row r="1300" spans="2:24" x14ac:dyDescent="0.2">
      <c r="B1300" s="16">
        <f t="shared" si="417"/>
        <v>53</v>
      </c>
      <c r="D1300" s="64" t="s">
        <v>721</v>
      </c>
      <c r="G1300" s="16">
        <f t="shared" si="418"/>
        <v>53</v>
      </c>
      <c r="H1300" s="64" t="str">
        <f t="shared" si="427"/>
        <v>PLT UG</v>
      </c>
      <c r="J1300" s="415">
        <f t="shared" ref="J1300:S1300" si="442">SUM(J163:J164)</f>
        <v>2659415517.5342307</v>
      </c>
      <c r="K1300" s="415">
        <f t="shared" si="442"/>
        <v>50243452.333389163</v>
      </c>
      <c r="L1300" s="415">
        <f t="shared" si="442"/>
        <v>1708153817.3359537</v>
      </c>
      <c r="M1300" s="415">
        <f t="shared" si="442"/>
        <v>583201.87988992198</v>
      </c>
      <c r="N1300" s="415">
        <f t="shared" si="442"/>
        <v>366593166.16332269</v>
      </c>
      <c r="O1300" s="415">
        <f t="shared" si="442"/>
        <v>0</v>
      </c>
      <c r="P1300" s="415">
        <f t="shared" si="442"/>
        <v>0</v>
      </c>
      <c r="Q1300" s="415">
        <f t="shared" si="442"/>
        <v>15190729.992712485</v>
      </c>
      <c r="R1300" s="415">
        <f t="shared" si="442"/>
        <v>0</v>
      </c>
      <c r="S1300" s="415">
        <f t="shared" si="442"/>
        <v>14066271.660501052</v>
      </c>
      <c r="U1300" s="48">
        <f t="shared" si="429"/>
        <v>4814246156.8999987</v>
      </c>
      <c r="X1300" s="305"/>
    </row>
    <row r="1301" spans="2:24" x14ac:dyDescent="0.2">
      <c r="B1301" s="16">
        <f t="shared" si="417"/>
        <v>54</v>
      </c>
      <c r="D1301" s="64" t="s">
        <v>722</v>
      </c>
      <c r="G1301" s="16">
        <f t="shared" si="418"/>
        <v>54</v>
      </c>
      <c r="H1301" s="64" t="str">
        <f t="shared" si="427"/>
        <v>PLT 362-373</v>
      </c>
      <c r="J1301" s="415">
        <f t="shared" ref="J1301:S1301" ca="1" si="443">SUM(J138:J157)</f>
        <v>10246378780.327003</v>
      </c>
      <c r="K1301" s="415">
        <f t="shared" ca="1" si="443"/>
        <v>336248809.09737462</v>
      </c>
      <c r="L1301" s="415">
        <f t="shared" ca="1" si="443"/>
        <v>6474803959.5175142</v>
      </c>
      <c r="M1301" s="415">
        <f t="shared" ca="1" si="443"/>
        <v>1843190.0415218009</v>
      </c>
      <c r="N1301" s="415">
        <f t="shared" ca="1" si="443"/>
        <v>1158605444.29267</v>
      </c>
      <c r="O1301" s="415">
        <f t="shared" ca="1" si="443"/>
        <v>111367420.80151847</v>
      </c>
      <c r="P1301" s="415">
        <f t="shared" ca="1" si="443"/>
        <v>22632622.578428641</v>
      </c>
      <c r="Q1301" s="415">
        <f t="shared" ca="1" si="443"/>
        <v>657060989.74790847</v>
      </c>
      <c r="R1301" s="415">
        <f t="shared" ca="1" si="443"/>
        <v>7698151.221270971</v>
      </c>
      <c r="S1301" s="415">
        <f t="shared" ca="1" si="443"/>
        <v>44455981.264788605</v>
      </c>
      <c r="U1301" s="48">
        <f t="shared" ca="1" si="429"/>
        <v>19061095348.889999</v>
      </c>
      <c r="X1301" s="305"/>
    </row>
    <row r="1302" spans="2:24" ht="11.1" customHeight="1" x14ac:dyDescent="0.2">
      <c r="B1302" s="16">
        <f t="shared" si="417"/>
        <v>55</v>
      </c>
      <c r="D1302" s="64"/>
      <c r="G1302" s="16">
        <f>G1301+1</f>
        <v>55</v>
      </c>
      <c r="H1302" s="64"/>
      <c r="J1302" s="415"/>
      <c r="K1302" s="415"/>
      <c r="L1302" s="415"/>
      <c r="M1302" s="415"/>
      <c r="N1302" s="415"/>
      <c r="O1302" s="415"/>
      <c r="P1302" s="415"/>
      <c r="Q1302" s="415"/>
      <c r="R1302" s="415"/>
      <c r="S1302" s="415"/>
      <c r="U1302" s="172"/>
      <c r="X1302" s="305"/>
    </row>
    <row r="1303" spans="2:24" x14ac:dyDescent="0.2">
      <c r="B1303" s="16">
        <f t="shared" si="417"/>
        <v>56</v>
      </c>
      <c r="D1303" s="64" t="s">
        <v>400</v>
      </c>
      <c r="G1303" s="16">
        <f>G1302+1</f>
        <v>56</v>
      </c>
      <c r="H1303" s="64" t="str">
        <f t="shared" ref="H1303:H1316" si="444">VLOOKUP(G1303,FactorTable,2)</f>
        <v>PLTDIST</v>
      </c>
      <c r="J1303" s="415">
        <f t="shared" ref="J1303:S1303" ca="1" si="445">J159</f>
        <v>10449095359.882446</v>
      </c>
      <c r="K1303" s="415">
        <f t="shared" ca="1" si="445"/>
        <v>342901228.44680214</v>
      </c>
      <c r="L1303" s="415">
        <f t="shared" ca="1" si="445"/>
        <v>6602902885.0116129</v>
      </c>
      <c r="M1303" s="415">
        <f t="shared" ca="1" si="445"/>
        <v>1879656.1129699254</v>
      </c>
      <c r="N1303" s="415">
        <f t="shared" ca="1" si="445"/>
        <v>1181527545.6278527</v>
      </c>
      <c r="O1303" s="415">
        <f t="shared" ca="1" si="445"/>
        <v>113570738.00292246</v>
      </c>
      <c r="P1303" s="415">
        <f t="shared" ca="1" si="445"/>
        <v>23080391.291047122</v>
      </c>
      <c r="Q1303" s="415">
        <f t="shared" ca="1" si="445"/>
        <v>670060426.84238207</v>
      </c>
      <c r="R1303" s="415">
        <f t="shared" ca="1" si="445"/>
        <v>7850453.1142551377</v>
      </c>
      <c r="S1303" s="415">
        <f t="shared" ca="1" si="445"/>
        <v>45335508.037708782</v>
      </c>
      <c r="U1303" s="48">
        <f ca="1">MAX(0.0000001,SUM(I1303:T1303))</f>
        <v>19438204192.369995</v>
      </c>
      <c r="X1303" s="305"/>
    </row>
    <row r="1304" spans="2:24" x14ac:dyDescent="0.2">
      <c r="B1304" s="16">
        <f t="shared" si="417"/>
        <v>57</v>
      </c>
      <c r="C1304" s="321"/>
      <c r="D1304" s="64" t="s">
        <v>886</v>
      </c>
      <c r="G1304" s="16">
        <f t="shared" si="418"/>
        <v>57</v>
      </c>
      <c r="H1304" s="64" t="str">
        <f t="shared" si="444"/>
        <v>PLTDIST_N xWHL</v>
      </c>
      <c r="J1304" s="415">
        <f t="shared" ref="J1304:Q1304" ca="1" si="446">J325</f>
        <v>7210529404.2564735</v>
      </c>
      <c r="K1304" s="415">
        <f t="shared" ca="1" si="446"/>
        <v>192169640.05727232</v>
      </c>
      <c r="L1304" s="415">
        <f t="shared" ca="1" si="446"/>
        <v>4589596677.2763844</v>
      </c>
      <c r="M1304" s="415">
        <f t="shared" ca="1" si="446"/>
        <v>1364418.2152273343</v>
      </c>
      <c r="N1304" s="415">
        <f t="shared" ca="1" si="446"/>
        <v>857655660.48159432</v>
      </c>
      <c r="O1304" s="415">
        <f t="shared" ca="1" si="446"/>
        <v>90070166.026693881</v>
      </c>
      <c r="P1304" s="415">
        <f t="shared" ca="1" si="446"/>
        <v>17552731.658930041</v>
      </c>
      <c r="Q1304" s="415">
        <f t="shared" ca="1" si="446"/>
        <v>198014097.02475357</v>
      </c>
      <c r="R1304" s="750">
        <v>0</v>
      </c>
      <c r="S1304" s="750">
        <v>0</v>
      </c>
      <c r="U1304" s="48">
        <f t="shared" ref="U1304:U1316" ca="1" si="447">MAX(0.0000001,SUM(I1304:T1304))</f>
        <v>13156952794.997328</v>
      </c>
      <c r="X1304" s="305"/>
    </row>
    <row r="1305" spans="2:24" x14ac:dyDescent="0.2">
      <c r="B1305" s="16">
        <f t="shared" si="417"/>
        <v>58</v>
      </c>
      <c r="C1305" s="321"/>
      <c r="D1305" s="64" t="s">
        <v>723</v>
      </c>
      <c r="G1305" s="16">
        <f t="shared" si="418"/>
        <v>58</v>
      </c>
      <c r="H1305" s="64" t="str">
        <f t="shared" si="444"/>
        <v>PLTDIST_N</v>
      </c>
      <c r="J1305" s="415">
        <f t="shared" ref="J1305:S1305" ca="1" si="448">J325</f>
        <v>7210529404.2564735</v>
      </c>
      <c r="K1305" s="415">
        <f t="shared" ca="1" si="448"/>
        <v>192169640.05727232</v>
      </c>
      <c r="L1305" s="415">
        <f t="shared" ca="1" si="448"/>
        <v>4589596677.2763844</v>
      </c>
      <c r="M1305" s="415">
        <f t="shared" ca="1" si="448"/>
        <v>1364418.2152273343</v>
      </c>
      <c r="N1305" s="415">
        <f t="shared" ca="1" si="448"/>
        <v>857655660.48159432</v>
      </c>
      <c r="O1305" s="415">
        <f t="shared" ca="1" si="448"/>
        <v>90070166.026693881</v>
      </c>
      <c r="P1305" s="415">
        <f t="shared" ca="1" si="448"/>
        <v>17552731.658930041</v>
      </c>
      <c r="Q1305" s="415">
        <f t="shared" ca="1" si="448"/>
        <v>198014097.02475357</v>
      </c>
      <c r="R1305" s="415">
        <f t="shared" ca="1" si="448"/>
        <v>6226001.7661199057</v>
      </c>
      <c r="S1305" s="415">
        <f t="shared" ca="1" si="448"/>
        <v>32908462.636550792</v>
      </c>
      <c r="U1305" s="48">
        <f t="shared" ca="1" si="447"/>
        <v>13196087259.399998</v>
      </c>
      <c r="X1305" s="305"/>
    </row>
    <row r="1306" spans="2:24" x14ac:dyDescent="0.2">
      <c r="B1306" s="16">
        <f t="shared" si="417"/>
        <v>59</v>
      </c>
      <c r="C1306" s="321"/>
      <c r="D1306" s="64" t="s">
        <v>882</v>
      </c>
      <c r="G1306" s="16">
        <f t="shared" si="418"/>
        <v>59</v>
      </c>
      <c r="H1306" s="64" t="str">
        <f t="shared" si="444"/>
        <v>PLANT_N</v>
      </c>
      <c r="J1306" s="415">
        <f t="shared" ref="J1306:S1306" ca="1" si="449">J366</f>
        <v>7666025366.1989765</v>
      </c>
      <c r="K1306" s="415">
        <f t="shared" ca="1" si="449"/>
        <v>202927035.47282401</v>
      </c>
      <c r="L1306" s="415">
        <f t="shared" ca="1" si="449"/>
        <v>4880557485.4111137</v>
      </c>
      <c r="M1306" s="415">
        <f t="shared" ca="1" si="449"/>
        <v>1470443.3351286661</v>
      </c>
      <c r="N1306" s="415">
        <f t="shared" ca="1" si="449"/>
        <v>924301680.90390754</v>
      </c>
      <c r="O1306" s="415">
        <f t="shared" ca="1" si="449"/>
        <v>108000879.24498343</v>
      </c>
      <c r="P1306" s="415">
        <f t="shared" ca="1" si="449"/>
        <v>18227895.841709211</v>
      </c>
      <c r="Q1306" s="415">
        <f t="shared" ca="1" si="449"/>
        <v>206648257.08219391</v>
      </c>
      <c r="R1306" s="415">
        <f t="shared" ca="1" si="449"/>
        <v>7465442.7163206059</v>
      </c>
      <c r="S1306" s="415">
        <f t="shared" ca="1" si="449"/>
        <v>35465687.142841518</v>
      </c>
      <c r="T1306" s="321"/>
      <c r="U1306" s="48">
        <f t="shared" ca="1" si="447"/>
        <v>14051090173.349998</v>
      </c>
      <c r="X1306" s="305"/>
    </row>
    <row r="1307" spans="2:24" x14ac:dyDescent="0.2">
      <c r="B1307" s="16">
        <f t="shared" si="417"/>
        <v>60</v>
      </c>
      <c r="C1307" s="321"/>
      <c r="D1307" s="64" t="s">
        <v>724</v>
      </c>
      <c r="G1307" s="16">
        <f t="shared" si="418"/>
        <v>60</v>
      </c>
      <c r="H1307" s="64" t="str">
        <f t="shared" si="444"/>
        <v>PLTOPER</v>
      </c>
      <c r="J1307" s="415">
        <f t="shared" ref="J1307:S1307" ca="1" si="450">J168</f>
        <v>10689570609.3398</v>
      </c>
      <c r="K1307" s="415">
        <f t="shared" ca="1" si="450"/>
        <v>347444447.30591184</v>
      </c>
      <c r="L1307" s="415">
        <f t="shared" ca="1" si="450"/>
        <v>6757361153.239007</v>
      </c>
      <c r="M1307" s="415">
        <f t="shared" ca="1" si="450"/>
        <v>1951933.4263705255</v>
      </c>
      <c r="N1307" s="415">
        <f t="shared" ca="1" si="450"/>
        <v>1226960130.9382873</v>
      </c>
      <c r="O1307" s="415">
        <f t="shared" ca="1" si="450"/>
        <v>133098557.43154684</v>
      </c>
      <c r="P1307" s="415">
        <f t="shared" ca="1" si="450"/>
        <v>23080391.291047122</v>
      </c>
      <c r="Q1307" s="415">
        <f t="shared" ca="1" si="450"/>
        <v>671434034.90037513</v>
      </c>
      <c r="R1307" s="415">
        <f t="shared" ca="1" si="450"/>
        <v>9200292.2853637319</v>
      </c>
      <c r="S1307" s="415">
        <f t="shared" ca="1" si="450"/>
        <v>47078767.72228989</v>
      </c>
      <c r="U1307" s="48">
        <f t="shared" ca="1" si="447"/>
        <v>19907180317.879993</v>
      </c>
      <c r="X1307" s="305"/>
    </row>
    <row r="1308" spans="2:24" x14ac:dyDescent="0.2">
      <c r="B1308" s="16">
        <f t="shared" si="417"/>
        <v>61</v>
      </c>
      <c r="C1308" s="321"/>
      <c r="D1308" s="64" t="s">
        <v>725</v>
      </c>
      <c r="G1308" s="16">
        <f t="shared" si="418"/>
        <v>61</v>
      </c>
      <c r="H1308" s="64" t="str">
        <f t="shared" si="444"/>
        <v>PLTOPER_N</v>
      </c>
      <c r="J1308" s="415">
        <f t="shared" ref="J1308:S1308" ca="1" si="451">J326</f>
        <v>7382074558.2461061</v>
      </c>
      <c r="K1308" s="415">
        <f t="shared" ca="1" si="451"/>
        <v>195410585.56228065</v>
      </c>
      <c r="L1308" s="415">
        <f t="shared" ca="1" si="451"/>
        <v>4699780854.1005325</v>
      </c>
      <c r="M1308" s="415">
        <f t="shared" ca="1" si="451"/>
        <v>1415977.8783745458</v>
      </c>
      <c r="N1308" s="415">
        <f t="shared" ca="1" si="451"/>
        <v>890065398.53493917</v>
      </c>
      <c r="O1308" s="415">
        <f t="shared" ca="1" si="451"/>
        <v>104000509.37190029</v>
      </c>
      <c r="P1308" s="415">
        <f t="shared" ca="1" si="451"/>
        <v>17552731.658930041</v>
      </c>
      <c r="Q1308" s="415">
        <f t="shared" ca="1" si="451"/>
        <v>198993972.52695826</v>
      </c>
      <c r="R1308" s="415">
        <f t="shared" ca="1" si="451"/>
        <v>7188921.521860199</v>
      </c>
      <c r="S1308" s="415">
        <f t="shared" ca="1" si="451"/>
        <v>34152032.408118561</v>
      </c>
      <c r="U1308" s="48">
        <f t="shared" ca="1" si="447"/>
        <v>13530635541.810001</v>
      </c>
      <c r="X1308" s="305"/>
    </row>
    <row r="1309" spans="2:24" x14ac:dyDescent="0.2">
      <c r="B1309" s="16">
        <f t="shared" si="417"/>
        <v>62</v>
      </c>
      <c r="C1309" s="321"/>
      <c r="D1309" s="45" t="s">
        <v>726</v>
      </c>
      <c r="G1309" s="16">
        <f t="shared" si="418"/>
        <v>62</v>
      </c>
      <c r="H1309" s="64" t="str">
        <f t="shared" si="444"/>
        <v>PLTGEN</v>
      </c>
      <c r="J1309" s="415">
        <f t="shared" ref="J1309:S1309" ca="1" si="452">J199</f>
        <v>179798993.73838475</v>
      </c>
      <c r="K1309" s="415">
        <f t="shared" ca="1" si="452"/>
        <v>4759451.6111571463</v>
      </c>
      <c r="L1309" s="415">
        <f t="shared" ca="1" si="452"/>
        <v>114468617.41788858</v>
      </c>
      <c r="M1309" s="415">
        <f t="shared" ca="1" si="452"/>
        <v>34487.784657114629</v>
      </c>
      <c r="N1309" s="415">
        <f t="shared" ca="1" si="452"/>
        <v>21678575.819743332</v>
      </c>
      <c r="O1309" s="415">
        <f t="shared" ca="1" si="452"/>
        <v>2533053.1120766457</v>
      </c>
      <c r="P1309" s="415">
        <f t="shared" ca="1" si="452"/>
        <v>427517.15181610553</v>
      </c>
      <c r="Q1309" s="415">
        <f t="shared" ca="1" si="452"/>
        <v>4846729.159675614</v>
      </c>
      <c r="R1309" s="415">
        <f t="shared" ca="1" si="452"/>
        <v>175094.52735760217</v>
      </c>
      <c r="S1309" s="415">
        <f t="shared" ca="1" si="452"/>
        <v>831812.38724298822</v>
      </c>
      <c r="U1309" s="48">
        <f t="shared" ca="1" si="447"/>
        <v>329554332.70999986</v>
      </c>
      <c r="X1309" s="305"/>
    </row>
    <row r="1310" spans="2:24" x14ac:dyDescent="0.2">
      <c r="B1310" s="16">
        <f t="shared" si="417"/>
        <v>63</v>
      </c>
      <c r="C1310" s="321"/>
      <c r="D1310" s="45" t="s">
        <v>727</v>
      </c>
      <c r="G1310" s="16">
        <f t="shared" si="418"/>
        <v>63</v>
      </c>
      <c r="H1310" s="64" t="str">
        <f t="shared" si="444"/>
        <v>PLTGEN_N</v>
      </c>
      <c r="J1310" s="415">
        <f t="shared" ref="J1310:S1310" ca="1" si="453">J364</f>
        <v>280982121.35805905</v>
      </c>
      <c r="K1310" s="415">
        <f t="shared" ca="1" si="453"/>
        <v>7437865.9323857296</v>
      </c>
      <c r="L1310" s="415">
        <f t="shared" ca="1" si="453"/>
        <v>178886623.79168746</v>
      </c>
      <c r="M1310" s="415">
        <f t="shared" ca="1" si="453"/>
        <v>53896.024067832164</v>
      </c>
      <c r="N1310" s="415">
        <f t="shared" ca="1" si="453"/>
        <v>33878344.339991674</v>
      </c>
      <c r="O1310" s="415">
        <f t="shared" ca="1" si="453"/>
        <v>3958546.2751785209</v>
      </c>
      <c r="P1310" s="415">
        <f t="shared" ca="1" si="453"/>
        <v>668105.38666880014</v>
      </c>
      <c r="Q1310" s="415">
        <f t="shared" ca="1" si="453"/>
        <v>7574259.5251403842</v>
      </c>
      <c r="R1310" s="415">
        <f t="shared" ca="1" si="453"/>
        <v>273630.18397484242</v>
      </c>
      <c r="S1310" s="415">
        <f t="shared" ca="1" si="453"/>
        <v>1299920.5628454471</v>
      </c>
      <c r="U1310" s="48">
        <f t="shared" ca="1" si="447"/>
        <v>515013313.37999976</v>
      </c>
      <c r="X1310" s="305"/>
    </row>
    <row r="1311" spans="2:24" x14ac:dyDescent="0.2">
      <c r="B1311" s="16">
        <f t="shared" si="417"/>
        <v>64</v>
      </c>
      <c r="C1311" s="321"/>
      <c r="D1311" s="64" t="s">
        <v>728</v>
      </c>
      <c r="G1311" s="16">
        <f t="shared" si="418"/>
        <v>64</v>
      </c>
      <c r="H1311" s="64" t="str">
        <f t="shared" si="444"/>
        <v>PLANT</v>
      </c>
      <c r="J1311" s="415">
        <f t="shared" ref="J1311:S1311" ca="1" si="454">J223</f>
        <v>11045699067.856609</v>
      </c>
      <c r="K1311" s="415">
        <f t="shared" ca="1" si="454"/>
        <v>356871508.77285749</v>
      </c>
      <c r="L1311" s="415">
        <f t="shared" ca="1" si="454"/>
        <v>6984089520.4116201</v>
      </c>
      <c r="M1311" s="415">
        <f t="shared" ca="1" si="454"/>
        <v>2020243.494921125</v>
      </c>
      <c r="N1311" s="415">
        <f t="shared" ca="1" si="454"/>
        <v>1269898957.3966732</v>
      </c>
      <c r="O1311" s="415">
        <f t="shared" ca="1" si="454"/>
        <v>138115784.06551591</v>
      </c>
      <c r="P1311" s="415">
        <f t="shared" ca="1" si="454"/>
        <v>23927175.920372121</v>
      </c>
      <c r="Q1311" s="415">
        <f t="shared" ca="1" si="454"/>
        <v>681033967.29485357</v>
      </c>
      <c r="R1311" s="415">
        <f t="shared" ca="1" si="454"/>
        <v>9547102.5918403231</v>
      </c>
      <c r="S1311" s="415">
        <f t="shared" ca="1" si="454"/>
        <v>48726341.254737243</v>
      </c>
      <c r="U1311" s="48">
        <f t="shared" ca="1" si="447"/>
        <v>20559929669.060005</v>
      </c>
      <c r="X1311" s="305"/>
    </row>
    <row r="1312" spans="2:24" x14ac:dyDescent="0.2">
      <c r="B1312" s="16">
        <f t="shared" ref="B1312:B1341" si="455">B1311+1</f>
        <v>65</v>
      </c>
      <c r="C1312" s="321"/>
      <c r="D1312" s="64" t="s">
        <v>729</v>
      </c>
      <c r="G1312" s="16">
        <f t="shared" ref="G1312:G1341" si="456">G1311+1</f>
        <v>65</v>
      </c>
      <c r="H1312" s="64" t="str">
        <f t="shared" si="444"/>
        <v>PLT_N XINT</v>
      </c>
      <c r="J1312" s="415">
        <f t="shared" ref="J1312:S1312" ca="1" si="457">J368</f>
        <v>7663056679.6041651</v>
      </c>
      <c r="K1312" s="415">
        <f t="shared" ca="1" si="457"/>
        <v>202848451.4946664</v>
      </c>
      <c r="L1312" s="415">
        <f t="shared" ca="1" si="457"/>
        <v>4878667477.8922195</v>
      </c>
      <c r="M1312" s="415">
        <f t="shared" ca="1" si="457"/>
        <v>1469873.902442378</v>
      </c>
      <c r="N1312" s="415">
        <f t="shared" ca="1" si="457"/>
        <v>923943742.87493086</v>
      </c>
      <c r="O1312" s="415">
        <f t="shared" ca="1" si="457"/>
        <v>107959055.64707881</v>
      </c>
      <c r="P1312" s="415">
        <f t="shared" ca="1" si="457"/>
        <v>18220837.045598842</v>
      </c>
      <c r="Q1312" s="415">
        <f t="shared" ca="1" si="457"/>
        <v>206568232.05209863</v>
      </c>
      <c r="R1312" s="415">
        <f t="shared" ca="1" si="457"/>
        <v>7462551.7058350416</v>
      </c>
      <c r="S1312" s="415">
        <f t="shared" ca="1" si="457"/>
        <v>35451952.970964007</v>
      </c>
      <c r="U1312" s="48">
        <f t="shared" ca="1" si="447"/>
        <v>14045648855.190002</v>
      </c>
      <c r="X1312" s="305"/>
    </row>
    <row r="1313" spans="2:24" x14ac:dyDescent="0.2">
      <c r="B1313" s="16">
        <f t="shared" si="455"/>
        <v>66</v>
      </c>
      <c r="C1313" s="321"/>
      <c r="D1313" s="64" t="s">
        <v>730</v>
      </c>
      <c r="G1313" s="16">
        <f t="shared" si="456"/>
        <v>66</v>
      </c>
      <c r="H1313" s="64" t="str">
        <f t="shared" si="444"/>
        <v>PLT INT_N</v>
      </c>
      <c r="J1313" s="415">
        <f t="shared" ref="J1313:S1313" ca="1" si="458">J323</f>
        <v>2968686.5948120262</v>
      </c>
      <c r="K1313" s="415">
        <f t="shared" ca="1" si="458"/>
        <v>78583.978157616861</v>
      </c>
      <c r="L1313" s="415">
        <f t="shared" ca="1" si="458"/>
        <v>1890007.5188941658</v>
      </c>
      <c r="M1313" s="415">
        <f t="shared" ca="1" si="458"/>
        <v>569.43268628806868</v>
      </c>
      <c r="N1313" s="415">
        <f t="shared" ca="1" si="458"/>
        <v>357938.02897657047</v>
      </c>
      <c r="O1313" s="415">
        <f t="shared" ca="1" si="458"/>
        <v>41823.597904616268</v>
      </c>
      <c r="P1313" s="415">
        <f t="shared" ca="1" si="458"/>
        <v>7058.7961103685548</v>
      </c>
      <c r="Q1313" s="415">
        <f t="shared" ca="1" si="458"/>
        <v>80025.030095270253</v>
      </c>
      <c r="R1313" s="415">
        <f t="shared" ca="1" si="458"/>
        <v>2891.0104855636373</v>
      </c>
      <c r="S1313" s="415">
        <f t="shared" ca="1" si="458"/>
        <v>13734.171877512947</v>
      </c>
      <c r="U1313" s="48">
        <f t="shared" ca="1" si="447"/>
        <v>5441318.1599999983</v>
      </c>
      <c r="X1313" s="305"/>
    </row>
    <row r="1314" spans="2:24" x14ac:dyDescent="0.2">
      <c r="B1314" s="16">
        <f t="shared" si="455"/>
        <v>67</v>
      </c>
      <c r="C1314" s="321"/>
      <c r="D1314" s="64" t="s">
        <v>731</v>
      </c>
      <c r="G1314" s="16">
        <f t="shared" si="456"/>
        <v>67</v>
      </c>
      <c r="H1314" s="64" t="str">
        <f t="shared" si="444"/>
        <v>PLTTRAN_N</v>
      </c>
      <c r="J1314" s="415">
        <f t="shared" ref="J1314:S1314" ca="1" si="459">J324</f>
        <v>171545153.9896324</v>
      </c>
      <c r="K1314" s="415">
        <f t="shared" ca="1" si="459"/>
        <v>3240945.5050083422</v>
      </c>
      <c r="L1314" s="415">
        <f t="shared" ca="1" si="459"/>
        <v>110184176.82414795</v>
      </c>
      <c r="M1314" s="415">
        <f t="shared" ca="1" si="459"/>
        <v>51559.663147211599</v>
      </c>
      <c r="N1314" s="415">
        <f t="shared" ca="1" si="459"/>
        <v>32409738.053344898</v>
      </c>
      <c r="O1314" s="415">
        <f t="shared" ca="1" si="459"/>
        <v>13930343.34520641</v>
      </c>
      <c r="P1314" s="415">
        <f t="shared" ca="1" si="459"/>
        <v>0</v>
      </c>
      <c r="Q1314" s="415">
        <f t="shared" ca="1" si="459"/>
        <v>979875.5022046864</v>
      </c>
      <c r="R1314" s="415">
        <f t="shared" ca="1" si="459"/>
        <v>962919.75574029377</v>
      </c>
      <c r="S1314" s="415">
        <f t="shared" ca="1" si="459"/>
        <v>1243569.7715677675</v>
      </c>
      <c r="U1314" s="48">
        <f t="shared" ca="1" si="447"/>
        <v>334548282.40999991</v>
      </c>
      <c r="X1314" s="305"/>
    </row>
    <row r="1315" spans="2:24" x14ac:dyDescent="0.2">
      <c r="B1315" s="16">
        <f t="shared" si="455"/>
        <v>68</v>
      </c>
      <c r="C1315" s="321"/>
      <c r="D1315" s="64" t="s">
        <v>732</v>
      </c>
      <c r="G1315" s="16">
        <f t="shared" si="456"/>
        <v>68</v>
      </c>
      <c r="H1315" s="64" t="str">
        <f t="shared" si="444"/>
        <v>RATEBASE</v>
      </c>
      <c r="J1315" s="415">
        <f t="shared" ref="J1315:S1315" ca="1" si="460">J618</f>
        <v>7357582873.6704121</v>
      </c>
      <c r="K1315" s="415">
        <f t="shared" ca="1" si="460"/>
        <v>192947772.43513933</v>
      </c>
      <c r="L1315" s="415">
        <f t="shared" ca="1" si="460"/>
        <v>4706603529.2625856</v>
      </c>
      <c r="M1315" s="415">
        <f t="shared" ca="1" si="460"/>
        <v>1409363.7147611827</v>
      </c>
      <c r="N1315" s="415">
        <f t="shared" ca="1" si="460"/>
        <v>891288677.01239192</v>
      </c>
      <c r="O1315" s="415">
        <f t="shared" ca="1" si="460"/>
        <v>104779262.53622663</v>
      </c>
      <c r="P1315" s="415">
        <f t="shared" ca="1" si="460"/>
        <v>26237684.492605682</v>
      </c>
      <c r="Q1315" s="415">
        <f t="shared" ca="1" si="460"/>
        <v>185425474.27335429</v>
      </c>
      <c r="R1315" s="415">
        <f t="shared" ca="1" si="460"/>
        <v>7295715.6372283641</v>
      </c>
      <c r="S1315" s="415">
        <f t="shared" ca="1" si="460"/>
        <v>34038240.394781895</v>
      </c>
      <c r="U1315" s="48">
        <f t="shared" ca="1" si="447"/>
        <v>13507608593.429485</v>
      </c>
      <c r="X1315" s="305"/>
    </row>
    <row r="1316" spans="2:24" x14ac:dyDescent="0.2">
      <c r="B1316" s="16">
        <f t="shared" si="455"/>
        <v>69</v>
      </c>
      <c r="C1316" s="321"/>
      <c r="D1316" s="64" t="s">
        <v>884</v>
      </c>
      <c r="G1316" s="16">
        <f t="shared" si="456"/>
        <v>69</v>
      </c>
      <c r="H1316" s="64" t="str">
        <f t="shared" si="444"/>
        <v>PLANT_xWHL</v>
      </c>
      <c r="J1316" s="415">
        <f ca="1">J1311</f>
        <v>11045699067.856609</v>
      </c>
      <c r="K1316" s="415">
        <f t="shared" ref="K1316:Q1316" ca="1" si="461">K1311</f>
        <v>356871508.77285749</v>
      </c>
      <c r="L1316" s="415">
        <f t="shared" ca="1" si="461"/>
        <v>6984089520.4116201</v>
      </c>
      <c r="M1316" s="415">
        <f t="shared" ca="1" si="461"/>
        <v>2020243.494921125</v>
      </c>
      <c r="N1316" s="415">
        <f t="shared" ca="1" si="461"/>
        <v>1269898957.3966732</v>
      </c>
      <c r="O1316" s="415">
        <f ca="1">O1311</f>
        <v>138115784.06551591</v>
      </c>
      <c r="P1316" s="415">
        <f t="shared" ca="1" si="461"/>
        <v>23927175.920372121</v>
      </c>
      <c r="Q1316" s="415">
        <f t="shared" ca="1" si="461"/>
        <v>681033967.29485357</v>
      </c>
      <c r="R1316" s="17">
        <v>0</v>
      </c>
      <c r="S1316" s="17">
        <v>0</v>
      </c>
      <c r="U1316" s="48">
        <f t="shared" ca="1" si="447"/>
        <v>20501656225.213428</v>
      </c>
      <c r="X1316" s="305"/>
    </row>
    <row r="1317" spans="2:24" x14ac:dyDescent="0.2">
      <c r="B1317" s="16">
        <f t="shared" si="455"/>
        <v>70</v>
      </c>
      <c r="C1317" s="321"/>
      <c r="D1317" s="64"/>
      <c r="G1317" s="16">
        <f t="shared" si="456"/>
        <v>70</v>
      </c>
      <c r="H1317" s="64"/>
      <c r="J1317" s="415"/>
      <c r="K1317" s="415"/>
      <c r="L1317" s="415"/>
      <c r="M1317" s="415"/>
      <c r="N1317" s="415"/>
      <c r="O1317" s="415"/>
      <c r="P1317" s="415"/>
      <c r="Q1317" s="415"/>
      <c r="R1317" s="415"/>
      <c r="S1317" s="415"/>
      <c r="U1317" s="172"/>
      <c r="X1317" s="305"/>
    </row>
    <row r="1318" spans="2:24" x14ac:dyDescent="0.2">
      <c r="B1318" s="16">
        <f t="shared" si="455"/>
        <v>71</v>
      </c>
      <c r="C1318" s="321"/>
      <c r="D1318" s="64" t="s">
        <v>733</v>
      </c>
      <c r="G1318" s="16">
        <f t="shared" si="456"/>
        <v>71</v>
      </c>
      <c r="H1318" s="64" t="str">
        <f t="shared" ref="H1318:H1324" si="462">VLOOKUP(G1318,FactorTable,2)</f>
        <v>DIST OPS</v>
      </c>
      <c r="J1318" s="415">
        <f t="shared" ref="J1318:S1318" si="463">J692</f>
        <v>28099109.603263617</v>
      </c>
      <c r="K1318" s="415">
        <f t="shared" si="463"/>
        <v>699361.21912154427</v>
      </c>
      <c r="L1318" s="415">
        <f t="shared" si="463"/>
        <v>17922411.037368387</v>
      </c>
      <c r="M1318" s="415">
        <f t="shared" si="463"/>
        <v>39418.871963423124</v>
      </c>
      <c r="N1318" s="415">
        <f t="shared" si="463"/>
        <v>4756011.9502336131</v>
      </c>
      <c r="O1318" s="415">
        <f t="shared" si="463"/>
        <v>760147.58667487453</v>
      </c>
      <c r="P1318" s="415">
        <f t="shared" si="463"/>
        <v>16995.982862510191</v>
      </c>
      <c r="Q1318" s="415">
        <f t="shared" si="463"/>
        <v>154148.2586882122</v>
      </c>
      <c r="R1318" s="415">
        <f t="shared" si="463"/>
        <v>51981.144253629638</v>
      </c>
      <c r="S1318" s="415">
        <f t="shared" si="463"/>
        <v>172961.0955701886</v>
      </c>
      <c r="U1318" s="48">
        <f t="shared" ref="U1318:U1324" si="464">MAX(0.0000001,SUM(I1318:T1318))</f>
        <v>52672546.750000007</v>
      </c>
      <c r="X1318" s="305"/>
    </row>
    <row r="1319" spans="2:24" x14ac:dyDescent="0.2">
      <c r="B1319" s="16">
        <f t="shared" si="455"/>
        <v>72</v>
      </c>
      <c r="D1319" s="64" t="s">
        <v>734</v>
      </c>
      <c r="G1319" s="16">
        <f t="shared" si="456"/>
        <v>72</v>
      </c>
      <c r="H1319" s="64" t="str">
        <f t="shared" si="462"/>
        <v>DIST MAINT</v>
      </c>
      <c r="J1319" s="415">
        <f t="shared" ref="J1319:S1319" ca="1" si="465">J707</f>
        <v>92742101.322054014</v>
      </c>
      <c r="K1319" s="415">
        <f t="shared" ca="1" si="465"/>
        <v>1752190.6217597136</v>
      </c>
      <c r="L1319" s="415">
        <f t="shared" ca="1" si="465"/>
        <v>59568609.75624837</v>
      </c>
      <c r="M1319" s="415">
        <f t="shared" ca="1" si="465"/>
        <v>22580.160183122098</v>
      </c>
      <c r="N1319" s="415">
        <f t="shared" ca="1" si="465"/>
        <v>14193596.933480611</v>
      </c>
      <c r="O1319" s="415">
        <f t="shared" ca="1" si="465"/>
        <v>403948.65142990439</v>
      </c>
      <c r="P1319" s="415">
        <f t="shared" ca="1" si="465"/>
        <v>26865.776785631435</v>
      </c>
      <c r="Q1319" s="415">
        <f t="shared" ca="1" si="465"/>
        <v>10982921.067598911</v>
      </c>
      <c r="R1319" s="415">
        <f t="shared" ca="1" si="465"/>
        <v>27922.50895239805</v>
      </c>
      <c r="S1319" s="415">
        <f t="shared" ca="1" si="465"/>
        <v>544611.87150729774</v>
      </c>
      <c r="U1319" s="48">
        <f t="shared" ca="1" si="464"/>
        <v>180265348.66999999</v>
      </c>
      <c r="X1319" s="305"/>
    </row>
    <row r="1320" spans="2:24" x14ac:dyDescent="0.2">
      <c r="B1320" s="16">
        <f t="shared" si="455"/>
        <v>73</v>
      </c>
      <c r="D1320" s="45" t="s">
        <v>735</v>
      </c>
      <c r="G1320" s="16">
        <f t="shared" si="456"/>
        <v>73</v>
      </c>
      <c r="H1320" s="64" t="str">
        <f t="shared" si="462"/>
        <v>CUS ACCT</v>
      </c>
      <c r="J1320" s="415">
        <f t="shared" ref="J1320:S1320" si="466">J731</f>
        <v>0</v>
      </c>
      <c r="K1320" s="415">
        <f t="shared" si="466"/>
        <v>0</v>
      </c>
      <c r="L1320" s="415">
        <f t="shared" si="466"/>
        <v>0</v>
      </c>
      <c r="M1320" s="415">
        <f t="shared" si="466"/>
        <v>0</v>
      </c>
      <c r="N1320" s="415">
        <f t="shared" si="466"/>
        <v>0</v>
      </c>
      <c r="O1320" s="415">
        <f t="shared" si="466"/>
        <v>0</v>
      </c>
      <c r="P1320" s="415">
        <f t="shared" si="466"/>
        <v>0</v>
      </c>
      <c r="Q1320" s="415">
        <f t="shared" si="466"/>
        <v>0</v>
      </c>
      <c r="R1320" s="415">
        <f t="shared" si="466"/>
        <v>0</v>
      </c>
      <c r="S1320" s="415">
        <f t="shared" si="466"/>
        <v>0</v>
      </c>
      <c r="U1320" s="48">
        <f t="shared" si="464"/>
        <v>9.9999999999999995E-8</v>
      </c>
      <c r="X1320" s="305"/>
    </row>
    <row r="1321" spans="2:24" x14ac:dyDescent="0.2">
      <c r="B1321" s="16">
        <f t="shared" si="455"/>
        <v>74</v>
      </c>
      <c r="D1321" s="64" t="s">
        <v>888</v>
      </c>
      <c r="G1321" s="16">
        <f t="shared" si="456"/>
        <v>74</v>
      </c>
      <c r="H1321" s="64" t="str">
        <f t="shared" si="462"/>
        <v>CUS SVC INFO</v>
      </c>
      <c r="J1321" s="415">
        <f t="shared" ref="J1321:S1321" si="467">J741</f>
        <v>197489.6260983902</v>
      </c>
      <c r="K1321" s="415">
        <f t="shared" si="467"/>
        <v>16381.302010588081</v>
      </c>
      <c r="L1321" s="415">
        <f t="shared" si="467"/>
        <v>13384.541506063835</v>
      </c>
      <c r="M1321" s="415">
        <f t="shared" si="467"/>
        <v>178.83019285587702</v>
      </c>
      <c r="N1321" s="415">
        <f t="shared" si="467"/>
        <v>400.32864225280542</v>
      </c>
      <c r="O1321" s="415">
        <f t="shared" si="467"/>
        <v>9.2980291660312453</v>
      </c>
      <c r="P1321" s="415">
        <f t="shared" si="467"/>
        <v>19.394662064114254</v>
      </c>
      <c r="Q1321" s="415">
        <f t="shared" si="467"/>
        <v>2921.8058399588122</v>
      </c>
      <c r="R1321" s="415">
        <f t="shared" si="467"/>
        <v>1.0267762269236957</v>
      </c>
      <c r="S1321" s="415">
        <f t="shared" si="467"/>
        <v>2.9662424333351209</v>
      </c>
      <c r="U1321" s="48">
        <f t="shared" si="464"/>
        <v>230789.12000000002</v>
      </c>
      <c r="X1321" s="305"/>
    </row>
    <row r="1322" spans="2:24" x14ac:dyDescent="0.2">
      <c r="B1322" s="16">
        <f t="shared" si="455"/>
        <v>75</v>
      </c>
      <c r="C1322" s="64"/>
      <c r="D1322" s="45" t="s">
        <v>736</v>
      </c>
      <c r="F1322" s="64"/>
      <c r="G1322" s="16">
        <f t="shared" si="456"/>
        <v>75</v>
      </c>
      <c r="H1322" s="64" t="str">
        <f t="shared" si="462"/>
        <v>SALES EXP</v>
      </c>
      <c r="J1322" s="415">
        <f t="shared" ref="J1322:S1322" si="468">J751</f>
        <v>0</v>
      </c>
      <c r="K1322" s="415">
        <f t="shared" si="468"/>
        <v>0</v>
      </c>
      <c r="L1322" s="415">
        <f t="shared" si="468"/>
        <v>0</v>
      </c>
      <c r="M1322" s="415">
        <f t="shared" si="468"/>
        <v>0</v>
      </c>
      <c r="N1322" s="415">
        <f t="shared" si="468"/>
        <v>0</v>
      </c>
      <c r="O1322" s="415">
        <f t="shared" si="468"/>
        <v>0</v>
      </c>
      <c r="P1322" s="415">
        <f t="shared" si="468"/>
        <v>0</v>
      </c>
      <c r="Q1322" s="415">
        <f t="shared" si="468"/>
        <v>0</v>
      </c>
      <c r="R1322" s="415">
        <f t="shared" si="468"/>
        <v>0</v>
      </c>
      <c r="S1322" s="415">
        <f t="shared" si="468"/>
        <v>0</v>
      </c>
      <c r="U1322" s="48">
        <f t="shared" si="464"/>
        <v>9.9999999999999995E-8</v>
      </c>
      <c r="X1322" s="305"/>
    </row>
    <row r="1323" spans="2:24" x14ac:dyDescent="0.2">
      <c r="B1323" s="16">
        <f t="shared" si="455"/>
        <v>76</v>
      </c>
      <c r="D1323" s="64" t="s">
        <v>737</v>
      </c>
      <c r="G1323" s="16">
        <f t="shared" si="456"/>
        <v>76</v>
      </c>
      <c r="H1323" s="64" t="str">
        <f t="shared" si="462"/>
        <v>O&amp;M</v>
      </c>
      <c r="J1323" s="415">
        <f t="shared" ref="J1323:S1323" ca="1" si="469">J753</f>
        <v>1112835959.6450121</v>
      </c>
      <c r="K1323" s="415">
        <f t="shared" ca="1" si="469"/>
        <v>22782480.461277805</v>
      </c>
      <c r="L1323" s="415">
        <f t="shared" ca="1" si="469"/>
        <v>763870805.47887552</v>
      </c>
      <c r="M1323" s="415">
        <f t="shared" ca="1" si="469"/>
        <v>361467.85898340523</v>
      </c>
      <c r="N1323" s="415">
        <f t="shared" ca="1" si="469"/>
        <v>230284183.94801486</v>
      </c>
      <c r="O1323" s="415">
        <f t="shared" ca="1" si="469"/>
        <v>75448654.642890364</v>
      </c>
      <c r="P1323" s="415">
        <f t="shared" ca="1" si="469"/>
        <v>247427594.64867708</v>
      </c>
      <c r="Q1323" s="415">
        <f t="shared" ca="1" si="469"/>
        <v>11815780.311873645</v>
      </c>
      <c r="R1323" s="415">
        <f t="shared" ca="1" si="469"/>
        <v>208279.4483443705</v>
      </c>
      <c r="S1323" s="415">
        <f t="shared" ca="1" si="469"/>
        <v>1150520.7160508432</v>
      </c>
      <c r="U1323" s="48">
        <f t="shared" ca="1" si="464"/>
        <v>2466185727.1599994</v>
      </c>
      <c r="X1323" s="305"/>
    </row>
    <row r="1324" spans="2:24" x14ac:dyDescent="0.2">
      <c r="B1324" s="16">
        <f t="shared" si="455"/>
        <v>77</v>
      </c>
      <c r="D1324" s="64" t="s">
        <v>738</v>
      </c>
      <c r="G1324" s="16">
        <f t="shared" si="456"/>
        <v>77</v>
      </c>
      <c r="H1324" s="64" t="str">
        <f t="shared" si="462"/>
        <v>O&amp;M x565</v>
      </c>
      <c r="J1324" s="415">
        <f t="shared" ref="J1324:S1324" ca="1" si="470">J754</f>
        <v>191430972.07677937</v>
      </c>
      <c r="K1324" s="415">
        <f t="shared" ca="1" si="470"/>
        <v>4207603.235338103</v>
      </c>
      <c r="L1324" s="415">
        <f t="shared" ca="1" si="470"/>
        <v>122411285.1446209</v>
      </c>
      <c r="M1324" s="415">
        <f t="shared" ca="1" si="470"/>
        <v>158538.47030170739</v>
      </c>
      <c r="N1324" s="415">
        <f t="shared" ca="1" si="470"/>
        <v>30834764.332608819</v>
      </c>
      <c r="O1324" s="415">
        <f t="shared" ca="1" si="470"/>
        <v>3040559.1014645547</v>
      </c>
      <c r="P1324" s="415">
        <f t="shared" ca="1" si="470"/>
        <v>85951.662617683411</v>
      </c>
      <c r="Q1324" s="415">
        <f t="shared" ca="1" si="470"/>
        <v>11815780.311873645</v>
      </c>
      <c r="R1324" s="415">
        <f t="shared" ca="1" si="470"/>
        <v>208279.4483443705</v>
      </c>
      <c r="S1324" s="415">
        <f t="shared" ca="1" si="470"/>
        <v>1150520.7160508432</v>
      </c>
      <c r="U1324" s="48">
        <f t="shared" ca="1" si="464"/>
        <v>365344254.5</v>
      </c>
      <c r="X1324" s="305"/>
    </row>
    <row r="1325" spans="2:24" ht="8.4499999999999993" customHeight="1" x14ac:dyDescent="0.2">
      <c r="B1325" s="16">
        <f t="shared" si="455"/>
        <v>78</v>
      </c>
      <c r="G1325" s="16">
        <f t="shared" si="456"/>
        <v>78</v>
      </c>
      <c r="U1325" s="172"/>
      <c r="X1325" s="305"/>
    </row>
    <row r="1326" spans="2:24" x14ac:dyDescent="0.2">
      <c r="B1326" s="16">
        <f t="shared" si="455"/>
        <v>79</v>
      </c>
      <c r="D1326" s="64"/>
      <c r="G1326" s="16">
        <f t="shared" si="456"/>
        <v>79</v>
      </c>
      <c r="H1326" s="64"/>
      <c r="J1326" s="415"/>
      <c r="K1326" s="415"/>
      <c r="L1326" s="415"/>
      <c r="M1326" s="415"/>
      <c r="N1326" s="415"/>
      <c r="O1326" s="415"/>
      <c r="P1326" s="415"/>
      <c r="Q1326" s="415"/>
      <c r="R1326" s="415"/>
      <c r="S1326" s="415"/>
      <c r="U1326" s="172"/>
      <c r="X1326" s="305"/>
    </row>
    <row r="1327" spans="2:24" x14ac:dyDescent="0.2">
      <c r="B1327" s="16">
        <f t="shared" si="455"/>
        <v>80</v>
      </c>
      <c r="D1327" s="64" t="s">
        <v>739</v>
      </c>
      <c r="G1327" s="16">
        <f t="shared" si="456"/>
        <v>80</v>
      </c>
      <c r="H1327" s="64" t="str">
        <f t="shared" ref="H1327:H1335" si="471">VLOOKUP(G1327,FactorTable,2)</f>
        <v>PAY TR OPS</v>
      </c>
      <c r="J1327" s="415">
        <f t="shared" ref="J1327:S1327" si="472">J814</f>
        <v>241668.11073881737</v>
      </c>
      <c r="K1327" s="415">
        <f t="shared" si="472"/>
        <v>4565.755190322453</v>
      </c>
      <c r="L1327" s="415">
        <f t="shared" si="472"/>
        <v>155224.44806580155</v>
      </c>
      <c r="M1327" s="415">
        <f t="shared" si="472"/>
        <v>72.635840146609524</v>
      </c>
      <c r="N1327" s="415">
        <f t="shared" si="472"/>
        <v>45657.950590461929</v>
      </c>
      <c r="O1327" s="415">
        <f t="shared" si="472"/>
        <v>19624.685861907539</v>
      </c>
      <c r="P1327" s="415">
        <f t="shared" si="472"/>
        <v>0</v>
      </c>
      <c r="Q1327" s="415">
        <f t="shared" si="472"/>
        <v>1380.4217482667459</v>
      </c>
      <c r="R1327" s="415">
        <f t="shared" si="472"/>
        <v>1356.5349574194574</v>
      </c>
      <c r="S1327" s="415">
        <f t="shared" si="472"/>
        <v>1751.9070068563301</v>
      </c>
      <c r="U1327" s="48">
        <f t="shared" ref="U1327:U1335" si="473">MAX(0.0000001,SUM(I1327:T1327))</f>
        <v>471302.45</v>
      </c>
      <c r="X1327" s="305"/>
    </row>
    <row r="1328" spans="2:24" x14ac:dyDescent="0.2">
      <c r="B1328" s="16">
        <f t="shared" si="455"/>
        <v>81</v>
      </c>
      <c r="D1328" s="64" t="s">
        <v>740</v>
      </c>
      <c r="G1328" s="16">
        <f t="shared" si="456"/>
        <v>81</v>
      </c>
      <c r="H1328" s="64" t="str">
        <f t="shared" si="471"/>
        <v>PAY TR MNT</v>
      </c>
      <c r="J1328" s="415">
        <f t="shared" ref="J1328:S1328" si="474">J825</f>
        <v>31938.56431945588</v>
      </c>
      <c r="K1328" s="415">
        <f t="shared" si="474"/>
        <v>603.40466670260025</v>
      </c>
      <c r="L1328" s="415">
        <f t="shared" si="474"/>
        <v>20514.274735484709</v>
      </c>
      <c r="M1328" s="415">
        <f t="shared" si="474"/>
        <v>9.5994645107621057</v>
      </c>
      <c r="N1328" s="415">
        <f t="shared" si="474"/>
        <v>6034.0993570476039</v>
      </c>
      <c r="O1328" s="415">
        <f t="shared" si="474"/>
        <v>2593.5746745132087</v>
      </c>
      <c r="P1328" s="415">
        <f t="shared" si="474"/>
        <v>0</v>
      </c>
      <c r="Q1328" s="415">
        <f t="shared" si="474"/>
        <v>182.43486350022414</v>
      </c>
      <c r="R1328" s="415">
        <f t="shared" si="474"/>
        <v>179.2780142016999</v>
      </c>
      <c r="S1328" s="415">
        <f t="shared" si="474"/>
        <v>231.52990458330649</v>
      </c>
      <c r="U1328" s="48">
        <f t="shared" si="473"/>
        <v>62286.759999999995</v>
      </c>
      <c r="X1328" s="305"/>
    </row>
    <row r="1329" spans="1:24" x14ac:dyDescent="0.2">
      <c r="A1329" t="s">
        <v>0</v>
      </c>
      <c r="B1329" s="16">
        <f t="shared" si="455"/>
        <v>82</v>
      </c>
      <c r="D1329" s="64" t="s">
        <v>741</v>
      </c>
      <c r="G1329" s="16">
        <f t="shared" si="456"/>
        <v>82</v>
      </c>
      <c r="H1329" s="64" t="str">
        <f t="shared" si="471"/>
        <v>PAY DISTR OPS</v>
      </c>
      <c r="J1329" s="415">
        <f t="shared" ref="J1329:S1329" si="475">J853</f>
        <v>45508711.925004616</v>
      </c>
      <c r="K1329" s="415">
        <f t="shared" si="475"/>
        <v>1178260.6339137575</v>
      </c>
      <c r="L1329" s="415">
        <f t="shared" si="475"/>
        <v>28992721.3420715</v>
      </c>
      <c r="M1329" s="415">
        <f t="shared" si="475"/>
        <v>72623.473078091105</v>
      </c>
      <c r="N1329" s="415">
        <f t="shared" si="475"/>
        <v>7805181.8167459331</v>
      </c>
      <c r="O1329" s="415">
        <f t="shared" si="475"/>
        <v>1526398.5974405138</v>
      </c>
      <c r="P1329" s="415">
        <f t="shared" si="475"/>
        <v>32125.015048482026</v>
      </c>
      <c r="Q1329" s="415">
        <f t="shared" si="475"/>
        <v>247814.85605806051</v>
      </c>
      <c r="R1329" s="415">
        <f t="shared" si="475"/>
        <v>104446.04955708161</v>
      </c>
      <c r="S1329" s="415">
        <f t="shared" si="475"/>
        <v>281476.88108193199</v>
      </c>
      <c r="U1329" s="48">
        <f t="shared" si="473"/>
        <v>85749760.589999974</v>
      </c>
      <c r="X1329" s="305"/>
    </row>
    <row r="1330" spans="1:24" x14ac:dyDescent="0.2">
      <c r="B1330" s="16">
        <f t="shared" si="455"/>
        <v>83</v>
      </c>
      <c r="D1330" s="64" t="s">
        <v>742</v>
      </c>
      <c r="G1330" s="16">
        <f t="shared" si="456"/>
        <v>83</v>
      </c>
      <c r="H1330" s="64" t="str">
        <f t="shared" si="471"/>
        <v>PAY DISTR MNT</v>
      </c>
      <c r="J1330" s="415">
        <f t="shared" ref="J1330:S1330" ca="1" si="476">J868</f>
        <v>30702307.675692409</v>
      </c>
      <c r="K1330" s="415">
        <f t="shared" ca="1" si="476"/>
        <v>580048.5538481893</v>
      </c>
      <c r="L1330" s="415">
        <f t="shared" ca="1" si="476"/>
        <v>19720221.818505336</v>
      </c>
      <c r="M1330" s="415">
        <f t="shared" ca="1" si="476"/>
        <v>7545.3235873268031</v>
      </c>
      <c r="N1330" s="415">
        <f t="shared" ca="1" si="476"/>
        <v>4742892.9140746612</v>
      </c>
      <c r="O1330" s="415">
        <f t="shared" ca="1" si="476"/>
        <v>261021.39869828377</v>
      </c>
      <c r="P1330" s="415">
        <f t="shared" ca="1" si="476"/>
        <v>9902.0596967452893</v>
      </c>
      <c r="Q1330" s="415">
        <f t="shared" ca="1" si="476"/>
        <v>528200.38728139328</v>
      </c>
      <c r="R1330" s="415">
        <f t="shared" ca="1" si="476"/>
        <v>18042.818848684808</v>
      </c>
      <c r="S1330" s="415">
        <f t="shared" ca="1" si="476"/>
        <v>181985.98976697025</v>
      </c>
      <c r="U1330" s="48">
        <f t="shared" ca="1" si="473"/>
        <v>56752168.940000005</v>
      </c>
      <c r="X1330" s="305"/>
    </row>
    <row r="1331" spans="1:24" x14ac:dyDescent="0.2">
      <c r="B1331" s="16">
        <f t="shared" si="455"/>
        <v>84</v>
      </c>
      <c r="D1331" s="64" t="s">
        <v>743</v>
      </c>
      <c r="G1331" s="16">
        <f t="shared" si="456"/>
        <v>84</v>
      </c>
      <c r="H1331" s="64" t="str">
        <f t="shared" si="471"/>
        <v>PAY CUS ACCT</v>
      </c>
      <c r="J1331" s="415">
        <f t="shared" ref="J1331:S1331" si="477">J890</f>
        <v>0</v>
      </c>
      <c r="K1331" s="415">
        <f t="shared" si="477"/>
        <v>0</v>
      </c>
      <c r="L1331" s="415">
        <f t="shared" si="477"/>
        <v>0</v>
      </c>
      <c r="M1331" s="415">
        <f t="shared" si="477"/>
        <v>0</v>
      </c>
      <c r="N1331" s="415">
        <f t="shared" si="477"/>
        <v>0</v>
      </c>
      <c r="O1331" s="415">
        <f t="shared" si="477"/>
        <v>0</v>
      </c>
      <c r="P1331" s="415">
        <f t="shared" si="477"/>
        <v>0</v>
      </c>
      <c r="Q1331" s="415">
        <f t="shared" si="477"/>
        <v>0</v>
      </c>
      <c r="R1331" s="415">
        <f t="shared" si="477"/>
        <v>0</v>
      </c>
      <c r="S1331" s="415">
        <f t="shared" si="477"/>
        <v>0</v>
      </c>
      <c r="U1331" s="48">
        <f t="shared" si="473"/>
        <v>9.9999999999999995E-8</v>
      </c>
      <c r="X1331" s="305"/>
    </row>
    <row r="1332" spans="1:24" x14ac:dyDescent="0.2">
      <c r="B1332" s="16">
        <f t="shared" si="455"/>
        <v>85</v>
      </c>
      <c r="D1332" s="64" t="s">
        <v>744</v>
      </c>
      <c r="G1332" s="16">
        <f t="shared" si="456"/>
        <v>85</v>
      </c>
      <c r="H1332" s="64" t="str">
        <f t="shared" si="471"/>
        <v>PAY CUS SV INF</v>
      </c>
      <c r="J1332" s="415">
        <f t="shared" ref="J1332:S1332" si="478">J903</f>
        <v>0</v>
      </c>
      <c r="K1332" s="415">
        <f t="shared" si="478"/>
        <v>0</v>
      </c>
      <c r="L1332" s="415">
        <f t="shared" si="478"/>
        <v>0</v>
      </c>
      <c r="M1332" s="415">
        <f t="shared" si="478"/>
        <v>0</v>
      </c>
      <c r="N1332" s="415">
        <f t="shared" si="478"/>
        <v>0</v>
      </c>
      <c r="O1332" s="415">
        <f t="shared" si="478"/>
        <v>0</v>
      </c>
      <c r="P1332" s="415">
        <f t="shared" si="478"/>
        <v>0</v>
      </c>
      <c r="Q1332" s="415">
        <f t="shared" si="478"/>
        <v>0</v>
      </c>
      <c r="R1332" s="415">
        <f t="shared" si="478"/>
        <v>0</v>
      </c>
      <c r="S1332" s="415">
        <f t="shared" si="478"/>
        <v>0</v>
      </c>
      <c r="U1332" s="48">
        <f>SUM(I1332:T1332)</f>
        <v>0</v>
      </c>
      <c r="X1332" s="305"/>
    </row>
    <row r="1333" spans="1:24" x14ac:dyDescent="0.2">
      <c r="B1333" s="16">
        <f t="shared" si="455"/>
        <v>86</v>
      </c>
      <c r="D1333" s="64" t="s">
        <v>745</v>
      </c>
      <c r="G1333" s="16">
        <f t="shared" si="456"/>
        <v>86</v>
      </c>
      <c r="H1333" s="64" t="str">
        <f t="shared" si="471"/>
        <v>PAY SALES</v>
      </c>
      <c r="J1333" s="415">
        <f t="shared" ref="J1333:S1333" si="479">J915</f>
        <v>0</v>
      </c>
      <c r="K1333" s="415">
        <f t="shared" si="479"/>
        <v>0</v>
      </c>
      <c r="L1333" s="415">
        <f t="shared" si="479"/>
        <v>0</v>
      </c>
      <c r="M1333" s="415">
        <f t="shared" si="479"/>
        <v>0</v>
      </c>
      <c r="N1333" s="415">
        <f t="shared" si="479"/>
        <v>0</v>
      </c>
      <c r="O1333" s="415">
        <f t="shared" si="479"/>
        <v>0</v>
      </c>
      <c r="P1333" s="415">
        <f t="shared" si="479"/>
        <v>0</v>
      </c>
      <c r="Q1333" s="415">
        <f t="shared" si="479"/>
        <v>0</v>
      </c>
      <c r="R1333" s="415">
        <f t="shared" si="479"/>
        <v>0</v>
      </c>
      <c r="S1333" s="415">
        <f t="shared" si="479"/>
        <v>0</v>
      </c>
      <c r="U1333" s="48">
        <f t="shared" si="473"/>
        <v>9.9999999999999995E-8</v>
      </c>
      <c r="X1333" s="305"/>
    </row>
    <row r="1334" spans="1:24" x14ac:dyDescent="0.2">
      <c r="B1334" s="16">
        <f t="shared" si="455"/>
        <v>87</v>
      </c>
      <c r="D1334" s="45" t="s">
        <v>746</v>
      </c>
      <c r="G1334" s="16">
        <f t="shared" si="456"/>
        <v>87</v>
      </c>
      <c r="H1334" s="64" t="str">
        <f t="shared" si="471"/>
        <v>PAYROLL XAG</v>
      </c>
      <c r="J1334" s="415">
        <f t="shared" ref="J1334:S1334" ca="1" si="480">J925</f>
        <v>82354201.170363948</v>
      </c>
      <c r="K1334" s="415">
        <f t="shared" ca="1" si="480"/>
        <v>1912517.6935973526</v>
      </c>
      <c r="L1334" s="415">
        <f t="shared" ca="1" si="480"/>
        <v>52630260.998257294</v>
      </c>
      <c r="M1334" s="415">
        <f t="shared" ca="1" si="480"/>
        <v>89030.143485420078</v>
      </c>
      <c r="N1334" s="415">
        <f t="shared" ca="1" si="480"/>
        <v>13585138.713831328</v>
      </c>
      <c r="O1334" s="415">
        <f t="shared" ca="1" si="480"/>
        <v>1973679.7901687182</v>
      </c>
      <c r="P1334" s="415">
        <f t="shared" ca="1" si="480"/>
        <v>46296.831995990251</v>
      </c>
      <c r="Q1334" s="415">
        <f t="shared" ca="1" si="480"/>
        <v>824678.84240782296</v>
      </c>
      <c r="R1334" s="415">
        <f t="shared" ca="1" si="480"/>
        <v>135272.85842599437</v>
      </c>
      <c r="S1334" s="415">
        <f t="shared" ca="1" si="480"/>
        <v>501190.71746610262</v>
      </c>
      <c r="U1334" s="48">
        <f t="shared" ca="1" si="473"/>
        <v>154052267.76000002</v>
      </c>
      <c r="X1334" s="305"/>
    </row>
    <row r="1335" spans="1:24" x14ac:dyDescent="0.2">
      <c r="B1335" s="16">
        <f t="shared" si="455"/>
        <v>88</v>
      </c>
      <c r="D1335" s="64" t="s">
        <v>662</v>
      </c>
      <c r="G1335" s="16">
        <f t="shared" si="456"/>
        <v>88</v>
      </c>
      <c r="H1335" s="64" t="str">
        <f t="shared" si="471"/>
        <v>PAYROLL</v>
      </c>
      <c r="J1335" s="415">
        <f t="shared" ref="J1335:S1335" ca="1" si="481">J957</f>
        <v>118225454.66327918</v>
      </c>
      <c r="K1335" s="415">
        <f t="shared" ca="1" si="481"/>
        <v>2703528.7101148143</v>
      </c>
      <c r="L1335" s="415">
        <f t="shared" ca="1" si="481"/>
        <v>75566668.709479958</v>
      </c>
      <c r="M1335" s="415">
        <f t="shared" ca="1" si="481"/>
        <v>118373.67704047647</v>
      </c>
      <c r="N1335" s="415">
        <f t="shared" ca="1" si="481"/>
        <v>19339925.910444148</v>
      </c>
      <c r="O1335" s="415">
        <f t="shared" ca="1" si="481"/>
        <v>2542407.0875614006</v>
      </c>
      <c r="P1335" s="415">
        <f t="shared" ca="1" si="481"/>
        <v>63506.617016247023</v>
      </c>
      <c r="Q1335" s="415">
        <f t="shared" ca="1" si="481"/>
        <v>3018880.5904894155</v>
      </c>
      <c r="R1335" s="415">
        <f t="shared" ca="1" si="481"/>
        <v>174235.92036270074</v>
      </c>
      <c r="S1335" s="415">
        <f t="shared" ca="1" si="481"/>
        <v>715988.93421163107</v>
      </c>
      <c r="U1335" s="48">
        <f t="shared" ca="1" si="473"/>
        <v>222468970.81999999</v>
      </c>
      <c r="X1335" s="305"/>
    </row>
    <row r="1336" spans="1:24" x14ac:dyDescent="0.2">
      <c r="B1336" s="16">
        <f t="shared" si="455"/>
        <v>89</v>
      </c>
      <c r="D1336" s="64"/>
      <c r="G1336" s="16">
        <f t="shared" si="456"/>
        <v>89</v>
      </c>
      <c r="H1336" s="64"/>
      <c r="J1336" s="415"/>
      <c r="K1336" s="415"/>
      <c r="L1336" s="415"/>
      <c r="M1336" s="415"/>
      <c r="N1336" s="415"/>
      <c r="O1336" s="415"/>
      <c r="P1336" s="415"/>
      <c r="Q1336" s="415"/>
      <c r="R1336" s="415"/>
      <c r="S1336" s="415"/>
      <c r="U1336" s="172"/>
      <c r="X1336" s="305"/>
    </row>
    <row r="1337" spans="1:24" x14ac:dyDescent="0.2">
      <c r="B1337" s="16">
        <f t="shared" si="455"/>
        <v>90</v>
      </c>
      <c r="G1337" s="16">
        <f t="shared" si="456"/>
        <v>90</v>
      </c>
      <c r="J1337" s="415"/>
      <c r="K1337" s="415"/>
      <c r="L1337" s="415"/>
      <c r="M1337" s="415"/>
      <c r="N1337" s="415"/>
      <c r="O1337" s="415"/>
      <c r="P1337" s="415"/>
      <c r="Q1337" s="415"/>
      <c r="R1337" s="415"/>
      <c r="S1337" s="415"/>
      <c r="U1337" s="48">
        <f>SUM(I1337:T1337)</f>
        <v>0</v>
      </c>
      <c r="X1337" s="305"/>
    </row>
    <row r="1338" spans="1:24" x14ac:dyDescent="0.2">
      <c r="B1338" s="16">
        <f t="shared" si="455"/>
        <v>91</v>
      </c>
      <c r="D1338" s="64" t="s">
        <v>747</v>
      </c>
      <c r="G1338" s="16">
        <f t="shared" si="456"/>
        <v>91</v>
      </c>
      <c r="H1338" s="64" t="str">
        <f>VLOOKUP(G1338,FactorTable,2)</f>
        <v>TAX INC</v>
      </c>
      <c r="J1338" s="415">
        <f t="shared" ref="J1338:Q1338" ca="1" si="482">J1142</f>
        <v>334700456.27011496</v>
      </c>
      <c r="K1338" s="415">
        <f t="shared" ca="1" si="482"/>
        <v>8789276.9932779279</v>
      </c>
      <c r="L1338" s="415">
        <f t="shared" ca="1" si="482"/>
        <v>214107043.01321232</v>
      </c>
      <c r="M1338" s="415">
        <f t="shared" ca="1" si="482"/>
        <v>61238.522163616995</v>
      </c>
      <c r="N1338" s="415">
        <f t="shared" ca="1" si="482"/>
        <v>40394390.14724303</v>
      </c>
      <c r="O1338" s="415">
        <f ca="1">O1142</f>
        <v>4740642.7538924534</v>
      </c>
      <c r="P1338" s="415">
        <f t="shared" ca="1" si="482"/>
        <v>1204020.7770435158</v>
      </c>
      <c r="Q1338" s="415">
        <f t="shared" ca="1" si="482"/>
        <v>8434363.503992714</v>
      </c>
      <c r="R1338" s="415">
        <f ca="1">R1142</f>
        <v>330170.0371713466</v>
      </c>
      <c r="S1338" s="415">
        <f ca="1">S1142</f>
        <v>1543342.4610706542</v>
      </c>
      <c r="U1338" s="48">
        <f ca="1">MAX(0.0000001,SUM(I1338:T1338))</f>
        <v>614304944.47918236</v>
      </c>
      <c r="X1338" s="305"/>
    </row>
    <row r="1339" spans="1:24" x14ac:dyDescent="0.2">
      <c r="B1339" s="16">
        <f t="shared" si="455"/>
        <v>92</v>
      </c>
      <c r="D1339" s="64" t="s">
        <v>748</v>
      </c>
      <c r="G1339" s="16">
        <f t="shared" si="456"/>
        <v>92</v>
      </c>
      <c r="H1339" s="64" t="str">
        <f>VLOOKUP(G1339,FactorTable,2)</f>
        <v>RCOS x565</v>
      </c>
      <c r="J1339" s="415">
        <f t="shared" ref="J1339:Q1339" ca="1" si="483">J1228</f>
        <v>1846090676.0321944</v>
      </c>
      <c r="K1339" s="415">
        <f t="shared" ca="1" si="483"/>
        <v>52672225.400930837</v>
      </c>
      <c r="L1339" s="415">
        <f t="shared" ca="1" si="483"/>
        <v>1224791057.3663306</v>
      </c>
      <c r="M1339" s="415">
        <f t="shared" ca="1" si="483"/>
        <v>551369.27571857627</v>
      </c>
      <c r="N1339" s="415">
        <f t="shared" ca="1" si="483"/>
        <v>239509914.44146085</v>
      </c>
      <c r="O1339" s="415">
        <f ca="1">O1228</f>
        <v>27451744.95398131</v>
      </c>
      <c r="P1339" s="415">
        <f t="shared" ca="1" si="483"/>
        <v>31306336.429923862</v>
      </c>
      <c r="Q1339" s="415">
        <f t="shared" ca="1" si="483"/>
        <v>93096975.236789078</v>
      </c>
      <c r="R1339" s="17">
        <v>0</v>
      </c>
      <c r="S1339" s="17">
        <v>0</v>
      </c>
      <c r="T1339" s="321" t="s">
        <v>0</v>
      </c>
      <c r="U1339" s="48">
        <f ca="1">MAX(0.0000001,SUM(I1339:T1339))</f>
        <v>3515470299.1373296</v>
      </c>
      <c r="X1339" s="305"/>
    </row>
    <row r="1340" spans="1:24" x14ac:dyDescent="0.2">
      <c r="B1340" s="16">
        <f t="shared" si="455"/>
        <v>93</v>
      </c>
      <c r="G1340" s="16">
        <f t="shared" si="456"/>
        <v>93</v>
      </c>
      <c r="U1340" s="172"/>
    </row>
    <row r="1341" spans="1:24" x14ac:dyDescent="0.2">
      <c r="B1341" s="16">
        <f t="shared" si="455"/>
        <v>94</v>
      </c>
      <c r="G1341" s="16">
        <f t="shared" si="456"/>
        <v>94</v>
      </c>
      <c r="U1341" s="172"/>
    </row>
    <row r="1342" spans="1:24" ht="15" thickBot="1" x14ac:dyDescent="0.25">
      <c r="H1342" s="105"/>
      <c r="U1342" s="105"/>
    </row>
    <row r="1343" spans="1:24" ht="15" x14ac:dyDescent="0.25">
      <c r="A1343" s="64"/>
      <c r="B1343" s="829" t="str">
        <f>+$B$4</f>
        <v>2025 RATE CASE</v>
      </c>
      <c r="C1343" s="844"/>
      <c r="D1343" s="547"/>
      <c r="F1343" s="11"/>
      <c r="U1343" s="105"/>
    </row>
    <row r="1344" spans="1:24" ht="15" x14ac:dyDescent="0.25">
      <c r="A1344" s="64"/>
      <c r="B1344" s="826" t="str">
        <f>+$B$5</f>
        <v>ONCOR ELECTRIC DELIVERY COMPANY LLC</v>
      </c>
      <c r="C1344" s="8"/>
      <c r="D1344" s="548"/>
      <c r="F1344" s="11"/>
      <c r="U1344" s="105"/>
      <c r="V1344" s="64"/>
      <c r="W1344" s="64"/>
    </row>
    <row r="1345" spans="1:23" ht="15" x14ac:dyDescent="0.25">
      <c r="A1345" s="64"/>
      <c r="B1345" s="826" t="str">
        <f>B1238</f>
        <v>II-I-2-DIST:  CLASS ALLOCATION FACTORS</v>
      </c>
      <c r="C1345" s="82"/>
      <c r="D1345" s="548"/>
      <c r="F1345" s="11"/>
      <c r="U1345" s="11"/>
      <c r="V1345" s="64"/>
      <c r="W1345" s="64"/>
    </row>
    <row r="1346" spans="1:23" ht="15" x14ac:dyDescent="0.25">
      <c r="A1346" s="64"/>
      <c r="B1346" s="341" t="str">
        <f>+$B$7</f>
        <v>TEST YEAR ENDING 12/31/2024</v>
      </c>
      <c r="C1346" s="82"/>
      <c r="D1346" s="548"/>
      <c r="F1346" s="11"/>
      <c r="U1346" s="11"/>
      <c r="V1346" s="64"/>
      <c r="W1346" s="64"/>
    </row>
    <row r="1347" spans="1:23" ht="15" x14ac:dyDescent="0.25">
      <c r="A1347" s="64"/>
      <c r="B1347" s="341" t="str">
        <f>+$B$8</f>
        <v>SPONSOR:  MATTHEW A. TROXLE</v>
      </c>
      <c r="C1347" s="82"/>
      <c r="D1347" s="548"/>
      <c r="F1347" s="11"/>
      <c r="U1347" s="11"/>
      <c r="V1347" s="64"/>
      <c r="W1347" s="64"/>
    </row>
    <row r="1348" spans="1:23" ht="15.75" thickBot="1" x14ac:dyDescent="0.3">
      <c r="A1348" s="64"/>
      <c r="B1348" s="345"/>
      <c r="C1348" s="82"/>
      <c r="D1348" s="548"/>
      <c r="F1348" s="11"/>
      <c r="U1348" s="11"/>
      <c r="V1348" s="64"/>
      <c r="W1348" s="64"/>
    </row>
    <row r="1349" spans="1:23" ht="15.75" thickBot="1" x14ac:dyDescent="0.3">
      <c r="A1349" s="64"/>
      <c r="B1349" s="331"/>
      <c r="C1349" s="405"/>
      <c r="D1349" s="406"/>
      <c r="E1349" s="406"/>
      <c r="F1349" s="176"/>
      <c r="G1349" s="177"/>
      <c r="H1349" s="373" t="str">
        <f>F$11</f>
        <v>DIST</v>
      </c>
      <c r="I1349" s="13"/>
      <c r="J1349" s="177"/>
      <c r="K1349" s="177"/>
      <c r="L1349" s="13"/>
      <c r="M1349" s="13"/>
      <c r="N1349" s="177"/>
      <c r="O1349" s="177"/>
      <c r="P1349" s="177"/>
      <c r="Q1349" s="13"/>
      <c r="R1349" s="328" t="str">
        <f>R$10</f>
        <v xml:space="preserve"> </v>
      </c>
      <c r="S1349" s="329"/>
      <c r="T1349" s="177"/>
      <c r="U1349" s="12"/>
      <c r="V1349" s="64"/>
      <c r="W1349" s="64"/>
    </row>
    <row r="1350" spans="1:23" ht="15" x14ac:dyDescent="0.25">
      <c r="A1350" s="64"/>
      <c r="B1350" s="174" t="s">
        <v>2</v>
      </c>
      <c r="C1350" s="174"/>
      <c r="D1350" s="407" t="s">
        <v>749</v>
      </c>
      <c r="E1350" s="330"/>
      <c r="F1350" s="181"/>
      <c r="G1350" s="181" t="s">
        <v>688</v>
      </c>
      <c r="H1350" s="181" t="s">
        <v>355</v>
      </c>
      <c r="I1350" s="14"/>
      <c r="J1350" s="181" t="s">
        <v>679</v>
      </c>
      <c r="K1350" s="181" t="s">
        <v>388</v>
      </c>
      <c r="L1350" s="14" t="s">
        <v>388</v>
      </c>
      <c r="M1350" s="14" t="s">
        <v>389</v>
      </c>
      <c r="N1350" s="181" t="s">
        <v>389</v>
      </c>
      <c r="O1350" s="181" t="s">
        <v>389</v>
      </c>
      <c r="P1350" s="181" t="s">
        <v>390</v>
      </c>
      <c r="Q1350" s="14" t="s">
        <v>391</v>
      </c>
      <c r="R1350" s="331" t="str">
        <f>R$11</f>
        <v>Wholesale</v>
      </c>
      <c r="S1350" s="12" t="str">
        <f>S$11</f>
        <v>Wholesale</v>
      </c>
      <c r="T1350" s="181"/>
      <c r="U1350" s="14" t="s">
        <v>10</v>
      </c>
      <c r="V1350" s="64"/>
      <c r="W1350" s="64"/>
    </row>
    <row r="1351" spans="1:23" x14ac:dyDescent="0.2">
      <c r="A1351" s="64"/>
      <c r="B1351" s="174"/>
      <c r="C1351" s="174"/>
      <c r="D1351" s="330"/>
      <c r="E1351" s="330"/>
      <c r="F1351" s="181"/>
      <c r="G1351" s="181" t="s">
        <v>689</v>
      </c>
      <c r="H1351" s="181" t="s">
        <v>690</v>
      </c>
      <c r="I1351" s="14"/>
      <c r="J1351" s="181"/>
      <c r="K1351" s="181" t="s">
        <v>680</v>
      </c>
      <c r="L1351" s="14" t="s">
        <v>681</v>
      </c>
      <c r="M1351" s="14" t="s">
        <v>680</v>
      </c>
      <c r="N1351" s="181" t="s">
        <v>681</v>
      </c>
      <c r="O1351" s="181" t="s">
        <v>393</v>
      </c>
      <c r="P1351" s="181"/>
      <c r="Q1351" s="14"/>
      <c r="R1351" s="174" t="str">
        <f>R$12</f>
        <v>XFMR</v>
      </c>
      <c r="S1351" s="14" t="str">
        <f>S$12</f>
        <v>DLS</v>
      </c>
      <c r="T1351" s="181"/>
      <c r="U1351" s="14"/>
      <c r="V1351" s="64"/>
      <c r="W1351" s="64"/>
    </row>
    <row r="1352" spans="1:23" ht="15" thickBot="1" x14ac:dyDescent="0.25">
      <c r="A1352" s="64"/>
      <c r="B1352" s="182"/>
      <c r="C1352" s="182"/>
      <c r="D1352" s="408" t="s">
        <v>13</v>
      </c>
      <c r="E1352" s="408"/>
      <c r="F1352" s="184"/>
      <c r="G1352" s="184" t="s">
        <v>14</v>
      </c>
      <c r="H1352" s="15" t="s">
        <v>15</v>
      </c>
      <c r="I1352" s="15"/>
      <c r="J1352" s="182" t="str">
        <f t="shared" ref="J1352:Q1352" si="484">J$13</f>
        <v>(d)</v>
      </c>
      <c r="K1352" s="182" t="str">
        <f t="shared" si="484"/>
        <v>(e)</v>
      </c>
      <c r="L1352" s="15" t="str">
        <f t="shared" si="484"/>
        <v>(f)</v>
      </c>
      <c r="M1352" s="15" t="str">
        <f t="shared" si="484"/>
        <v>(g)</v>
      </c>
      <c r="N1352" s="182" t="str">
        <f t="shared" si="484"/>
        <v>(h)</v>
      </c>
      <c r="O1352" s="182" t="str">
        <f>O$13</f>
        <v>(i)</v>
      </c>
      <c r="P1352" s="182" t="str">
        <f t="shared" si="484"/>
        <v>(j)</v>
      </c>
      <c r="Q1352" s="182" t="str">
        <f t="shared" si="484"/>
        <v>(k)</v>
      </c>
      <c r="R1352" s="182" t="str">
        <f>R$13</f>
        <v>(l)</v>
      </c>
      <c r="S1352" s="15" t="str">
        <f>S$13</f>
        <v>(m)</v>
      </c>
      <c r="T1352" s="15"/>
      <c r="U1352" s="15" t="s">
        <v>683</v>
      </c>
      <c r="V1352" s="64"/>
      <c r="W1352" s="64"/>
    </row>
    <row r="1353" spans="1:23" x14ac:dyDescent="0.2">
      <c r="B1353" s="16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  <c r="U1353" s="172"/>
    </row>
    <row r="1354" spans="1:23" x14ac:dyDescent="0.2">
      <c r="B1354" s="16"/>
      <c r="G1354" s="16">
        <f>0</f>
        <v>0</v>
      </c>
      <c r="H1354" s="64">
        <v>-1</v>
      </c>
      <c r="I1354" s="64">
        <f t="shared" ref="I1354:Q1354" si="485">H1354+1</f>
        <v>0</v>
      </c>
      <c r="J1354" s="64">
        <f>I1354+1</f>
        <v>1</v>
      </c>
      <c r="K1354" s="64">
        <f t="shared" si="485"/>
        <v>2</v>
      </c>
      <c r="L1354" s="64">
        <f t="shared" si="485"/>
        <v>3</v>
      </c>
      <c r="M1354" s="64">
        <f t="shared" si="485"/>
        <v>4</v>
      </c>
      <c r="N1354" s="64">
        <f t="shared" si="485"/>
        <v>5</v>
      </c>
      <c r="O1354" s="64">
        <f t="shared" si="485"/>
        <v>6</v>
      </c>
      <c r="P1354" s="64">
        <f t="shared" si="485"/>
        <v>7</v>
      </c>
      <c r="Q1354" s="64">
        <f t="shared" si="485"/>
        <v>8</v>
      </c>
      <c r="R1354" s="64">
        <f>Q1354+1</f>
        <v>9</v>
      </c>
      <c r="S1354" s="64">
        <f>R1354+1</f>
        <v>10</v>
      </c>
      <c r="T1354">
        <f>S1354+1</f>
        <v>11</v>
      </c>
      <c r="U1354" s="172"/>
    </row>
    <row r="1355" spans="1:23" x14ac:dyDescent="0.2">
      <c r="B1355" s="16">
        <f t="shared" ref="B1355:B1418" si="486">B1354+1</f>
        <v>1</v>
      </c>
      <c r="D1355" s="64" t="s">
        <v>692</v>
      </c>
      <c r="G1355" s="16">
        <f t="shared" ref="G1355:G1418" si="487">G1354+1</f>
        <v>1</v>
      </c>
      <c r="H1355" s="64" t="s">
        <v>750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30"/>
      <c r="U1355" s="17"/>
    </row>
    <row r="1356" spans="1:23" x14ac:dyDescent="0.2">
      <c r="B1356" s="16">
        <f t="shared" si="486"/>
        <v>2</v>
      </c>
      <c r="D1356" s="64" t="s">
        <v>693</v>
      </c>
      <c r="G1356" s="16">
        <f t="shared" si="487"/>
        <v>2</v>
      </c>
      <c r="H1356" s="64" t="s">
        <v>751</v>
      </c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30"/>
      <c r="U1356" s="17"/>
    </row>
    <row r="1357" spans="1:23" x14ac:dyDescent="0.2">
      <c r="B1357" s="16">
        <f t="shared" si="486"/>
        <v>3</v>
      </c>
      <c r="G1357" s="16">
        <f t="shared" si="487"/>
        <v>3</v>
      </c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  <c r="U1357" s="172"/>
    </row>
    <row r="1358" spans="1:23" x14ac:dyDescent="0.2">
      <c r="B1358" s="16">
        <f t="shared" si="486"/>
        <v>4</v>
      </c>
      <c r="G1358" s="16">
        <f t="shared" si="487"/>
        <v>4</v>
      </c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  <c r="U1358" s="172"/>
    </row>
    <row r="1359" spans="1:23" x14ac:dyDescent="0.2">
      <c r="B1359" s="16">
        <f t="shared" si="486"/>
        <v>5</v>
      </c>
      <c r="G1359" s="16">
        <f t="shared" si="487"/>
        <v>5</v>
      </c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  <c r="U1359" s="172"/>
    </row>
    <row r="1360" spans="1:23" x14ac:dyDescent="0.2">
      <c r="B1360" s="16">
        <f t="shared" si="486"/>
        <v>6</v>
      </c>
      <c r="D1360" s="64" t="s">
        <v>694</v>
      </c>
      <c r="G1360" s="16">
        <f t="shared" si="487"/>
        <v>6</v>
      </c>
      <c r="H1360" s="64" t="s">
        <v>752</v>
      </c>
      <c r="J1360" s="411">
        <f t="shared" ref="J1360:Q1360" si="488">J1253/$U1253</f>
        <v>0.52204347349484559</v>
      </c>
      <c r="K1360" s="411">
        <f t="shared" si="488"/>
        <v>7.3234910219164229E-2</v>
      </c>
      <c r="L1360" s="411">
        <f t="shared" si="488"/>
        <v>0.28800912921560129</v>
      </c>
      <c r="M1360" s="411">
        <f t="shared" si="488"/>
        <v>1.2128655972860058E-2</v>
      </c>
      <c r="N1360" s="411">
        <f t="shared" si="488"/>
        <v>9.3397053702985844E-2</v>
      </c>
      <c r="O1360" s="411">
        <f t="shared" si="488"/>
        <v>3.0645626579865839E-3</v>
      </c>
      <c r="P1360" s="411">
        <f t="shared" si="488"/>
        <v>6.3923392865977841E-3</v>
      </c>
      <c r="Q1360" s="411">
        <f t="shared" si="488"/>
        <v>5.3233524815684381E-4</v>
      </c>
      <c r="R1360" s="411">
        <f>R1253/$U1253</f>
        <v>3.3841796223164742E-4</v>
      </c>
      <c r="S1360" s="411">
        <f>S1253/$U1253</f>
        <v>8.5912223956998422E-4</v>
      </c>
      <c r="T1360" s="101"/>
      <c r="U1360" s="411">
        <f>ROUND(SUM(I1360:T1360),6)</f>
        <v>1</v>
      </c>
    </row>
    <row r="1361" spans="2:21" x14ac:dyDescent="0.2">
      <c r="B1361" s="16">
        <f t="shared" si="486"/>
        <v>7</v>
      </c>
      <c r="D1361" s="64" t="s">
        <v>695</v>
      </c>
      <c r="G1361" s="16">
        <f t="shared" si="487"/>
        <v>7</v>
      </c>
      <c r="H1361" s="64" t="s">
        <v>753</v>
      </c>
      <c r="J1361" s="411">
        <f t="shared" ref="J1361:L1364" si="489">J1254/$U1254</f>
        <v>0.59066728878195973</v>
      </c>
      <c r="K1361" s="411">
        <f t="shared" si="489"/>
        <v>8.2861807607237672E-2</v>
      </c>
      <c r="L1361" s="411">
        <f t="shared" si="489"/>
        <v>0.32586859166990811</v>
      </c>
      <c r="M1361" s="17">
        <v>0</v>
      </c>
      <c r="N1361" s="17">
        <v>0</v>
      </c>
      <c r="O1361" s="17">
        <v>0</v>
      </c>
      <c r="P1361" s="17">
        <v>0</v>
      </c>
      <c r="Q1361" s="411">
        <f>Q1254/$U1254</f>
        <v>6.0231194089428502E-4</v>
      </c>
      <c r="R1361" s="17">
        <v>0</v>
      </c>
      <c r="S1361" s="17">
        <v>0</v>
      </c>
      <c r="T1361" s="101"/>
      <c r="U1361" s="411">
        <f>ROUND(SUM(I1361:T1361),6)</f>
        <v>1</v>
      </c>
    </row>
    <row r="1362" spans="2:21" x14ac:dyDescent="0.2">
      <c r="B1362" s="16">
        <f t="shared" si="486"/>
        <v>8</v>
      </c>
      <c r="D1362" s="64" t="s">
        <v>696</v>
      </c>
      <c r="G1362" s="16">
        <f t="shared" si="487"/>
        <v>8</v>
      </c>
      <c r="H1362" s="64" t="s">
        <v>754</v>
      </c>
      <c r="J1362" s="411">
        <f t="shared" si="489"/>
        <v>0.52266939110294253</v>
      </c>
      <c r="K1362" s="411">
        <f t="shared" si="489"/>
        <v>7.3322717120621494E-2</v>
      </c>
      <c r="L1362" s="411">
        <f t="shared" si="489"/>
        <v>0.28835444525616372</v>
      </c>
      <c r="M1362" s="411">
        <f t="shared" ref="M1362:P1364" si="490">M1255/$U1255</f>
        <v>1.214319794057233E-2</v>
      </c>
      <c r="N1362" s="411">
        <f t="shared" si="490"/>
        <v>9.3509034531068444E-2</v>
      </c>
      <c r="O1362" s="411">
        <f t="shared" si="490"/>
        <v>3.0682369951369154E-3</v>
      </c>
      <c r="P1362" s="411">
        <f t="shared" si="490"/>
        <v>6.4000035481383529E-3</v>
      </c>
      <c r="Q1362" s="411">
        <f>Q1255/$U1255</f>
        <v>5.3297350535600277E-4</v>
      </c>
      <c r="R1362" s="17"/>
      <c r="S1362" s="17"/>
      <c r="T1362" s="101"/>
      <c r="U1362" s="411">
        <f>ROUND(SUM(I1362:T1362),6)</f>
        <v>1</v>
      </c>
    </row>
    <row r="1363" spans="2:21" x14ac:dyDescent="0.2">
      <c r="B1363" s="16">
        <f t="shared" si="486"/>
        <v>9</v>
      </c>
      <c r="D1363" s="64" t="s">
        <v>697</v>
      </c>
      <c r="G1363" s="16">
        <f t="shared" si="487"/>
        <v>9</v>
      </c>
      <c r="H1363" s="64" t="s">
        <v>755</v>
      </c>
      <c r="J1363" s="411">
        <f t="shared" si="489"/>
        <v>0.85571462856823666</v>
      </c>
      <c r="K1363" s="411">
        <f t="shared" si="489"/>
        <v>7.0979524557258505E-2</v>
      </c>
      <c r="L1363" s="411">
        <f t="shared" si="489"/>
        <v>5.7994681491327825E-2</v>
      </c>
      <c r="M1363" s="411">
        <f t="shared" si="490"/>
        <v>7.748640527589733E-4</v>
      </c>
      <c r="N1363" s="411">
        <f t="shared" si="490"/>
        <v>1.7346079496849999E-3</v>
      </c>
      <c r="O1363" s="411">
        <f t="shared" si="490"/>
        <v>4.0287987432125244E-5</v>
      </c>
      <c r="P1363" s="411">
        <f t="shared" si="490"/>
        <v>8.4036292803206031E-5</v>
      </c>
      <c r="Q1363" s="411">
        <f>Q1256/$U1256</f>
        <v>1.2660067510802989E-2</v>
      </c>
      <c r="R1363" s="411">
        <f>R1256/$U1256</f>
        <v>4.4489802072285549E-6</v>
      </c>
      <c r="S1363" s="411">
        <f>S1256/$U1256</f>
        <v>1.2852609487549158E-5</v>
      </c>
      <c r="T1363" s="101"/>
      <c r="U1363" s="411">
        <f>ROUND(SUM(I1363:T1363),6)</f>
        <v>1</v>
      </c>
    </row>
    <row r="1364" spans="2:21" x14ac:dyDescent="0.2">
      <c r="B1364" s="16">
        <f t="shared" si="486"/>
        <v>10</v>
      </c>
      <c r="D1364" s="64" t="s">
        <v>698</v>
      </c>
      <c r="G1364" s="16">
        <f t="shared" si="487"/>
        <v>10</v>
      </c>
      <c r="H1364" s="64" t="s">
        <v>756</v>
      </c>
      <c r="J1364" s="411">
        <f t="shared" si="489"/>
        <v>0.85572943404779422</v>
      </c>
      <c r="K1364" s="411">
        <f t="shared" si="489"/>
        <v>7.0980752637116853E-2</v>
      </c>
      <c r="L1364" s="411">
        <f t="shared" si="489"/>
        <v>5.7995684908872185E-2</v>
      </c>
      <c r="M1364" s="411">
        <f t="shared" si="490"/>
        <v>7.748774593708391E-4</v>
      </c>
      <c r="N1364" s="411">
        <f t="shared" si="490"/>
        <v>1.7346379616792818E-3</v>
      </c>
      <c r="O1364" s="411">
        <f t="shared" si="490"/>
        <v>4.0288684490413641E-5</v>
      </c>
      <c r="P1364" s="411">
        <f t="shared" si="490"/>
        <v>8.4037746789819866E-5</v>
      </c>
      <c r="Q1364" s="411">
        <f>Q1257/$U1257</f>
        <v>1.2660286553886362E-2</v>
      </c>
      <c r="R1364" s="17">
        <v>0</v>
      </c>
      <c r="S1364" s="17">
        <v>0</v>
      </c>
      <c r="T1364" s="101"/>
      <c r="U1364" s="411">
        <f>ROUND(SUM(I1364:T1364),6)</f>
        <v>1</v>
      </c>
    </row>
    <row r="1365" spans="2:21" x14ac:dyDescent="0.2">
      <c r="B1365" s="16">
        <f t="shared" si="486"/>
        <v>11</v>
      </c>
      <c r="D1365" s="64"/>
      <c r="G1365" s="16">
        <f t="shared" si="487"/>
        <v>11</v>
      </c>
      <c r="H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101"/>
      <c r="U1365" s="411"/>
    </row>
    <row r="1366" spans="2:21" x14ac:dyDescent="0.2">
      <c r="B1366" s="16">
        <f t="shared" si="486"/>
        <v>12</v>
      </c>
      <c r="D1366" s="64"/>
      <c r="G1366" s="16">
        <f t="shared" si="487"/>
        <v>12</v>
      </c>
      <c r="H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  <c r="T1366" s="101"/>
      <c r="U1366" s="411"/>
    </row>
    <row r="1367" spans="2:21" x14ac:dyDescent="0.2">
      <c r="B1367" s="16">
        <f t="shared" si="486"/>
        <v>13</v>
      </c>
      <c r="D1367" s="64"/>
      <c r="G1367" s="16">
        <f t="shared" si="487"/>
        <v>13</v>
      </c>
      <c r="H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  <c r="T1367" s="101"/>
      <c r="U1367" s="411"/>
    </row>
    <row r="1368" spans="2:21" s="589" customFormat="1" x14ac:dyDescent="0.2">
      <c r="B1368" s="645">
        <f t="shared" si="486"/>
        <v>14</v>
      </c>
      <c r="D1368" s="620" t="s">
        <v>699</v>
      </c>
      <c r="G1368" s="645">
        <f t="shared" si="487"/>
        <v>14</v>
      </c>
      <c r="H1368" s="589" t="s">
        <v>757</v>
      </c>
      <c r="J1368" s="828">
        <f t="shared" ref="J1368:Q1368" si="491">J1261/$U1261</f>
        <v>0.49606867739945093</v>
      </c>
      <c r="K1368" s="828">
        <f t="shared" si="491"/>
        <v>1.8014653682675512E-2</v>
      </c>
      <c r="L1368" s="828">
        <f t="shared" si="491"/>
        <v>0.34064468294320993</v>
      </c>
      <c r="M1368" s="828">
        <f t="shared" si="491"/>
        <v>3.3756108807208012E-4</v>
      </c>
      <c r="N1368" s="828">
        <f t="shared" si="491"/>
        <v>7.4714397387561332E-2</v>
      </c>
      <c r="O1368" s="828">
        <f t="shared" si="491"/>
        <v>1.51505647339995E-2</v>
      </c>
      <c r="P1368" s="828">
        <f t="shared" si="491"/>
        <v>4.0607877248824642E-2</v>
      </c>
      <c r="Q1368" s="828">
        <f t="shared" si="491"/>
        <v>1.2413115453977355E-2</v>
      </c>
      <c r="R1368" s="828">
        <f>R1261/$U1261</f>
        <v>3.4524468316753798E-4</v>
      </c>
      <c r="S1368" s="828">
        <f>S1261/$U1261</f>
        <v>1.7032253790611571E-3</v>
      </c>
      <c r="U1368" s="828">
        <f>ROUND(SUM(I1368:T1368),6)</f>
        <v>1</v>
      </c>
    </row>
    <row r="1369" spans="2:21" x14ac:dyDescent="0.2">
      <c r="B1369" s="16">
        <f t="shared" si="486"/>
        <v>15</v>
      </c>
      <c r="D1369" s="64" t="s">
        <v>700</v>
      </c>
      <c r="G1369" s="16">
        <f t="shared" si="487"/>
        <v>15</v>
      </c>
      <c r="H1369" s="64" t="s">
        <v>758</v>
      </c>
      <c r="J1369" s="411">
        <f t="shared" ref="J1369:Q1369" si="492">J1262/$U1262</f>
        <v>0.4970869451248639</v>
      </c>
      <c r="K1369" s="411">
        <f t="shared" si="492"/>
        <v>1.8051631910217962E-2</v>
      </c>
      <c r="L1369" s="411">
        <f t="shared" si="492"/>
        <v>0.34134391573551803</v>
      </c>
      <c r="M1369" s="411">
        <f t="shared" si="492"/>
        <v>3.3825399124657809E-4</v>
      </c>
      <c r="N1369" s="411">
        <f t="shared" si="492"/>
        <v>7.486776175614486E-2</v>
      </c>
      <c r="O1369" s="411">
        <f t="shared" si="492"/>
        <v>1.5181663918030401E-2</v>
      </c>
      <c r="P1369" s="411">
        <f t="shared" si="492"/>
        <v>4.0691232019411605E-2</v>
      </c>
      <c r="Q1369" s="411">
        <f t="shared" si="492"/>
        <v>1.2438595544566569E-2</v>
      </c>
      <c r="R1369" s="17"/>
      <c r="S1369" s="17"/>
      <c r="T1369" s="101"/>
      <c r="U1369" s="411">
        <f>ROUND(SUM(I1369:T1369),6)</f>
        <v>1</v>
      </c>
    </row>
    <row r="1370" spans="2:21" x14ac:dyDescent="0.2">
      <c r="B1370" s="16">
        <f t="shared" si="486"/>
        <v>16</v>
      </c>
      <c r="D1370" s="64"/>
      <c r="G1370" s="16">
        <f t="shared" si="487"/>
        <v>16</v>
      </c>
      <c r="H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  <c r="T1370" s="101"/>
      <c r="U1370" s="411"/>
    </row>
    <row r="1371" spans="2:21" s="620" customFormat="1" ht="18" customHeight="1" x14ac:dyDescent="0.2">
      <c r="B1371" s="645">
        <f t="shared" si="486"/>
        <v>17</v>
      </c>
      <c r="D1371" s="620" t="s">
        <v>969</v>
      </c>
      <c r="G1371" s="645">
        <f t="shared" si="487"/>
        <v>17</v>
      </c>
      <c r="H1371" s="620" t="s">
        <v>968</v>
      </c>
      <c r="J1371" s="1118">
        <f>J1264/$U$1264</f>
        <v>0.49104377662178644</v>
      </c>
      <c r="K1371" s="1118">
        <f t="shared" ref="K1371:S1371" si="493">K1264/$U$1264</f>
        <v>1.5135869574976497E-2</v>
      </c>
      <c r="L1371" s="1118">
        <f t="shared" si="493"/>
        <v>0.32937459283769199</v>
      </c>
      <c r="M1371" s="1118">
        <f t="shared" si="493"/>
        <v>6.5883016791818728E-4</v>
      </c>
      <c r="N1371" s="1118">
        <f t="shared" si="493"/>
        <v>7.8981573163994553E-2</v>
      </c>
      <c r="O1371" s="1118">
        <f t="shared" si="493"/>
        <v>1.7513231756499683E-2</v>
      </c>
      <c r="P1371" s="1118">
        <f t="shared" si="493"/>
        <v>4.9362522796266094E-2</v>
      </c>
      <c r="Q1371" s="1118">
        <f t="shared" si="493"/>
        <v>1.6023083931603586E-2</v>
      </c>
      <c r="R1371" s="1118">
        <f t="shared" si="493"/>
        <v>3.7561957448291973E-4</v>
      </c>
      <c r="S1371" s="1118">
        <f t="shared" si="493"/>
        <v>1.530899574779872E-3</v>
      </c>
      <c r="U1371" s="1173">
        <f>ROUND(SUM(I1371:T1371),6)</f>
        <v>1</v>
      </c>
    </row>
    <row r="1372" spans="2:21" x14ac:dyDescent="0.2">
      <c r="B1372" s="16">
        <f t="shared" si="486"/>
        <v>18</v>
      </c>
      <c r="D1372" s="45"/>
      <c r="G1372" s="16">
        <f t="shared" si="487"/>
        <v>18</v>
      </c>
      <c r="H1372" s="64"/>
      <c r="J1372" s="847"/>
      <c r="K1372" s="847"/>
      <c r="L1372" s="847"/>
      <c r="M1372" s="847"/>
      <c r="N1372" s="847"/>
      <c r="O1372" s="847"/>
      <c r="P1372" s="847"/>
      <c r="Q1372" s="847"/>
      <c r="R1372" s="847"/>
      <c r="S1372" s="847"/>
      <c r="T1372" s="101"/>
      <c r="U1372" s="411"/>
    </row>
    <row r="1373" spans="2:21" x14ac:dyDescent="0.2">
      <c r="B1373" s="16">
        <f t="shared" si="486"/>
        <v>19</v>
      </c>
      <c r="D1373" s="589" t="s">
        <v>961</v>
      </c>
      <c r="G1373" s="16">
        <f t="shared" si="487"/>
        <v>19</v>
      </c>
      <c r="H1373" s="64" t="s">
        <v>759</v>
      </c>
      <c r="J1373" s="411">
        <f t="shared" ref="J1373:S1373" si="494">J1266/$U1266</f>
        <v>0.39207870753479357</v>
      </c>
      <c r="K1373" s="411">
        <f t="shared" si="494"/>
        <v>1.1878410206853518E-2</v>
      </c>
      <c r="L1373" s="411">
        <f t="shared" si="494"/>
        <v>0.41747148498452258</v>
      </c>
      <c r="M1373" s="411">
        <f t="shared" si="494"/>
        <v>8.0379267015715244E-6</v>
      </c>
      <c r="N1373" s="411">
        <f t="shared" si="494"/>
        <v>6.9126640708479514E-2</v>
      </c>
      <c r="O1373" s="411">
        <f t="shared" si="494"/>
        <v>1.3176800227554842E-2</v>
      </c>
      <c r="P1373" s="411">
        <f t="shared" si="494"/>
        <v>9.0879589198274408E-2</v>
      </c>
      <c r="Q1373" s="411">
        <f t="shared" si="494"/>
        <v>3.2081243819999448E-3</v>
      </c>
      <c r="R1373" s="411">
        <f t="shared" si="494"/>
        <v>9.9654995235261604E-4</v>
      </c>
      <c r="S1373" s="411">
        <f t="shared" si="494"/>
        <v>1.1756548784670716E-3</v>
      </c>
      <c r="T1373" s="101"/>
      <c r="U1373" s="411">
        <f>ROUND(SUM(I1373:T1373),6)</f>
        <v>1</v>
      </c>
    </row>
    <row r="1374" spans="2:21" x14ac:dyDescent="0.2">
      <c r="B1374" s="16">
        <f t="shared" si="486"/>
        <v>20</v>
      </c>
      <c r="D1374" s="64"/>
      <c r="G1374" s="16">
        <f t="shared" si="487"/>
        <v>20</v>
      </c>
      <c r="H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  <c r="T1374" s="101"/>
      <c r="U1374" s="411"/>
    </row>
    <row r="1375" spans="2:21" x14ac:dyDescent="0.2">
      <c r="B1375" s="16">
        <f t="shared" si="486"/>
        <v>21</v>
      </c>
      <c r="D1375" s="64"/>
      <c r="G1375" s="16">
        <f t="shared" si="487"/>
        <v>21</v>
      </c>
      <c r="H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  <c r="T1375" s="101"/>
      <c r="U1375" s="411"/>
    </row>
    <row r="1376" spans="2:21" x14ac:dyDescent="0.2">
      <c r="B1376" s="16">
        <f t="shared" si="486"/>
        <v>22</v>
      </c>
      <c r="D1376" s="45"/>
      <c r="G1376" s="16">
        <f t="shared" si="487"/>
        <v>22</v>
      </c>
      <c r="H1376" s="64"/>
      <c r="J1376" s="64"/>
      <c r="K1376" s="64"/>
      <c r="L1376" s="64"/>
      <c r="M1376" s="64"/>
      <c r="N1376" s="64"/>
      <c r="O1376" s="64"/>
      <c r="P1376" s="64"/>
      <c r="Q1376" s="64"/>
      <c r="R1376" s="64"/>
      <c r="S1376" s="64"/>
      <c r="T1376" s="101"/>
      <c r="U1376" s="411"/>
    </row>
    <row r="1377" spans="2:21" s="321" customFormat="1" x14ac:dyDescent="0.2">
      <c r="B1377" s="16">
        <f t="shared" si="486"/>
        <v>23</v>
      </c>
      <c r="D1377" s="45" t="s">
        <v>702</v>
      </c>
      <c r="G1377" s="16">
        <f t="shared" si="487"/>
        <v>23</v>
      </c>
      <c r="H1377" s="45" t="s">
        <v>760</v>
      </c>
      <c r="J1377" s="1118">
        <f t="shared" ref="J1377:Q1377" si="495">J1270/$U1270</f>
        <v>0.43858853681215043</v>
      </c>
      <c r="K1377" s="1118">
        <f t="shared" si="495"/>
        <v>8.8416367763441694E-3</v>
      </c>
      <c r="L1377" s="1118">
        <f t="shared" si="495"/>
        <v>0.30533456649733054</v>
      </c>
      <c r="M1377" s="1118">
        <f t="shared" si="495"/>
        <v>9.6594336756288847E-5</v>
      </c>
      <c r="N1377" s="1118">
        <f t="shared" si="495"/>
        <v>9.4937872376858259E-2</v>
      </c>
      <c r="O1377" s="1118">
        <f t="shared" si="495"/>
        <v>3.446623483196265E-2</v>
      </c>
      <c r="P1377" s="1118">
        <f t="shared" si="495"/>
        <v>0.11773455836859764</v>
      </c>
      <c r="Q1377" s="1118">
        <f t="shared" si="495"/>
        <v>0</v>
      </c>
      <c r="R1377" s="17">
        <v>0</v>
      </c>
      <c r="S1377" s="17">
        <v>0</v>
      </c>
      <c r="T1377" s="130"/>
      <c r="U1377" s="1118">
        <f>ROUND(SUM(I1377:T1377),6)</f>
        <v>1</v>
      </c>
    </row>
    <row r="1378" spans="2:21" x14ac:dyDescent="0.2">
      <c r="B1378" s="16">
        <f t="shared" si="486"/>
        <v>24</v>
      </c>
      <c r="D1378" s="64"/>
      <c r="G1378" s="16">
        <f t="shared" si="487"/>
        <v>24</v>
      </c>
      <c r="H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  <c r="T1378" s="101"/>
      <c r="U1378" s="411"/>
    </row>
    <row r="1379" spans="2:21" x14ac:dyDescent="0.2">
      <c r="B1379" s="16">
        <f t="shared" si="486"/>
        <v>25</v>
      </c>
      <c r="D1379" s="64"/>
      <c r="G1379" s="16">
        <f t="shared" si="487"/>
        <v>25</v>
      </c>
      <c r="H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  <c r="T1379" s="101"/>
      <c r="U1379" s="411"/>
    </row>
    <row r="1380" spans="2:21" x14ac:dyDescent="0.2">
      <c r="B1380" s="16">
        <f t="shared" si="486"/>
        <v>26</v>
      </c>
      <c r="D1380" s="64" t="s">
        <v>703</v>
      </c>
      <c r="G1380" s="16">
        <f t="shared" si="487"/>
        <v>26</v>
      </c>
      <c r="H1380" s="64" t="s">
        <v>761</v>
      </c>
      <c r="J1380" s="411">
        <f t="shared" ref="J1380:Q1380" si="496">J1273/$U1273</f>
        <v>0.44499692513480427</v>
      </c>
      <c r="K1380" s="411">
        <f t="shared" si="496"/>
        <v>8.4071788139543704E-3</v>
      </c>
      <c r="L1380" s="411">
        <f t="shared" si="496"/>
        <v>0.28582340418790675</v>
      </c>
      <c r="M1380" s="411">
        <f t="shared" si="496"/>
        <v>1.3374840983780919E-4</v>
      </c>
      <c r="N1380" s="411">
        <f t="shared" si="496"/>
        <v>8.407252226451449E-2</v>
      </c>
      <c r="O1380" s="411">
        <f t="shared" si="496"/>
        <v>3.6136024892102631E-2</v>
      </c>
      <c r="P1380" s="411">
        <f t="shared" si="496"/>
        <v>0.13216460203488176</v>
      </c>
      <c r="Q1380" s="411">
        <f t="shared" si="496"/>
        <v>2.5418472941669953E-3</v>
      </c>
      <c r="R1380" s="411">
        <f>R1273/$U1273</f>
        <v>2.4978632184613288E-3</v>
      </c>
      <c r="S1380" s="411">
        <f>S1273/$U1273</f>
        <v>3.2258837493695227E-3</v>
      </c>
      <c r="T1380" s="101"/>
      <c r="U1380" s="411">
        <f t="shared" ref="U1380:U1387" si="497">ROUND(SUM(I1380:T1380),6)</f>
        <v>1</v>
      </c>
    </row>
    <row r="1381" spans="2:21" x14ac:dyDescent="0.2">
      <c r="B1381" s="16">
        <f t="shared" si="486"/>
        <v>27</v>
      </c>
      <c r="D1381" s="64"/>
      <c r="G1381" s="16">
        <f>G1380+1</f>
        <v>27</v>
      </c>
      <c r="H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  <c r="T1381" s="101"/>
      <c r="U1381" s="411"/>
    </row>
    <row r="1382" spans="2:21" x14ac:dyDescent="0.2">
      <c r="B1382" s="16">
        <f t="shared" si="486"/>
        <v>28</v>
      </c>
      <c r="D1382" s="64" t="s">
        <v>704</v>
      </c>
      <c r="G1382" s="16">
        <f t="shared" si="487"/>
        <v>28</v>
      </c>
      <c r="H1382" s="64" t="s">
        <v>762</v>
      </c>
      <c r="J1382" s="411">
        <f t="shared" ref="J1382:O1382" si="498">J1275/$U1275</f>
        <v>0.51276650638845045</v>
      </c>
      <c r="K1382" s="411">
        <f t="shared" si="498"/>
        <v>9.6875269592221567E-3</v>
      </c>
      <c r="L1382" s="411">
        <f t="shared" si="498"/>
        <v>0.32935209241072594</v>
      </c>
      <c r="M1382" s="411">
        <f t="shared" si="498"/>
        <v>1.5411725558950418E-4</v>
      </c>
      <c r="N1382" s="411">
        <f t="shared" si="498"/>
        <v>9.6876115518733083E-2</v>
      </c>
      <c r="O1382" s="411">
        <f t="shared" si="498"/>
        <v>4.1639261289449135E-2</v>
      </c>
      <c r="P1382" s="17">
        <v>0</v>
      </c>
      <c r="Q1382" s="411">
        <f>Q1275/$U1275</f>
        <v>2.9289509279375606E-3</v>
      </c>
      <c r="R1382" s="411">
        <f>R1275/$U1275</f>
        <v>2.8782684185483386E-3</v>
      </c>
      <c r="S1382" s="411">
        <f>S1275/$U1275</f>
        <v>3.7171608313437154E-3</v>
      </c>
      <c r="T1382" s="101"/>
      <c r="U1382" s="411">
        <f t="shared" si="497"/>
        <v>1</v>
      </c>
    </row>
    <row r="1383" spans="2:21" x14ac:dyDescent="0.2">
      <c r="B1383" s="16">
        <f t="shared" si="486"/>
        <v>29</v>
      </c>
      <c r="D1383" s="64"/>
      <c r="G1383" s="16">
        <f>G1382+1</f>
        <v>29</v>
      </c>
      <c r="H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  <c r="T1383" s="101"/>
      <c r="U1383" s="411"/>
    </row>
    <row r="1384" spans="2:21" x14ac:dyDescent="0.2">
      <c r="B1384" s="16">
        <f t="shared" si="486"/>
        <v>30</v>
      </c>
      <c r="D1384" s="64" t="s">
        <v>705</v>
      </c>
      <c r="G1384" s="16">
        <f t="shared" si="487"/>
        <v>30</v>
      </c>
      <c r="H1384" s="64" t="s">
        <v>763</v>
      </c>
      <c r="J1384" s="411">
        <f>J1277/$U1277</f>
        <v>0.53665715733303332</v>
      </c>
      <c r="K1384" s="411">
        <f>K1277/$U1277</f>
        <v>1.0138885076836184E-2</v>
      </c>
      <c r="L1384" s="411">
        <f>L1277/$U1277</f>
        <v>0.34469715840006304</v>
      </c>
      <c r="M1384" s="411">
        <f>M1277/$U1277</f>
        <v>1.6129783683253217E-4</v>
      </c>
      <c r="N1384" s="411">
        <f>N1277/$U1277</f>
        <v>0.10138973610800733</v>
      </c>
      <c r="O1384" s="17">
        <v>0</v>
      </c>
      <c r="P1384" s="17">
        <v>0</v>
      </c>
      <c r="Q1384" s="411">
        <f>Q1277/$U1277</f>
        <v>3.0654156606792081E-3</v>
      </c>
      <c r="R1384" s="17">
        <v>0</v>
      </c>
      <c r="S1384" s="411">
        <f>S1277/$U1277</f>
        <v>3.890349584548342E-3</v>
      </c>
      <c r="T1384" s="101"/>
      <c r="U1384" s="411">
        <f t="shared" si="497"/>
        <v>1</v>
      </c>
    </row>
    <row r="1385" spans="2:21" x14ac:dyDescent="0.2">
      <c r="B1385" s="16">
        <f t="shared" si="486"/>
        <v>31</v>
      </c>
      <c r="D1385" s="64"/>
      <c r="G1385" s="16">
        <f>G1384+1</f>
        <v>31</v>
      </c>
      <c r="H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  <c r="T1385" s="101"/>
      <c r="U1385" s="411"/>
    </row>
    <row r="1386" spans="2:21" x14ac:dyDescent="0.2">
      <c r="B1386" s="16">
        <f t="shared" si="486"/>
        <v>32</v>
      </c>
      <c r="D1386" s="64" t="s">
        <v>706</v>
      </c>
      <c r="G1386" s="16">
        <f t="shared" si="487"/>
        <v>32</v>
      </c>
      <c r="H1386" s="64" t="s">
        <v>764</v>
      </c>
      <c r="J1386" s="411">
        <f>J1279/$U1279</f>
        <v>0.59991279213245796</v>
      </c>
      <c r="K1386" s="411">
        <f>K1279/$U1279</f>
        <v>1.1333952733961808E-2</v>
      </c>
      <c r="L1386" s="411">
        <f>L1279/$U1279</f>
        <v>0.38532651975342874</v>
      </c>
      <c r="M1386" s="17">
        <v>0</v>
      </c>
      <c r="N1386" s="17">
        <v>0</v>
      </c>
      <c r="O1386" s="17">
        <v>0</v>
      </c>
      <c r="P1386" s="17">
        <v>0</v>
      </c>
      <c r="Q1386" s="411">
        <f>Q1279/$U1279</f>
        <v>3.4267353801514847E-3</v>
      </c>
      <c r="R1386" s="17">
        <v>0</v>
      </c>
      <c r="S1386" s="17">
        <v>0</v>
      </c>
      <c r="T1386" s="101"/>
      <c r="U1386" s="411">
        <f t="shared" si="497"/>
        <v>1</v>
      </c>
    </row>
    <row r="1387" spans="2:21" x14ac:dyDescent="0.2">
      <c r="B1387" s="16">
        <f t="shared" si="486"/>
        <v>33</v>
      </c>
      <c r="D1387" s="64" t="s">
        <v>707</v>
      </c>
      <c r="G1387" s="16">
        <f t="shared" si="487"/>
        <v>33</v>
      </c>
      <c r="H1387" s="64" t="s">
        <v>765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411">
        <f>Q1280/$U1280</f>
        <v>1</v>
      </c>
      <c r="R1387" s="17">
        <v>0</v>
      </c>
      <c r="S1387" s="17">
        <v>0</v>
      </c>
      <c r="T1387" s="101"/>
      <c r="U1387" s="411">
        <f t="shared" si="497"/>
        <v>1</v>
      </c>
    </row>
    <row r="1388" spans="2:21" x14ac:dyDescent="0.2">
      <c r="B1388" s="16">
        <f t="shared" si="486"/>
        <v>34</v>
      </c>
      <c r="G1388" s="16">
        <f>G1387+1</f>
        <v>34</v>
      </c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  <c r="T1388" s="101"/>
      <c r="U1388" s="411"/>
    </row>
    <row r="1389" spans="2:21" x14ac:dyDescent="0.2">
      <c r="B1389" s="16">
        <f t="shared" si="486"/>
        <v>35</v>
      </c>
      <c r="G1389" s="16">
        <f t="shared" si="487"/>
        <v>35</v>
      </c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101"/>
      <c r="U1389" s="411"/>
    </row>
    <row r="1390" spans="2:21" x14ac:dyDescent="0.2">
      <c r="B1390" s="16">
        <f t="shared" si="486"/>
        <v>36</v>
      </c>
      <c r="D1390" s="45" t="s">
        <v>881</v>
      </c>
      <c r="G1390" s="16">
        <f t="shared" si="487"/>
        <v>36</v>
      </c>
      <c r="H1390" s="64" t="s">
        <v>766</v>
      </c>
      <c r="J1390" s="411">
        <f ca="1">J1283/$U1283</f>
        <v>0.53142446889339723</v>
      </c>
      <c r="K1390" s="411">
        <f t="shared" ref="K1390:S1390" ca="1" si="499">K1283/$U1283</f>
        <v>1.2152385567074177E-2</v>
      </c>
      <c r="L1390" s="411">
        <f t="shared" ca="1" si="499"/>
        <v>0.33967284709839862</v>
      </c>
      <c r="M1390" s="411">
        <f t="shared" ca="1" si="499"/>
        <v>5.320907297955399E-4</v>
      </c>
      <c r="N1390" s="411">
        <f t="shared" ca="1" si="499"/>
        <v>8.6933138761594364E-2</v>
      </c>
      <c r="O1390" s="411">
        <f t="shared" ca="1" si="499"/>
        <v>1.1428142442473321E-2</v>
      </c>
      <c r="P1390" s="411">
        <f t="shared" ca="1" si="499"/>
        <v>2.8546280760938263E-4</v>
      </c>
      <c r="Q1390" s="411">
        <f t="shared" ca="1" si="499"/>
        <v>1.3569895070589403E-2</v>
      </c>
      <c r="R1390" s="411">
        <f t="shared" ca="1" si="499"/>
        <v>7.8319200974627295E-4</v>
      </c>
      <c r="S1390" s="411">
        <f t="shared" ca="1" si="499"/>
        <v>3.2183766193216172E-3</v>
      </c>
      <c r="T1390" s="101"/>
      <c r="U1390" s="411">
        <f t="shared" ref="U1390:U1391" ca="1" si="500">ROUND(SUM(I1390:T1390),6)</f>
        <v>1</v>
      </c>
    </row>
    <row r="1391" spans="2:21" x14ac:dyDescent="0.2">
      <c r="B1391" s="16">
        <f t="shared" si="486"/>
        <v>37</v>
      </c>
      <c r="D1391" t="s">
        <v>890</v>
      </c>
      <c r="G1391" s="16">
        <f t="shared" si="487"/>
        <v>37</v>
      </c>
      <c r="H1391" s="64" t="s">
        <v>891</v>
      </c>
      <c r="J1391" s="411">
        <f ca="1">J1284/$U1284</f>
        <v>0.53142446889339723</v>
      </c>
      <c r="K1391" s="411">
        <f t="shared" ref="K1391:S1391" ca="1" si="501">K1284/$U1284</f>
        <v>1.2152385567074177E-2</v>
      </c>
      <c r="L1391" s="411">
        <f t="shared" ca="1" si="501"/>
        <v>0.33967284709839862</v>
      </c>
      <c r="M1391" s="411">
        <f t="shared" ca="1" si="501"/>
        <v>5.320907297955399E-4</v>
      </c>
      <c r="N1391" s="411">
        <f t="shared" ca="1" si="501"/>
        <v>8.6933138761594364E-2</v>
      </c>
      <c r="O1391" s="411">
        <f t="shared" ca="1" si="501"/>
        <v>1.1428142442473321E-2</v>
      </c>
      <c r="P1391" s="411">
        <f t="shared" ca="1" si="501"/>
        <v>2.8546280760938263E-4</v>
      </c>
      <c r="Q1391" s="411">
        <f t="shared" ca="1" si="501"/>
        <v>1.3569895070589403E-2</v>
      </c>
      <c r="R1391" s="411">
        <f t="shared" ca="1" si="501"/>
        <v>7.8319200974627295E-4</v>
      </c>
      <c r="S1391" s="411">
        <f t="shared" ca="1" si="501"/>
        <v>3.2183766193216172E-3</v>
      </c>
      <c r="T1391" s="101"/>
      <c r="U1391" s="411">
        <f t="shared" ca="1" si="500"/>
        <v>1</v>
      </c>
    </row>
    <row r="1392" spans="2:21" x14ac:dyDescent="0.2">
      <c r="B1392" s="16">
        <f t="shared" si="486"/>
        <v>38</v>
      </c>
      <c r="D1392" s="64"/>
      <c r="G1392" s="16">
        <f t="shared" si="487"/>
        <v>38</v>
      </c>
      <c r="H1392" s="64"/>
      <c r="J1392" s="411"/>
      <c r="K1392" s="411"/>
      <c r="L1392" s="411"/>
      <c r="M1392" s="411"/>
      <c r="N1392" s="411"/>
      <c r="O1392" s="411"/>
      <c r="P1392" s="411"/>
      <c r="Q1392" s="411"/>
      <c r="R1392" s="411"/>
      <c r="S1392" s="411"/>
      <c r="T1392" s="101"/>
      <c r="U1392" s="411"/>
    </row>
    <row r="1393" spans="2:21" x14ac:dyDescent="0.2">
      <c r="B1393" s="16">
        <f t="shared" si="486"/>
        <v>39</v>
      </c>
      <c r="D1393" s="64" t="s">
        <v>708</v>
      </c>
      <c r="G1393" s="16">
        <f t="shared" si="487"/>
        <v>39</v>
      </c>
      <c r="H1393" s="64" t="s">
        <v>767</v>
      </c>
      <c r="J1393" s="411"/>
      <c r="K1393" s="411"/>
      <c r="L1393" s="411"/>
      <c r="M1393" s="411"/>
      <c r="N1393" s="411"/>
      <c r="O1393" s="411"/>
      <c r="P1393" s="411"/>
      <c r="Q1393" s="411"/>
      <c r="R1393" s="411"/>
      <c r="S1393" s="411"/>
      <c r="T1393" s="101"/>
      <c r="U1393" s="411"/>
    </row>
    <row r="1394" spans="2:21" x14ac:dyDescent="0.2">
      <c r="B1394" s="16">
        <f t="shared" si="486"/>
        <v>40</v>
      </c>
      <c r="D1394" s="64" t="s">
        <v>898</v>
      </c>
      <c r="G1394" s="16">
        <f t="shared" si="487"/>
        <v>40</v>
      </c>
      <c r="H1394" s="64" t="s">
        <v>899</v>
      </c>
      <c r="J1394" s="411">
        <f t="shared" ref="J1394:Q1394" ca="1" si="502">J1287/$U1287</f>
        <v>0.53755456298704718</v>
      </c>
      <c r="K1394" s="411">
        <f t="shared" ca="1" si="502"/>
        <v>1.7640581663474843E-2</v>
      </c>
      <c r="L1394" s="411">
        <f t="shared" ca="1" si="502"/>
        <v>0.33968687743302045</v>
      </c>
      <c r="M1394" s="411">
        <f t="shared" ca="1" si="502"/>
        <v>9.6699062031035721E-5</v>
      </c>
      <c r="N1394" s="411">
        <f t="shared" ca="1" si="502"/>
        <v>6.0783780946782787E-2</v>
      </c>
      <c r="O1394" s="411">
        <f t="shared" ca="1" si="502"/>
        <v>5.842655879060161E-3</v>
      </c>
      <c r="P1394" s="411">
        <f t="shared" ca="1" si="502"/>
        <v>1.1873726123376547E-3</v>
      </c>
      <c r="Q1394" s="411">
        <f t="shared" ca="1" si="502"/>
        <v>3.447131330709028E-2</v>
      </c>
      <c r="R1394" s="411">
        <f t="shared" ref="R1394:S1408" ca="1" si="503">R1287/$U1287</f>
        <v>4.0386720072302997E-4</v>
      </c>
      <c r="S1394" s="411">
        <f t="shared" ca="1" si="503"/>
        <v>2.3322889084324023E-3</v>
      </c>
      <c r="T1394" s="101"/>
      <c r="U1394" s="411">
        <f ca="1">ROUND(SUM(I1394:T1394),6)</f>
        <v>1</v>
      </c>
    </row>
    <row r="1395" spans="2:21" x14ac:dyDescent="0.2">
      <c r="B1395" s="16">
        <f t="shared" si="486"/>
        <v>41</v>
      </c>
      <c r="D1395" s="64" t="s">
        <v>709</v>
      </c>
      <c r="G1395" s="16">
        <f t="shared" si="487"/>
        <v>41</v>
      </c>
      <c r="H1395" s="64" t="s">
        <v>768</v>
      </c>
      <c r="J1395" s="411">
        <f t="shared" ref="J1395:Q1395" si="504">J1288/$U1288</f>
        <v>0.51276650638845045</v>
      </c>
      <c r="K1395" s="411">
        <f t="shared" si="504"/>
        <v>9.687526959222155E-3</v>
      </c>
      <c r="L1395" s="411">
        <f t="shared" si="504"/>
        <v>0.32935209241072594</v>
      </c>
      <c r="M1395" s="411">
        <f t="shared" si="504"/>
        <v>1.5411725558950418E-4</v>
      </c>
      <c r="N1395" s="411">
        <f t="shared" si="504"/>
        <v>9.6876115518733083E-2</v>
      </c>
      <c r="O1395" s="411">
        <f t="shared" si="504"/>
        <v>4.1639261289449135E-2</v>
      </c>
      <c r="P1395" s="411">
        <f t="shared" si="504"/>
        <v>0</v>
      </c>
      <c r="Q1395" s="411">
        <f t="shared" si="504"/>
        <v>2.9289509279375606E-3</v>
      </c>
      <c r="R1395" s="411">
        <f t="shared" si="503"/>
        <v>2.8782684185483386E-3</v>
      </c>
      <c r="S1395" s="411">
        <f t="shared" si="503"/>
        <v>3.717160831343715E-3</v>
      </c>
      <c r="T1395" s="101"/>
      <c r="U1395" s="411">
        <f t="shared" ref="U1395:U1408" si="505">ROUND(SUM(I1395:T1395),6)</f>
        <v>1</v>
      </c>
    </row>
    <row r="1396" spans="2:21" x14ac:dyDescent="0.2">
      <c r="B1396" s="16">
        <f t="shared" si="486"/>
        <v>42</v>
      </c>
      <c r="D1396" s="64" t="s">
        <v>710</v>
      </c>
      <c r="G1396" s="16">
        <f t="shared" si="487"/>
        <v>42</v>
      </c>
      <c r="H1396" s="64" t="s">
        <v>769</v>
      </c>
      <c r="J1396" s="411">
        <f t="shared" ref="J1396:Q1396" si="506">J1289/$U1289</f>
        <v>0.51276650638845045</v>
      </c>
      <c r="K1396" s="411">
        <f t="shared" si="506"/>
        <v>9.687526959222155E-3</v>
      </c>
      <c r="L1396" s="411">
        <f t="shared" si="506"/>
        <v>0.32935209241072594</v>
      </c>
      <c r="M1396" s="411">
        <f t="shared" si="506"/>
        <v>1.5411725558950418E-4</v>
      </c>
      <c r="N1396" s="411">
        <f t="shared" si="506"/>
        <v>9.6876115518733083E-2</v>
      </c>
      <c r="O1396" s="411">
        <f t="shared" si="506"/>
        <v>4.1639261289449135E-2</v>
      </c>
      <c r="P1396" s="411">
        <f t="shared" si="506"/>
        <v>0</v>
      </c>
      <c r="Q1396" s="411">
        <f t="shared" si="506"/>
        <v>2.9289509279375606E-3</v>
      </c>
      <c r="R1396" s="411">
        <f t="shared" si="503"/>
        <v>2.8782684185483386E-3</v>
      </c>
      <c r="S1396" s="411">
        <f t="shared" si="503"/>
        <v>3.717160831343715E-3</v>
      </c>
      <c r="T1396" s="101"/>
      <c r="U1396" s="411">
        <f t="shared" si="505"/>
        <v>1</v>
      </c>
    </row>
    <row r="1397" spans="2:21" x14ac:dyDescent="0.2">
      <c r="B1397" s="16">
        <f t="shared" si="486"/>
        <v>43</v>
      </c>
      <c r="D1397" s="64" t="s">
        <v>711</v>
      </c>
      <c r="G1397" s="16">
        <f t="shared" si="487"/>
        <v>43</v>
      </c>
      <c r="H1397" s="64" t="s">
        <v>770</v>
      </c>
      <c r="J1397" s="411">
        <f t="shared" ref="J1397:Q1397" ca="1" si="507">J1290/$U1290</f>
        <v>0.53755456298704729</v>
      </c>
      <c r="K1397" s="411">
        <f t="shared" ca="1" si="507"/>
        <v>1.7640581663474847E-2</v>
      </c>
      <c r="L1397" s="411">
        <f t="shared" ca="1" si="507"/>
        <v>0.33968687743302051</v>
      </c>
      <c r="M1397" s="411">
        <f t="shared" ca="1" si="507"/>
        <v>9.6699062031035748E-5</v>
      </c>
      <c r="N1397" s="411">
        <f t="shared" ca="1" si="507"/>
        <v>6.0783780946782794E-2</v>
      </c>
      <c r="O1397" s="411">
        <f t="shared" ca="1" si="507"/>
        <v>5.8426558790601619E-3</v>
      </c>
      <c r="P1397" s="411">
        <f t="shared" ca="1" si="507"/>
        <v>1.1873726123376549E-3</v>
      </c>
      <c r="Q1397" s="411">
        <f t="shared" ca="1" si="507"/>
        <v>3.447131330709028E-2</v>
      </c>
      <c r="R1397" s="411">
        <f t="shared" ca="1" si="503"/>
        <v>4.0386720072303002E-4</v>
      </c>
      <c r="S1397" s="411">
        <f t="shared" ca="1" si="503"/>
        <v>2.3322889084324027E-3</v>
      </c>
      <c r="T1397" s="101"/>
      <c r="U1397" s="411">
        <f t="shared" ca="1" si="505"/>
        <v>1</v>
      </c>
    </row>
    <row r="1398" spans="2:21" x14ac:dyDescent="0.2">
      <c r="B1398" s="16">
        <f t="shared" si="486"/>
        <v>44</v>
      </c>
      <c r="D1398" s="64" t="s">
        <v>712</v>
      </c>
      <c r="G1398" s="16">
        <f t="shared" si="487"/>
        <v>44</v>
      </c>
      <c r="H1398" s="64" t="s">
        <v>771</v>
      </c>
      <c r="J1398" s="411">
        <f t="shared" ref="J1398:Q1398" si="508">J1291/$U1291</f>
        <v>0.51276650638845056</v>
      </c>
      <c r="K1398" s="411">
        <f t="shared" si="508"/>
        <v>9.6875269592221584E-3</v>
      </c>
      <c r="L1398" s="411">
        <f t="shared" si="508"/>
        <v>0.32935209241072599</v>
      </c>
      <c r="M1398" s="411">
        <f t="shared" si="508"/>
        <v>1.5411725558950421E-4</v>
      </c>
      <c r="N1398" s="411">
        <f t="shared" si="508"/>
        <v>9.6876115518733111E-2</v>
      </c>
      <c r="O1398" s="411">
        <f t="shared" si="508"/>
        <v>4.1639261289449142E-2</v>
      </c>
      <c r="P1398" s="411">
        <f t="shared" si="508"/>
        <v>0</v>
      </c>
      <c r="Q1398" s="411">
        <f t="shared" si="508"/>
        <v>2.928950927937561E-3</v>
      </c>
      <c r="R1398" s="411">
        <f t="shared" si="503"/>
        <v>2.878268418548339E-3</v>
      </c>
      <c r="S1398" s="411">
        <f t="shared" si="503"/>
        <v>3.7171608313437158E-3</v>
      </c>
      <c r="T1398" s="101"/>
      <c r="U1398" s="411">
        <f t="shared" si="505"/>
        <v>1</v>
      </c>
    </row>
    <row r="1399" spans="2:21" x14ac:dyDescent="0.2">
      <c r="B1399" s="16">
        <f t="shared" si="486"/>
        <v>45</v>
      </c>
      <c r="D1399" s="64" t="s">
        <v>713</v>
      </c>
      <c r="G1399" s="16">
        <f t="shared" si="487"/>
        <v>45</v>
      </c>
      <c r="H1399" s="64" t="s">
        <v>772</v>
      </c>
      <c r="J1399" s="411">
        <f t="shared" ref="J1399:Q1399" si="509">J1292/$U1292</f>
        <v>0.54654106601758956</v>
      </c>
      <c r="K1399" s="411">
        <f t="shared" si="509"/>
        <v>1.0325618474301095E-2</v>
      </c>
      <c r="L1399" s="411">
        <f t="shared" si="509"/>
        <v>0.35104563468682942</v>
      </c>
      <c r="M1399" s="411">
        <f t="shared" si="509"/>
        <v>1.3609449968597816E-4</v>
      </c>
      <c r="N1399" s="411">
        <f t="shared" si="509"/>
        <v>8.5547244029310979E-2</v>
      </c>
      <c r="O1399" s="411">
        <f t="shared" si="509"/>
        <v>0</v>
      </c>
      <c r="P1399" s="411">
        <f t="shared" si="509"/>
        <v>0</v>
      </c>
      <c r="Q1399" s="411">
        <f t="shared" si="509"/>
        <v>3.1218730992065022E-3</v>
      </c>
      <c r="R1399" s="411">
        <f t="shared" si="503"/>
        <v>0</v>
      </c>
      <c r="S1399" s="411">
        <f t="shared" si="503"/>
        <v>3.2824691930764555E-3</v>
      </c>
      <c r="T1399" s="101"/>
      <c r="U1399" s="411">
        <f t="shared" si="505"/>
        <v>1</v>
      </c>
    </row>
    <row r="1400" spans="2:21" x14ac:dyDescent="0.2">
      <c r="B1400" s="16">
        <f t="shared" si="486"/>
        <v>46</v>
      </c>
      <c r="D1400" s="64" t="s">
        <v>714</v>
      </c>
      <c r="G1400" s="16">
        <f t="shared" si="487"/>
        <v>46</v>
      </c>
      <c r="H1400" s="64" t="s">
        <v>773</v>
      </c>
      <c r="J1400" s="411">
        <f t="shared" ref="J1400:Q1400" si="510">J1293/$U1293</f>
        <v>0.5446760965637838</v>
      </c>
      <c r="K1400" s="411">
        <f t="shared" si="510"/>
        <v>1.029038422706229E-2</v>
      </c>
      <c r="L1400" s="411">
        <f t="shared" si="510"/>
        <v>0.349847756931086</v>
      </c>
      <c r="M1400" s="411">
        <f t="shared" si="510"/>
        <v>1.4085005292027047E-4</v>
      </c>
      <c r="N1400" s="411">
        <f t="shared" si="510"/>
        <v>8.853652334601432E-2</v>
      </c>
      <c r="O1400" s="411">
        <f t="shared" si="510"/>
        <v>0</v>
      </c>
      <c r="P1400" s="411">
        <f t="shared" si="510"/>
        <v>0</v>
      </c>
      <c r="Q1400" s="411">
        <f t="shared" si="510"/>
        <v>3.1112202895080439E-3</v>
      </c>
      <c r="R1400" s="411">
        <f t="shared" si="503"/>
        <v>0</v>
      </c>
      <c r="S1400" s="411">
        <f t="shared" si="503"/>
        <v>3.3971685896253072E-3</v>
      </c>
      <c r="T1400" s="101"/>
      <c r="U1400" s="411">
        <f t="shared" si="505"/>
        <v>1</v>
      </c>
    </row>
    <row r="1401" spans="2:21" x14ac:dyDescent="0.2">
      <c r="B1401" s="16">
        <f t="shared" si="486"/>
        <v>47</v>
      </c>
      <c r="D1401" s="64" t="s">
        <v>715</v>
      </c>
      <c r="G1401" s="16">
        <f t="shared" si="487"/>
        <v>47</v>
      </c>
      <c r="H1401" s="64" t="s">
        <v>774</v>
      </c>
      <c r="J1401" s="411">
        <f t="shared" ref="J1401:Q1401" si="511">J1294/$U1294</f>
        <v>0.55819100465532512</v>
      </c>
      <c r="K1401" s="411">
        <f t="shared" si="511"/>
        <v>1.0545716887946019E-2</v>
      </c>
      <c r="L1401" s="411">
        <f t="shared" si="511"/>
        <v>0.35852843947027624</v>
      </c>
      <c r="M1401" s="411">
        <f t="shared" si="511"/>
        <v>1.0638789872533816E-4</v>
      </c>
      <c r="N1401" s="411">
        <f t="shared" si="511"/>
        <v>6.6874058503628278E-2</v>
      </c>
      <c r="O1401" s="411">
        <f t="shared" si="511"/>
        <v>0</v>
      </c>
      <c r="P1401" s="411">
        <f t="shared" si="511"/>
        <v>0</v>
      </c>
      <c r="Q1401" s="411">
        <f t="shared" si="511"/>
        <v>3.1884181994778554E-3</v>
      </c>
      <c r="R1401" s="411">
        <f t="shared" si="503"/>
        <v>0</v>
      </c>
      <c r="S1401" s="411">
        <f t="shared" si="503"/>
        <v>2.5659743846212181E-3</v>
      </c>
      <c r="T1401" s="101"/>
      <c r="U1401" s="411">
        <f t="shared" si="505"/>
        <v>1</v>
      </c>
    </row>
    <row r="1402" spans="2:21" x14ac:dyDescent="0.2">
      <c r="B1402" s="16">
        <f t="shared" si="486"/>
        <v>48</v>
      </c>
      <c r="D1402" s="64" t="s">
        <v>716</v>
      </c>
      <c r="G1402" s="16">
        <f t="shared" si="487"/>
        <v>48</v>
      </c>
      <c r="H1402" s="64" t="s">
        <v>775</v>
      </c>
      <c r="J1402" s="411">
        <f t="shared" ref="J1402:Q1402" si="512">J1295/$U1295</f>
        <v>0.54942359712020994</v>
      </c>
      <c r="K1402" s="411">
        <f t="shared" si="512"/>
        <v>1.0380077175131834E-2</v>
      </c>
      <c r="L1402" s="411">
        <f t="shared" si="512"/>
        <v>0.35289709658665924</v>
      </c>
      <c r="M1402" s="411">
        <f t="shared" si="512"/>
        <v>1.2874422910645687E-4</v>
      </c>
      <c r="N1402" s="411">
        <f t="shared" si="512"/>
        <v>8.0926958915668271E-2</v>
      </c>
      <c r="O1402" s="411">
        <f t="shared" si="512"/>
        <v>0</v>
      </c>
      <c r="P1402" s="411">
        <f t="shared" si="512"/>
        <v>0</v>
      </c>
      <c r="Q1402" s="411">
        <f t="shared" si="512"/>
        <v>3.1383382778845982E-3</v>
      </c>
      <c r="R1402" s="411">
        <f t="shared" si="503"/>
        <v>0</v>
      </c>
      <c r="S1402" s="411">
        <f t="shared" si="503"/>
        <v>3.1051876953397707E-3</v>
      </c>
      <c r="T1402" s="101"/>
      <c r="U1402" s="411">
        <f t="shared" si="505"/>
        <v>1</v>
      </c>
    </row>
    <row r="1403" spans="2:21" x14ac:dyDescent="0.2">
      <c r="B1403" s="16">
        <f t="shared" si="486"/>
        <v>49</v>
      </c>
      <c r="D1403" s="64" t="s">
        <v>717</v>
      </c>
      <c r="G1403" s="16">
        <f t="shared" si="487"/>
        <v>49</v>
      </c>
      <c r="H1403" s="64" t="s">
        <v>776</v>
      </c>
      <c r="J1403" s="411">
        <f t="shared" ref="J1403:Q1403" si="513">J1296/$U1296</f>
        <v>0.58733437968622659</v>
      </c>
      <c r="K1403" s="411">
        <f t="shared" si="513"/>
        <v>1.1096312973644133E-2</v>
      </c>
      <c r="L1403" s="411">
        <f t="shared" si="513"/>
        <v>0.37724735232194073</v>
      </c>
      <c r="M1403" s="411">
        <f t="shared" si="513"/>
        <v>1.8221300073936084E-5</v>
      </c>
      <c r="N1403" s="411">
        <f t="shared" si="513"/>
        <v>1.1453673789558107E-2</v>
      </c>
      <c r="O1403" s="411">
        <f t="shared" si="513"/>
        <v>1.9159229129452429E-3</v>
      </c>
      <c r="P1403" s="411">
        <f t="shared" si="513"/>
        <v>7.007333819228659E-3</v>
      </c>
      <c r="Q1403" s="411">
        <f t="shared" si="513"/>
        <v>3.3548867856208948E-3</v>
      </c>
      <c r="R1403" s="411">
        <f t="shared" si="503"/>
        <v>1.3243607696039375E-4</v>
      </c>
      <c r="S1403" s="411">
        <f t="shared" si="503"/>
        <v>4.394803338011702E-4</v>
      </c>
      <c r="T1403" s="101"/>
      <c r="U1403" s="411">
        <f t="shared" si="505"/>
        <v>1</v>
      </c>
    </row>
    <row r="1404" spans="2:21" s="321" customFormat="1" x14ac:dyDescent="0.2">
      <c r="B1404" s="16">
        <f t="shared" si="486"/>
        <v>50</v>
      </c>
      <c r="D1404" s="45" t="s">
        <v>718</v>
      </c>
      <c r="G1404" s="16">
        <f t="shared" si="487"/>
        <v>50</v>
      </c>
      <c r="H1404" s="45" t="s">
        <v>777</v>
      </c>
      <c r="J1404" s="1118">
        <f t="shared" ref="J1404:Q1404" si="514">J1297/$U1297</f>
        <v>0.59066728878195984</v>
      </c>
      <c r="K1404" s="1118">
        <f t="shared" si="514"/>
        <v>8.28618076072377E-2</v>
      </c>
      <c r="L1404" s="1118">
        <f t="shared" si="514"/>
        <v>0.32586859166990823</v>
      </c>
      <c r="M1404" s="1118">
        <f t="shared" si="514"/>
        <v>0</v>
      </c>
      <c r="N1404" s="1118">
        <f t="shared" si="514"/>
        <v>0</v>
      </c>
      <c r="O1404" s="1118">
        <f t="shared" si="514"/>
        <v>0</v>
      </c>
      <c r="P1404" s="1118">
        <f t="shared" si="514"/>
        <v>0</v>
      </c>
      <c r="Q1404" s="1118">
        <f t="shared" si="514"/>
        <v>6.0231194089428513E-4</v>
      </c>
      <c r="R1404" s="1118">
        <f t="shared" si="503"/>
        <v>0</v>
      </c>
      <c r="S1404" s="1118">
        <f t="shared" si="503"/>
        <v>0</v>
      </c>
      <c r="T1404" s="130"/>
      <c r="U1404" s="1118">
        <f t="shared" si="505"/>
        <v>1</v>
      </c>
    </row>
    <row r="1405" spans="2:21" s="321" customFormat="1" x14ac:dyDescent="0.2">
      <c r="B1405" s="16">
        <f t="shared" si="486"/>
        <v>51</v>
      </c>
      <c r="D1405" s="45" t="s">
        <v>719</v>
      </c>
      <c r="G1405" s="16">
        <f t="shared" si="487"/>
        <v>51</v>
      </c>
      <c r="H1405" s="45" t="s">
        <v>778</v>
      </c>
      <c r="J1405" s="1118">
        <f t="shared" ref="J1405:Q1405" si="515">J1298/$U1298</f>
        <v>0</v>
      </c>
      <c r="K1405" s="1118">
        <f t="shared" si="515"/>
        <v>0</v>
      </c>
      <c r="L1405" s="1118">
        <f t="shared" si="515"/>
        <v>0</v>
      </c>
      <c r="M1405" s="1118">
        <f t="shared" si="515"/>
        <v>0</v>
      </c>
      <c r="N1405" s="1118">
        <f t="shared" si="515"/>
        <v>0</v>
      </c>
      <c r="O1405" s="1118">
        <f t="shared" si="515"/>
        <v>0</v>
      </c>
      <c r="P1405" s="1118">
        <f t="shared" si="515"/>
        <v>0</v>
      </c>
      <c r="Q1405" s="1118">
        <f t="shared" si="515"/>
        <v>0</v>
      </c>
      <c r="R1405" s="1118">
        <f t="shared" si="503"/>
        <v>0</v>
      </c>
      <c r="S1405" s="1118">
        <f t="shared" si="503"/>
        <v>0</v>
      </c>
      <c r="T1405" s="130"/>
      <c r="U1405" s="1118">
        <f t="shared" si="505"/>
        <v>0</v>
      </c>
    </row>
    <row r="1406" spans="2:21" s="321" customFormat="1" x14ac:dyDescent="0.2">
      <c r="B1406" s="16">
        <f t="shared" si="486"/>
        <v>52</v>
      </c>
      <c r="D1406" s="45" t="s">
        <v>720</v>
      </c>
      <c r="G1406" s="16">
        <f t="shared" si="487"/>
        <v>52</v>
      </c>
      <c r="H1406" s="45" t="s">
        <v>779</v>
      </c>
      <c r="J1406" s="1118">
        <f t="shared" ref="J1406:Q1406" si="516">J1299/$U1299</f>
        <v>0.54582769492028138</v>
      </c>
      <c r="K1406" s="1118">
        <f t="shared" si="516"/>
        <v>1.0312140991565771E-2</v>
      </c>
      <c r="L1406" s="1118">
        <f t="shared" si="516"/>
        <v>0.35058743341853954</v>
      </c>
      <c r="M1406" s="1118">
        <f t="shared" si="516"/>
        <v>1.3791355051393216E-4</v>
      </c>
      <c r="N1406" s="1118">
        <f t="shared" si="516"/>
        <v>8.6690675875857034E-2</v>
      </c>
      <c r="O1406" s="1118">
        <f t="shared" si="516"/>
        <v>0</v>
      </c>
      <c r="P1406" s="1118">
        <f t="shared" si="516"/>
        <v>0</v>
      </c>
      <c r="Q1406" s="1118">
        <f t="shared" si="516"/>
        <v>3.1177982836493381E-3</v>
      </c>
      <c r="R1406" s="1118">
        <f t="shared" si="503"/>
        <v>0</v>
      </c>
      <c r="S1406" s="1118">
        <f t="shared" si="503"/>
        <v>3.3263429595929311E-3</v>
      </c>
      <c r="T1406" s="130"/>
      <c r="U1406" s="1118">
        <f t="shared" si="505"/>
        <v>1</v>
      </c>
    </row>
    <row r="1407" spans="2:21" x14ac:dyDescent="0.2">
      <c r="B1407" s="16">
        <f t="shared" si="486"/>
        <v>53</v>
      </c>
      <c r="D1407" s="64" t="s">
        <v>721</v>
      </c>
      <c r="G1407" s="16">
        <f t="shared" si="487"/>
        <v>53</v>
      </c>
      <c r="H1407" s="64" t="s">
        <v>780</v>
      </c>
      <c r="J1407" s="411">
        <f t="shared" ref="J1407:Q1407" si="517">J1300/$U1300</f>
        <v>0.55240538827094132</v>
      </c>
      <c r="K1407" s="411">
        <f t="shared" si="517"/>
        <v>1.0436411163018314E-2</v>
      </c>
      <c r="L1407" s="411">
        <f t="shared" si="517"/>
        <v>0.35481231363455507</v>
      </c>
      <c r="M1407" s="411">
        <f t="shared" si="517"/>
        <v>1.2114085173107534E-4</v>
      </c>
      <c r="N1407" s="411">
        <f t="shared" si="517"/>
        <v>7.614757414053383E-2</v>
      </c>
      <c r="O1407" s="411">
        <f t="shared" si="517"/>
        <v>0</v>
      </c>
      <c r="P1407" s="411">
        <f t="shared" si="517"/>
        <v>0</v>
      </c>
      <c r="Q1407" s="411">
        <f t="shared" si="517"/>
        <v>3.1553704355022296E-3</v>
      </c>
      <c r="R1407" s="411">
        <f t="shared" si="503"/>
        <v>0</v>
      </c>
      <c r="S1407" s="411">
        <f t="shared" si="503"/>
        <v>2.9218015037184224E-3</v>
      </c>
      <c r="T1407" s="101"/>
      <c r="U1407" s="411">
        <f t="shared" si="505"/>
        <v>1</v>
      </c>
    </row>
    <row r="1408" spans="2:21" x14ac:dyDescent="0.2">
      <c r="B1408" s="16">
        <f t="shared" si="486"/>
        <v>54</v>
      </c>
      <c r="D1408" s="64" t="s">
        <v>722</v>
      </c>
      <c r="G1408" s="16">
        <f t="shared" si="487"/>
        <v>54</v>
      </c>
      <c r="H1408" s="64" t="s">
        <v>781</v>
      </c>
      <c r="J1408" s="411">
        <f t="shared" ref="J1408:Q1408" ca="1" si="518">J1301/$U1301</f>
        <v>0.53755456298704729</v>
      </c>
      <c r="K1408" s="411">
        <f t="shared" ca="1" si="518"/>
        <v>1.7640581663474847E-2</v>
      </c>
      <c r="L1408" s="411">
        <f t="shared" ca="1" si="518"/>
        <v>0.33968687743302051</v>
      </c>
      <c r="M1408" s="411">
        <f t="shared" ca="1" si="518"/>
        <v>9.6699062031035748E-5</v>
      </c>
      <c r="N1408" s="411">
        <f t="shared" ca="1" si="518"/>
        <v>6.0783780946782794E-2</v>
      </c>
      <c r="O1408" s="411">
        <f t="shared" ca="1" si="518"/>
        <v>5.8426558790601619E-3</v>
      </c>
      <c r="P1408" s="411">
        <f t="shared" ca="1" si="518"/>
        <v>1.1873726123376549E-3</v>
      </c>
      <c r="Q1408" s="411">
        <f t="shared" ca="1" si="518"/>
        <v>3.447131330709028E-2</v>
      </c>
      <c r="R1408" s="411">
        <f t="shared" ca="1" si="503"/>
        <v>4.0386720072303002E-4</v>
      </c>
      <c r="S1408" s="411">
        <f t="shared" ca="1" si="503"/>
        <v>2.3322889084324027E-3</v>
      </c>
      <c r="T1408" s="101"/>
      <c r="U1408" s="411">
        <f t="shared" ca="1" si="505"/>
        <v>1</v>
      </c>
    </row>
    <row r="1409" spans="2:21" x14ac:dyDescent="0.2">
      <c r="B1409" s="16">
        <f t="shared" si="486"/>
        <v>55</v>
      </c>
      <c r="D1409" s="64"/>
      <c r="G1409" s="16">
        <f>G1408+1</f>
        <v>55</v>
      </c>
      <c r="H1409" s="64"/>
      <c r="J1409" s="415"/>
      <c r="K1409" s="415"/>
      <c r="L1409" s="415"/>
      <c r="M1409" s="415"/>
      <c r="N1409" s="415"/>
      <c r="O1409" s="415"/>
      <c r="P1409" s="415"/>
      <c r="Q1409" s="415"/>
      <c r="R1409" s="415"/>
      <c r="S1409" s="415"/>
      <c r="T1409" s="101"/>
      <c r="U1409" s="411"/>
    </row>
    <row r="1410" spans="2:21" x14ac:dyDescent="0.2">
      <c r="B1410" s="16">
        <f t="shared" si="486"/>
        <v>56</v>
      </c>
      <c r="D1410" s="64" t="s">
        <v>400</v>
      </c>
      <c r="G1410" s="16">
        <f>G1409+1</f>
        <v>56</v>
      </c>
      <c r="H1410" s="64" t="s">
        <v>401</v>
      </c>
      <c r="J1410" s="411">
        <f t="shared" ref="J1410:Q1410" ca="1" si="519">J1303/$U1303</f>
        <v>0.5375545629870474</v>
      </c>
      <c r="K1410" s="411">
        <f t="shared" ca="1" si="519"/>
        <v>1.7640581663474854E-2</v>
      </c>
      <c r="L1410" s="411">
        <f t="shared" ca="1" si="519"/>
        <v>0.33968687743302056</v>
      </c>
      <c r="M1410" s="411">
        <f t="shared" ca="1" si="519"/>
        <v>9.6699062031035748E-5</v>
      </c>
      <c r="N1410" s="411">
        <f t="shared" ca="1" si="519"/>
        <v>6.0783780946782794E-2</v>
      </c>
      <c r="O1410" s="411">
        <f t="shared" ca="1" si="519"/>
        <v>5.8426558790601628E-3</v>
      </c>
      <c r="P1410" s="411">
        <f t="shared" ca="1" si="519"/>
        <v>1.1873726123376551E-3</v>
      </c>
      <c r="Q1410" s="411">
        <f t="shared" ca="1" si="519"/>
        <v>3.4471313307090287E-2</v>
      </c>
      <c r="R1410" s="411">
        <f t="shared" ref="R1410:S1423" ca="1" si="520">R1303/$U1303</f>
        <v>4.0386720072303008E-4</v>
      </c>
      <c r="S1410" s="411">
        <f t="shared" ca="1" si="520"/>
        <v>2.3322889084324032E-3</v>
      </c>
      <c r="T1410" s="101"/>
      <c r="U1410" s="411"/>
    </row>
    <row r="1411" spans="2:21" x14ac:dyDescent="0.2">
      <c r="B1411" s="16">
        <f t="shared" si="486"/>
        <v>57</v>
      </c>
      <c r="D1411" s="64" t="s">
        <v>886</v>
      </c>
      <c r="G1411" s="16">
        <f t="shared" si="487"/>
        <v>57</v>
      </c>
      <c r="H1411" t="s">
        <v>887</v>
      </c>
      <c r="J1411" s="411">
        <f t="shared" ref="J1411:Q1411" ca="1" si="521">J1304/$U1304</f>
        <v>0.54803946754282917</v>
      </c>
      <c r="K1411" s="411">
        <f t="shared" ca="1" si="521"/>
        <v>1.4605938248128475E-2</v>
      </c>
      <c r="L1411" s="411">
        <f t="shared" ca="1" si="521"/>
        <v>0.34883431967784273</v>
      </c>
      <c r="M1411" s="411">
        <f t="shared" ca="1" si="521"/>
        <v>1.037032082190131E-4</v>
      </c>
      <c r="N1411" s="411">
        <f t="shared" ca="1" si="521"/>
        <v>6.5186496740164718E-2</v>
      </c>
      <c r="O1411" s="411">
        <f t="shared" ca="1" si="521"/>
        <v>6.845822693909891E-3</v>
      </c>
      <c r="P1411" s="411">
        <f t="shared" ca="1" si="521"/>
        <v>1.334103111292162E-3</v>
      </c>
      <c r="Q1411" s="411">
        <f t="shared" ca="1" si="521"/>
        <v>1.5050148777613957E-2</v>
      </c>
      <c r="R1411" s="411">
        <f t="shared" ca="1" si="520"/>
        <v>0</v>
      </c>
      <c r="S1411" s="411">
        <f t="shared" ca="1" si="520"/>
        <v>0</v>
      </c>
      <c r="T1411" s="101"/>
      <c r="U1411" s="411">
        <f ca="1">ROUND(SUM(I1411:T1411),6)</f>
        <v>1</v>
      </c>
    </row>
    <row r="1412" spans="2:21" x14ac:dyDescent="0.2">
      <c r="B1412" s="16">
        <f t="shared" si="486"/>
        <v>58</v>
      </c>
      <c r="D1412" s="64" t="s">
        <v>723</v>
      </c>
      <c r="G1412" s="16">
        <f t="shared" si="487"/>
        <v>58</v>
      </c>
      <c r="H1412" s="64" t="s">
        <v>782</v>
      </c>
      <c r="J1412" s="411">
        <f t="shared" ref="J1412:Q1412" ca="1" si="522">J1305/$U1305</f>
        <v>0.54641419555028947</v>
      </c>
      <c r="K1412" s="411">
        <f t="shared" ca="1" si="522"/>
        <v>1.4562622713818727E-2</v>
      </c>
      <c r="L1412" s="411">
        <f t="shared" ca="1" si="522"/>
        <v>0.34779981270638133</v>
      </c>
      <c r="M1412" s="411">
        <f t="shared" ca="1" si="522"/>
        <v>1.0339566482143526E-4</v>
      </c>
      <c r="N1412" s="411">
        <f t="shared" ca="1" si="522"/>
        <v>6.4993178934207071E-2</v>
      </c>
      <c r="O1412" s="411">
        <f t="shared" ca="1" si="522"/>
        <v>6.8255206453362912E-3</v>
      </c>
      <c r="P1412" s="411">
        <f t="shared" ca="1" si="522"/>
        <v>1.3301466801401048E-3</v>
      </c>
      <c r="Q1412" s="411">
        <f t="shared" ca="1" si="522"/>
        <v>1.5005515887575066E-2</v>
      </c>
      <c r="R1412" s="411">
        <f t="shared" ca="1" si="520"/>
        <v>4.718066532702657E-4</v>
      </c>
      <c r="S1412" s="411">
        <f t="shared" ca="1" si="520"/>
        <v>2.4938045641604129E-3</v>
      </c>
      <c r="T1412" s="101"/>
      <c r="U1412" s="411">
        <f t="shared" ref="U1412:U1422" ca="1" si="523">ROUND(SUM(I1412:T1412),6)</f>
        <v>1</v>
      </c>
    </row>
    <row r="1413" spans="2:21" x14ac:dyDescent="0.2">
      <c r="B1413" s="16">
        <f t="shared" si="486"/>
        <v>59</v>
      </c>
      <c r="D1413" s="64" t="s">
        <v>882</v>
      </c>
      <c r="G1413" s="16">
        <f t="shared" si="487"/>
        <v>59</v>
      </c>
      <c r="H1413" s="64" t="s">
        <v>883</v>
      </c>
      <c r="J1413" s="411">
        <f t="shared" ref="J1413:Q1413" ca="1" si="524">J1306/$U1306</f>
        <v>0.54558224818304446</v>
      </c>
      <c r="K1413" s="411">
        <f t="shared" ca="1" si="524"/>
        <v>1.444208477557888E-2</v>
      </c>
      <c r="L1413" s="411">
        <f t="shared" ca="1" si="524"/>
        <v>0.34734368829742646</v>
      </c>
      <c r="M1413" s="411">
        <f t="shared" ca="1" si="524"/>
        <v>1.0464976859358448E-4</v>
      </c>
      <c r="N1413" s="411">
        <f t="shared" ca="1" si="524"/>
        <v>6.5781492361139671E-2</v>
      </c>
      <c r="O1413" s="411">
        <f t="shared" ca="1" si="524"/>
        <v>7.6862989214760936E-3</v>
      </c>
      <c r="P1413" s="411">
        <f t="shared" ca="1" si="524"/>
        <v>1.2972584772305534E-3</v>
      </c>
      <c r="Q1413" s="411">
        <f t="shared" ca="1" si="524"/>
        <v>1.4706919856946997E-2</v>
      </c>
      <c r="R1413" s="411">
        <f t="shared" ca="1" si="520"/>
        <v>5.3130701064604499E-4</v>
      </c>
      <c r="S1413" s="411">
        <f t="shared" ca="1" si="520"/>
        <v>2.5240523479172824E-3</v>
      </c>
      <c r="T1413" s="130"/>
      <c r="U1413" s="411">
        <f t="shared" ca="1" si="523"/>
        <v>1</v>
      </c>
    </row>
    <row r="1414" spans="2:21" x14ac:dyDescent="0.2">
      <c r="B1414" s="16">
        <f t="shared" si="486"/>
        <v>60</v>
      </c>
      <c r="D1414" s="64" t="s">
        <v>724</v>
      </c>
      <c r="G1414" s="16">
        <f t="shared" si="487"/>
        <v>60</v>
      </c>
      <c r="H1414" s="64" t="s">
        <v>783</v>
      </c>
      <c r="J1414" s="411">
        <f t="shared" ref="J1414:Q1414" ca="1" si="525">J1307/$U1307</f>
        <v>0.53697060249857531</v>
      </c>
      <c r="K1414" s="411">
        <f t="shared" ca="1" si="525"/>
        <v>1.745322249348635E-2</v>
      </c>
      <c r="L1414" s="411">
        <f t="shared" ca="1" si="525"/>
        <v>0.33944340912860277</v>
      </c>
      <c r="M1414" s="411">
        <f t="shared" ca="1" si="525"/>
        <v>9.8051727828946282E-5</v>
      </c>
      <c r="N1414" s="411">
        <f t="shared" ca="1" si="525"/>
        <v>6.16340491895917E-2</v>
      </c>
      <c r="O1414" s="411">
        <f t="shared" ca="1" si="525"/>
        <v>6.6859572931080536E-3</v>
      </c>
      <c r="P1414" s="411">
        <f t="shared" ca="1" si="525"/>
        <v>1.1594003230240022E-3</v>
      </c>
      <c r="Q1414" s="411">
        <f t="shared" ca="1" si="525"/>
        <v>3.3728233942670147E-2</v>
      </c>
      <c r="R1414" s="411">
        <f t="shared" ca="1" si="520"/>
        <v>4.6215948911159071E-4</v>
      </c>
      <c r="S1414" s="411">
        <f t="shared" ca="1" si="520"/>
        <v>2.3649139140014342E-3</v>
      </c>
      <c r="T1414" s="101"/>
      <c r="U1414" s="411">
        <f t="shared" ca="1" si="523"/>
        <v>1</v>
      </c>
    </row>
    <row r="1415" spans="2:21" x14ac:dyDescent="0.2">
      <c r="B1415" s="16">
        <f t="shared" si="486"/>
        <v>61</v>
      </c>
      <c r="D1415" s="64" t="s">
        <v>725</v>
      </c>
      <c r="G1415" s="16">
        <f t="shared" si="487"/>
        <v>61</v>
      </c>
      <c r="H1415" s="64" t="s">
        <v>784</v>
      </c>
      <c r="J1415" s="411">
        <f t="shared" ref="J1415:Q1415" ca="1" si="526">J1308/$U1308</f>
        <v>0.54558224818304446</v>
      </c>
      <c r="K1415" s="411">
        <f t="shared" ca="1" si="526"/>
        <v>1.4442084775578876E-2</v>
      </c>
      <c r="L1415" s="411">
        <f t="shared" ca="1" si="526"/>
        <v>0.3473436882974264</v>
      </c>
      <c r="M1415" s="411">
        <f t="shared" ca="1" si="526"/>
        <v>1.0464976859358445E-4</v>
      </c>
      <c r="N1415" s="411">
        <f t="shared" ca="1" si="526"/>
        <v>6.5781492361139643E-2</v>
      </c>
      <c r="O1415" s="411">
        <f t="shared" ca="1" si="526"/>
        <v>7.6862989214760919E-3</v>
      </c>
      <c r="P1415" s="411">
        <f t="shared" ca="1" si="526"/>
        <v>1.297258477230553E-3</v>
      </c>
      <c r="Q1415" s="411">
        <f t="shared" ca="1" si="526"/>
        <v>1.4706919856946993E-2</v>
      </c>
      <c r="R1415" s="411">
        <f t="shared" ca="1" si="520"/>
        <v>5.3130701064604488E-4</v>
      </c>
      <c r="S1415" s="411">
        <f t="shared" ca="1" si="520"/>
        <v>2.5240523479172819E-3</v>
      </c>
      <c r="T1415" s="101"/>
      <c r="U1415" s="411">
        <f t="shared" ca="1" si="523"/>
        <v>1</v>
      </c>
    </row>
    <row r="1416" spans="2:21" x14ac:dyDescent="0.2">
      <c r="B1416" s="16">
        <f t="shared" si="486"/>
        <v>62</v>
      </c>
      <c r="D1416" s="45" t="s">
        <v>726</v>
      </c>
      <c r="G1416" s="16">
        <f t="shared" si="487"/>
        <v>62</v>
      </c>
      <c r="H1416" s="64" t="s">
        <v>785</v>
      </c>
      <c r="J1416" s="411">
        <f t="shared" ref="J1416:Q1416" ca="1" si="527">J1309/$U1309</f>
        <v>0.54558224818304446</v>
      </c>
      <c r="K1416" s="411">
        <f t="shared" ca="1" si="527"/>
        <v>1.4442084775578881E-2</v>
      </c>
      <c r="L1416" s="411">
        <f t="shared" ca="1" si="527"/>
        <v>0.34734368829742651</v>
      </c>
      <c r="M1416" s="411">
        <f t="shared" ca="1" si="527"/>
        <v>1.0464976859358447E-4</v>
      </c>
      <c r="N1416" s="411">
        <f t="shared" ca="1" si="527"/>
        <v>6.5781492361139657E-2</v>
      </c>
      <c r="O1416" s="411">
        <f t="shared" ca="1" si="527"/>
        <v>7.6862989214760936E-3</v>
      </c>
      <c r="P1416" s="411">
        <f t="shared" ca="1" si="527"/>
        <v>1.2972584772305532E-3</v>
      </c>
      <c r="Q1416" s="411">
        <f t="shared" ca="1" si="527"/>
        <v>1.4706919856946997E-2</v>
      </c>
      <c r="R1416" s="411">
        <f t="shared" ca="1" si="520"/>
        <v>5.3130701064604509E-4</v>
      </c>
      <c r="S1416" s="411">
        <f t="shared" ca="1" si="520"/>
        <v>2.5240523479172819E-3</v>
      </c>
      <c r="T1416" s="101"/>
      <c r="U1416" s="411">
        <f t="shared" ca="1" si="523"/>
        <v>1</v>
      </c>
    </row>
    <row r="1417" spans="2:21" x14ac:dyDescent="0.2">
      <c r="B1417" s="16">
        <f t="shared" si="486"/>
        <v>63</v>
      </c>
      <c r="D1417" s="45" t="s">
        <v>727</v>
      </c>
      <c r="G1417" s="16">
        <f t="shared" si="487"/>
        <v>63</v>
      </c>
      <c r="H1417" s="64" t="s">
        <v>786</v>
      </c>
      <c r="J1417" s="411">
        <f t="shared" ref="J1417:Q1417" ca="1" si="528">J1310/$U1310</f>
        <v>0.54558224818304435</v>
      </c>
      <c r="K1417" s="411">
        <f t="shared" ca="1" si="528"/>
        <v>1.4442084775578881E-2</v>
      </c>
      <c r="L1417" s="411">
        <f t="shared" ca="1" si="528"/>
        <v>0.34734368829742646</v>
      </c>
      <c r="M1417" s="411">
        <f t="shared" ca="1" si="528"/>
        <v>1.0464976859358445E-4</v>
      </c>
      <c r="N1417" s="411">
        <f t="shared" ca="1" si="528"/>
        <v>6.5781492361139643E-2</v>
      </c>
      <c r="O1417" s="411">
        <f t="shared" ca="1" si="528"/>
        <v>7.6862989214760927E-3</v>
      </c>
      <c r="P1417" s="411">
        <f t="shared" ca="1" si="528"/>
        <v>1.2972584772305532E-3</v>
      </c>
      <c r="Q1417" s="411">
        <f t="shared" ca="1" si="528"/>
        <v>1.4706919856946995E-2</v>
      </c>
      <c r="R1417" s="411">
        <f t="shared" ca="1" si="520"/>
        <v>5.3130701064604499E-4</v>
      </c>
      <c r="S1417" s="411">
        <f t="shared" ca="1" si="520"/>
        <v>2.5240523479172815E-3</v>
      </c>
      <c r="T1417" s="101"/>
      <c r="U1417" s="411">
        <f t="shared" ca="1" si="523"/>
        <v>1</v>
      </c>
    </row>
    <row r="1418" spans="2:21" x14ac:dyDescent="0.2">
      <c r="B1418" s="16">
        <f t="shared" si="486"/>
        <v>64</v>
      </c>
      <c r="D1418" s="64" t="s">
        <v>728</v>
      </c>
      <c r="G1418" s="16">
        <f t="shared" si="487"/>
        <v>64</v>
      </c>
      <c r="H1418" s="64" t="s">
        <v>787</v>
      </c>
      <c r="J1418" s="411">
        <f t="shared" ref="J1418:Q1418" ca="1" si="529">J1311/$U1311</f>
        <v>0.53724401034692915</v>
      </c>
      <c r="K1418" s="411">
        <f t="shared" ca="1" si="529"/>
        <v>1.7357623032626529E-2</v>
      </c>
      <c r="L1418" s="411">
        <f t="shared" ca="1" si="529"/>
        <v>0.33969423207326227</v>
      </c>
      <c r="M1418" s="411">
        <f t="shared" ca="1" si="529"/>
        <v>9.826120650409258E-5</v>
      </c>
      <c r="N1418" s="411">
        <f t="shared" ca="1" si="529"/>
        <v>6.1765724778120444E-2</v>
      </c>
      <c r="O1418" s="411">
        <f t="shared" ca="1" si="529"/>
        <v>6.7177167572397885E-3</v>
      </c>
      <c r="P1418" s="411">
        <f t="shared" ca="1" si="529"/>
        <v>1.163777128886748E-3</v>
      </c>
      <c r="Q1418" s="411">
        <f t="shared" ca="1" si="529"/>
        <v>3.3124333509745425E-2</v>
      </c>
      <c r="R1418" s="411">
        <f t="shared" ca="1" si="520"/>
        <v>4.6435482735174228E-4</v>
      </c>
      <c r="S1418" s="411">
        <f t="shared" ca="1" si="520"/>
        <v>2.3699663393335429E-3</v>
      </c>
      <c r="T1418" s="101"/>
      <c r="U1418" s="411">
        <f t="shared" ca="1" si="523"/>
        <v>1</v>
      </c>
    </row>
    <row r="1419" spans="2:21" x14ac:dyDescent="0.2">
      <c r="B1419" s="16">
        <f t="shared" ref="B1419:B1448" si="530">B1418+1</f>
        <v>65</v>
      </c>
      <c r="D1419" s="64" t="s">
        <v>729</v>
      </c>
      <c r="G1419" s="16">
        <f t="shared" ref="G1419:G1448" si="531">G1418+1</f>
        <v>65</v>
      </c>
      <c r="H1419" s="589" t="s">
        <v>788</v>
      </c>
      <c r="J1419" s="411">
        <f t="shared" ref="J1419:Q1419" ca="1" si="532">J1312/$U1312</f>
        <v>0.54558224818304435</v>
      </c>
      <c r="K1419" s="411">
        <f t="shared" ca="1" si="532"/>
        <v>1.4442084775578876E-2</v>
      </c>
      <c r="L1419" s="411">
        <f t="shared" ca="1" si="532"/>
        <v>0.34734368829742635</v>
      </c>
      <c r="M1419" s="411">
        <f t="shared" ca="1" si="532"/>
        <v>1.0464976859358444E-4</v>
      </c>
      <c r="N1419" s="411">
        <f t="shared" ca="1" si="532"/>
        <v>6.5781492361139643E-2</v>
      </c>
      <c r="O1419" s="411">
        <f t="shared" ca="1" si="532"/>
        <v>7.686298921476091E-3</v>
      </c>
      <c r="P1419" s="411">
        <f t="shared" ca="1" si="532"/>
        <v>1.297258477230553E-3</v>
      </c>
      <c r="Q1419" s="411">
        <f t="shared" ca="1" si="532"/>
        <v>1.4706919856946991E-2</v>
      </c>
      <c r="R1419" s="411">
        <f t="shared" ca="1" si="520"/>
        <v>5.3130701064604477E-4</v>
      </c>
      <c r="S1419" s="411">
        <f t="shared" ca="1" si="520"/>
        <v>2.5240523479172819E-3</v>
      </c>
      <c r="T1419" s="101"/>
      <c r="U1419" s="411">
        <f t="shared" ca="1" si="523"/>
        <v>1</v>
      </c>
    </row>
    <row r="1420" spans="2:21" x14ac:dyDescent="0.2">
      <c r="B1420" s="16">
        <f t="shared" si="530"/>
        <v>66</v>
      </c>
      <c r="D1420" s="64" t="s">
        <v>730</v>
      </c>
      <c r="G1420" s="16">
        <f t="shared" si="531"/>
        <v>66</v>
      </c>
      <c r="H1420" s="589" t="s">
        <v>789</v>
      </c>
      <c r="J1420" s="411">
        <f t="shared" ref="J1420:Q1420" ca="1" si="533">J1313/$U1313</f>
        <v>0.54558224818304457</v>
      </c>
      <c r="K1420" s="411">
        <f t="shared" ca="1" si="533"/>
        <v>1.444208477557888E-2</v>
      </c>
      <c r="L1420" s="411">
        <f t="shared" ca="1" si="533"/>
        <v>0.34734368829742651</v>
      </c>
      <c r="M1420" s="411">
        <f t="shared" ca="1" si="533"/>
        <v>1.0464976859358447E-4</v>
      </c>
      <c r="N1420" s="411">
        <f t="shared" ca="1" si="533"/>
        <v>6.5781492361139671E-2</v>
      </c>
      <c r="O1420" s="411">
        <f t="shared" ca="1" si="533"/>
        <v>7.6862989214760936E-3</v>
      </c>
      <c r="P1420" s="411">
        <f t="shared" ca="1" si="533"/>
        <v>1.2972584772305534E-3</v>
      </c>
      <c r="Q1420" s="411">
        <f t="shared" ca="1" si="533"/>
        <v>1.4706919856946993E-2</v>
      </c>
      <c r="R1420" s="411">
        <f t="shared" ca="1" si="520"/>
        <v>5.3130701064604509E-4</v>
      </c>
      <c r="S1420" s="411">
        <f t="shared" ca="1" si="520"/>
        <v>2.5240523479172832E-3</v>
      </c>
      <c r="T1420" s="101"/>
      <c r="U1420" s="411">
        <f t="shared" ca="1" si="523"/>
        <v>1</v>
      </c>
    </row>
    <row r="1421" spans="2:21" x14ac:dyDescent="0.2">
      <c r="B1421" s="16">
        <f t="shared" si="530"/>
        <v>67</v>
      </c>
      <c r="D1421" s="64" t="s">
        <v>731</v>
      </c>
      <c r="G1421" s="16">
        <f t="shared" si="531"/>
        <v>67</v>
      </c>
      <c r="H1421" s="64" t="s">
        <v>790</v>
      </c>
      <c r="J1421" s="411">
        <f t="shared" ref="J1421:Q1421" ca="1" si="534">J1314/$U1314</f>
        <v>0.51276650638845056</v>
      </c>
      <c r="K1421" s="411">
        <f t="shared" ca="1" si="534"/>
        <v>9.6875269592221584E-3</v>
      </c>
      <c r="L1421" s="411">
        <f t="shared" ca="1" si="534"/>
        <v>0.32935209241072599</v>
      </c>
      <c r="M1421" s="411">
        <f t="shared" ca="1" si="534"/>
        <v>1.5411725558950423E-4</v>
      </c>
      <c r="N1421" s="411">
        <f t="shared" ca="1" si="534"/>
        <v>9.6876115518733111E-2</v>
      </c>
      <c r="O1421" s="411">
        <f t="shared" ca="1" si="534"/>
        <v>4.1639261289449149E-2</v>
      </c>
      <c r="P1421" s="411">
        <f t="shared" ca="1" si="534"/>
        <v>0</v>
      </c>
      <c r="Q1421" s="411">
        <f t="shared" ca="1" si="534"/>
        <v>2.928950927937561E-3</v>
      </c>
      <c r="R1421" s="411">
        <f t="shared" ca="1" si="520"/>
        <v>2.8782684185483399E-3</v>
      </c>
      <c r="S1421" s="411">
        <f t="shared" ca="1" si="520"/>
        <v>3.7171608313437158E-3</v>
      </c>
      <c r="T1421" s="101"/>
      <c r="U1421" s="411">
        <f t="shared" ca="1" si="523"/>
        <v>1</v>
      </c>
    </row>
    <row r="1422" spans="2:21" x14ac:dyDescent="0.2">
      <c r="B1422" s="16">
        <f t="shared" si="530"/>
        <v>68</v>
      </c>
      <c r="D1422" s="64" t="s">
        <v>732</v>
      </c>
      <c r="G1422" s="16">
        <f t="shared" si="531"/>
        <v>68</v>
      </c>
      <c r="H1422" s="64" t="s">
        <v>791</v>
      </c>
      <c r="J1422" s="411">
        <f t="shared" ref="J1422:Q1422" ca="1" si="535">J1315/$U1315</f>
        <v>0.54469914661647556</v>
      </c>
      <c r="K1422" s="411">
        <f t="shared" ca="1" si="535"/>
        <v>1.4284376919908312E-2</v>
      </c>
      <c r="L1422" s="411">
        <f t="shared" ca="1" si="535"/>
        <v>0.34844091733247451</v>
      </c>
      <c r="M1422" s="411">
        <f t="shared" ca="1" si="535"/>
        <v>1.0433850707272791E-4</v>
      </c>
      <c r="N1422" s="411">
        <f t="shared" ca="1" si="535"/>
        <v>6.5984194822312367E-2</v>
      </c>
      <c r="O1422" s="411">
        <f t="shared" ca="1" si="535"/>
        <v>7.7570549821227774E-3</v>
      </c>
      <c r="P1422" s="411">
        <f t="shared" ca="1" si="535"/>
        <v>1.9424374278485161E-3</v>
      </c>
      <c r="Q1422" s="411">
        <f t="shared" ca="1" si="535"/>
        <v>1.3727483513517776E-2</v>
      </c>
      <c r="R1422" s="411">
        <f t="shared" ca="1" si="520"/>
        <v>5.4011896974696352E-4</v>
      </c>
      <c r="S1422" s="411">
        <f t="shared" ca="1" si="520"/>
        <v>2.5199309085206347E-3</v>
      </c>
      <c r="T1422" s="101"/>
      <c r="U1422" s="411">
        <f t="shared" ca="1" si="523"/>
        <v>1</v>
      </c>
    </row>
    <row r="1423" spans="2:21" x14ac:dyDescent="0.2">
      <c r="B1423" s="16">
        <f t="shared" si="530"/>
        <v>69</v>
      </c>
      <c r="D1423" s="64" t="s">
        <v>884</v>
      </c>
      <c r="G1423" s="16">
        <f t="shared" si="531"/>
        <v>69</v>
      </c>
      <c r="H1423" s="64" t="s">
        <v>885</v>
      </c>
      <c r="J1423" s="411">
        <f t="shared" ref="J1423:Q1423" ca="1" si="536">J1316/$U1316</f>
        <v>0.53877106056789426</v>
      </c>
      <c r="K1423" s="411">
        <f t="shared" ca="1" si="536"/>
        <v>1.7406959947653806E-2</v>
      </c>
      <c r="L1423" s="411">
        <f t="shared" ca="1" si="536"/>
        <v>0.34065977127362129</v>
      </c>
      <c r="M1423" s="411">
        <f t="shared" ca="1" si="536"/>
        <v>9.8540501934501329E-5</v>
      </c>
      <c r="N1423" s="411">
        <f t="shared" ca="1" si="536"/>
        <v>6.1941286276906787E-2</v>
      </c>
      <c r="O1423" s="411">
        <f t="shared" ca="1" si="536"/>
        <v>6.7368110433759882E-3</v>
      </c>
      <c r="P1423" s="411">
        <f t="shared" ca="1" si="536"/>
        <v>1.1670850226698224E-3</v>
      </c>
      <c r="Q1423" s="411">
        <f t="shared" ca="1" si="536"/>
        <v>3.3218485365943344E-2</v>
      </c>
      <c r="R1423" s="411">
        <f t="shared" ca="1" si="520"/>
        <v>0</v>
      </c>
      <c r="S1423" s="411">
        <f t="shared" ca="1" si="520"/>
        <v>0</v>
      </c>
      <c r="T1423" s="101"/>
      <c r="U1423" s="411">
        <f ca="1">ROUND(SUM(I1423:T1423),6)</f>
        <v>1</v>
      </c>
    </row>
    <row r="1424" spans="2:21" x14ac:dyDescent="0.2">
      <c r="B1424" s="16">
        <f t="shared" si="530"/>
        <v>70</v>
      </c>
      <c r="D1424" s="64"/>
      <c r="G1424" s="16">
        <f t="shared" si="531"/>
        <v>70</v>
      </c>
      <c r="H1424" s="64"/>
      <c r="J1424" s="411"/>
      <c r="K1424" s="411"/>
      <c r="L1424" s="411"/>
      <c r="M1424" s="411"/>
      <c r="N1424" s="411"/>
      <c r="O1424" s="411"/>
      <c r="P1424" s="411"/>
      <c r="Q1424" s="411"/>
      <c r="R1424" s="411"/>
      <c r="S1424" s="411"/>
      <c r="T1424" s="101"/>
      <c r="U1424" s="411"/>
    </row>
    <row r="1425" spans="1:21" x14ac:dyDescent="0.2">
      <c r="B1425" s="16">
        <f t="shared" si="530"/>
        <v>71</v>
      </c>
      <c r="D1425" s="64" t="s">
        <v>733</v>
      </c>
      <c r="G1425" s="16">
        <f t="shared" si="531"/>
        <v>71</v>
      </c>
      <c r="H1425" s="64" t="s">
        <v>792</v>
      </c>
      <c r="J1425" s="411">
        <f t="shared" ref="J1425:Q1425" si="537">J1318/$U1318</f>
        <v>0.53346783736565029</v>
      </c>
      <c r="K1425" s="411">
        <f t="shared" si="537"/>
        <v>1.3277528091453907E-2</v>
      </c>
      <c r="L1425" s="411">
        <f t="shared" si="537"/>
        <v>0.34026095458101968</v>
      </c>
      <c r="M1425" s="411">
        <f t="shared" si="537"/>
        <v>7.4837604018877476E-4</v>
      </c>
      <c r="N1425" s="411">
        <f t="shared" si="537"/>
        <v>9.0293943309920036E-2</v>
      </c>
      <c r="O1425" s="411">
        <f t="shared" si="537"/>
        <v>1.4431570781697097E-2</v>
      </c>
      <c r="P1425" s="411">
        <f t="shared" si="537"/>
        <v>3.2267250989739143E-4</v>
      </c>
      <c r="Q1425" s="411">
        <f t="shared" si="537"/>
        <v>2.9265389315585384E-3</v>
      </c>
      <c r="R1425" s="411">
        <f t="shared" ref="R1425:S1431" si="538">R1318/$U1318</f>
        <v>9.8687357002781779E-4</v>
      </c>
      <c r="S1425" s="411">
        <f t="shared" si="538"/>
        <v>3.2837048185863269E-3</v>
      </c>
      <c r="T1425" s="101"/>
      <c r="U1425" s="411">
        <f t="shared" ref="U1425:U1431" si="539">ROUND(SUM(I1425:T1425),6)</f>
        <v>1</v>
      </c>
    </row>
    <row r="1426" spans="1:21" x14ac:dyDescent="0.2">
      <c r="B1426" s="16">
        <f t="shared" si="530"/>
        <v>72</v>
      </c>
      <c r="D1426" s="64" t="s">
        <v>734</v>
      </c>
      <c r="G1426" s="16">
        <f t="shared" si="531"/>
        <v>72</v>
      </c>
      <c r="H1426" s="64" t="s">
        <v>793</v>
      </c>
      <c r="J1426" s="411">
        <f t="shared" ref="J1426:Q1426" ca="1" si="540">J1319/$U1319</f>
        <v>0.51447547743538291</v>
      </c>
      <c r="K1426" s="411">
        <f t="shared" ca="1" si="540"/>
        <v>9.720063421436222E-3</v>
      </c>
      <c r="L1426" s="411">
        <f t="shared" ca="1" si="540"/>
        <v>0.33044958554567655</v>
      </c>
      <c r="M1426" s="411">
        <f t="shared" ca="1" si="540"/>
        <v>1.252606801568843E-4</v>
      </c>
      <c r="N1426" s="411">
        <f t="shared" ca="1" si="540"/>
        <v>7.8737245056807362E-2</v>
      </c>
      <c r="O1426" s="411">
        <f t="shared" ca="1" si="540"/>
        <v>2.2408557962483784E-3</v>
      </c>
      <c r="P1426" s="411">
        <f t="shared" ca="1" si="540"/>
        <v>1.4903461471573695E-4</v>
      </c>
      <c r="Q1426" s="411">
        <f t="shared" ca="1" si="540"/>
        <v>6.0926412916464764E-2</v>
      </c>
      <c r="R1426" s="411">
        <f t="shared" ca="1" si="538"/>
        <v>1.5489670731735564E-4</v>
      </c>
      <c r="S1426" s="411">
        <f t="shared" ca="1" si="538"/>
        <v>3.0211678257937588E-3</v>
      </c>
      <c r="T1426" s="101"/>
      <c r="U1426" s="411">
        <f t="shared" ca="1" si="539"/>
        <v>1</v>
      </c>
    </row>
    <row r="1427" spans="1:21" x14ac:dyDescent="0.2">
      <c r="B1427" s="16">
        <f t="shared" si="530"/>
        <v>73</v>
      </c>
      <c r="D1427" s="45" t="s">
        <v>735</v>
      </c>
      <c r="G1427" s="16">
        <f t="shared" si="531"/>
        <v>73</v>
      </c>
      <c r="H1427" s="64" t="s">
        <v>794</v>
      </c>
      <c r="J1427" s="411">
        <f t="shared" ref="J1427:Q1427" si="541">J1320/$U1320</f>
        <v>0</v>
      </c>
      <c r="K1427" s="411">
        <f t="shared" si="541"/>
        <v>0</v>
      </c>
      <c r="L1427" s="411">
        <f t="shared" si="541"/>
        <v>0</v>
      </c>
      <c r="M1427" s="411">
        <f t="shared" si="541"/>
        <v>0</v>
      </c>
      <c r="N1427" s="411">
        <f t="shared" si="541"/>
        <v>0</v>
      </c>
      <c r="O1427" s="411">
        <f t="shared" si="541"/>
        <v>0</v>
      </c>
      <c r="P1427" s="411">
        <f t="shared" si="541"/>
        <v>0</v>
      </c>
      <c r="Q1427" s="411">
        <f t="shared" si="541"/>
        <v>0</v>
      </c>
      <c r="R1427" s="411">
        <f t="shared" si="538"/>
        <v>0</v>
      </c>
      <c r="S1427" s="411">
        <f t="shared" si="538"/>
        <v>0</v>
      </c>
      <c r="T1427" s="101"/>
      <c r="U1427" s="411">
        <f t="shared" si="539"/>
        <v>0</v>
      </c>
    </row>
    <row r="1428" spans="1:21" x14ac:dyDescent="0.2">
      <c r="B1428" s="16">
        <f t="shared" si="530"/>
        <v>74</v>
      </c>
      <c r="D1428" s="64" t="s">
        <v>888</v>
      </c>
      <c r="G1428" s="16">
        <f t="shared" si="531"/>
        <v>74</v>
      </c>
      <c r="H1428" s="64" t="s">
        <v>795</v>
      </c>
      <c r="J1428" s="411">
        <f t="shared" ref="J1428:Q1428" si="542">J1321/$U1321</f>
        <v>0.85571462856823655</v>
      </c>
      <c r="K1428" s="411">
        <f t="shared" si="542"/>
        <v>7.0979524557258505E-2</v>
      </c>
      <c r="L1428" s="411">
        <f t="shared" si="542"/>
        <v>5.7994681491327811E-2</v>
      </c>
      <c r="M1428" s="411">
        <f t="shared" si="542"/>
        <v>7.7486405275897319E-4</v>
      </c>
      <c r="N1428" s="411">
        <f t="shared" si="542"/>
        <v>1.7346079496849999E-3</v>
      </c>
      <c r="O1428" s="411">
        <f t="shared" si="542"/>
        <v>4.0287987432125244E-5</v>
      </c>
      <c r="P1428" s="411">
        <f t="shared" si="542"/>
        <v>8.4036292803206031E-5</v>
      </c>
      <c r="Q1428" s="411">
        <f t="shared" si="542"/>
        <v>1.2660067510802987E-2</v>
      </c>
      <c r="R1428" s="411">
        <f t="shared" si="538"/>
        <v>4.448980207228554E-6</v>
      </c>
      <c r="S1428" s="411">
        <f t="shared" si="538"/>
        <v>1.2852609487549157E-5</v>
      </c>
      <c r="T1428" s="101"/>
      <c r="U1428" s="411">
        <f t="shared" si="539"/>
        <v>1</v>
      </c>
    </row>
    <row r="1429" spans="1:21" x14ac:dyDescent="0.2">
      <c r="B1429" s="16">
        <f t="shared" si="530"/>
        <v>75</v>
      </c>
      <c r="C1429" s="64"/>
      <c r="D1429" s="45" t="s">
        <v>736</v>
      </c>
      <c r="F1429" s="64"/>
      <c r="G1429" s="16">
        <f t="shared" si="531"/>
        <v>75</v>
      </c>
      <c r="H1429" s="64" t="s">
        <v>796</v>
      </c>
      <c r="J1429" s="411">
        <f t="shared" ref="J1429:Q1429" si="543">J1322/$U1322</f>
        <v>0</v>
      </c>
      <c r="K1429" s="411">
        <f t="shared" si="543"/>
        <v>0</v>
      </c>
      <c r="L1429" s="411">
        <f t="shared" si="543"/>
        <v>0</v>
      </c>
      <c r="M1429" s="411">
        <f t="shared" si="543"/>
        <v>0</v>
      </c>
      <c r="N1429" s="411">
        <f t="shared" si="543"/>
        <v>0</v>
      </c>
      <c r="O1429" s="411">
        <f t="shared" si="543"/>
        <v>0</v>
      </c>
      <c r="P1429" s="411">
        <f t="shared" si="543"/>
        <v>0</v>
      </c>
      <c r="Q1429" s="411">
        <f t="shared" si="543"/>
        <v>0</v>
      </c>
      <c r="R1429" s="411">
        <f t="shared" si="538"/>
        <v>0</v>
      </c>
      <c r="S1429" s="411">
        <f t="shared" si="538"/>
        <v>0</v>
      </c>
      <c r="T1429" s="101"/>
      <c r="U1429" s="411">
        <f t="shared" si="539"/>
        <v>0</v>
      </c>
    </row>
    <row r="1430" spans="1:21" x14ac:dyDescent="0.2">
      <c r="B1430" s="16">
        <f t="shared" si="530"/>
        <v>76</v>
      </c>
      <c r="D1430" s="64" t="s">
        <v>737</v>
      </c>
      <c r="G1430" s="16">
        <f t="shared" si="531"/>
        <v>76</v>
      </c>
      <c r="H1430" s="64" t="s">
        <v>797</v>
      </c>
      <c r="J1430" s="411">
        <f t="shared" ref="J1430:Q1430" ca="1" si="544">J1323/$U1323</f>
        <v>0.45123769365356253</v>
      </c>
      <c r="K1430" s="411">
        <f t="shared" ca="1" si="544"/>
        <v>9.2379418996612096E-3</v>
      </c>
      <c r="L1430" s="411">
        <f t="shared" ca="1" si="544"/>
        <v>0.3097377448366514</v>
      </c>
      <c r="M1430" s="411">
        <f t="shared" ca="1" si="544"/>
        <v>1.4656960138994195E-4</v>
      </c>
      <c r="N1430" s="411">
        <f t="shared" ca="1" si="544"/>
        <v>9.3376659110425003E-2</v>
      </c>
      <c r="O1430" s="411">
        <f t="shared" ca="1" si="544"/>
        <v>3.0593257357699185E-2</v>
      </c>
      <c r="P1430" s="411">
        <f t="shared" ca="1" si="544"/>
        <v>0.10032804582548971</v>
      </c>
      <c r="Q1430" s="411">
        <f t="shared" ca="1" si="544"/>
        <v>4.791115357512192E-3</v>
      </c>
      <c r="R1430" s="411">
        <f t="shared" ca="1" si="538"/>
        <v>8.4454080668214772E-5</v>
      </c>
      <c r="S1430" s="411">
        <f t="shared" ca="1" si="538"/>
        <v>4.665182769408675E-4</v>
      </c>
      <c r="T1430" s="101"/>
      <c r="U1430" s="411">
        <f t="shared" ca="1" si="539"/>
        <v>1</v>
      </c>
    </row>
    <row r="1431" spans="1:21" x14ac:dyDescent="0.2">
      <c r="B1431" s="16">
        <f t="shared" si="530"/>
        <v>77</v>
      </c>
      <c r="D1431" s="64" t="s">
        <v>738</v>
      </c>
      <c r="G1431" s="16">
        <f t="shared" si="531"/>
        <v>77</v>
      </c>
      <c r="H1431" s="64" t="s">
        <v>798</v>
      </c>
      <c r="J1431" s="411">
        <f t="shared" ref="J1431:Q1431" ca="1" si="545">J1324/$U1324</f>
        <v>0.52397422354093537</v>
      </c>
      <c r="K1431" s="411">
        <f t="shared" ca="1" si="545"/>
        <v>1.1516817860175499E-2</v>
      </c>
      <c r="L1431" s="411">
        <f t="shared" ca="1" si="545"/>
        <v>0.33505737023878912</v>
      </c>
      <c r="M1431" s="411">
        <f t="shared" ca="1" si="545"/>
        <v>4.3394269472960163E-4</v>
      </c>
      <c r="N1431" s="411">
        <f t="shared" ca="1" si="545"/>
        <v>8.4399204182938142E-2</v>
      </c>
      <c r="O1431" s="411">
        <f t="shared" ca="1" si="545"/>
        <v>8.3224494815876595E-3</v>
      </c>
      <c r="P1431" s="411">
        <f t="shared" ca="1" si="545"/>
        <v>2.3526211664479156E-4</v>
      </c>
      <c r="Q1431" s="411">
        <f t="shared" ca="1" si="545"/>
        <v>3.2341497550151414E-2</v>
      </c>
      <c r="R1431" s="411">
        <f t="shared" ca="1" si="538"/>
        <v>5.7009093691487217E-4</v>
      </c>
      <c r="S1431" s="411">
        <f t="shared" ca="1" si="538"/>
        <v>3.1491413971335446E-3</v>
      </c>
      <c r="T1431" s="101"/>
      <c r="U1431" s="411">
        <f t="shared" ca="1" si="539"/>
        <v>1</v>
      </c>
    </row>
    <row r="1432" spans="1:21" x14ac:dyDescent="0.2">
      <c r="B1432" s="16">
        <f t="shared" si="530"/>
        <v>78</v>
      </c>
      <c r="G1432" s="16">
        <f t="shared" si="531"/>
        <v>78</v>
      </c>
      <c r="J1432" s="101"/>
      <c r="K1432" s="101"/>
      <c r="L1432" s="101"/>
      <c r="M1432" s="101"/>
      <c r="N1432" s="101"/>
      <c r="O1432" s="101"/>
      <c r="P1432" s="101"/>
      <c r="Q1432" s="101"/>
      <c r="R1432" s="101"/>
      <c r="S1432" s="101"/>
      <c r="T1432" s="101"/>
      <c r="U1432" s="411"/>
    </row>
    <row r="1433" spans="1:21" x14ac:dyDescent="0.2">
      <c r="B1433" s="16">
        <f t="shared" si="530"/>
        <v>79</v>
      </c>
      <c r="D1433" s="64"/>
      <c r="G1433" s="16">
        <f t="shared" si="531"/>
        <v>79</v>
      </c>
      <c r="H1433" s="64"/>
      <c r="J1433" s="415"/>
      <c r="K1433" s="415"/>
      <c r="L1433" s="415"/>
      <c r="M1433" s="415"/>
      <c r="N1433" s="415"/>
      <c r="O1433" s="415"/>
      <c r="P1433" s="415"/>
      <c r="Q1433" s="415"/>
      <c r="R1433" s="415"/>
      <c r="S1433" s="415"/>
      <c r="T1433" s="101"/>
      <c r="U1433" s="411"/>
    </row>
    <row r="1434" spans="1:21" x14ac:dyDescent="0.2">
      <c r="B1434" s="16">
        <f t="shared" si="530"/>
        <v>80</v>
      </c>
      <c r="D1434" s="64" t="s">
        <v>739</v>
      </c>
      <c r="G1434" s="16">
        <f t="shared" si="531"/>
        <v>80</v>
      </c>
      <c r="H1434" s="64" t="s">
        <v>799</v>
      </c>
      <c r="J1434" s="411">
        <f t="shared" ref="J1434:Q1434" si="546">J1327/$U1327</f>
        <v>0.51276650638845045</v>
      </c>
      <c r="K1434" s="411">
        <f t="shared" si="546"/>
        <v>9.6875269592221567E-3</v>
      </c>
      <c r="L1434" s="411">
        <f t="shared" si="546"/>
        <v>0.32935209241072594</v>
      </c>
      <c r="M1434" s="411">
        <f t="shared" si="546"/>
        <v>1.5411725558950421E-4</v>
      </c>
      <c r="N1434" s="411">
        <f t="shared" si="546"/>
        <v>9.6876115518733097E-2</v>
      </c>
      <c r="O1434" s="411">
        <f t="shared" si="546"/>
        <v>4.1639261289449142E-2</v>
      </c>
      <c r="P1434" s="411">
        <f t="shared" si="546"/>
        <v>0</v>
      </c>
      <c r="Q1434" s="411">
        <f t="shared" si="546"/>
        <v>2.928950927937561E-3</v>
      </c>
      <c r="R1434" s="411">
        <f t="shared" ref="R1434:S1442" si="547">R1327/$U1327</f>
        <v>2.8782684185483386E-3</v>
      </c>
      <c r="S1434" s="411">
        <f t="shared" si="547"/>
        <v>3.7171608313437158E-3</v>
      </c>
      <c r="T1434" s="101"/>
      <c r="U1434" s="411">
        <f t="shared" ref="U1434:U1442" si="548">ROUND(SUM(I1434:T1434),6)</f>
        <v>1</v>
      </c>
    </row>
    <row r="1435" spans="1:21" x14ac:dyDescent="0.2">
      <c r="B1435" s="16">
        <f t="shared" si="530"/>
        <v>81</v>
      </c>
      <c r="D1435" s="64" t="s">
        <v>740</v>
      </c>
      <c r="G1435" s="16">
        <f t="shared" si="531"/>
        <v>81</v>
      </c>
      <c r="H1435" s="64" t="s">
        <v>800</v>
      </c>
      <c r="J1435" s="411">
        <f t="shared" ref="J1435:Q1435" si="549">J1328/$U1328</f>
        <v>0.51276650638845045</v>
      </c>
      <c r="K1435" s="411">
        <f t="shared" si="549"/>
        <v>9.6875269592221567E-3</v>
      </c>
      <c r="L1435" s="411">
        <f t="shared" si="549"/>
        <v>0.32935209241072599</v>
      </c>
      <c r="M1435" s="411">
        <f t="shared" si="549"/>
        <v>1.5411725558950421E-4</v>
      </c>
      <c r="N1435" s="411">
        <f t="shared" si="549"/>
        <v>9.6876115518733111E-2</v>
      </c>
      <c r="O1435" s="411">
        <f t="shared" si="549"/>
        <v>4.1639261289449135E-2</v>
      </c>
      <c r="P1435" s="411">
        <f t="shared" si="549"/>
        <v>0</v>
      </c>
      <c r="Q1435" s="411">
        <f t="shared" si="549"/>
        <v>2.928950927937561E-3</v>
      </c>
      <c r="R1435" s="411">
        <f t="shared" si="547"/>
        <v>2.8782684185483386E-3</v>
      </c>
      <c r="S1435" s="411">
        <f t="shared" si="547"/>
        <v>3.7171608313437158E-3</v>
      </c>
      <c r="T1435" s="101"/>
      <c r="U1435" s="411">
        <f t="shared" si="548"/>
        <v>1</v>
      </c>
    </row>
    <row r="1436" spans="1:21" x14ac:dyDescent="0.2">
      <c r="A1436" t="s">
        <v>0</v>
      </c>
      <c r="B1436" s="16">
        <f t="shared" si="530"/>
        <v>82</v>
      </c>
      <c r="D1436" s="64" t="s">
        <v>741</v>
      </c>
      <c r="G1436" s="16">
        <f t="shared" si="531"/>
        <v>82</v>
      </c>
      <c r="H1436" s="64" t="s">
        <v>801</v>
      </c>
      <c r="J1436" s="411">
        <f t="shared" ref="J1436:Q1436" si="550">J1329/$U1329</f>
        <v>0.53071532342344274</v>
      </c>
      <c r="K1436" s="411">
        <f t="shared" si="550"/>
        <v>1.374068715535475E-2</v>
      </c>
      <c r="L1436" s="411">
        <f t="shared" si="550"/>
        <v>0.33810848149997741</v>
      </c>
      <c r="M1436" s="411">
        <f t="shared" si="550"/>
        <v>8.4692333341115315E-4</v>
      </c>
      <c r="N1436" s="411">
        <f t="shared" si="550"/>
        <v>9.1022782606534333E-2</v>
      </c>
      <c r="O1436" s="411">
        <f t="shared" si="550"/>
        <v>1.7800616432490896E-2</v>
      </c>
      <c r="P1436" s="411">
        <f t="shared" si="550"/>
        <v>3.7463678997406324E-4</v>
      </c>
      <c r="Q1436" s="411">
        <f t="shared" si="550"/>
        <v>2.8899772355394818E-3</v>
      </c>
      <c r="R1436" s="411">
        <f t="shared" si="547"/>
        <v>1.2180331331357907E-3</v>
      </c>
      <c r="S1436" s="411">
        <f t="shared" si="547"/>
        <v>3.282538390139336E-3</v>
      </c>
      <c r="T1436" s="101"/>
      <c r="U1436" s="411">
        <f t="shared" si="548"/>
        <v>1</v>
      </c>
    </row>
    <row r="1437" spans="1:21" x14ac:dyDescent="0.2">
      <c r="B1437" s="16">
        <f t="shared" si="530"/>
        <v>83</v>
      </c>
      <c r="D1437" s="64" t="s">
        <v>802</v>
      </c>
      <c r="G1437" s="16">
        <f t="shared" si="531"/>
        <v>83</v>
      </c>
      <c r="H1437" s="64" t="s">
        <v>803</v>
      </c>
      <c r="J1437" s="411">
        <f t="shared" ref="J1437:Q1437" ca="1" si="551">J1330/$U1330</f>
        <v>0.54098915070808584</v>
      </c>
      <c r="K1437" s="411">
        <f t="shared" ca="1" si="551"/>
        <v>1.0220729263430144E-2</v>
      </c>
      <c r="L1437" s="411">
        <f t="shared" ca="1" si="551"/>
        <v>0.34747961508491615</v>
      </c>
      <c r="M1437" s="411">
        <f t="shared" ca="1" si="551"/>
        <v>1.3295216250332092E-4</v>
      </c>
      <c r="N1437" s="411">
        <f t="shared" ca="1" si="551"/>
        <v>8.3572011478345115E-2</v>
      </c>
      <c r="O1437" s="411">
        <f t="shared" ca="1" si="551"/>
        <v>4.5993202299324095E-3</v>
      </c>
      <c r="P1437" s="411">
        <f t="shared" ca="1" si="551"/>
        <v>1.7447896497513649E-4</v>
      </c>
      <c r="Q1437" s="411">
        <f t="shared" ca="1" si="551"/>
        <v>9.3071400996113766E-3</v>
      </c>
      <c r="R1437" s="411">
        <f t="shared" ca="1" si="547"/>
        <v>3.1792298313321183E-4</v>
      </c>
      <c r="S1437" s="411">
        <f t="shared" ca="1" si="547"/>
        <v>3.2066790250672352E-3</v>
      </c>
      <c r="T1437" s="101"/>
      <c r="U1437" s="411">
        <f t="shared" ca="1" si="548"/>
        <v>1</v>
      </c>
    </row>
    <row r="1438" spans="1:21" x14ac:dyDescent="0.2">
      <c r="B1438" s="16">
        <f t="shared" si="530"/>
        <v>84</v>
      </c>
      <c r="D1438" s="64" t="s">
        <v>743</v>
      </c>
      <c r="G1438" s="16">
        <f t="shared" si="531"/>
        <v>84</v>
      </c>
      <c r="H1438" s="64" t="s">
        <v>804</v>
      </c>
      <c r="J1438" s="411">
        <f t="shared" ref="J1438:Q1438" si="552">J1331/$U1331</f>
        <v>0</v>
      </c>
      <c r="K1438" s="411">
        <f t="shared" si="552"/>
        <v>0</v>
      </c>
      <c r="L1438" s="411">
        <f t="shared" si="552"/>
        <v>0</v>
      </c>
      <c r="M1438" s="411">
        <f t="shared" si="552"/>
        <v>0</v>
      </c>
      <c r="N1438" s="411">
        <f t="shared" si="552"/>
        <v>0</v>
      </c>
      <c r="O1438" s="411">
        <f t="shared" si="552"/>
        <v>0</v>
      </c>
      <c r="P1438" s="411">
        <f t="shared" si="552"/>
        <v>0</v>
      </c>
      <c r="Q1438" s="411">
        <f t="shared" si="552"/>
        <v>0</v>
      </c>
      <c r="R1438" s="411">
        <f t="shared" si="547"/>
        <v>0</v>
      </c>
      <c r="S1438" s="411">
        <f t="shared" si="547"/>
        <v>0</v>
      </c>
      <c r="T1438" s="101"/>
      <c r="U1438" s="411">
        <f t="shared" si="548"/>
        <v>0</v>
      </c>
    </row>
    <row r="1439" spans="1:21" ht="13.5" customHeight="1" x14ac:dyDescent="0.2">
      <c r="B1439" s="16">
        <f t="shared" si="530"/>
        <v>85</v>
      </c>
      <c r="D1439" s="64" t="s">
        <v>744</v>
      </c>
      <c r="G1439" s="16">
        <f t="shared" si="531"/>
        <v>85</v>
      </c>
      <c r="H1439" s="64" t="s">
        <v>805</v>
      </c>
      <c r="J1439" s="411">
        <v>0.85022093908636065</v>
      </c>
      <c r="K1439" s="411">
        <v>7.9438391473687447E-2</v>
      </c>
      <c r="L1439" s="411">
        <v>5.3124538459892526E-2</v>
      </c>
      <c r="M1439" s="411">
        <v>8.0917929231647597E-4</v>
      </c>
      <c r="N1439" s="411">
        <v>1.8678185663983666E-3</v>
      </c>
      <c r="O1439" s="411">
        <v>3.392238245764008E-5</v>
      </c>
      <c r="P1439" s="411">
        <v>7.3846417196247246E-5</v>
      </c>
      <c r="Q1439" s="411">
        <v>1.4406053005549179E-2</v>
      </c>
      <c r="R1439" s="411">
        <v>1.2786128772495106E-5</v>
      </c>
      <c r="S1439" s="411">
        <v>1.2525187368974798E-5</v>
      </c>
      <c r="T1439" s="101"/>
      <c r="U1439" s="411">
        <v>1</v>
      </c>
    </row>
    <row r="1440" spans="1:21" x14ac:dyDescent="0.2">
      <c r="B1440" s="16">
        <f t="shared" si="530"/>
        <v>86</v>
      </c>
      <c r="D1440" s="64" t="s">
        <v>745</v>
      </c>
      <c r="G1440" s="16">
        <f t="shared" si="531"/>
        <v>86</v>
      </c>
      <c r="H1440" s="64" t="s">
        <v>806</v>
      </c>
      <c r="J1440" s="411">
        <f t="shared" ref="J1440:Q1440" si="553">J1333/$U1333</f>
        <v>0</v>
      </c>
      <c r="K1440" s="411">
        <f t="shared" si="553"/>
        <v>0</v>
      </c>
      <c r="L1440" s="411">
        <f t="shared" si="553"/>
        <v>0</v>
      </c>
      <c r="M1440" s="411">
        <f t="shared" si="553"/>
        <v>0</v>
      </c>
      <c r="N1440" s="411">
        <f t="shared" si="553"/>
        <v>0</v>
      </c>
      <c r="O1440" s="411">
        <f t="shared" si="553"/>
        <v>0</v>
      </c>
      <c r="P1440" s="411">
        <f t="shared" si="553"/>
        <v>0</v>
      </c>
      <c r="Q1440" s="411">
        <f t="shared" si="553"/>
        <v>0</v>
      </c>
      <c r="R1440" s="411">
        <f t="shared" si="547"/>
        <v>0</v>
      </c>
      <c r="S1440" s="411">
        <f t="shared" si="547"/>
        <v>0</v>
      </c>
      <c r="T1440" s="101"/>
      <c r="U1440" s="411">
        <f t="shared" si="548"/>
        <v>0</v>
      </c>
    </row>
    <row r="1441" spans="2:21" x14ac:dyDescent="0.2">
      <c r="B1441" s="16">
        <f t="shared" si="530"/>
        <v>87</v>
      </c>
      <c r="D1441" s="45" t="s">
        <v>746</v>
      </c>
      <c r="G1441" s="16">
        <f t="shared" si="531"/>
        <v>87</v>
      </c>
      <c r="H1441" s="64" t="s">
        <v>807</v>
      </c>
      <c r="J1441" s="411">
        <f t="shared" ref="J1441:Q1441" ca="1" si="554">J1334/$U1334</f>
        <v>0.53458610098920845</v>
      </c>
      <c r="K1441" s="411">
        <f t="shared" ca="1" si="554"/>
        <v>1.2414732489215206E-2</v>
      </c>
      <c r="L1441" s="411">
        <f t="shared" ca="1" si="554"/>
        <v>0.34163898891933642</v>
      </c>
      <c r="M1441" s="411">
        <f t="shared" ca="1" si="554"/>
        <v>5.7792166762595974E-4</v>
      </c>
      <c r="N1441" s="411">
        <f t="shared" ca="1" si="554"/>
        <v>8.8185256285845712E-2</v>
      </c>
      <c r="O1441" s="411">
        <f t="shared" ca="1" si="554"/>
        <v>1.281175421087302E-2</v>
      </c>
      <c r="P1441" s="411">
        <f t="shared" ca="1" si="554"/>
        <v>3.0052678009334253E-4</v>
      </c>
      <c r="Q1441" s="411">
        <f t="shared" ca="1" si="554"/>
        <v>5.3532405228373563E-3</v>
      </c>
      <c r="R1441" s="411">
        <f t="shared" ca="1" si="547"/>
        <v>8.7809715749681582E-4</v>
      </c>
      <c r="S1441" s="411">
        <f t="shared" ca="1" si="547"/>
        <v>3.2533809774674266E-3</v>
      </c>
      <c r="T1441" s="101"/>
      <c r="U1441" s="411">
        <f t="shared" ca="1" si="548"/>
        <v>1</v>
      </c>
    </row>
    <row r="1442" spans="2:21" x14ac:dyDescent="0.2">
      <c r="B1442" s="16">
        <f t="shared" si="530"/>
        <v>88</v>
      </c>
      <c r="D1442" s="64" t="s">
        <v>662</v>
      </c>
      <c r="G1442" s="16">
        <f t="shared" si="531"/>
        <v>88</v>
      </c>
      <c r="H1442" s="64" t="s">
        <v>808</v>
      </c>
      <c r="J1442" s="411">
        <f t="shared" ref="J1442:Q1442" ca="1" si="555">J1335/$U1335</f>
        <v>0.53142446889339723</v>
      </c>
      <c r="K1442" s="411">
        <f t="shared" ca="1" si="555"/>
        <v>1.2152385567074177E-2</v>
      </c>
      <c r="L1442" s="411">
        <f t="shared" ca="1" si="555"/>
        <v>0.33967284709839862</v>
      </c>
      <c r="M1442" s="411">
        <f t="shared" ca="1" si="555"/>
        <v>5.320907297955399E-4</v>
      </c>
      <c r="N1442" s="411">
        <f t="shared" ca="1" si="555"/>
        <v>8.6933138761594364E-2</v>
      </c>
      <c r="O1442" s="411">
        <f t="shared" ca="1" si="555"/>
        <v>1.1428142442473321E-2</v>
      </c>
      <c r="P1442" s="411">
        <f t="shared" ca="1" si="555"/>
        <v>2.8546280760938263E-4</v>
      </c>
      <c r="Q1442" s="411">
        <f t="shared" ca="1" si="555"/>
        <v>1.3569895070589403E-2</v>
      </c>
      <c r="R1442" s="411">
        <f t="shared" ca="1" si="547"/>
        <v>7.8319200974627295E-4</v>
      </c>
      <c r="S1442" s="411">
        <f t="shared" ca="1" si="547"/>
        <v>3.2183766193216172E-3</v>
      </c>
      <c r="T1442" s="101"/>
      <c r="U1442" s="411">
        <f t="shared" ca="1" si="548"/>
        <v>1</v>
      </c>
    </row>
    <row r="1443" spans="2:21" x14ac:dyDescent="0.2">
      <c r="B1443" s="16">
        <f t="shared" si="530"/>
        <v>89</v>
      </c>
      <c r="D1443" s="64"/>
      <c r="G1443" s="16">
        <f t="shared" si="531"/>
        <v>89</v>
      </c>
      <c r="H1443" s="64"/>
      <c r="J1443" s="415"/>
      <c r="K1443" s="415"/>
      <c r="L1443" s="415"/>
      <c r="M1443" s="415"/>
      <c r="N1443" s="415"/>
      <c r="O1443" s="415"/>
      <c r="P1443" s="415"/>
      <c r="Q1443" s="415"/>
      <c r="R1443" s="415"/>
      <c r="S1443" s="415"/>
      <c r="T1443" s="101"/>
      <c r="U1443" s="411"/>
    </row>
    <row r="1444" spans="2:21" x14ac:dyDescent="0.2">
      <c r="B1444" s="16">
        <f t="shared" si="530"/>
        <v>90</v>
      </c>
      <c r="G1444" s="16">
        <f t="shared" si="531"/>
        <v>90</v>
      </c>
      <c r="J1444" s="415"/>
      <c r="K1444" s="415"/>
      <c r="L1444" s="415"/>
      <c r="M1444" s="415"/>
      <c r="N1444" s="415"/>
      <c r="O1444" s="415"/>
      <c r="P1444" s="415"/>
      <c r="Q1444" s="415"/>
      <c r="R1444" s="415"/>
      <c r="S1444" s="415"/>
      <c r="T1444" s="101"/>
      <c r="U1444" s="411"/>
    </row>
    <row r="1445" spans="2:21" x14ac:dyDescent="0.2">
      <c r="B1445" s="16">
        <f t="shared" si="530"/>
        <v>91</v>
      </c>
      <c r="D1445" s="64" t="s">
        <v>747</v>
      </c>
      <c r="G1445" s="16">
        <f t="shared" si="531"/>
        <v>91</v>
      </c>
      <c r="H1445" s="64" t="s">
        <v>809</v>
      </c>
      <c r="J1445" s="411">
        <f t="shared" ref="J1445:Q1445" ca="1" si="556">J1338/$U1338</f>
        <v>0.54484415155388244</v>
      </c>
      <c r="K1445" s="411">
        <f t="shared" ca="1" si="556"/>
        <v>1.4307677436537027E-2</v>
      </c>
      <c r="L1445" s="411">
        <f t="shared" ca="1" si="556"/>
        <v>0.34853543820119459</v>
      </c>
      <c r="M1445" s="411">
        <f t="shared" ca="1" si="556"/>
        <v>9.9687496761947762E-5</v>
      </c>
      <c r="N1445" s="411">
        <f t="shared" ca="1" si="556"/>
        <v>6.5756251044813002E-2</v>
      </c>
      <c r="O1445" s="411">
        <f t="shared" ca="1" si="556"/>
        <v>7.7170838302655156E-3</v>
      </c>
      <c r="P1445" s="411">
        <f t="shared" ca="1" si="556"/>
        <v>1.9599724662224625E-3</v>
      </c>
      <c r="Q1445" s="411">
        <f t="shared" ca="1" si="556"/>
        <v>1.3729929377572409E-2</v>
      </c>
      <c r="R1445" s="411">
        <f ca="1">R1338/$U1338</f>
        <v>5.3746928156547737E-4</v>
      </c>
      <c r="S1445" s="411">
        <f ca="1">S1338/$U1338</f>
        <v>2.5123393111854647E-3</v>
      </c>
      <c r="T1445" s="101"/>
      <c r="U1445" s="411">
        <f ca="1">ROUND(SUM(I1445:T1445),6)</f>
        <v>1</v>
      </c>
    </row>
    <row r="1446" spans="2:21" x14ac:dyDescent="0.2">
      <c r="B1446" s="16">
        <f t="shared" si="530"/>
        <v>92</v>
      </c>
      <c r="D1446" s="64" t="s">
        <v>748</v>
      </c>
      <c r="G1446" s="16">
        <f t="shared" si="531"/>
        <v>92</v>
      </c>
      <c r="H1446" s="64" t="s">
        <v>810</v>
      </c>
      <c r="J1446" s="411">
        <f t="shared" ref="J1446:Q1446" ca="1" si="557">J1339/$U1339</f>
        <v>0.52513334460120775</v>
      </c>
      <c r="K1446" s="411">
        <f t="shared" ca="1" si="557"/>
        <v>1.4982981199942498E-2</v>
      </c>
      <c r="L1446" s="411">
        <f t="shared" ca="1" si="557"/>
        <v>0.34840034281242122</v>
      </c>
      <c r="M1446" s="411">
        <f t="shared" ca="1" si="557"/>
        <v>1.5684082890812025E-4</v>
      </c>
      <c r="N1446" s="411">
        <f t="shared" ca="1" si="557"/>
        <v>6.8130262542748496E-2</v>
      </c>
      <c r="O1446" s="411">
        <f t="shared" ca="1" si="557"/>
        <v>7.8088399611049948E-3</v>
      </c>
      <c r="P1446" s="411">
        <f t="shared" ca="1" si="557"/>
        <v>8.9053053406840631E-3</v>
      </c>
      <c r="Q1446" s="411">
        <f t="shared" ca="1" si="557"/>
        <v>2.6482082712982781E-2</v>
      </c>
      <c r="R1446" s="17">
        <v>0</v>
      </c>
      <c r="S1446" s="17">
        <v>0</v>
      </c>
      <c r="T1446" s="130" t="s">
        <v>0</v>
      </c>
      <c r="U1446" s="411">
        <f ca="1">ROUND(SUM(I1446:T1446),6)</f>
        <v>1</v>
      </c>
    </row>
    <row r="1447" spans="2:21" x14ac:dyDescent="0.2">
      <c r="B1447" s="16">
        <f t="shared" si="530"/>
        <v>93</v>
      </c>
      <c r="G1447" s="16">
        <f t="shared" si="531"/>
        <v>93</v>
      </c>
      <c r="J1447" s="101"/>
      <c r="K1447" s="101"/>
      <c r="L1447" s="101"/>
      <c r="M1447" s="101"/>
      <c r="N1447" s="101"/>
      <c r="O1447" s="101"/>
      <c r="P1447" s="101"/>
      <c r="Q1447" s="101"/>
      <c r="R1447" s="101"/>
      <c r="S1447" s="101"/>
      <c r="T1447" s="101"/>
      <c r="U1447" s="172"/>
    </row>
    <row r="1448" spans="2:21" x14ac:dyDescent="0.2">
      <c r="B1448" s="16">
        <f t="shared" si="530"/>
        <v>94</v>
      </c>
      <c r="G1448" s="16">
        <f t="shared" si="531"/>
        <v>94</v>
      </c>
      <c r="J1448" s="101"/>
      <c r="K1448" s="101"/>
      <c r="L1448" s="101"/>
      <c r="M1448" s="101"/>
      <c r="N1448" s="101"/>
      <c r="O1448" s="101"/>
      <c r="P1448" s="101"/>
      <c r="Q1448" s="101"/>
      <c r="R1448" s="101"/>
      <c r="S1448" s="101"/>
      <c r="T1448" s="101"/>
      <c r="U1448" s="172"/>
    </row>
  </sheetData>
  <phoneticPr fontId="0" type="noConversion"/>
  <pageMargins left="0.35" right="0.35" top="1.75" bottom="0.75" header="1.5" footer="0.5"/>
  <pageSetup scale="60" fitToWidth="2" pageOrder="overThenDown" orientation="landscape" r:id="rId1"/>
  <headerFooter alignWithMargins="0">
    <oddHeader xml:space="preserve">&amp;RSchedules II-I-1-DIST and II-I-2-DIST
Page &amp;P of &amp;N
</oddHeader>
  </headerFooter>
  <rowBreaks count="40" manualBreakCount="40">
    <brk id="40" max="16383" man="1"/>
    <brk id="89" min="1" max="20" man="1"/>
    <brk id="121" max="16383" man="1"/>
    <brk id="169" max="16383" man="1"/>
    <brk id="200" max="16383" man="1"/>
    <brk id="226" max="16383" man="1"/>
    <brk id="245" max="16383" man="1"/>
    <brk id="277" max="16383" man="1"/>
    <brk id="328" max="16383" man="1"/>
    <brk id="369" max="16383" man="1"/>
    <brk id="389" max="16383" man="1"/>
    <brk id="414" max="16383" man="1"/>
    <brk id="436" max="16383" man="1"/>
    <brk id="456" max="16383" man="1"/>
    <brk id="479" max="16383" man="1"/>
    <brk id="504" min="2" max="20" man="1"/>
    <brk id="556" min="1" max="20" man="1"/>
    <brk id="575" min="2" max="20" man="1"/>
    <brk id="623" max="16383" man="1"/>
    <brk id="664" max="16383" man="1"/>
    <brk id="710" max="16383" man="1"/>
    <brk id="754" max="16383" man="1"/>
    <brk id="788" max="16383" man="1"/>
    <brk id="828" max="16383" man="1"/>
    <brk id="875" max="16383" man="1"/>
    <brk id="925" max="16383" man="1"/>
    <brk id="958" max="16383" man="1"/>
    <brk id="979" max="16383" man="1"/>
    <brk id="1032" min="1" max="20" man="1"/>
    <brk id="1071" max="16383" man="1"/>
    <brk id="1104" max="16383" man="1"/>
    <brk id="1146" min="1" max="20" man="1"/>
    <brk id="1163" max="16383" man="1"/>
    <brk id="1190" max="16383" man="1"/>
    <brk id="1234" max="16383" man="1"/>
    <brk id="1285" max="16383" man="1"/>
    <brk id="1317" min="1" max="20" man="1"/>
    <brk id="1341" max="16383" man="1"/>
    <brk id="1392" max="16383" man="1"/>
    <brk id="1424" min="1" max="20" man="1"/>
  </rowBreaks>
  <colBreaks count="1" manualBreakCount="1">
    <brk id="12" min="1" max="142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B1:Y1448"/>
  <sheetViews>
    <sheetView view="pageBreakPreview" topLeftCell="A1254" zoomScale="75" zoomScaleNormal="75" zoomScaleSheetLayoutView="75" workbookViewId="0">
      <selection activeCell="D1273" sqref="D1273"/>
    </sheetView>
  </sheetViews>
  <sheetFormatPr defaultRowHeight="18" customHeight="1" x14ac:dyDescent="0.2"/>
  <cols>
    <col min="1" max="1" width="1.875" customWidth="1"/>
    <col min="2" max="2" width="9.75" style="589" customWidth="1"/>
    <col min="3" max="3" width="7.5" style="589" customWidth="1"/>
    <col min="4" max="4" width="44.75" style="589" customWidth="1"/>
    <col min="5" max="5" width="22.625" style="589" customWidth="1"/>
    <col min="6" max="6" width="16.875" style="589" customWidth="1"/>
    <col min="7" max="7" width="4.75" style="589" customWidth="1"/>
    <col min="8" max="8" width="9.875" style="589" customWidth="1"/>
    <col min="9" max="9" width="3.125" style="589" customWidth="1"/>
    <col min="10" max="10" width="16.25" style="589" customWidth="1"/>
    <col min="11" max="11" width="17.75" style="589" customWidth="1"/>
    <col min="12" max="12" width="17.375" style="589" customWidth="1"/>
    <col min="13" max="13" width="15.5" style="589" customWidth="1"/>
    <col min="14" max="14" width="16.25" style="589" customWidth="1"/>
    <col min="15" max="16" width="12.625" style="589" customWidth="1"/>
    <col min="17" max="17" width="11.125" style="589" customWidth="1"/>
    <col min="18" max="18" width="10.75" style="589" customWidth="1"/>
    <col min="19" max="19" width="11.25" style="589" customWidth="1"/>
    <col min="20" max="20" width="1.375" style="589" customWidth="1"/>
    <col min="21" max="21" width="19.375" style="589" customWidth="1"/>
    <col min="22" max="22" width="1.625" style="589" customWidth="1"/>
    <col min="23" max="23" width="12" style="589" customWidth="1"/>
    <col min="24" max="24" width="10.5" style="589" bestFit="1" customWidth="1"/>
    <col min="25" max="25" width="8.625" style="589"/>
  </cols>
  <sheetData>
    <row r="1" spans="2:23" ht="18" customHeight="1" x14ac:dyDescent="0.25">
      <c r="J1" s="589" t="s">
        <v>0</v>
      </c>
      <c r="U1" s="1572"/>
    </row>
    <row r="2" spans="2:23" ht="18" customHeight="1" x14ac:dyDescent="0.2">
      <c r="B2" s="1573"/>
      <c r="H2" s="653"/>
      <c r="U2" s="653"/>
    </row>
    <row r="3" spans="2:23" ht="18" customHeight="1" thickBot="1" x14ac:dyDescent="0.25">
      <c r="B3" s="1574"/>
    </row>
    <row r="4" spans="2:23" ht="18" customHeight="1" x14ac:dyDescent="0.25">
      <c r="B4" s="829" t="str">
        <f>'WP II-I-1.1'!B3</f>
        <v>2025 RATE CASE</v>
      </c>
      <c r="C4" s="672"/>
      <c r="D4" s="868"/>
    </row>
    <row r="5" spans="2:23" ht="18" customHeight="1" x14ac:dyDescent="0.25">
      <c r="B5" s="826" t="str">
        <f>'WP II-I-1.1'!B4</f>
        <v>ONCOR ELECTRIC DELIVERY COMPANY LLC</v>
      </c>
      <c r="C5" s="647"/>
      <c r="D5" s="869"/>
      <c r="U5" s="653"/>
    </row>
    <row r="6" spans="2:23" ht="18" customHeight="1" x14ac:dyDescent="0.25">
      <c r="B6" s="341" t="str">
        <f>"II-I-1-MET:  CLASS REVENUE REQUIREMENT"</f>
        <v>II-I-1-MET:  CLASS REVENUE REQUIREMENT</v>
      </c>
      <c r="C6" s="647"/>
      <c r="D6" s="830"/>
    </row>
    <row r="7" spans="2:23" ht="18" customHeight="1" x14ac:dyDescent="0.25">
      <c r="B7" s="341" t="str">
        <f>'WP II-I-1.1'!B6</f>
        <v>TEST YEAR ENDING 12/31/2024</v>
      </c>
      <c r="C7" s="647"/>
      <c r="D7" s="830"/>
    </row>
    <row r="8" spans="2:23" ht="18" customHeight="1" x14ac:dyDescent="0.25">
      <c r="B8" s="341" t="str">
        <f>'WP II-I-2.2'!$B$7</f>
        <v>SPONSOR:  MATTHEW A. TROXLE</v>
      </c>
      <c r="C8" s="647"/>
      <c r="D8" s="830"/>
    </row>
    <row r="9" spans="2:23" ht="18" customHeight="1" thickBot="1" x14ac:dyDescent="0.3">
      <c r="B9" s="345"/>
      <c r="C9" s="647"/>
      <c r="D9" s="830"/>
    </row>
    <row r="10" spans="2:23" ht="18" customHeight="1" thickBot="1" x14ac:dyDescent="0.25">
      <c r="B10" s="663"/>
      <c r="C10" s="1575"/>
      <c r="D10" s="988"/>
      <c r="E10" s="657"/>
      <c r="F10" s="657"/>
      <c r="G10" s="657"/>
      <c r="H10" s="657"/>
      <c r="I10" s="1576"/>
      <c r="J10" s="656"/>
      <c r="K10" s="657"/>
      <c r="L10" s="656"/>
      <c r="M10" s="657"/>
      <c r="N10" s="657"/>
      <c r="O10" s="657"/>
      <c r="P10" s="657"/>
      <c r="Q10" s="656"/>
      <c r="R10" s="658" t="str">
        <f>" "</f>
        <v xml:space="preserve"> </v>
      </c>
      <c r="S10" s="659"/>
      <c r="T10" s="657"/>
      <c r="U10" s="655"/>
    </row>
    <row r="11" spans="2:23" ht="18" customHeight="1" x14ac:dyDescent="0.25">
      <c r="B11" s="663" t="s">
        <v>2</v>
      </c>
      <c r="C11" s="1577"/>
      <c r="D11" s="180" t="s">
        <v>678</v>
      </c>
      <c r="E11" s="661" t="s">
        <v>350</v>
      </c>
      <c r="F11" s="226" t="s">
        <v>8</v>
      </c>
      <c r="G11" s="661"/>
      <c r="H11" s="661"/>
      <c r="I11" s="1578"/>
      <c r="J11" s="660" t="s">
        <v>679</v>
      </c>
      <c r="K11" s="661" t="s">
        <v>388</v>
      </c>
      <c r="L11" s="660" t="s">
        <v>388</v>
      </c>
      <c r="M11" s="661" t="s">
        <v>389</v>
      </c>
      <c r="N11" s="661" t="s">
        <v>389</v>
      </c>
      <c r="O11" s="661" t="s">
        <v>389</v>
      </c>
      <c r="P11" s="661" t="s">
        <v>390</v>
      </c>
      <c r="Q11" s="660" t="s">
        <v>391</v>
      </c>
      <c r="R11" s="662" t="s">
        <v>386</v>
      </c>
      <c r="S11" s="655" t="s">
        <v>386</v>
      </c>
      <c r="T11" s="661"/>
      <c r="U11" s="660" t="s">
        <v>10</v>
      </c>
    </row>
    <row r="12" spans="2:23" ht="18" customHeight="1" x14ac:dyDescent="0.2">
      <c r="B12" s="663"/>
      <c r="C12" s="1577"/>
      <c r="D12" s="661"/>
      <c r="E12" s="661"/>
      <c r="F12" s="661"/>
      <c r="G12" s="661"/>
      <c r="H12" s="661"/>
      <c r="I12" s="1578"/>
      <c r="J12" s="660"/>
      <c r="K12" s="661" t="s">
        <v>680</v>
      </c>
      <c r="L12" s="660" t="s">
        <v>681</v>
      </c>
      <c r="M12" s="661" t="s">
        <v>680</v>
      </c>
      <c r="N12" s="661" t="s">
        <v>681</v>
      </c>
      <c r="O12" s="661" t="s">
        <v>393</v>
      </c>
      <c r="P12" s="661"/>
      <c r="Q12" s="660"/>
      <c r="R12" s="663" t="s">
        <v>411</v>
      </c>
      <c r="S12" s="660" t="s">
        <v>394</v>
      </c>
      <c r="T12" s="661"/>
      <c r="U12" s="660"/>
    </row>
    <row r="13" spans="2:23" ht="18" customHeight="1" thickBot="1" x14ac:dyDescent="0.25">
      <c r="B13" s="665"/>
      <c r="C13" s="665"/>
      <c r="D13" s="1579"/>
      <c r="E13" s="1579"/>
      <c r="F13" s="664" t="s">
        <v>13</v>
      </c>
      <c r="G13" s="664" t="s">
        <v>14</v>
      </c>
      <c r="H13" s="664" t="s">
        <v>15</v>
      </c>
      <c r="I13" s="665"/>
      <c r="J13" s="664" t="s">
        <v>16</v>
      </c>
      <c r="K13" s="665" t="s">
        <v>17</v>
      </c>
      <c r="L13" s="664" t="s">
        <v>18</v>
      </c>
      <c r="M13" s="664" t="s">
        <v>19</v>
      </c>
      <c r="N13" s="664" t="s">
        <v>20</v>
      </c>
      <c r="O13" s="664" t="s">
        <v>21</v>
      </c>
      <c r="P13" s="664" t="s">
        <v>22</v>
      </c>
      <c r="Q13" s="664" t="s">
        <v>397</v>
      </c>
      <c r="R13" s="665" t="s">
        <v>398</v>
      </c>
      <c r="S13" s="664" t="s">
        <v>682</v>
      </c>
      <c r="T13" s="664"/>
      <c r="U13" s="664" t="s">
        <v>683</v>
      </c>
    </row>
    <row r="14" spans="2:23" ht="18" customHeight="1" x14ac:dyDescent="0.2">
      <c r="C14" s="571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571"/>
    </row>
    <row r="15" spans="2:23" ht="18" customHeight="1" x14ac:dyDescent="0.25">
      <c r="B15" s="645">
        <f t="shared" ref="B15:B24" si="0">B14+1</f>
        <v>1</v>
      </c>
      <c r="C15" s="571"/>
      <c r="D15" s="1041" t="s">
        <v>592</v>
      </c>
      <c r="E15" s="55" t="s">
        <v>236</v>
      </c>
      <c r="F15" s="694">
        <f>F661+F709</f>
        <v>61551893.040000014</v>
      </c>
      <c r="G15" s="185"/>
      <c r="H15" s="185"/>
      <c r="I15" s="185"/>
      <c r="J15" s="694">
        <f t="shared" ref="J15:Q15" ca="1" si="1">J661+J709</f>
        <v>32121019.171867888</v>
      </c>
      <c r="K15" s="694">
        <f t="shared" ca="1" si="1"/>
        <v>4505538.8930795873</v>
      </c>
      <c r="L15" s="694">
        <f t="shared" ca="1" si="1"/>
        <v>17721446.13624493</v>
      </c>
      <c r="M15" s="694">
        <f t="shared" ca="1" si="1"/>
        <v>746162.91724100383</v>
      </c>
      <c r="N15" s="694">
        <f t="shared" ca="1" si="1"/>
        <v>5746710.5246085897</v>
      </c>
      <c r="O15" s="694">
        <f ca="1">O661+O709</f>
        <v>188908.73625959491</v>
      </c>
      <c r="P15" s="694">
        <f t="shared" ca="1" si="1"/>
        <v>393260.19835632644</v>
      </c>
      <c r="Q15" s="694">
        <f t="shared" ca="1" si="1"/>
        <v>55113.71121490941</v>
      </c>
      <c r="R15" s="694">
        <f ca="1">R661+R709</f>
        <v>20845.590816057302</v>
      </c>
      <c r="S15" s="694">
        <f ca="1">S661+S709</f>
        <v>52887.160311114734</v>
      </c>
      <c r="T15" s="185"/>
      <c r="U15" s="694">
        <f ca="1">SUM(I15:T15)</f>
        <v>61551893.040000007</v>
      </c>
      <c r="W15" s="646">
        <f ca="1">U15-F15</f>
        <v>0</v>
      </c>
    </row>
    <row r="16" spans="2:23" ht="18" customHeight="1" x14ac:dyDescent="0.25">
      <c r="B16" s="645">
        <f t="shared" si="0"/>
        <v>2</v>
      </c>
      <c r="C16" s="571"/>
      <c r="D16" s="1041" t="s">
        <v>593</v>
      </c>
      <c r="E16" s="55" t="s">
        <v>236</v>
      </c>
      <c r="F16" s="694">
        <f>F729+F739+F749</f>
        <v>9809696.2400000002</v>
      </c>
      <c r="G16" s="185"/>
      <c r="H16" s="185"/>
      <c r="I16" s="185"/>
      <c r="J16" s="694">
        <f t="shared" ref="J16:Q16" si="2">J729+J739+J749</f>
        <v>5121177.3229284864</v>
      </c>
      <c r="K16" s="694">
        <f t="shared" si="2"/>
        <v>718411.61897031555</v>
      </c>
      <c r="L16" s="694">
        <f t="shared" si="2"/>
        <v>2825220.4280799683</v>
      </c>
      <c r="M16" s="694">
        <f t="shared" si="2"/>
        <v>118975.38807698427</v>
      </c>
      <c r="N16" s="694">
        <f t="shared" si="2"/>
        <v>916172.16100179648</v>
      </c>
      <c r="O16" s="694">
        <f>O729+O739+O749</f>
        <v>30061.618277683694</v>
      </c>
      <c r="P16" s="694">
        <f t="shared" si="2"/>
        <v>62705.216039340237</v>
      </c>
      <c r="Q16" s="694">
        <f t="shared" si="2"/>
        <v>5225.2973145100468</v>
      </c>
      <c r="R16" s="694">
        <f>R729+R739+R749</f>
        <v>3319.6879079650712</v>
      </c>
      <c r="S16" s="694">
        <f>S729+S739+S749</f>
        <v>8427.5014029491922</v>
      </c>
      <c r="T16" s="185"/>
      <c r="U16" s="694">
        <f>SUM(I16:T16)</f>
        <v>9809696.2400000002</v>
      </c>
      <c r="W16" s="646">
        <f t="shared" ref="W16:W29" si="3">U16-F16</f>
        <v>0</v>
      </c>
    </row>
    <row r="17" spans="2:24" ht="18" customHeight="1" x14ac:dyDescent="0.35">
      <c r="B17" s="645">
        <f t="shared" si="0"/>
        <v>3</v>
      </c>
      <c r="C17" s="571"/>
      <c r="D17" s="559" t="s">
        <v>594</v>
      </c>
      <c r="E17" s="55" t="s">
        <v>236</v>
      </c>
      <c r="F17" s="204">
        <f>F783</f>
        <v>49056189.789999999</v>
      </c>
      <c r="G17" s="185"/>
      <c r="H17" s="185"/>
      <c r="I17" s="185"/>
      <c r="J17" s="204">
        <f t="shared" ref="J17:Q17" ca="1" si="4">J783</f>
        <v>25617232.224479739</v>
      </c>
      <c r="K17" s="204">
        <f t="shared" ca="1" si="4"/>
        <v>3591351.2525321543</v>
      </c>
      <c r="L17" s="204">
        <f t="shared" ca="1" si="4"/>
        <v>14115714.177410739</v>
      </c>
      <c r="M17" s="204">
        <f t="shared" ca="1" si="4"/>
        <v>594305.55149671971</v>
      </c>
      <c r="N17" s="204">
        <f t="shared" ca="1" si="4"/>
        <v>4576748.8321516449</v>
      </c>
      <c r="O17" s="204">
        <f ca="1">O783</f>
        <v>150357.56028021782</v>
      </c>
      <c r="P17" s="204">
        <f t="shared" ca="1" si="4"/>
        <v>313211.32764517074</v>
      </c>
      <c r="Q17" s="204">
        <f t="shared" ca="1" si="4"/>
        <v>38560.80856387689</v>
      </c>
      <c r="R17" s="204">
        <f ca="1">R783</f>
        <v>16595.439597741984</v>
      </c>
      <c r="S17" s="204">
        <f ca="1">S783</f>
        <v>42112.615841994331</v>
      </c>
      <c r="T17" s="185"/>
      <c r="U17" s="204">
        <f ca="1">SUM(I17:T17)</f>
        <v>49056189.789999992</v>
      </c>
      <c r="W17" s="646">
        <f t="shared" ca="1" si="3"/>
        <v>0</v>
      </c>
    </row>
    <row r="18" spans="2:24" ht="18" customHeight="1" x14ac:dyDescent="0.25">
      <c r="B18" s="645">
        <f t="shared" si="0"/>
        <v>4</v>
      </c>
      <c r="D18" s="1041" t="s">
        <v>458</v>
      </c>
      <c r="E18" s="55"/>
      <c r="F18" s="805">
        <f>SUM(F15:F17)</f>
        <v>120417779.07000002</v>
      </c>
      <c r="G18" s="55"/>
      <c r="H18" s="1571"/>
      <c r="I18" s="55"/>
      <c r="J18" s="51">
        <f t="shared" ref="J18:Q18" ca="1" si="5">SUM(J15:J17)</f>
        <v>62859428.719276115</v>
      </c>
      <c r="K18" s="51">
        <f t="shared" ca="1" si="5"/>
        <v>8815301.7645820566</v>
      </c>
      <c r="L18" s="51">
        <f t="shared" ca="1" si="5"/>
        <v>34662380.741735637</v>
      </c>
      <c r="M18" s="51">
        <f t="shared" ca="1" si="5"/>
        <v>1459443.8568147079</v>
      </c>
      <c r="N18" s="51">
        <f t="shared" ca="1" si="5"/>
        <v>11239631.517762031</v>
      </c>
      <c r="O18" s="51">
        <f ca="1">SUM(O15:O17)</f>
        <v>369327.91481749644</v>
      </c>
      <c r="P18" s="51">
        <f t="shared" ca="1" si="5"/>
        <v>769176.74204083742</v>
      </c>
      <c r="Q18" s="51">
        <f t="shared" ca="1" si="5"/>
        <v>98899.817093296355</v>
      </c>
      <c r="R18" s="51">
        <f ca="1">SUM(R15:R17)</f>
        <v>40760.718321764361</v>
      </c>
      <c r="S18" s="51">
        <f ca="1">SUM(S15:S17)</f>
        <v>103427.27755605825</v>
      </c>
      <c r="T18" s="621"/>
      <c r="U18" s="190">
        <f ca="1">SUM(I18:T18)</f>
        <v>120417779.07000002</v>
      </c>
      <c r="W18" s="646">
        <f t="shared" ca="1" si="3"/>
        <v>0</v>
      </c>
      <c r="X18" s="589" t="b">
        <f ca="1">'WP II-I-1.1'!$H$495=U18</f>
        <v>1</v>
      </c>
    </row>
    <row r="19" spans="2:24" ht="18" customHeight="1" x14ac:dyDescent="0.25">
      <c r="B19" s="645">
        <f t="shared" si="0"/>
        <v>5</v>
      </c>
      <c r="D19" s="1041"/>
      <c r="E19" s="55"/>
      <c r="F19" s="621"/>
      <c r="G19" s="55"/>
      <c r="H19" s="1571"/>
      <c r="I19" s="55"/>
      <c r="J19" s="621"/>
      <c r="K19" s="621"/>
      <c r="L19" s="621"/>
      <c r="M19" s="621"/>
      <c r="N19" s="621"/>
      <c r="O19" s="621"/>
      <c r="P19" s="621"/>
      <c r="Q19" s="621"/>
      <c r="R19" s="621"/>
      <c r="S19" s="621"/>
      <c r="T19" s="621"/>
      <c r="U19" s="694"/>
      <c r="W19" s="646">
        <f t="shared" si="3"/>
        <v>0</v>
      </c>
    </row>
    <row r="20" spans="2:24" ht="18" customHeight="1" x14ac:dyDescent="0.25">
      <c r="B20" s="645">
        <f t="shared" si="0"/>
        <v>6</v>
      </c>
      <c r="D20" s="1580" t="s">
        <v>590</v>
      </c>
      <c r="E20" s="55" t="s">
        <v>280</v>
      </c>
      <c r="F20" s="621">
        <f>F1065</f>
        <v>29837695.84</v>
      </c>
      <c r="G20" s="55"/>
      <c r="H20" s="1571"/>
      <c r="I20" s="55"/>
      <c r="J20" s="621">
        <f t="shared" ref="J20:Q20" ca="1" si="6">J1065</f>
        <v>15576574.377396304</v>
      </c>
      <c r="K20" s="621">
        <f t="shared" ca="1" si="6"/>
        <v>2185160.9759891299</v>
      </c>
      <c r="L20" s="621">
        <f t="shared" ca="1" si="6"/>
        <v>8593528.796678368</v>
      </c>
      <c r="M20" s="621">
        <f t="shared" ca="1" si="6"/>
        <v>361891.14786619775</v>
      </c>
      <c r="N20" s="621">
        <f t="shared" ca="1" si="6"/>
        <v>2786752.8807418374</v>
      </c>
      <c r="O20" s="621">
        <f ca="1">O1065</f>
        <v>91439.48847162562</v>
      </c>
      <c r="P20" s="621">
        <f t="shared" ca="1" si="6"/>
        <v>190732.67533958724</v>
      </c>
      <c r="Q20" s="621">
        <f t="shared" ca="1" si="6"/>
        <v>15883.657219414823</v>
      </c>
      <c r="R20" s="621">
        <f ca="1">R1065</f>
        <v>10097.612223860502</v>
      </c>
      <c r="S20" s="621">
        <f ca="1">S1065</f>
        <v>25634.228073668797</v>
      </c>
      <c r="T20" s="621"/>
      <c r="U20" s="694">
        <f ca="1">SUM(I20:T20)</f>
        <v>29837695.839999992</v>
      </c>
      <c r="W20" s="646">
        <f t="shared" ca="1" si="3"/>
        <v>0</v>
      </c>
    </row>
    <row r="21" spans="2:24" ht="18" customHeight="1" x14ac:dyDescent="0.35">
      <c r="B21" s="645">
        <f t="shared" si="0"/>
        <v>7</v>
      </c>
      <c r="D21" s="560" t="s">
        <v>591</v>
      </c>
      <c r="E21" s="55" t="s">
        <v>313</v>
      </c>
      <c r="F21" s="557">
        <f>F1067+F1068</f>
        <v>25459958.280000001</v>
      </c>
      <c r="G21" s="55"/>
      <c r="H21" s="1571"/>
      <c r="I21" s="55"/>
      <c r="J21" s="557">
        <f t="shared" ref="J21:Q21" ca="1" si="7">J1067+J1068</f>
        <v>13291205.055525061</v>
      </c>
      <c r="K21" s="557">
        <f t="shared" ca="1" si="7"/>
        <v>1864557.7588194676</v>
      </c>
      <c r="L21" s="557">
        <f t="shared" ca="1" si="7"/>
        <v>7332700.4140883414</v>
      </c>
      <c r="M21" s="557">
        <f t="shared" ca="1" si="7"/>
        <v>308795.07506149012</v>
      </c>
      <c r="N21" s="557">
        <f t="shared" ca="1" si="7"/>
        <v>2377885.0907529397</v>
      </c>
      <c r="O21" s="557">
        <f ca="1">O1067+O1068</f>
        <v>78023.637418784376</v>
      </c>
      <c r="P21" s="557">
        <f t="shared" ca="1" si="7"/>
        <v>162748.69154838458</v>
      </c>
      <c r="Q21" s="557">
        <f t="shared" ca="1" si="7"/>
        <v>13553.233209046692</v>
      </c>
      <c r="R21" s="557">
        <f ca="1">R1067+R1068</f>
        <v>8616.1071996203627</v>
      </c>
      <c r="S21" s="557">
        <f ca="1">S1067+S1068</f>
        <v>21873.216376871966</v>
      </c>
      <c r="T21" s="621"/>
      <c r="U21" s="204">
        <f ca="1">SUM(I21:T21)</f>
        <v>25459958.280000009</v>
      </c>
      <c r="W21" s="646">
        <f t="shared" ca="1" si="3"/>
        <v>0</v>
      </c>
    </row>
    <row r="22" spans="2:24" ht="18" customHeight="1" x14ac:dyDescent="0.25">
      <c r="B22" s="645">
        <f t="shared" si="0"/>
        <v>8</v>
      </c>
      <c r="D22" s="571" t="s">
        <v>459</v>
      </c>
      <c r="E22" s="55"/>
      <c r="F22" s="51">
        <f>SUM(F20:F21)</f>
        <v>55297654.120000005</v>
      </c>
      <c r="G22" s="55"/>
      <c r="H22" s="55"/>
      <c r="I22" s="55"/>
      <c r="J22" s="51">
        <f t="shared" ref="J22:Q22" ca="1" si="8">SUM(J20:J21)</f>
        <v>28867779.432921365</v>
      </c>
      <c r="K22" s="51">
        <f t="shared" ca="1" si="8"/>
        <v>4049718.7348085977</v>
      </c>
      <c r="L22" s="51">
        <f t="shared" ca="1" si="8"/>
        <v>15926229.21076671</v>
      </c>
      <c r="M22" s="51">
        <f t="shared" ca="1" si="8"/>
        <v>670686.22292768792</v>
      </c>
      <c r="N22" s="51">
        <f t="shared" ca="1" si="8"/>
        <v>5164637.9714947771</v>
      </c>
      <c r="O22" s="51">
        <f ca="1">SUM(O20:O21)</f>
        <v>169463.12589040998</v>
      </c>
      <c r="P22" s="51">
        <f t="shared" ca="1" si="8"/>
        <v>353481.36688797182</v>
      </c>
      <c r="Q22" s="51">
        <f t="shared" ca="1" si="8"/>
        <v>29436.890428461513</v>
      </c>
      <c r="R22" s="51">
        <f ca="1">SUM(R20:R21)</f>
        <v>18713.719423480863</v>
      </c>
      <c r="S22" s="51">
        <f ca="1">SUM(S20:S21)</f>
        <v>47507.444450540759</v>
      </c>
      <c r="T22" s="621"/>
      <c r="U22" s="190">
        <f ca="1">SUM(I22:T22)</f>
        <v>55297654.120000012</v>
      </c>
      <c r="W22" s="646">
        <f t="shared" ca="1" si="3"/>
        <v>0</v>
      </c>
      <c r="X22" s="1581" t="b">
        <f ca="1">'WP II-I-1.1'!$H$496=U22</f>
        <v>1</v>
      </c>
    </row>
    <row r="23" spans="2:24" ht="18" customHeight="1" x14ac:dyDescent="0.25">
      <c r="B23" s="645">
        <f t="shared" si="0"/>
        <v>9</v>
      </c>
      <c r="D23" s="571"/>
      <c r="E23" s="55"/>
      <c r="F23" s="621"/>
      <c r="G23" s="55"/>
      <c r="H23" s="55"/>
      <c r="I23" s="55"/>
      <c r="J23" s="621"/>
      <c r="K23" s="621"/>
      <c r="L23" s="621"/>
      <c r="M23" s="621"/>
      <c r="N23" s="621"/>
      <c r="O23" s="621"/>
      <c r="P23" s="621"/>
      <c r="Q23" s="621"/>
      <c r="R23" s="621"/>
      <c r="S23" s="621"/>
      <c r="T23" s="621"/>
      <c r="U23" s="694"/>
      <c r="W23" s="646">
        <f t="shared" si="3"/>
        <v>0</v>
      </c>
    </row>
    <row r="24" spans="2:24" ht="18" customHeight="1" x14ac:dyDescent="0.25">
      <c r="B24" s="645">
        <f t="shared" si="0"/>
        <v>10</v>
      </c>
      <c r="D24" s="571" t="s">
        <v>343</v>
      </c>
      <c r="E24" s="55" t="s">
        <v>288</v>
      </c>
      <c r="F24" s="621">
        <f>+F1103</f>
        <v>8908968.5599999987</v>
      </c>
      <c r="G24" s="55"/>
      <c r="H24" s="55"/>
      <c r="I24" s="55"/>
      <c r="J24" s="621">
        <f t="shared" ref="J24:Q24" ca="1" si="9">+J1103</f>
        <v>4650532.3632740872</v>
      </c>
      <c r="K24" s="621">
        <f t="shared" ca="1" si="9"/>
        <v>652364.62095597689</v>
      </c>
      <c r="L24" s="621">
        <f t="shared" ca="1" si="9"/>
        <v>2566000.3427755516</v>
      </c>
      <c r="M24" s="621">
        <f t="shared" ca="1" si="9"/>
        <v>108037.53740624584</v>
      </c>
      <c r="N24" s="621">
        <f t="shared" ca="1" si="9"/>
        <v>832005.46306300256</v>
      </c>
      <c r="O24" s="621">
        <f ca="1">+O1103</f>
        <v>27294.193163530828</v>
      </c>
      <c r="P24" s="621">
        <f t="shared" ca="1" si="9"/>
        <v>56980.518234825198</v>
      </c>
      <c r="Q24" s="621">
        <f t="shared" ca="1" si="9"/>
        <v>5090.8397128668839</v>
      </c>
      <c r="R24" s="621">
        <f ca="1">+R1103</f>
        <v>3013.2279746010081</v>
      </c>
      <c r="S24" s="621">
        <f ca="1">+S1103</f>
        <v>7649.4534393117192</v>
      </c>
      <c r="T24" s="621"/>
      <c r="U24" s="694">
        <f ca="1">SUM(I24:T24)</f>
        <v>8908968.5600000005</v>
      </c>
      <c r="W24" s="646">
        <f t="shared" ca="1" si="3"/>
        <v>0</v>
      </c>
      <c r="X24" s="589" t="b">
        <f ca="1">'WP II-I-1.1'!$H$497=U24</f>
        <v>1</v>
      </c>
    </row>
    <row r="25" spans="2:24" ht="18" customHeight="1" x14ac:dyDescent="0.25">
      <c r="B25" s="645">
        <f t="shared" ref="B25:B30" si="10">B24+1</f>
        <v>11</v>
      </c>
      <c r="D25" s="1041" t="s">
        <v>460</v>
      </c>
      <c r="E25" s="55" t="s">
        <v>299</v>
      </c>
      <c r="F25" s="621">
        <f>+F1162</f>
        <v>1780846.8491166488</v>
      </c>
      <c r="G25" s="55"/>
      <c r="H25" s="55"/>
      <c r="I25" s="55"/>
      <c r="J25" s="621">
        <f t="shared" ref="J25:Q25" ca="1" si="11">+J1162</f>
        <v>929427.37731921067</v>
      </c>
      <c r="K25" s="621">
        <f t="shared" ca="1" si="11"/>
        <v>130337.51683545791</v>
      </c>
      <c r="L25" s="621">
        <f t="shared" ca="1" si="11"/>
        <v>513341.7291620305</v>
      </c>
      <c r="M25" s="621">
        <f t="shared" ca="1" si="11"/>
        <v>21581.420030016605</v>
      </c>
      <c r="N25" s="621">
        <f t="shared" ca="1" si="11"/>
        <v>166270.00419973666</v>
      </c>
      <c r="O25" s="621">
        <f ca="1">+O1162</f>
        <v>5434.1612272249213</v>
      </c>
      <c r="P25" s="621">
        <f t="shared" ca="1" si="11"/>
        <v>11447.120995691539</v>
      </c>
      <c r="Q25" s="621">
        <f t="shared" ca="1" si="11"/>
        <v>886.9161132400352</v>
      </c>
      <c r="R25" s="621">
        <f ca="1">+R1162</f>
        <v>599.00888309993377</v>
      </c>
      <c r="S25" s="621">
        <f ca="1">+S1162</f>
        <v>1521.5943509391232</v>
      </c>
      <c r="T25" s="621"/>
      <c r="U25" s="694">
        <f ca="1">SUM(I25:T25)</f>
        <v>1780846.8491166481</v>
      </c>
      <c r="W25" s="646">
        <f t="shared" ca="1" si="3"/>
        <v>0</v>
      </c>
      <c r="X25" s="1581">
        <f ca="1">'WP II-I-1.1'!$H$498-U25</f>
        <v>0</v>
      </c>
    </row>
    <row r="26" spans="2:24" ht="18" customHeight="1" x14ac:dyDescent="0.25">
      <c r="B26" s="645">
        <f t="shared" si="10"/>
        <v>12</v>
      </c>
      <c r="D26" s="1582"/>
      <c r="E26" s="187"/>
      <c r="F26" s="621"/>
      <c r="G26" s="187"/>
      <c r="H26" s="187"/>
      <c r="I26" s="187"/>
      <c r="J26" s="621"/>
      <c r="K26" s="621"/>
      <c r="L26" s="621"/>
      <c r="M26" s="621"/>
      <c r="N26" s="621"/>
      <c r="O26" s="621"/>
      <c r="P26" s="621"/>
      <c r="Q26" s="621"/>
      <c r="R26" s="621"/>
      <c r="S26" s="621"/>
      <c r="T26" s="621"/>
      <c r="U26" s="621"/>
      <c r="W26" s="646">
        <f t="shared" si="3"/>
        <v>0</v>
      </c>
    </row>
    <row r="27" spans="2:24" ht="18" customHeight="1" x14ac:dyDescent="0.25">
      <c r="B27" s="645">
        <f t="shared" si="10"/>
        <v>13</v>
      </c>
      <c r="D27" s="571" t="s">
        <v>461</v>
      </c>
      <c r="E27" s="55" t="s">
        <v>462</v>
      </c>
      <c r="F27" s="621">
        <f>+F83</f>
        <v>32952955.556200724</v>
      </c>
      <c r="G27" s="55"/>
      <c r="H27" s="55"/>
      <c r="I27" s="55"/>
      <c r="J27" s="621">
        <f t="shared" ref="J27:Q27" ca="1" si="12">+J83</f>
        <v>17198989.176777773</v>
      </c>
      <c r="K27" s="621">
        <f t="shared" ca="1" si="12"/>
        <v>2412097.9239839069</v>
      </c>
      <c r="L27" s="621">
        <f t="shared" ca="1" si="12"/>
        <v>9496486.7122405805</v>
      </c>
      <c r="M27" s="621">
        <f t="shared" ca="1" si="12"/>
        <v>399417.69886621484</v>
      </c>
      <c r="N27" s="621">
        <f t="shared" ca="1" si="12"/>
        <v>3076868.3916761801</v>
      </c>
      <c r="O27" s="621">
        <f ca="1">+O83</f>
        <v>100681.23349007641</v>
      </c>
      <c r="P27" s="621">
        <f t="shared" ca="1" si="12"/>
        <v>211496.43132881154</v>
      </c>
      <c r="Q27" s="621">
        <f t="shared" ca="1" si="12"/>
        <v>17617.633501912576</v>
      </c>
      <c r="R27" s="621">
        <f ca="1">+R83</f>
        <v>11102.881958605987</v>
      </c>
      <c r="S27" s="621">
        <f ca="1">+S83</f>
        <v>28197.472376665231</v>
      </c>
      <c r="T27" s="621"/>
      <c r="U27" s="694">
        <f ca="1">SUM(I27:T27)</f>
        <v>32952955.556200728</v>
      </c>
      <c r="W27" s="646">
        <f t="shared" ca="1" si="3"/>
        <v>0</v>
      </c>
      <c r="X27" s="1581">
        <f ca="1">'WP II-I-1.1'!$H$494-U27</f>
        <v>0</v>
      </c>
    </row>
    <row r="28" spans="2:24" ht="18" customHeight="1" x14ac:dyDescent="0.25">
      <c r="B28" s="645">
        <f t="shared" si="10"/>
        <v>14</v>
      </c>
      <c r="D28" s="1041"/>
      <c r="E28" s="187"/>
      <c r="F28" s="571"/>
      <c r="G28" s="187"/>
      <c r="H28" s="187"/>
      <c r="I28" s="187"/>
      <c r="J28" s="571"/>
      <c r="K28" s="571"/>
      <c r="L28" s="571"/>
      <c r="M28" s="571"/>
      <c r="N28" s="571"/>
      <c r="O28" s="571"/>
      <c r="P28" s="571"/>
      <c r="Q28" s="571"/>
      <c r="R28" s="571"/>
      <c r="S28" s="571"/>
      <c r="T28" s="571"/>
      <c r="U28" s="694"/>
      <c r="W28" s="646">
        <f t="shared" si="3"/>
        <v>0</v>
      </c>
    </row>
    <row r="29" spans="2:24" ht="18" customHeight="1" x14ac:dyDescent="0.25">
      <c r="B29" s="645">
        <f t="shared" si="10"/>
        <v>15</v>
      </c>
      <c r="C29" s="104"/>
      <c r="D29" s="189" t="s">
        <v>463</v>
      </c>
      <c r="E29" s="187"/>
      <c r="F29" s="51">
        <f>+F18+F22+F24+F25+F27</f>
        <v>219358204.1553174</v>
      </c>
      <c r="G29" s="187"/>
      <c r="H29" s="187"/>
      <c r="I29" s="187"/>
      <c r="J29" s="51">
        <f t="shared" ref="J29:Q29" ca="1" si="13">+J18+J22+J24+J25+J27</f>
        <v>114506157.06956854</v>
      </c>
      <c r="K29" s="51">
        <f t="shared" ca="1" si="13"/>
        <v>16059820.561165998</v>
      </c>
      <c r="L29" s="51">
        <f t="shared" ca="1" si="13"/>
        <v>63164438.736680508</v>
      </c>
      <c r="M29" s="51">
        <f t="shared" ca="1" si="13"/>
        <v>2659166.7360448726</v>
      </c>
      <c r="N29" s="51">
        <f t="shared" ca="1" si="13"/>
        <v>20479413.348195728</v>
      </c>
      <c r="O29" s="51">
        <f ca="1">+O18+O22+O24+O25+O27</f>
        <v>672200.62858873862</v>
      </c>
      <c r="P29" s="51">
        <f t="shared" ca="1" si="13"/>
        <v>1402582.1794881374</v>
      </c>
      <c r="Q29" s="51">
        <f t="shared" ca="1" si="13"/>
        <v>151932.09684977736</v>
      </c>
      <c r="R29" s="51">
        <f ca="1">+R18+R22+R24+R25+R27</f>
        <v>74189.556561552148</v>
      </c>
      <c r="S29" s="51">
        <f ca="1">+S18+S22+S24+S25+S27</f>
        <v>188303.24217351509</v>
      </c>
      <c r="T29" s="51"/>
      <c r="U29" s="190">
        <f ca="1">SUM(I29:T29)</f>
        <v>219358204.1553174</v>
      </c>
      <c r="V29" s="104"/>
      <c r="W29" s="646">
        <f t="shared" ca="1" si="3"/>
        <v>0</v>
      </c>
      <c r="X29" s="589" t="b">
        <f ca="1">'WP II-I-1.1'!$H$509=U29</f>
        <v>1</v>
      </c>
    </row>
    <row r="30" spans="2:24" ht="18" customHeight="1" x14ac:dyDescent="0.25">
      <c r="B30" s="645">
        <f t="shared" si="10"/>
        <v>16</v>
      </c>
      <c r="D30" s="571"/>
      <c r="E30" s="55"/>
      <c r="F30" s="571"/>
      <c r="G30" s="55"/>
      <c r="H30" s="55"/>
      <c r="I30" s="55"/>
      <c r="J30" s="571"/>
      <c r="K30" s="571"/>
      <c r="L30" s="571"/>
      <c r="M30" s="571"/>
      <c r="N30" s="571"/>
      <c r="O30" s="571"/>
      <c r="P30" s="571"/>
      <c r="Q30" s="571"/>
      <c r="R30" s="571"/>
      <c r="S30" s="571"/>
      <c r="T30" s="571"/>
      <c r="U30" s="571"/>
    </row>
    <row r="31" spans="2:24" ht="18" customHeight="1" x14ac:dyDescent="0.25">
      <c r="B31" s="645">
        <f>B30+1</f>
        <v>17</v>
      </c>
      <c r="D31" s="571" t="s">
        <v>464</v>
      </c>
      <c r="E31" s="55" t="s">
        <v>318</v>
      </c>
      <c r="F31" s="621">
        <f>+F1222</f>
        <v>14115591</v>
      </c>
      <c r="G31" s="55"/>
      <c r="H31" s="55"/>
      <c r="I31" s="55"/>
      <c r="J31" s="621">
        <f t="shared" ref="J31:Q31" ca="1" si="14">+J1222</f>
        <v>7377787.3530281754</v>
      </c>
      <c r="K31" s="621">
        <f t="shared" ca="1" si="14"/>
        <v>1034993.4858833906</v>
      </c>
      <c r="L31" s="621">
        <f t="shared" ca="1" si="14"/>
        <v>4070293.4122678973</v>
      </c>
      <c r="M31" s="621">
        <f t="shared" ca="1" si="14"/>
        <v>171408.41556116132</v>
      </c>
      <c r="N31" s="621">
        <f t="shared" ca="1" si="14"/>
        <v>1319935.286245439</v>
      </c>
      <c r="O31" s="621">
        <f ca="1">+O1222</f>
        <v>43309.978514421688</v>
      </c>
      <c r="P31" s="621">
        <f t="shared" ca="1" si="14"/>
        <v>90339.832484069804</v>
      </c>
      <c r="Q31" s="621">
        <f t="shared" ca="1" si="14"/>
        <v>7523.2360154416447</v>
      </c>
      <c r="R31" s="621">
        <f ca="1">+R1222</f>
        <v>0</v>
      </c>
      <c r="S31" s="621">
        <f ca="1">+S1222</f>
        <v>0</v>
      </c>
      <c r="T31" s="621"/>
      <c r="U31" s="694">
        <f ca="1">SUM(I31:T31)</f>
        <v>14115590.999999998</v>
      </c>
      <c r="X31" s="589" t="b">
        <f ca="1">'WP II-I-1.1'!$H$499=-U31</f>
        <v>1</v>
      </c>
    </row>
    <row r="32" spans="2:24" ht="18" customHeight="1" thickBot="1" x14ac:dyDescent="0.25">
      <c r="B32" s="645">
        <f>B31+1</f>
        <v>18</v>
      </c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571"/>
      <c r="S32" s="571"/>
      <c r="T32" s="571"/>
      <c r="U32" s="571"/>
    </row>
    <row r="33" spans="2:24" ht="18" customHeight="1" thickBot="1" x14ac:dyDescent="0.3">
      <c r="B33" s="645">
        <f>B32+1</f>
        <v>19</v>
      </c>
      <c r="D33" s="192" t="s">
        <v>337</v>
      </c>
      <c r="E33" s="193"/>
      <c r="F33" s="812">
        <f>+F29-F31</f>
        <v>205242613.1553174</v>
      </c>
      <c r="G33" s="193"/>
      <c r="H33" s="332"/>
      <c r="I33" s="543"/>
      <c r="J33" s="381">
        <f t="shared" ref="J33:Q33" ca="1" si="15">+J29-J31</f>
        <v>107128369.71654037</v>
      </c>
      <c r="K33" s="812">
        <f t="shared" ca="1" si="15"/>
        <v>15024827.075282607</v>
      </c>
      <c r="L33" s="812">
        <f t="shared" ca="1" si="15"/>
        <v>59094145.324412614</v>
      </c>
      <c r="M33" s="812">
        <f t="shared" ca="1" si="15"/>
        <v>2487758.3204837111</v>
      </c>
      <c r="N33" s="812">
        <f t="shared" ca="1" si="15"/>
        <v>19159478.061950289</v>
      </c>
      <c r="O33" s="812">
        <f ca="1">+O29-O31</f>
        <v>628890.65007431689</v>
      </c>
      <c r="P33" s="812">
        <f t="shared" ca="1" si="15"/>
        <v>1312242.3470040676</v>
      </c>
      <c r="Q33" s="812">
        <f t="shared" ca="1" si="15"/>
        <v>144408.8608343357</v>
      </c>
      <c r="R33" s="812">
        <f ca="1">+R29-R31</f>
        <v>74189.556561552148</v>
      </c>
      <c r="S33" s="315">
        <f ca="1">+S29-S31</f>
        <v>188303.24217351509</v>
      </c>
      <c r="T33" s="914"/>
      <c r="U33" s="195">
        <f ca="1">SUM(I33:T33)</f>
        <v>205242613.15531737</v>
      </c>
      <c r="W33" s="1583" t="b">
        <f ca="1">IF(ROUND(U33-'WP II-I-1.1'!H500,2)=0,TRUE,U33-'WP II-I-1.1'!H500)</f>
        <v>1</v>
      </c>
      <c r="X33" s="589" t="b">
        <f ca="1">'WP II-I-1.1'!$H$500=U33</f>
        <v>1</v>
      </c>
    </row>
    <row r="34" spans="2:24" ht="18" customHeight="1" x14ac:dyDescent="0.25">
      <c r="B34" s="645"/>
      <c r="D34" s="571"/>
      <c r="E34" s="121"/>
      <c r="F34" s="694"/>
      <c r="G34" s="121"/>
      <c r="H34" s="121"/>
      <c r="I34" s="121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</row>
    <row r="35" spans="2:24" ht="18" customHeight="1" x14ac:dyDescent="0.2">
      <c r="B35" s="645"/>
    </row>
    <row r="36" spans="2:24" ht="18" customHeight="1" x14ac:dyDescent="0.2">
      <c r="B36" s="645"/>
    </row>
    <row r="37" spans="2:24" ht="18" customHeight="1" x14ac:dyDescent="0.2">
      <c r="B37" s="645"/>
    </row>
    <row r="38" spans="2:24" ht="18" customHeight="1" x14ac:dyDescent="0.2">
      <c r="B38" s="645"/>
    </row>
    <row r="39" spans="2:24" ht="18" customHeight="1" x14ac:dyDescent="0.2">
      <c r="B39" s="645"/>
    </row>
    <row r="40" spans="2:24" ht="18" customHeight="1" x14ac:dyDescent="0.25"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</row>
    <row r="41" spans="2:24" ht="18" customHeight="1" thickBot="1" x14ac:dyDescent="0.3">
      <c r="E41" s="121"/>
      <c r="F41" s="121"/>
      <c r="G41" s="121"/>
      <c r="H41" s="653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653"/>
      <c r="V41" s="653"/>
    </row>
    <row r="42" spans="2:24" ht="18" customHeight="1" x14ac:dyDescent="0.25">
      <c r="B42" s="829" t="str">
        <f>+$B$4</f>
        <v>2025 RATE CASE</v>
      </c>
      <c r="C42" s="672"/>
      <c r="D42" s="868"/>
      <c r="U42" s="653"/>
    </row>
    <row r="43" spans="2:24" ht="18" customHeight="1" x14ac:dyDescent="0.25">
      <c r="B43" s="826" t="str">
        <f>+$B$5</f>
        <v>ONCOR ELECTRIC DELIVERY COMPANY LLC</v>
      </c>
      <c r="C43" s="647"/>
      <c r="D43" s="869"/>
      <c r="U43" s="653"/>
    </row>
    <row r="44" spans="2:24" ht="18" customHeight="1" x14ac:dyDescent="0.25">
      <c r="B44" s="826" t="str">
        <f>+$B$6</f>
        <v>II-I-1-MET:  CLASS REVENUE REQUIREMENT</v>
      </c>
      <c r="C44" s="647"/>
      <c r="D44" s="830"/>
    </row>
    <row r="45" spans="2:24" ht="18" customHeight="1" x14ac:dyDescent="0.25">
      <c r="B45" s="341" t="str">
        <f>+$B$7</f>
        <v>TEST YEAR ENDING 12/31/2024</v>
      </c>
      <c r="C45" s="647"/>
      <c r="D45" s="830"/>
    </row>
    <row r="46" spans="2:24" ht="18" customHeight="1" x14ac:dyDescent="0.25">
      <c r="B46" s="341" t="str">
        <f>+$B$8</f>
        <v>SPONSOR:  MATTHEW A. TROXLE</v>
      </c>
      <c r="C46" s="647"/>
      <c r="D46" s="830"/>
    </row>
    <row r="47" spans="2:24" ht="18" customHeight="1" thickBot="1" x14ac:dyDescent="0.3">
      <c r="B47" s="345"/>
      <c r="C47" s="647"/>
      <c r="D47" s="830"/>
    </row>
    <row r="48" spans="2:24" ht="18" customHeight="1" thickBot="1" x14ac:dyDescent="0.25">
      <c r="B48" s="663"/>
      <c r="C48" s="1575"/>
      <c r="D48" s="1584"/>
      <c r="E48" s="657"/>
      <c r="F48" s="656"/>
      <c r="G48" s="657"/>
      <c r="H48" s="657"/>
      <c r="I48" s="657"/>
      <c r="J48" s="657"/>
      <c r="K48" s="657"/>
      <c r="L48" s="656"/>
      <c r="M48" s="657"/>
      <c r="N48" s="657"/>
      <c r="O48" s="657"/>
      <c r="P48" s="657"/>
      <c r="Q48" s="656"/>
      <c r="R48" s="658" t="str">
        <f>R$10</f>
        <v xml:space="preserve"> </v>
      </c>
      <c r="S48" s="659"/>
      <c r="T48" s="657"/>
      <c r="U48" s="655"/>
    </row>
    <row r="49" spans="2:23" ht="18" customHeight="1" x14ac:dyDescent="0.25">
      <c r="B49" s="663" t="s">
        <v>2</v>
      </c>
      <c r="C49" s="1577"/>
      <c r="D49" s="180" t="s">
        <v>685</v>
      </c>
      <c r="E49" s="661" t="s">
        <v>350</v>
      </c>
      <c r="F49" s="226" t="str">
        <f>F$11</f>
        <v>MET</v>
      </c>
      <c r="G49" s="661"/>
      <c r="H49" s="661"/>
      <c r="I49" s="661"/>
      <c r="J49" s="661" t="s">
        <v>679</v>
      </c>
      <c r="K49" s="661" t="s">
        <v>388</v>
      </c>
      <c r="L49" s="660" t="s">
        <v>388</v>
      </c>
      <c r="M49" s="661" t="s">
        <v>389</v>
      </c>
      <c r="N49" s="661" t="s">
        <v>389</v>
      </c>
      <c r="O49" s="661" t="s">
        <v>389</v>
      </c>
      <c r="P49" s="661" t="s">
        <v>390</v>
      </c>
      <c r="Q49" s="660" t="s">
        <v>391</v>
      </c>
      <c r="R49" s="662" t="str">
        <f>R$11</f>
        <v>Wholesale</v>
      </c>
      <c r="S49" s="655" t="str">
        <f>S$11</f>
        <v>Wholesale</v>
      </c>
      <c r="T49" s="661"/>
      <c r="U49" s="660" t="s">
        <v>10</v>
      </c>
    </row>
    <row r="50" spans="2:23" ht="18" customHeight="1" x14ac:dyDescent="0.2">
      <c r="B50" s="663"/>
      <c r="C50" s="1577"/>
      <c r="D50" s="661"/>
      <c r="E50" s="661"/>
      <c r="F50" s="660"/>
      <c r="G50" s="661"/>
      <c r="H50" s="661"/>
      <c r="I50" s="661"/>
      <c r="J50" s="661"/>
      <c r="K50" s="661" t="s">
        <v>680</v>
      </c>
      <c r="L50" s="660" t="s">
        <v>681</v>
      </c>
      <c r="M50" s="661" t="s">
        <v>680</v>
      </c>
      <c r="N50" s="661" t="s">
        <v>681</v>
      </c>
      <c r="O50" s="661" t="s">
        <v>393</v>
      </c>
      <c r="P50" s="661"/>
      <c r="Q50" s="660"/>
      <c r="R50" s="663" t="str">
        <f>R$12</f>
        <v>XFMR</v>
      </c>
      <c r="S50" s="660" t="str">
        <f>S$12</f>
        <v>DLS</v>
      </c>
      <c r="T50" s="661"/>
      <c r="U50" s="660"/>
    </row>
    <row r="51" spans="2:23" ht="18" customHeight="1" thickBot="1" x14ac:dyDescent="0.25">
      <c r="B51" s="665"/>
      <c r="C51" s="665"/>
      <c r="D51" s="1579"/>
      <c r="E51" s="1579"/>
      <c r="F51" s="664" t="s">
        <v>13</v>
      </c>
      <c r="G51" s="664" t="s">
        <v>14</v>
      </c>
      <c r="H51" s="664" t="s">
        <v>15</v>
      </c>
      <c r="I51" s="664"/>
      <c r="J51" s="665" t="str">
        <f t="shared" ref="J51:Q51" si="16">J$13</f>
        <v>(d)</v>
      </c>
      <c r="K51" s="665" t="str">
        <f t="shared" si="16"/>
        <v>(e)</v>
      </c>
      <c r="L51" s="664" t="str">
        <f t="shared" si="16"/>
        <v>(f)</v>
      </c>
      <c r="M51" s="665" t="str">
        <f t="shared" si="16"/>
        <v>(g)</v>
      </c>
      <c r="N51" s="665" t="str">
        <f t="shared" si="16"/>
        <v>(h)</v>
      </c>
      <c r="O51" s="665" t="str">
        <f>O$13</f>
        <v>(i)</v>
      </c>
      <c r="P51" s="665" t="str">
        <f t="shared" si="16"/>
        <v>(j)</v>
      </c>
      <c r="Q51" s="665" t="str">
        <f t="shared" si="16"/>
        <v>(k)</v>
      </c>
      <c r="R51" s="665" t="str">
        <f>R$13</f>
        <v>(l)</v>
      </c>
      <c r="S51" s="664" t="str">
        <f>S$13</f>
        <v>(m)</v>
      </c>
      <c r="T51" s="664"/>
      <c r="U51" s="664" t="s">
        <v>683</v>
      </c>
    </row>
    <row r="52" spans="2:23" ht="18" customHeight="1" x14ac:dyDescent="0.2">
      <c r="C52" s="571"/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P52" s="571"/>
      <c r="Q52" s="571"/>
      <c r="R52" s="571"/>
      <c r="S52" s="571"/>
      <c r="T52" s="571"/>
      <c r="U52" s="694"/>
    </row>
    <row r="53" spans="2:23" ht="18" customHeight="1" x14ac:dyDescent="0.25">
      <c r="B53" s="645">
        <f t="shared" ref="B53:B58" si="17">B52+1</f>
        <v>1</v>
      </c>
      <c r="C53" s="571"/>
      <c r="D53" s="199" t="s">
        <v>596</v>
      </c>
      <c r="E53" s="200" t="s">
        <v>24</v>
      </c>
      <c r="F53" s="694">
        <f>F106</f>
        <v>324360</v>
      </c>
      <c r="G53" s="571"/>
      <c r="H53" s="571"/>
      <c r="I53" s="571"/>
      <c r="J53" s="694">
        <f t="shared" ref="J53:Q53" ca="1" si="18">J106</f>
        <v>169330.02106278818</v>
      </c>
      <c r="K53" s="694">
        <f t="shared" ca="1" si="18"/>
        <v>23754.475478688117</v>
      </c>
      <c r="L53" s="694">
        <f t="shared" ca="1" si="18"/>
        <v>93418.641152372467</v>
      </c>
      <c r="M53" s="694">
        <f t="shared" ca="1" si="18"/>
        <v>3934.0508513568907</v>
      </c>
      <c r="N53" s="694">
        <f t="shared" ca="1" si="18"/>
        <v>30294.268339100498</v>
      </c>
      <c r="O53" s="694">
        <f ca="1">O106</f>
        <v>994.0215437445288</v>
      </c>
      <c r="P53" s="694">
        <f t="shared" ca="1" si="18"/>
        <v>2073.4191710008577</v>
      </c>
      <c r="Q53" s="694">
        <f t="shared" ca="1" si="18"/>
        <v>172.66826109215387</v>
      </c>
      <c r="R53" s="694">
        <f ca="1">R106</f>
        <v>109.7692502294572</v>
      </c>
      <c r="S53" s="694">
        <f ca="1">S106</f>
        <v>278.66488962692011</v>
      </c>
      <c r="T53" s="571"/>
      <c r="U53" s="694">
        <f ca="1">SUM(I53:T53)</f>
        <v>324360.00000000006</v>
      </c>
      <c r="W53" s="646">
        <f ca="1">U53-F53</f>
        <v>0</v>
      </c>
    </row>
    <row r="54" spans="2:23" ht="18" customHeight="1" x14ac:dyDescent="0.25">
      <c r="B54" s="645">
        <f t="shared" si="17"/>
        <v>2</v>
      </c>
      <c r="C54" s="571"/>
      <c r="D54" s="199" t="s">
        <v>597</v>
      </c>
      <c r="E54" s="200" t="s">
        <v>24</v>
      </c>
      <c r="F54" s="694">
        <f>F121</f>
        <v>0</v>
      </c>
      <c r="G54" s="571"/>
      <c r="H54" s="571"/>
      <c r="I54" s="571"/>
      <c r="J54" s="694">
        <f t="shared" ref="J54:Q54" ca="1" si="19">J121</f>
        <v>0</v>
      </c>
      <c r="K54" s="694">
        <f t="shared" ca="1" si="19"/>
        <v>0</v>
      </c>
      <c r="L54" s="694">
        <f t="shared" ca="1" si="19"/>
        <v>0</v>
      </c>
      <c r="M54" s="694">
        <f t="shared" ca="1" si="19"/>
        <v>0</v>
      </c>
      <c r="N54" s="694">
        <f t="shared" ca="1" si="19"/>
        <v>0</v>
      </c>
      <c r="O54" s="694">
        <f ca="1">O121</f>
        <v>0</v>
      </c>
      <c r="P54" s="694">
        <f t="shared" ca="1" si="19"/>
        <v>0</v>
      </c>
      <c r="Q54" s="694">
        <f t="shared" ca="1" si="19"/>
        <v>0</v>
      </c>
      <c r="R54" s="694">
        <f ca="1">R121</f>
        <v>0</v>
      </c>
      <c r="S54" s="694">
        <f ca="1">S121</f>
        <v>0</v>
      </c>
      <c r="T54" s="571"/>
      <c r="U54" s="694">
        <f ca="1">SUM(I54:T54)</f>
        <v>0</v>
      </c>
      <c r="W54" s="646">
        <f t="shared" ref="W54:W82" ca="1" si="20">U54-F54</f>
        <v>0</v>
      </c>
    </row>
    <row r="55" spans="2:23" ht="18" customHeight="1" x14ac:dyDescent="0.35">
      <c r="B55" s="645">
        <f t="shared" si="17"/>
        <v>3</v>
      </c>
      <c r="C55" s="571"/>
      <c r="D55" s="558" t="s">
        <v>595</v>
      </c>
      <c r="E55" s="200" t="s">
        <v>24</v>
      </c>
      <c r="F55" s="204">
        <f>F159</f>
        <v>784983594.01999998</v>
      </c>
      <c r="G55" s="571"/>
      <c r="H55" s="571"/>
      <c r="I55" s="571"/>
      <c r="J55" s="204">
        <f t="shared" ref="J55:Q55" ca="1" si="21">J159</f>
        <v>409795562.05866855</v>
      </c>
      <c r="K55" s="204">
        <f t="shared" ca="1" si="21"/>
        <v>57488203.031571567</v>
      </c>
      <c r="L55" s="204">
        <f t="shared" ca="1" si="21"/>
        <v>226082441.36223328</v>
      </c>
      <c r="M55" s="204">
        <f t="shared" ca="1" si="21"/>
        <v>9520795.9562078305</v>
      </c>
      <c r="N55" s="204">
        <f t="shared" ca="1" si="21"/>
        <v>73315154.886648774</v>
      </c>
      <c r="O55" s="204">
        <f ca="1">O159</f>
        <v>2405631.4093657928</v>
      </c>
      <c r="P55" s="204">
        <f t="shared" ca="1" si="21"/>
        <v>5017881.4673887715</v>
      </c>
      <c r="Q55" s="204">
        <f t="shared" ca="1" si="21"/>
        <v>417874.43632168783</v>
      </c>
      <c r="R55" s="204">
        <f ca="1">R159</f>
        <v>265652.54827352322</v>
      </c>
      <c r="S55" s="204">
        <f ca="1">S159</f>
        <v>674396.86332015763</v>
      </c>
      <c r="T55" s="571"/>
      <c r="U55" s="204">
        <f ca="1">SUM(I55:T55)</f>
        <v>784983594.01999998</v>
      </c>
      <c r="W55" s="646">
        <f t="shared" ca="1" si="20"/>
        <v>0</v>
      </c>
    </row>
    <row r="56" spans="2:23" ht="18" customHeight="1" x14ac:dyDescent="0.25">
      <c r="B56" s="645">
        <f t="shared" si="17"/>
        <v>4</v>
      </c>
      <c r="D56" s="199" t="s">
        <v>467</v>
      </c>
      <c r="E56" s="200"/>
      <c r="F56" s="208">
        <f>SUM(F53:F55)</f>
        <v>785307954.01999998</v>
      </c>
      <c r="G56" s="200"/>
      <c r="H56" s="200"/>
      <c r="I56" s="200"/>
      <c r="J56" s="208">
        <f t="shared" ref="J56:Q56" ca="1" si="22">SUM(J53:J55)</f>
        <v>409964892.07973135</v>
      </c>
      <c r="K56" s="208">
        <f t="shared" ca="1" si="22"/>
        <v>57511957.507050253</v>
      </c>
      <c r="L56" s="208">
        <f t="shared" ca="1" si="22"/>
        <v>226175860.00338566</v>
      </c>
      <c r="M56" s="208">
        <f t="shared" ca="1" si="22"/>
        <v>9524730.0070591867</v>
      </c>
      <c r="N56" s="208">
        <f t="shared" ca="1" si="22"/>
        <v>73345449.154987872</v>
      </c>
      <c r="O56" s="208">
        <f ca="1">SUM(O53:O55)</f>
        <v>2406625.4309095372</v>
      </c>
      <c r="P56" s="208">
        <f t="shared" ca="1" si="22"/>
        <v>5019954.8865597723</v>
      </c>
      <c r="Q56" s="208">
        <f t="shared" ca="1" si="22"/>
        <v>418047.10458277998</v>
      </c>
      <c r="R56" s="208">
        <f ca="1">SUM(R53:R55)</f>
        <v>265762.31752375269</v>
      </c>
      <c r="S56" s="208">
        <f ca="1">SUM(S53:S55)</f>
        <v>674675.52820978453</v>
      </c>
      <c r="T56" s="851"/>
      <c r="U56" s="190">
        <f ca="1">SUM(I56:T56)</f>
        <v>785307954.01999998</v>
      </c>
      <c r="W56" s="646">
        <f t="shared" ca="1" si="20"/>
        <v>0</v>
      </c>
    </row>
    <row r="57" spans="2:23" ht="18" customHeight="1" x14ac:dyDescent="0.25">
      <c r="B57" s="645">
        <f t="shared" si="17"/>
        <v>5</v>
      </c>
      <c r="D57" s="199"/>
      <c r="E57" s="200"/>
      <c r="F57" s="851"/>
      <c r="G57" s="200"/>
      <c r="H57" s="200"/>
      <c r="I57" s="200"/>
      <c r="J57" s="851"/>
      <c r="K57" s="851"/>
      <c r="L57" s="851"/>
      <c r="M57" s="851"/>
      <c r="N57" s="851"/>
      <c r="O57" s="851"/>
      <c r="P57" s="851"/>
      <c r="Q57" s="851"/>
      <c r="R57" s="851"/>
      <c r="S57" s="851"/>
      <c r="T57" s="851"/>
      <c r="U57" s="694"/>
      <c r="W57" s="646">
        <f t="shared" si="20"/>
        <v>0</v>
      </c>
    </row>
    <row r="58" spans="2:23" ht="18" customHeight="1" x14ac:dyDescent="0.25">
      <c r="B58" s="645">
        <f t="shared" si="17"/>
        <v>6</v>
      </c>
      <c r="D58" s="199" t="s">
        <v>468</v>
      </c>
      <c r="E58" s="200" t="s">
        <v>86</v>
      </c>
      <c r="F58" s="851">
        <f>+F199</f>
        <v>45511526.899999984</v>
      </c>
      <c r="G58" s="200"/>
      <c r="H58" s="200"/>
      <c r="I58" s="200"/>
      <c r="J58" s="851">
        <f t="shared" ref="J58:Q58" ca="1" si="23">+J199</f>
        <v>23758995.586930107</v>
      </c>
      <c r="K58" s="851">
        <f t="shared" ca="1" si="23"/>
        <v>3333032.5864585778</v>
      </c>
      <c r="L58" s="851">
        <f t="shared" ca="1" si="23"/>
        <v>13107735.231741413</v>
      </c>
      <c r="M58" s="851">
        <f t="shared" ca="1" si="23"/>
        <v>551993.65256966639</v>
      </c>
      <c r="N58" s="851">
        <f t="shared" ca="1" si="23"/>
        <v>4250642.5219841842</v>
      </c>
      <c r="O58" s="851">
        <f ca="1">+O199</f>
        <v>139472.92584569191</v>
      </c>
      <c r="P58" s="851">
        <f t="shared" ca="1" si="23"/>
        <v>290925.1213959218</v>
      </c>
      <c r="Q58" s="851">
        <f t="shared" ca="1" si="23"/>
        <v>24227.389966308365</v>
      </c>
      <c r="R58" s="851">
        <f ca="1">+R199</f>
        <v>15401.918191548804</v>
      </c>
      <c r="S58" s="851">
        <f ca="1">+S199</f>
        <v>39099.96491657757</v>
      </c>
      <c r="T58" s="851"/>
      <c r="U58" s="694">
        <f ca="1">SUM(I58:T58)</f>
        <v>45511526.900000006</v>
      </c>
      <c r="W58" s="646">
        <f t="shared" ca="1" si="20"/>
        <v>0</v>
      </c>
    </row>
    <row r="59" spans="2:23" ht="18" customHeight="1" x14ac:dyDescent="0.35">
      <c r="B59" s="645">
        <f t="shared" ref="B59:B83" si="24">B58+1</f>
        <v>7</v>
      </c>
      <c r="D59" s="199" t="s">
        <v>469</v>
      </c>
      <c r="E59" s="200" t="s">
        <v>104</v>
      </c>
      <c r="F59" s="203">
        <f>+F219</f>
        <v>32909657.379999992</v>
      </c>
      <c r="G59" s="200"/>
      <c r="H59" s="200"/>
      <c r="I59" s="200"/>
      <c r="J59" s="203">
        <f t="shared" ref="J59:Q59" ca="1" si="25">+J219</f>
        <v>17180271.850180481</v>
      </c>
      <c r="K59" s="203">
        <f t="shared" ca="1" si="25"/>
        <v>2410135.8035677546</v>
      </c>
      <c r="L59" s="203">
        <f t="shared" ca="1" si="25"/>
        <v>9478281.7647975832</v>
      </c>
      <c r="M59" s="203">
        <f t="shared" ca="1" si="25"/>
        <v>399149.91254671512</v>
      </c>
      <c r="N59" s="203">
        <f t="shared" ca="1" si="25"/>
        <v>3073665.0376667227</v>
      </c>
      <c r="O59" s="203">
        <f ca="1">+O219</f>
        <v>100853.70709388054</v>
      </c>
      <c r="P59" s="203">
        <f t="shared" ca="1" si="25"/>
        <v>210369.69577864656</v>
      </c>
      <c r="Q59" s="203">
        <f t="shared" ca="1" si="25"/>
        <v>17518.970628138988</v>
      </c>
      <c r="R59" s="203">
        <f ca="1">+R219</f>
        <v>11137.219188281289</v>
      </c>
      <c r="S59" s="203">
        <f ca="1">+S219</f>
        <v>28273.418551786446</v>
      </c>
      <c r="T59" s="203"/>
      <c r="U59" s="204">
        <f ca="1">SUM(I59:T59)</f>
        <v>32909657.379999992</v>
      </c>
      <c r="W59" s="646">
        <f t="shared" ca="1" si="20"/>
        <v>0</v>
      </c>
    </row>
    <row r="60" spans="2:23" ht="18" customHeight="1" x14ac:dyDescent="0.25">
      <c r="B60" s="645">
        <f t="shared" si="24"/>
        <v>8</v>
      </c>
      <c r="C60" s="104"/>
      <c r="D60" s="207" t="s">
        <v>470</v>
      </c>
      <c r="E60" s="200"/>
      <c r="F60" s="208">
        <f>+F56+F58+F59</f>
        <v>863729138.29999995</v>
      </c>
      <c r="G60" s="200"/>
      <c r="H60" s="200"/>
      <c r="I60" s="200"/>
      <c r="J60" s="208">
        <f t="shared" ref="J60:Q60" ca="1" si="26">+J56+J58+J59</f>
        <v>450904159.51684195</v>
      </c>
      <c r="K60" s="208">
        <f t="shared" ca="1" si="26"/>
        <v>63255125.897076584</v>
      </c>
      <c r="L60" s="208">
        <f t="shared" ca="1" si="26"/>
        <v>248761876.99992466</v>
      </c>
      <c r="M60" s="208">
        <f t="shared" ca="1" si="26"/>
        <v>10475873.572175568</v>
      </c>
      <c r="N60" s="208">
        <f t="shared" ca="1" si="26"/>
        <v>80669756.714638785</v>
      </c>
      <c r="O60" s="208">
        <f ca="1">+O56+O58+O59</f>
        <v>2646952.0638491097</v>
      </c>
      <c r="P60" s="208">
        <f t="shared" ca="1" si="26"/>
        <v>5521249.7037343411</v>
      </c>
      <c r="Q60" s="208">
        <f t="shared" ca="1" si="26"/>
        <v>459793.46517722734</v>
      </c>
      <c r="R60" s="208">
        <f ca="1">+R56+R58+R59</f>
        <v>292301.45490358275</v>
      </c>
      <c r="S60" s="208">
        <f ca="1">+S56+S58+S59</f>
        <v>742048.91167814855</v>
      </c>
      <c r="T60" s="208"/>
      <c r="U60" s="190">
        <f ca="1">SUM(I60:T60)</f>
        <v>863729138.30000007</v>
      </c>
      <c r="V60" s="104"/>
      <c r="W60" s="646">
        <f t="shared" ca="1" si="20"/>
        <v>0</v>
      </c>
    </row>
    <row r="61" spans="2:23" ht="18" customHeight="1" x14ac:dyDescent="0.25">
      <c r="B61" s="645">
        <f t="shared" si="24"/>
        <v>9</v>
      </c>
      <c r="D61" s="199"/>
      <c r="E61" s="200"/>
      <c r="F61" s="851"/>
      <c r="G61" s="200"/>
      <c r="H61" s="200"/>
      <c r="I61" s="200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  <c r="U61" s="851"/>
      <c r="W61" s="646">
        <f t="shared" si="20"/>
        <v>0</v>
      </c>
    </row>
    <row r="62" spans="2:23" ht="18" customHeight="1" x14ac:dyDescent="0.25">
      <c r="B62" s="645">
        <f t="shared" si="24"/>
        <v>10</v>
      </c>
      <c r="D62" s="209" t="s">
        <v>471</v>
      </c>
      <c r="E62" s="200" t="s">
        <v>34</v>
      </c>
      <c r="F62" s="851">
        <f>+F363+F320</f>
        <v>442591160.38</v>
      </c>
      <c r="G62" s="200"/>
      <c r="H62" s="200"/>
      <c r="I62" s="200"/>
      <c r="J62" s="851">
        <f t="shared" ref="J62:Q62" ca="1" si="27">+J363+J320</f>
        <v>231051826.7028895</v>
      </c>
      <c r="K62" s="851">
        <f t="shared" ca="1" si="27"/>
        <v>32413123.894225016</v>
      </c>
      <c r="L62" s="851">
        <f t="shared" ca="1" si="27"/>
        <v>127470294.69956633</v>
      </c>
      <c r="M62" s="851">
        <f t="shared" ca="1" si="27"/>
        <v>5368035.9208779512</v>
      </c>
      <c r="N62" s="851">
        <f t="shared" ca="1" si="27"/>
        <v>41336710.374477684</v>
      </c>
      <c r="O62" s="851">
        <f ca="1">+O363+O320</f>
        <v>1356348.3428554991</v>
      </c>
      <c r="P62" s="851">
        <f t="shared" ca="1" si="27"/>
        <v>2829192.8623979744</v>
      </c>
      <c r="Q62" s="851">
        <f t="shared" ca="1" si="27"/>
        <v>235606.87519291276</v>
      </c>
      <c r="R62" s="851">
        <f ca="1">+R363+R320</f>
        <v>149780.79859753983</v>
      </c>
      <c r="S62" s="851">
        <f ca="1">+S363+S320</f>
        <v>380239.90891954361</v>
      </c>
      <c r="T62" s="851"/>
      <c r="U62" s="694">
        <f ca="1">SUM(I62:T62)</f>
        <v>442591160.37999994</v>
      </c>
      <c r="W62" s="646">
        <f t="shared" ca="1" si="20"/>
        <v>0</v>
      </c>
    </row>
    <row r="63" spans="2:23" ht="18" customHeight="1" x14ac:dyDescent="0.25">
      <c r="B63" s="645">
        <f t="shared" si="24"/>
        <v>11</v>
      </c>
      <c r="D63" s="199"/>
      <c r="E63" s="200"/>
      <c r="F63" s="1585"/>
      <c r="G63" s="200"/>
      <c r="H63" s="200"/>
      <c r="I63" s="200"/>
      <c r="J63" s="1585"/>
      <c r="K63" s="1585"/>
      <c r="L63" s="1585"/>
      <c r="M63" s="1585"/>
      <c r="N63" s="1585"/>
      <c r="O63" s="1585"/>
      <c r="P63" s="1585"/>
      <c r="Q63" s="1585"/>
      <c r="R63" s="1585"/>
      <c r="S63" s="1585"/>
      <c r="T63" s="1585"/>
      <c r="U63" s="851"/>
      <c r="W63" s="646">
        <f t="shared" si="20"/>
        <v>0</v>
      </c>
    </row>
    <row r="64" spans="2:23" ht="18" customHeight="1" x14ac:dyDescent="0.25">
      <c r="B64" s="645">
        <f t="shared" si="24"/>
        <v>12</v>
      </c>
      <c r="C64" s="104"/>
      <c r="D64" s="212" t="s">
        <v>472</v>
      </c>
      <c r="E64" s="55"/>
      <c r="F64" s="208">
        <f>+F60-F62</f>
        <v>421137977.91999996</v>
      </c>
      <c r="G64" s="55"/>
      <c r="H64" s="55"/>
      <c r="I64" s="55"/>
      <c r="J64" s="208">
        <f t="shared" ref="J64:Q64" ca="1" si="28">+J60-J62</f>
        <v>219852332.81395245</v>
      </c>
      <c r="K64" s="208">
        <f t="shared" ca="1" si="28"/>
        <v>30842002.002851568</v>
      </c>
      <c r="L64" s="208">
        <f t="shared" ca="1" si="28"/>
        <v>121291582.30035833</v>
      </c>
      <c r="M64" s="208">
        <f t="shared" ca="1" si="28"/>
        <v>5107837.6512976168</v>
      </c>
      <c r="N64" s="208">
        <f t="shared" ca="1" si="28"/>
        <v>39333046.3401611</v>
      </c>
      <c r="O64" s="208">
        <f ca="1">+O60-O62</f>
        <v>1290603.7209936106</v>
      </c>
      <c r="P64" s="208">
        <f t="shared" ca="1" si="28"/>
        <v>2692056.8413363667</v>
      </c>
      <c r="Q64" s="208">
        <f t="shared" ca="1" si="28"/>
        <v>224186.58998431457</v>
      </c>
      <c r="R64" s="208">
        <f ca="1">+R60-R62</f>
        <v>142520.65630604292</v>
      </c>
      <c r="S64" s="208">
        <f ca="1">+S60-S62</f>
        <v>361809.00275860494</v>
      </c>
      <c r="T64" s="208"/>
      <c r="U64" s="190">
        <f ca="1">SUM(I64:T64)</f>
        <v>421137977.92000002</v>
      </c>
      <c r="V64" s="104"/>
      <c r="W64" s="646">
        <f t="shared" ca="1" si="20"/>
        <v>0</v>
      </c>
    </row>
    <row r="65" spans="2:23" ht="18" customHeight="1" x14ac:dyDescent="0.25">
      <c r="B65" s="645">
        <f t="shared" si="24"/>
        <v>13</v>
      </c>
      <c r="D65" s="199"/>
      <c r="E65" s="200"/>
      <c r="F65" s="571"/>
      <c r="G65" s="200"/>
      <c r="H65" s="200"/>
      <c r="I65" s="200"/>
      <c r="J65" s="571"/>
      <c r="K65" s="571"/>
      <c r="L65" s="571"/>
      <c r="M65" s="571"/>
      <c r="N65" s="571"/>
      <c r="O65" s="571"/>
      <c r="P65" s="571"/>
      <c r="Q65" s="571"/>
      <c r="R65" s="571"/>
      <c r="S65" s="571"/>
      <c r="T65" s="571"/>
      <c r="U65" s="571"/>
      <c r="W65" s="646">
        <f t="shared" si="20"/>
        <v>0</v>
      </c>
    </row>
    <row r="66" spans="2:23" ht="18" customHeight="1" x14ac:dyDescent="0.25">
      <c r="B66" s="645">
        <f t="shared" si="24"/>
        <v>14</v>
      </c>
      <c r="D66" s="213" t="s">
        <v>473</v>
      </c>
      <c r="E66" s="214"/>
      <c r="F66" s="571"/>
      <c r="G66" s="214"/>
      <c r="H66" s="214"/>
      <c r="I66" s="214"/>
      <c r="J66" s="571"/>
      <c r="K66" s="571"/>
      <c r="L66" s="571"/>
      <c r="M66" s="571"/>
      <c r="N66" s="571"/>
      <c r="O66" s="571"/>
      <c r="P66" s="571"/>
      <c r="Q66" s="571"/>
      <c r="R66" s="571"/>
      <c r="S66" s="571"/>
      <c r="T66" s="571"/>
      <c r="U66" s="571"/>
      <c r="W66" s="646">
        <f t="shared" si="20"/>
        <v>0</v>
      </c>
    </row>
    <row r="67" spans="2:23" ht="18" customHeight="1" x14ac:dyDescent="0.25">
      <c r="B67" s="645">
        <f t="shared" si="24"/>
        <v>15</v>
      </c>
      <c r="D67" s="39"/>
      <c r="E67" s="200"/>
      <c r="F67" s="571"/>
      <c r="G67" s="200"/>
      <c r="H67" s="200"/>
      <c r="I67" s="200"/>
      <c r="J67" s="571"/>
      <c r="K67" s="571"/>
      <c r="L67" s="571"/>
      <c r="M67" s="571"/>
      <c r="N67" s="571"/>
      <c r="O67" s="571"/>
      <c r="P67" s="571"/>
      <c r="Q67" s="571"/>
      <c r="R67" s="571"/>
      <c r="S67" s="571"/>
      <c r="T67" s="571"/>
      <c r="U67" s="571"/>
      <c r="W67" s="646">
        <f t="shared" si="20"/>
        <v>0</v>
      </c>
    </row>
    <row r="68" spans="2:23" ht="18" customHeight="1" x14ac:dyDescent="0.25">
      <c r="B68" s="645">
        <f t="shared" si="24"/>
        <v>16</v>
      </c>
      <c r="D68" s="39" t="s">
        <v>111</v>
      </c>
      <c r="E68" s="200" t="s">
        <v>112</v>
      </c>
      <c r="F68" s="851">
        <f>+F244</f>
        <v>0</v>
      </c>
      <c r="G68" s="200"/>
      <c r="H68" s="200"/>
      <c r="I68" s="200"/>
      <c r="J68" s="851">
        <f t="shared" ref="J68:Q68" si="29">+J244</f>
        <v>0</v>
      </c>
      <c r="K68" s="851">
        <f t="shared" si="29"/>
        <v>0</v>
      </c>
      <c r="L68" s="851">
        <f t="shared" si="29"/>
        <v>0</v>
      </c>
      <c r="M68" s="851">
        <f t="shared" si="29"/>
        <v>0</v>
      </c>
      <c r="N68" s="851">
        <f t="shared" si="29"/>
        <v>0</v>
      </c>
      <c r="O68" s="851">
        <f>+O244</f>
        <v>0</v>
      </c>
      <c r="P68" s="851">
        <f t="shared" si="29"/>
        <v>0</v>
      </c>
      <c r="Q68" s="851">
        <f t="shared" si="29"/>
        <v>0</v>
      </c>
      <c r="R68" s="851">
        <f>+R244</f>
        <v>0</v>
      </c>
      <c r="S68" s="851">
        <f>+S244</f>
        <v>0</v>
      </c>
      <c r="T68" s="851"/>
      <c r="U68" s="694">
        <f t="shared" ref="U68:U77" si="30">SUM(I68:T68)</f>
        <v>0</v>
      </c>
      <c r="W68" s="646">
        <f t="shared" si="20"/>
        <v>0</v>
      </c>
    </row>
    <row r="69" spans="2:23" ht="18" customHeight="1" x14ac:dyDescent="0.25">
      <c r="B69" s="645">
        <f t="shared" si="24"/>
        <v>17</v>
      </c>
      <c r="D69" s="39" t="s">
        <v>113</v>
      </c>
      <c r="E69" s="200" t="s">
        <v>114</v>
      </c>
      <c r="F69" s="851">
        <f>+F388</f>
        <v>0</v>
      </c>
      <c r="G69" s="200"/>
      <c r="H69" s="200"/>
      <c r="I69" s="200"/>
      <c r="J69" s="851">
        <f t="shared" ref="J69:Q69" si="31">+J388</f>
        <v>0</v>
      </c>
      <c r="K69" s="851">
        <f t="shared" si="31"/>
        <v>0</v>
      </c>
      <c r="L69" s="851">
        <f t="shared" si="31"/>
        <v>0</v>
      </c>
      <c r="M69" s="851">
        <f t="shared" si="31"/>
        <v>0</v>
      </c>
      <c r="N69" s="851">
        <f t="shared" si="31"/>
        <v>0</v>
      </c>
      <c r="O69" s="851">
        <f>+O388</f>
        <v>0</v>
      </c>
      <c r="P69" s="851">
        <f t="shared" si="31"/>
        <v>0</v>
      </c>
      <c r="Q69" s="851">
        <f t="shared" si="31"/>
        <v>0</v>
      </c>
      <c r="R69" s="851">
        <f>+R388</f>
        <v>0</v>
      </c>
      <c r="S69" s="851">
        <f>+S388</f>
        <v>0</v>
      </c>
      <c r="T69" s="851"/>
      <c r="U69" s="694">
        <f t="shared" si="30"/>
        <v>0</v>
      </c>
      <c r="W69" s="646">
        <f t="shared" si="20"/>
        <v>0</v>
      </c>
    </row>
    <row r="70" spans="2:23" ht="18" customHeight="1" x14ac:dyDescent="0.25">
      <c r="B70" s="645">
        <f t="shared" si="24"/>
        <v>18</v>
      </c>
      <c r="D70" s="40" t="s">
        <v>474</v>
      </c>
      <c r="E70" s="200" t="s">
        <v>475</v>
      </c>
      <c r="F70" s="694">
        <f>F409</f>
        <v>0</v>
      </c>
      <c r="G70" s="200"/>
      <c r="H70" s="350"/>
      <c r="I70" s="200"/>
      <c r="J70" s="694">
        <f t="shared" ref="J70:Q70" si="32">J409</f>
        <v>0</v>
      </c>
      <c r="K70" s="694">
        <f t="shared" si="32"/>
        <v>0</v>
      </c>
      <c r="L70" s="694">
        <f t="shared" si="32"/>
        <v>0</v>
      </c>
      <c r="M70" s="694">
        <f t="shared" si="32"/>
        <v>0</v>
      </c>
      <c r="N70" s="694">
        <f t="shared" si="32"/>
        <v>0</v>
      </c>
      <c r="O70" s="694">
        <f>O409</f>
        <v>0</v>
      </c>
      <c r="P70" s="694">
        <f t="shared" si="32"/>
        <v>0</v>
      </c>
      <c r="Q70" s="694">
        <f t="shared" si="32"/>
        <v>0</v>
      </c>
      <c r="R70" s="694">
        <f>R409</f>
        <v>0</v>
      </c>
      <c r="S70" s="694">
        <f>S409</f>
        <v>0</v>
      </c>
      <c r="T70" s="694"/>
      <c r="U70" s="694">
        <f t="shared" si="30"/>
        <v>0</v>
      </c>
      <c r="W70" s="646">
        <f t="shared" si="20"/>
        <v>0</v>
      </c>
    </row>
    <row r="71" spans="2:23" ht="18" customHeight="1" x14ac:dyDescent="0.25">
      <c r="B71" s="645">
        <f t="shared" si="24"/>
        <v>19</v>
      </c>
      <c r="D71" s="39" t="s">
        <v>476</v>
      </c>
      <c r="E71" s="200" t="s">
        <v>116</v>
      </c>
      <c r="F71" s="851">
        <f>+F435</f>
        <v>1241799.47</v>
      </c>
      <c r="G71" s="200"/>
      <c r="H71" s="200"/>
      <c r="I71" s="200"/>
      <c r="J71" s="851">
        <f t="shared" ref="J71:Q71" ca="1" si="33">+J435</f>
        <v>648273.30870285828</v>
      </c>
      <c r="K71" s="851">
        <f t="shared" ca="1" si="33"/>
        <v>90943.072695655719</v>
      </c>
      <c r="L71" s="851">
        <f t="shared" ca="1" si="33"/>
        <v>357649.5840150952</v>
      </c>
      <c r="M71" s="851">
        <f t="shared" ca="1" si="33"/>
        <v>15061.358558909955</v>
      </c>
      <c r="N71" s="851">
        <f t="shared" ca="1" si="33"/>
        <v>115980.41178792933</v>
      </c>
      <c r="O71" s="851">
        <f ca="1">+O435</f>
        <v>3805.5722844695306</v>
      </c>
      <c r="P71" s="851">
        <f t="shared" ca="1" si="33"/>
        <v>7938.0035381573061</v>
      </c>
      <c r="Q71" s="851">
        <f t="shared" ca="1" si="33"/>
        <v>661.05362902348691</v>
      </c>
      <c r="R71" s="851">
        <f ca="1">+R435</f>
        <v>420.24724613773981</v>
      </c>
      <c r="S71" s="851">
        <f ca="1">+S435</f>
        <v>1066.8575417632192</v>
      </c>
      <c r="T71" s="851"/>
      <c r="U71" s="694">
        <f t="shared" ca="1" si="30"/>
        <v>1241799.47</v>
      </c>
      <c r="W71" s="646">
        <f t="shared" ca="1" si="20"/>
        <v>0</v>
      </c>
    </row>
    <row r="72" spans="2:23" ht="18" customHeight="1" x14ac:dyDescent="0.25">
      <c r="B72" s="645">
        <f t="shared" si="24"/>
        <v>20</v>
      </c>
      <c r="D72" s="39" t="s">
        <v>118</v>
      </c>
      <c r="E72" s="200" t="s">
        <v>119</v>
      </c>
      <c r="F72" s="851">
        <f>+F455</f>
        <v>-298798.5199999999</v>
      </c>
      <c r="G72" s="200"/>
      <c r="H72" s="350"/>
      <c r="I72" s="200"/>
      <c r="J72" s="851">
        <f t="shared" ref="J72:Q72" ca="1" si="34">+J455</f>
        <v>-155937.01466669943</v>
      </c>
      <c r="K72" s="851">
        <f t="shared" ca="1" si="34"/>
        <v>-21873.233167905597</v>
      </c>
      <c r="L72" s="851">
        <f t="shared" ca="1" si="34"/>
        <v>-86031.065483492304</v>
      </c>
      <c r="M72" s="851">
        <f t="shared" ca="1" si="34"/>
        <v>-3622.4255630020193</v>
      </c>
      <c r="N72" s="851">
        <f t="shared" ca="1" si="34"/>
        <v>-27898.194329480433</v>
      </c>
      <c r="O72" s="851">
        <f ca="1">+O455</f>
        <v>-916.85202809729367</v>
      </c>
      <c r="P72" s="851">
        <f t="shared" ca="1" si="34"/>
        <v>-1909.1754032837289</v>
      </c>
      <c r="Q72" s="851">
        <f t="shared" ca="1" si="34"/>
        <v>-252.64580888350275</v>
      </c>
      <c r="R72" s="851">
        <f ca="1">+R455</f>
        <v>-101.18257722364125</v>
      </c>
      <c r="S72" s="851">
        <f ca="1">+S455</f>
        <v>-256.73097193194906</v>
      </c>
      <c r="T72" s="851"/>
      <c r="U72" s="694">
        <f t="shared" ca="1" si="30"/>
        <v>-298798.51999999984</v>
      </c>
      <c r="W72" s="646">
        <f t="shared" ca="1" si="20"/>
        <v>0</v>
      </c>
    </row>
    <row r="73" spans="2:23" ht="18" customHeight="1" x14ac:dyDescent="0.25">
      <c r="B73" s="645">
        <f t="shared" si="24"/>
        <v>21</v>
      </c>
      <c r="D73" s="39" t="s">
        <v>120</v>
      </c>
      <c r="E73" s="200" t="s">
        <v>121</v>
      </c>
      <c r="F73" s="851">
        <f>+F476</f>
        <v>584939.38897891541</v>
      </c>
      <c r="G73" s="200"/>
      <c r="H73" s="200"/>
      <c r="I73" s="200"/>
      <c r="J73" s="851">
        <f t="shared" ref="J73:S73" si="35">+J476</f>
        <v>229342.27961704502</v>
      </c>
      <c r="K73" s="851">
        <f t="shared" si="35"/>
        <v>6948.1500084378085</v>
      </c>
      <c r="L73" s="851">
        <f t="shared" si="35"/>
        <v>244195.51534296709</v>
      </c>
      <c r="M73" s="851">
        <f t="shared" si="35"/>
        <v>4.7016999334745568</v>
      </c>
      <c r="N73" s="851">
        <f t="shared" si="35"/>
        <v>40434.894978183031</v>
      </c>
      <c r="O73" s="851">
        <f>+O476</f>
        <v>7707.6294738031629</v>
      </c>
      <c r="P73" s="851">
        <f t="shared" si="35"/>
        <v>53159.051376293472</v>
      </c>
      <c r="Q73" s="851">
        <f t="shared" si="35"/>
        <v>1876.5583157754083</v>
      </c>
      <c r="R73" s="851">
        <f t="shared" si="35"/>
        <v>582.92132021610644</v>
      </c>
      <c r="S73" s="851">
        <f t="shared" si="35"/>
        <v>687.68684626060985</v>
      </c>
      <c r="T73" s="851"/>
      <c r="U73" s="694">
        <f t="shared" si="30"/>
        <v>584939.38897891506</v>
      </c>
      <c r="W73" s="646">
        <f t="shared" si="20"/>
        <v>0</v>
      </c>
    </row>
    <row r="74" spans="2:23" ht="18" customHeight="1" x14ac:dyDescent="0.25">
      <c r="B74" s="645">
        <f t="shared" si="24"/>
        <v>22</v>
      </c>
      <c r="D74" s="40" t="s">
        <v>477</v>
      </c>
      <c r="E74" s="200" t="s">
        <v>123</v>
      </c>
      <c r="F74" s="851">
        <f>F499</f>
        <v>-302530.2</v>
      </c>
      <c r="G74" s="200"/>
      <c r="H74" s="200"/>
      <c r="I74" s="200"/>
      <c r="J74" s="851">
        <f t="shared" ref="J74:Q74" si="36">J499</f>
        <v>-134625.00876041738</v>
      </c>
      <c r="K74" s="851">
        <f t="shared" si="36"/>
        <v>-2543.4254880213784</v>
      </c>
      <c r="L74" s="851">
        <f t="shared" si="36"/>
        <v>-86470.211633648272</v>
      </c>
      <c r="M74" s="851">
        <f t="shared" si="36"/>
        <v>-40.462933177914387</v>
      </c>
      <c r="N74" s="851">
        <f t="shared" si="36"/>
        <v>-25434.476975188023</v>
      </c>
      <c r="O74" s="851">
        <f>O499</f>
        <v>-10932.238837812787</v>
      </c>
      <c r="P74" s="851">
        <f t="shared" si="36"/>
        <v>-39983.78348653319</v>
      </c>
      <c r="Q74" s="851">
        <f t="shared" si="36"/>
        <v>-768.98557027379991</v>
      </c>
      <c r="R74" s="851">
        <f>R499</f>
        <v>-755.67905905374948</v>
      </c>
      <c r="S74" s="851">
        <f>S499</f>
        <v>-975.92725587351163</v>
      </c>
      <c r="T74" s="851"/>
      <c r="U74" s="694">
        <f t="shared" si="30"/>
        <v>-302530.20000000007</v>
      </c>
      <c r="W74" s="646">
        <f t="shared" si="20"/>
        <v>0</v>
      </c>
    </row>
    <row r="75" spans="2:23" ht="18" customHeight="1" x14ac:dyDescent="0.25">
      <c r="B75" s="645">
        <f t="shared" si="24"/>
        <v>23</v>
      </c>
      <c r="D75" s="40" t="s">
        <v>478</v>
      </c>
      <c r="E75" s="200" t="s">
        <v>127</v>
      </c>
      <c r="F75" s="851">
        <f>F614</f>
        <v>30745549.989999995</v>
      </c>
      <c r="G75" s="200"/>
      <c r="H75" s="200"/>
      <c r="I75" s="200"/>
      <c r="J75" s="851">
        <f t="shared" ref="J75:Q75" ca="1" si="37">J614</f>
        <v>16051153.365853686</v>
      </c>
      <c r="K75" s="851">
        <f t="shared" ca="1" si="37"/>
        <v>2251733.5330201974</v>
      </c>
      <c r="L75" s="851">
        <f t="shared" ca="1" si="37"/>
        <v>8855354.0080504175</v>
      </c>
      <c r="M75" s="851">
        <f t="shared" ca="1" si="37"/>
        <v>372916.32546132099</v>
      </c>
      <c r="N75" s="851">
        <f t="shared" ca="1" si="37"/>
        <v>2871658.2599232285</v>
      </c>
      <c r="O75" s="851">
        <f ca="1">O614</f>
        <v>94227.71120175079</v>
      </c>
      <c r="P75" s="851">
        <f t="shared" ca="1" si="37"/>
        <v>196543.42719844979</v>
      </c>
      <c r="Q75" s="851">
        <f t="shared" ca="1" si="37"/>
        <v>16515.520401670852</v>
      </c>
      <c r="R75" s="851">
        <f ca="1">R614</f>
        <v>10017.415478506317</v>
      </c>
      <c r="S75" s="851">
        <f ca="1">S614</f>
        <v>25430.423410766627</v>
      </c>
      <c r="T75" s="851"/>
      <c r="U75" s="694">
        <f t="shared" ca="1" si="30"/>
        <v>30745549.989999991</v>
      </c>
      <c r="W75" s="646">
        <f t="shared" ca="1" si="20"/>
        <v>0</v>
      </c>
    </row>
    <row r="76" spans="2:23" ht="18" customHeight="1" x14ac:dyDescent="0.35">
      <c r="B76" s="645">
        <f t="shared" si="24"/>
        <v>24</v>
      </c>
      <c r="D76" s="40" t="s">
        <v>1107</v>
      </c>
      <c r="E76" s="200" t="s">
        <v>480</v>
      </c>
      <c r="F76" s="203">
        <f>+F413</f>
        <v>-11971648.140000001</v>
      </c>
      <c r="G76" s="200"/>
      <c r="H76" s="200"/>
      <c r="I76" s="200"/>
      <c r="J76" s="203">
        <f t="shared" ref="J76:Q76" ca="1" si="38">+J413</f>
        <v>-6249720.7784637082</v>
      </c>
      <c r="K76" s="203">
        <f t="shared" ca="1" si="38"/>
        <v>-876742.57670832449</v>
      </c>
      <c r="L76" s="203">
        <f t="shared" ca="1" si="38"/>
        <v>-3447943.9560769731</v>
      </c>
      <c r="M76" s="203">
        <f t="shared" ca="1" si="38"/>
        <v>-145200.00171819</v>
      </c>
      <c r="N76" s="203">
        <f t="shared" ca="1" si="38"/>
        <v>-1118116.6642448304</v>
      </c>
      <c r="O76" s="203">
        <f ca="1">+O413</f>
        <v>-36687.865844398541</v>
      </c>
      <c r="P76" s="203">
        <f t="shared" ca="1" si="38"/>
        <v>-76526.836730647294</v>
      </c>
      <c r="Q76" s="203">
        <f t="shared" ca="1" si="38"/>
        <v>-6372.9302834533164</v>
      </c>
      <c r="R76" s="203">
        <f ca="1">+R413</f>
        <v>-4051.4207680930922</v>
      </c>
      <c r="S76" s="203">
        <f ca="1">+S413</f>
        <v>-10285.109161380635</v>
      </c>
      <c r="T76" s="203"/>
      <c r="U76" s="204">
        <f t="shared" ca="1" si="30"/>
        <v>-11971648.140000001</v>
      </c>
      <c r="W76" s="646">
        <f t="shared" ca="1" si="20"/>
        <v>0</v>
      </c>
    </row>
    <row r="77" spans="2:23" ht="18" customHeight="1" x14ac:dyDescent="0.25">
      <c r="B77" s="645">
        <f t="shared" si="24"/>
        <v>25</v>
      </c>
      <c r="C77" s="104"/>
      <c r="D77" s="153" t="s">
        <v>444</v>
      </c>
      <c r="E77" s="153"/>
      <c r="F77" s="208">
        <f>SUM(F68:F76)</f>
        <v>19999311.988978911</v>
      </c>
      <c r="G77" s="153"/>
      <c r="H77" s="153"/>
      <c r="I77" s="153"/>
      <c r="J77" s="208">
        <f t="shared" ref="J77:Q77" ca="1" si="39">SUM(J68:J76)</f>
        <v>10388486.152282765</v>
      </c>
      <c r="K77" s="208">
        <f t="shared" ca="1" si="39"/>
        <v>1448465.5203600393</v>
      </c>
      <c r="L77" s="208">
        <f t="shared" ca="1" si="39"/>
        <v>5836753.874214367</v>
      </c>
      <c r="M77" s="208">
        <f t="shared" ca="1" si="39"/>
        <v>239119.4955057945</v>
      </c>
      <c r="N77" s="208">
        <f t="shared" ca="1" si="39"/>
        <v>1856624.2311398422</v>
      </c>
      <c r="O77" s="208">
        <f ca="1">SUM(O68:O76)</f>
        <v>57203.956249714865</v>
      </c>
      <c r="P77" s="208">
        <f t="shared" ca="1" si="39"/>
        <v>139220.68649243633</v>
      </c>
      <c r="Q77" s="208">
        <f t="shared" ca="1" si="39"/>
        <v>11658.570683859129</v>
      </c>
      <c r="R77" s="208">
        <f ca="1">SUM(R68:R76)</f>
        <v>6112.3016404896807</v>
      </c>
      <c r="S77" s="208">
        <f ca="1">SUM(S68:S76)</f>
        <v>15667.20040960436</v>
      </c>
      <c r="T77" s="208"/>
      <c r="U77" s="190">
        <f t="shared" ca="1" si="30"/>
        <v>19999311.988978911</v>
      </c>
      <c r="V77" s="104"/>
      <c r="W77" s="646">
        <f t="shared" ca="1" si="20"/>
        <v>0</v>
      </c>
    </row>
    <row r="78" spans="2:23" ht="18" customHeight="1" thickBot="1" x14ac:dyDescent="0.25">
      <c r="B78" s="645">
        <f t="shared" si="24"/>
        <v>26</v>
      </c>
      <c r="D78" s="39"/>
      <c r="E78" s="39"/>
      <c r="F78" s="571"/>
      <c r="G78" s="39"/>
      <c r="H78" s="39"/>
      <c r="I78" s="39"/>
      <c r="J78" s="571"/>
      <c r="K78" s="571"/>
      <c r="L78" s="571"/>
      <c r="M78" s="571"/>
      <c r="N78" s="571"/>
      <c r="O78" s="571"/>
      <c r="P78" s="571"/>
      <c r="Q78" s="571"/>
      <c r="R78" s="571"/>
      <c r="S78" s="571"/>
      <c r="T78" s="571"/>
      <c r="U78" s="571"/>
      <c r="W78" s="646">
        <f t="shared" si="20"/>
        <v>0</v>
      </c>
    </row>
    <row r="79" spans="2:23" ht="18" customHeight="1" thickBot="1" x14ac:dyDescent="0.3">
      <c r="B79" s="645">
        <f t="shared" si="24"/>
        <v>27</v>
      </c>
      <c r="C79" s="104"/>
      <c r="D79" s="215" t="s">
        <v>481</v>
      </c>
      <c r="E79" s="216"/>
      <c r="F79" s="814">
        <f>+F64+F77</f>
        <v>441137289.90897888</v>
      </c>
      <c r="G79" s="216"/>
      <c r="H79" s="216"/>
      <c r="I79" s="905"/>
      <c r="J79" s="291">
        <f t="shared" ref="J79:Q79" ca="1" si="40">+J64+J77</f>
        <v>230240818.96623522</v>
      </c>
      <c r="K79" s="814">
        <f t="shared" ca="1" si="40"/>
        <v>32290467.523211606</v>
      </c>
      <c r="L79" s="814">
        <f t="shared" ca="1" si="40"/>
        <v>127128336.17457269</v>
      </c>
      <c r="M79" s="814">
        <f t="shared" ca="1" si="40"/>
        <v>5346957.1468034117</v>
      </c>
      <c r="N79" s="814">
        <f t="shared" ca="1" si="40"/>
        <v>41189670.571300939</v>
      </c>
      <c r="O79" s="814">
        <f ca="1">+O64+O77</f>
        <v>1347807.6772433254</v>
      </c>
      <c r="P79" s="814">
        <f t="shared" ca="1" si="40"/>
        <v>2831277.5278288033</v>
      </c>
      <c r="Q79" s="814">
        <f t="shared" ca="1" si="40"/>
        <v>235845.16066817369</v>
      </c>
      <c r="R79" s="814">
        <f ca="1">+R64+R77</f>
        <v>148632.95794653261</v>
      </c>
      <c r="S79" s="218">
        <f ca="1">+S64+S77</f>
        <v>377476.20316820929</v>
      </c>
      <c r="T79" s="907"/>
      <c r="U79" s="218">
        <f ca="1">SUM(I79:T79)</f>
        <v>441137289.908979</v>
      </c>
      <c r="V79" s="104"/>
      <c r="W79" s="646">
        <f t="shared" ca="1" si="20"/>
        <v>0</v>
      </c>
    </row>
    <row r="80" spans="2:23" ht="18" customHeight="1" x14ac:dyDescent="0.2">
      <c r="B80" s="645">
        <f t="shared" si="24"/>
        <v>28</v>
      </c>
      <c r="D80" s="220"/>
      <c r="E80" s="220"/>
      <c r="F80" s="851"/>
      <c r="G80" s="220"/>
      <c r="H80" s="220"/>
      <c r="I80" s="220"/>
      <c r="J80" s="851"/>
      <c r="K80" s="851"/>
      <c r="L80" s="851"/>
      <c r="M80" s="851"/>
      <c r="N80" s="851"/>
      <c r="O80" s="851"/>
      <c r="P80" s="851"/>
      <c r="Q80" s="851"/>
      <c r="R80" s="851"/>
      <c r="S80" s="851"/>
      <c r="T80" s="851"/>
      <c r="U80" s="851"/>
      <c r="W80" s="646">
        <f t="shared" si="20"/>
        <v>0</v>
      </c>
    </row>
    <row r="81" spans="2:23" ht="18" customHeight="1" x14ac:dyDescent="0.25">
      <c r="B81" s="645">
        <f t="shared" si="24"/>
        <v>29</v>
      </c>
      <c r="D81" s="46" t="s">
        <v>482</v>
      </c>
      <c r="E81" s="220"/>
      <c r="F81" s="815">
        <f>F620</f>
        <v>7.4700000000000003E-2</v>
      </c>
      <c r="G81" s="220"/>
      <c r="H81" s="220"/>
      <c r="I81" s="220"/>
      <c r="J81" s="815">
        <f t="shared" ref="J81:Q81" si="41">J620</f>
        <v>7.4700000000000003E-2</v>
      </c>
      <c r="K81" s="815">
        <f t="shared" si="41"/>
        <v>7.4700000000000003E-2</v>
      </c>
      <c r="L81" s="815">
        <f t="shared" si="41"/>
        <v>7.4700000000000003E-2</v>
      </c>
      <c r="M81" s="815">
        <f t="shared" si="41"/>
        <v>7.4700000000000003E-2</v>
      </c>
      <c r="N81" s="815">
        <f t="shared" si="41"/>
        <v>7.4700000000000003E-2</v>
      </c>
      <c r="O81" s="815">
        <f>O620</f>
        <v>7.4700000000000003E-2</v>
      </c>
      <c r="P81" s="815">
        <f t="shared" si="41"/>
        <v>7.4700000000000003E-2</v>
      </c>
      <c r="Q81" s="815">
        <f t="shared" si="41"/>
        <v>7.4700000000000003E-2</v>
      </c>
      <c r="R81" s="815">
        <f>R620</f>
        <v>7.4700000000000003E-2</v>
      </c>
      <c r="S81" s="815">
        <f>S620</f>
        <v>7.4700000000000003E-2</v>
      </c>
      <c r="T81" s="815"/>
      <c r="U81" s="815">
        <f ca="1">U83/U79</f>
        <v>7.4699999999999989E-2</v>
      </c>
      <c r="W81" s="646">
        <f t="shared" ca="1" si="20"/>
        <v>0</v>
      </c>
    </row>
    <row r="82" spans="2:23" ht="18" customHeight="1" thickBot="1" x14ac:dyDescent="0.25">
      <c r="B82" s="645">
        <f t="shared" si="24"/>
        <v>30</v>
      </c>
      <c r="D82" s="647"/>
      <c r="E82" s="647"/>
      <c r="F82" s="851"/>
      <c r="G82" s="647"/>
      <c r="H82" s="647"/>
      <c r="I82" s="647"/>
      <c r="J82" s="851"/>
      <c r="K82" s="851"/>
      <c r="L82" s="851"/>
      <c r="M82" s="851"/>
      <c r="N82" s="851"/>
      <c r="O82" s="851"/>
      <c r="P82" s="851"/>
      <c r="Q82" s="851"/>
      <c r="R82" s="851"/>
      <c r="S82" s="851"/>
      <c r="T82" s="851"/>
      <c r="U82" s="851"/>
      <c r="W82" s="646">
        <f t="shared" si="20"/>
        <v>0</v>
      </c>
    </row>
    <row r="83" spans="2:23" ht="18" customHeight="1" thickBot="1" x14ac:dyDescent="0.3">
      <c r="B83" s="645">
        <f t="shared" si="24"/>
        <v>31</v>
      </c>
      <c r="C83" s="104"/>
      <c r="D83" s="223" t="s">
        <v>483</v>
      </c>
      <c r="E83" s="224"/>
      <c r="F83" s="814">
        <f>+F79*F81</f>
        <v>32952955.556200724</v>
      </c>
      <c r="G83" s="224"/>
      <c r="H83" s="224"/>
      <c r="I83" s="906"/>
      <c r="J83" s="291">
        <f t="shared" ref="J83:Q83" ca="1" si="42">+J79*J81</f>
        <v>17198989.176777773</v>
      </c>
      <c r="K83" s="814">
        <f t="shared" ca="1" si="42"/>
        <v>2412097.9239839069</v>
      </c>
      <c r="L83" s="814">
        <f t="shared" ca="1" si="42"/>
        <v>9496486.7122405805</v>
      </c>
      <c r="M83" s="814">
        <f t="shared" ca="1" si="42"/>
        <v>399417.69886621484</v>
      </c>
      <c r="N83" s="814">
        <f t="shared" ca="1" si="42"/>
        <v>3076868.3916761801</v>
      </c>
      <c r="O83" s="814">
        <f ca="1">+O79*O81</f>
        <v>100681.23349007641</v>
      </c>
      <c r="P83" s="814">
        <f t="shared" ca="1" si="42"/>
        <v>211496.43132881162</v>
      </c>
      <c r="Q83" s="814">
        <f t="shared" ca="1" si="42"/>
        <v>17617.633501912576</v>
      </c>
      <c r="R83" s="814">
        <f ca="1">+R79*R81</f>
        <v>11102.881958605987</v>
      </c>
      <c r="S83" s="218">
        <f ca="1">+S79*S81</f>
        <v>28197.472376665235</v>
      </c>
      <c r="T83" s="814"/>
      <c r="U83" s="907">
        <f ca="1">SUM(I83:T83)</f>
        <v>32952955.556200728</v>
      </c>
      <c r="V83" s="104"/>
      <c r="W83" s="1583" t="b">
        <f ca="1">IF(ROUND(U83-'WP II-I-1.1'!H494,2)=0,TRUE,U83-'WP II-I-1.1'!H494)</f>
        <v>1</v>
      </c>
    </row>
    <row r="84" spans="2:23" ht="18" customHeight="1" x14ac:dyDescent="0.25">
      <c r="B84" s="645"/>
      <c r="C84" s="104"/>
      <c r="V84" s="104"/>
      <c r="W84" s="104"/>
    </row>
    <row r="85" spans="2:23" ht="18" customHeight="1" x14ac:dyDescent="0.25">
      <c r="B85" s="645"/>
      <c r="C85" s="104"/>
      <c r="V85" s="104"/>
      <c r="W85" s="104"/>
    </row>
    <row r="86" spans="2:23" ht="6.75" customHeight="1" x14ac:dyDescent="0.25">
      <c r="B86" s="645"/>
      <c r="C86" s="104"/>
      <c r="V86" s="104"/>
      <c r="W86" s="646">
        <f t="shared" ref="W86:W154" si="43">U86-F86</f>
        <v>0</v>
      </c>
    </row>
    <row r="87" spans="2:23" ht="6" customHeight="1" x14ac:dyDescent="0.25">
      <c r="B87" s="645"/>
      <c r="C87" s="104"/>
      <c r="V87" s="104"/>
      <c r="W87" s="646">
        <f t="shared" si="43"/>
        <v>0</v>
      </c>
    </row>
    <row r="88" spans="2:23" ht="9.75" customHeight="1" x14ac:dyDescent="0.25">
      <c r="B88" s="645"/>
      <c r="C88" s="104"/>
      <c r="V88" s="104"/>
      <c r="W88" s="646">
        <f t="shared" si="43"/>
        <v>0</v>
      </c>
    </row>
    <row r="89" spans="2:23" ht="9" customHeight="1" x14ac:dyDescent="0.25">
      <c r="B89" s="645"/>
      <c r="C89" s="104"/>
      <c r="V89" s="104"/>
      <c r="W89" s="646">
        <f t="shared" si="43"/>
        <v>0</v>
      </c>
    </row>
    <row r="90" spans="2:23" ht="8.25" customHeight="1" thickBot="1" x14ac:dyDescent="0.3">
      <c r="B90" s="104"/>
      <c r="C90" s="645"/>
      <c r="V90" s="104"/>
      <c r="W90" s="646">
        <f t="shared" si="43"/>
        <v>0</v>
      </c>
    </row>
    <row r="91" spans="2:23" ht="18" customHeight="1" x14ac:dyDescent="0.25">
      <c r="B91" s="829" t="str">
        <f>+$B$4</f>
        <v>2025 RATE CASE</v>
      </c>
      <c r="C91" s="844"/>
      <c r="D91" s="1586"/>
      <c r="V91" s="653">
        <f>$H$2</f>
        <v>0</v>
      </c>
      <c r="W91" s="646"/>
    </row>
    <row r="92" spans="2:23" ht="18" customHeight="1" x14ac:dyDescent="0.25">
      <c r="B92" s="826" t="str">
        <f>+$B$5</f>
        <v>ONCOR ELECTRIC DELIVERY COMPANY LLC</v>
      </c>
      <c r="C92" s="8"/>
      <c r="D92" s="1587"/>
      <c r="W92" s="646">
        <f t="shared" si="43"/>
        <v>0</v>
      </c>
    </row>
    <row r="93" spans="2:23" ht="18" customHeight="1" x14ac:dyDescent="0.25">
      <c r="B93" s="826" t="str">
        <f>+$B$6</f>
        <v>II-I-1-MET:  CLASS REVENUE REQUIREMENT</v>
      </c>
      <c r="C93" s="82"/>
      <c r="D93" s="1587"/>
      <c r="W93" s="646">
        <f t="shared" si="43"/>
        <v>0</v>
      </c>
    </row>
    <row r="94" spans="2:23" ht="18" customHeight="1" x14ac:dyDescent="0.25">
      <c r="B94" s="341" t="str">
        <f>+$B$7</f>
        <v>TEST YEAR ENDING 12/31/2024</v>
      </c>
      <c r="C94" s="82"/>
      <c r="D94" s="1587"/>
      <c r="W94" s="646">
        <f t="shared" si="43"/>
        <v>0</v>
      </c>
    </row>
    <row r="95" spans="2:23" ht="18" customHeight="1" x14ac:dyDescent="0.25">
      <c r="B95" s="341" t="str">
        <f>+$B$8</f>
        <v>SPONSOR:  MATTHEW A. TROXLE</v>
      </c>
      <c r="C95" s="82"/>
      <c r="D95" s="1587"/>
      <c r="W95" s="646">
        <f t="shared" si="43"/>
        <v>0</v>
      </c>
    </row>
    <row r="96" spans="2:23" ht="18" customHeight="1" thickBot="1" x14ac:dyDescent="0.3">
      <c r="B96" s="345"/>
      <c r="C96" s="843"/>
      <c r="D96" s="839"/>
      <c r="U96" s="571"/>
      <c r="W96" s="646">
        <f t="shared" si="43"/>
        <v>0</v>
      </c>
    </row>
    <row r="97" spans="2:23" ht="18" customHeight="1" thickBot="1" x14ac:dyDescent="0.25">
      <c r="B97" s="655"/>
      <c r="C97" s="656"/>
      <c r="D97" s="656"/>
      <c r="E97" s="656"/>
      <c r="F97" s="656"/>
      <c r="G97" s="656"/>
      <c r="H97" s="656"/>
      <c r="I97" s="656"/>
      <c r="J97" s="657"/>
      <c r="K97" s="657"/>
      <c r="L97" s="656"/>
      <c r="M97" s="657"/>
      <c r="N97" s="657"/>
      <c r="O97" s="657"/>
      <c r="P97" s="657"/>
      <c r="Q97" s="656"/>
      <c r="R97" s="658" t="str">
        <f>R$10</f>
        <v xml:space="preserve"> </v>
      </c>
      <c r="S97" s="659"/>
      <c r="T97" s="657"/>
      <c r="U97" s="655"/>
      <c r="W97" s="646">
        <f t="shared" si="43"/>
        <v>0</v>
      </c>
    </row>
    <row r="98" spans="2:23" ht="18" customHeight="1" x14ac:dyDescent="0.25">
      <c r="B98" s="660" t="s">
        <v>2</v>
      </c>
      <c r="C98" s="660" t="s">
        <v>349</v>
      </c>
      <c r="D98" s="226" t="s">
        <v>484</v>
      </c>
      <c r="E98" s="660" t="s">
        <v>350</v>
      </c>
      <c r="F98" s="226" t="str">
        <f>F$11</f>
        <v>MET</v>
      </c>
      <c r="G98" s="661" t="s">
        <v>688</v>
      </c>
      <c r="H98" s="661" t="s">
        <v>355</v>
      </c>
      <c r="I98" s="660"/>
      <c r="J98" s="661" t="s">
        <v>679</v>
      </c>
      <c r="K98" s="661" t="s">
        <v>388</v>
      </c>
      <c r="L98" s="660" t="s">
        <v>388</v>
      </c>
      <c r="M98" s="661" t="s">
        <v>389</v>
      </c>
      <c r="N98" s="661" t="s">
        <v>389</v>
      </c>
      <c r="O98" s="661" t="s">
        <v>389</v>
      </c>
      <c r="P98" s="661" t="s">
        <v>390</v>
      </c>
      <c r="Q98" s="660" t="s">
        <v>391</v>
      </c>
      <c r="R98" s="662" t="str">
        <f>R$11</f>
        <v>Wholesale</v>
      </c>
      <c r="S98" s="655" t="str">
        <f>S$11</f>
        <v>Wholesale</v>
      </c>
      <c r="T98" s="661"/>
      <c r="U98" s="660" t="s">
        <v>10</v>
      </c>
      <c r="W98" s="646"/>
    </row>
    <row r="99" spans="2:23" ht="18" customHeight="1" x14ac:dyDescent="0.2">
      <c r="B99" s="660"/>
      <c r="C99" s="660"/>
      <c r="D99" s="660"/>
      <c r="E99" s="660"/>
      <c r="F99" s="660"/>
      <c r="G99" s="661" t="s">
        <v>689</v>
      </c>
      <c r="H99" s="661" t="s">
        <v>690</v>
      </c>
      <c r="I99" s="660"/>
      <c r="J99" s="661"/>
      <c r="K99" s="661" t="s">
        <v>680</v>
      </c>
      <c r="L99" s="660" t="s">
        <v>681</v>
      </c>
      <c r="M99" s="661" t="s">
        <v>680</v>
      </c>
      <c r="N99" s="661" t="s">
        <v>681</v>
      </c>
      <c r="O99" s="661" t="s">
        <v>393</v>
      </c>
      <c r="P99" s="661"/>
      <c r="Q99" s="660"/>
      <c r="R99" s="663" t="str">
        <f>R$12</f>
        <v>XFMR</v>
      </c>
      <c r="S99" s="660" t="str">
        <f>S$12</f>
        <v>DLS</v>
      </c>
      <c r="T99" s="661"/>
      <c r="U99" s="660"/>
      <c r="W99" s="646">
        <f t="shared" si="43"/>
        <v>0</v>
      </c>
    </row>
    <row r="100" spans="2:23" ht="18" customHeight="1" thickBot="1" x14ac:dyDescent="0.25">
      <c r="B100" s="664"/>
      <c r="C100" s="664"/>
      <c r="D100" s="664"/>
      <c r="E100" s="664"/>
      <c r="F100" s="664" t="s">
        <v>13</v>
      </c>
      <c r="G100" s="664" t="s">
        <v>14</v>
      </c>
      <c r="H100" s="664" t="s">
        <v>15</v>
      </c>
      <c r="I100" s="664"/>
      <c r="J100" s="665" t="str">
        <f t="shared" ref="J100:Q100" si="44">J$13</f>
        <v>(d)</v>
      </c>
      <c r="K100" s="665" t="str">
        <f t="shared" si="44"/>
        <v>(e)</v>
      </c>
      <c r="L100" s="664" t="str">
        <f t="shared" si="44"/>
        <v>(f)</v>
      </c>
      <c r="M100" s="665" t="str">
        <f t="shared" si="44"/>
        <v>(g)</v>
      </c>
      <c r="N100" s="665" t="str">
        <f t="shared" si="44"/>
        <v>(h)</v>
      </c>
      <c r="O100" s="665" t="str">
        <f>O$13</f>
        <v>(i)</v>
      </c>
      <c r="P100" s="665" t="str">
        <f t="shared" si="44"/>
        <v>(j)</v>
      </c>
      <c r="Q100" s="665" t="str">
        <f t="shared" si="44"/>
        <v>(k)</v>
      </c>
      <c r="R100" s="665" t="str">
        <f>R$13</f>
        <v>(l)</v>
      </c>
      <c r="S100" s="664" t="str">
        <f>S$13</f>
        <v>(m)</v>
      </c>
      <c r="T100" s="664"/>
      <c r="U100" s="664" t="s">
        <v>683</v>
      </c>
      <c r="W100" s="646"/>
    </row>
    <row r="101" spans="2:23" ht="18" customHeight="1" x14ac:dyDescent="0.2"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W101" s="646">
        <f t="shared" si="43"/>
        <v>0</v>
      </c>
    </row>
    <row r="102" spans="2:23" ht="18" customHeight="1" x14ac:dyDescent="0.25">
      <c r="B102" s="645">
        <f t="shared" ref="B102:B121" si="45">B101+1</f>
        <v>1</v>
      </c>
      <c r="C102" s="8" t="s">
        <v>485</v>
      </c>
      <c r="D102" s="8"/>
      <c r="E102" s="1571" t="s">
        <v>24</v>
      </c>
      <c r="F102" s="1571"/>
      <c r="G102" s="1571"/>
      <c r="H102" s="1571"/>
      <c r="I102" s="1571"/>
      <c r="J102" s="1571"/>
      <c r="K102" s="1571"/>
      <c r="L102" s="1571"/>
      <c r="M102" s="1571"/>
      <c r="N102" s="1571"/>
      <c r="O102" s="1571"/>
      <c r="P102" s="1571"/>
      <c r="Q102" s="1571"/>
      <c r="R102" s="1571"/>
      <c r="S102" s="1571"/>
      <c r="T102" s="1571"/>
      <c r="U102" s="8"/>
      <c r="W102" s="646">
        <f t="shared" si="43"/>
        <v>0</v>
      </c>
    </row>
    <row r="103" spans="2:23" ht="18" customHeight="1" x14ac:dyDescent="0.2">
      <c r="B103" s="645">
        <f t="shared" si="45"/>
        <v>2</v>
      </c>
      <c r="C103" s="647" t="s">
        <v>25</v>
      </c>
      <c r="D103" s="647" t="s">
        <v>26</v>
      </c>
      <c r="E103" s="645"/>
      <c r="F103" s="646">
        <f>' WP II-I-1.4'!H103</f>
        <v>0</v>
      </c>
      <c r="G103" s="645">
        <v>65</v>
      </c>
      <c r="H103" s="620" t="str">
        <f>VLOOKUP(G103,FactorTable,2)</f>
        <v>PLT_N XINT</v>
      </c>
      <c r="I103" s="645"/>
      <c r="J103" s="648">
        <f t="shared" ref="J103:S105" ca="1" si="46">$F103*HLOOKUP(J$1354,FactorTable,$G103+1)</f>
        <v>0</v>
      </c>
      <c r="K103" s="648">
        <f t="shared" ca="1" si="46"/>
        <v>0</v>
      </c>
      <c r="L103" s="648">
        <f t="shared" ca="1" si="46"/>
        <v>0</v>
      </c>
      <c r="M103" s="648">
        <f t="shared" ca="1" si="46"/>
        <v>0</v>
      </c>
      <c r="N103" s="648">
        <f t="shared" ca="1" si="46"/>
        <v>0</v>
      </c>
      <c r="O103" s="648">
        <f t="shared" ca="1" si="46"/>
        <v>0</v>
      </c>
      <c r="P103" s="648">
        <f t="shared" ca="1" si="46"/>
        <v>0</v>
      </c>
      <c r="Q103" s="648">
        <f t="shared" ca="1" si="46"/>
        <v>0</v>
      </c>
      <c r="R103" s="648">
        <f t="shared" ca="1" si="46"/>
        <v>0</v>
      </c>
      <c r="S103" s="648">
        <f t="shared" ca="1" si="46"/>
        <v>0</v>
      </c>
      <c r="T103" s="645"/>
      <c r="U103" s="646">
        <f ca="1">SUM(I103:T103)</f>
        <v>0</v>
      </c>
      <c r="W103" s="646">
        <f t="shared" ca="1" si="43"/>
        <v>0</v>
      </c>
    </row>
    <row r="104" spans="2:23" ht="18" customHeight="1" x14ac:dyDescent="0.2">
      <c r="B104" s="645">
        <f t="shared" si="45"/>
        <v>3</v>
      </c>
      <c r="C104" s="647" t="s">
        <v>27</v>
      </c>
      <c r="D104" s="647" t="s">
        <v>28</v>
      </c>
      <c r="E104" s="645"/>
      <c r="F104" s="646">
        <f>' WP II-I-1.4'!H104</f>
        <v>0</v>
      </c>
      <c r="G104" s="645">
        <v>65</v>
      </c>
      <c r="H104" s="620" t="str">
        <f>VLOOKUP(G104,FactorTable,2)</f>
        <v>PLT_N XINT</v>
      </c>
      <c r="I104" s="645"/>
      <c r="J104" s="648">
        <f t="shared" ca="1" si="46"/>
        <v>0</v>
      </c>
      <c r="K104" s="648">
        <f t="shared" ca="1" si="46"/>
        <v>0</v>
      </c>
      <c r="L104" s="648">
        <f t="shared" ca="1" si="46"/>
        <v>0</v>
      </c>
      <c r="M104" s="648">
        <f t="shared" ca="1" si="46"/>
        <v>0</v>
      </c>
      <c r="N104" s="648">
        <f t="shared" ca="1" si="46"/>
        <v>0</v>
      </c>
      <c r="O104" s="648">
        <f t="shared" ca="1" si="46"/>
        <v>0</v>
      </c>
      <c r="P104" s="648">
        <f t="shared" ca="1" si="46"/>
        <v>0</v>
      </c>
      <c r="Q104" s="648">
        <f t="shared" ca="1" si="46"/>
        <v>0</v>
      </c>
      <c r="R104" s="648">
        <f t="shared" ca="1" si="46"/>
        <v>0</v>
      </c>
      <c r="S104" s="648">
        <f t="shared" ca="1" si="46"/>
        <v>0</v>
      </c>
      <c r="T104" s="645"/>
      <c r="U104" s="646">
        <f ca="1">SUM(I104:T104)</f>
        <v>0</v>
      </c>
      <c r="W104" s="646">
        <f t="shared" ca="1" si="43"/>
        <v>0</v>
      </c>
    </row>
    <row r="105" spans="2:23" ht="18" customHeight="1" x14ac:dyDescent="0.2">
      <c r="B105" s="645">
        <f t="shared" si="45"/>
        <v>4</v>
      </c>
      <c r="C105" s="647" t="s">
        <v>29</v>
      </c>
      <c r="D105" s="647" t="s">
        <v>32</v>
      </c>
      <c r="E105" s="645"/>
      <c r="F105" s="646">
        <f>' WP II-I-1.4'!H105</f>
        <v>324360</v>
      </c>
      <c r="G105" s="645">
        <v>65</v>
      </c>
      <c r="H105" s="620" t="str">
        <f>VLOOKUP(G105,FactorTable,2)</f>
        <v>PLT_N XINT</v>
      </c>
      <c r="I105" s="645"/>
      <c r="J105" s="651">
        <f t="shared" ca="1" si="46"/>
        <v>169330.02106278818</v>
      </c>
      <c r="K105" s="651">
        <f t="shared" ca="1" si="46"/>
        <v>23754.475478688117</v>
      </c>
      <c r="L105" s="651">
        <f t="shared" ca="1" si="46"/>
        <v>93418.641152372467</v>
      </c>
      <c r="M105" s="651">
        <f t="shared" ca="1" si="46"/>
        <v>3934.0508513568907</v>
      </c>
      <c r="N105" s="651">
        <f t="shared" ca="1" si="46"/>
        <v>30294.268339100498</v>
      </c>
      <c r="O105" s="651">
        <f t="shared" ca="1" si="46"/>
        <v>994.0215437445288</v>
      </c>
      <c r="P105" s="651">
        <f t="shared" ca="1" si="46"/>
        <v>2073.4191710008581</v>
      </c>
      <c r="Q105" s="651">
        <f t="shared" ca="1" si="46"/>
        <v>172.66826109215387</v>
      </c>
      <c r="R105" s="651">
        <f t="shared" ca="1" si="46"/>
        <v>109.7692502294572</v>
      </c>
      <c r="S105" s="651">
        <f t="shared" ca="1" si="46"/>
        <v>278.66488962692017</v>
      </c>
      <c r="T105" s="645"/>
      <c r="U105" s="646">
        <f ca="1">SUM(I105:T105)</f>
        <v>324360.00000000006</v>
      </c>
      <c r="W105" s="646">
        <f t="shared" ca="1" si="43"/>
        <v>0</v>
      </c>
    </row>
    <row r="106" spans="2:23" ht="18" customHeight="1" x14ac:dyDescent="0.25">
      <c r="B106" s="645">
        <f t="shared" si="45"/>
        <v>5</v>
      </c>
      <c r="C106" s="8"/>
      <c r="D106" s="233" t="s">
        <v>444</v>
      </c>
      <c r="E106" s="1571"/>
      <c r="F106" s="816">
        <f>SUM(F103:F105)</f>
        <v>324360</v>
      </c>
      <c r="G106" s="645"/>
      <c r="H106" s="1571"/>
      <c r="I106" s="1571"/>
      <c r="J106" s="816">
        <f t="shared" ref="J106:Q106" ca="1" si="47">SUM(J103:J105)</f>
        <v>169330.02106278818</v>
      </c>
      <c r="K106" s="816">
        <f t="shared" ca="1" si="47"/>
        <v>23754.475478688117</v>
      </c>
      <c r="L106" s="816">
        <f t="shared" ca="1" si="47"/>
        <v>93418.641152372467</v>
      </c>
      <c r="M106" s="816">
        <f t="shared" ca="1" si="47"/>
        <v>3934.0508513568907</v>
      </c>
      <c r="N106" s="816">
        <f t="shared" ca="1" si="47"/>
        <v>30294.268339100498</v>
      </c>
      <c r="O106" s="816">
        <f ca="1">SUM(O103:O105)</f>
        <v>994.0215437445288</v>
      </c>
      <c r="P106" s="816">
        <f t="shared" ca="1" si="47"/>
        <v>2073.4191710008581</v>
      </c>
      <c r="Q106" s="816">
        <f t="shared" ca="1" si="47"/>
        <v>172.66826109215387</v>
      </c>
      <c r="R106" s="816">
        <f ca="1">SUM(R103:R105)</f>
        <v>109.7692502294572</v>
      </c>
      <c r="S106" s="816">
        <f ca="1">SUM(S103:S105)</f>
        <v>278.66488962692017</v>
      </c>
      <c r="T106" s="1571"/>
      <c r="U106" s="235">
        <f ca="1">SUM(I106:T106)</f>
        <v>324360.00000000006</v>
      </c>
      <c r="W106" s="646">
        <f t="shared" ca="1" si="43"/>
        <v>0</v>
      </c>
    </row>
    <row r="107" spans="2:23" ht="18" customHeight="1" x14ac:dyDescent="0.25">
      <c r="B107" s="645">
        <f t="shared" si="45"/>
        <v>6</v>
      </c>
      <c r="C107" s="8" t="s">
        <v>517</v>
      </c>
      <c r="D107" s="8"/>
      <c r="E107" s="1571" t="s">
        <v>24</v>
      </c>
      <c r="F107" s="1571"/>
      <c r="G107" s="645"/>
      <c r="H107" s="645"/>
      <c r="I107" s="1571"/>
      <c r="J107" s="1571"/>
      <c r="K107" s="1571"/>
      <c r="L107" s="1571"/>
      <c r="M107" s="1571"/>
      <c r="N107" s="1571"/>
      <c r="O107" s="1571"/>
      <c r="P107" s="1571"/>
      <c r="Q107" s="1571"/>
      <c r="R107" s="1571"/>
      <c r="S107" s="1571"/>
      <c r="T107" s="1571"/>
      <c r="U107" s="8"/>
      <c r="W107" s="646">
        <f t="shared" si="43"/>
        <v>0</v>
      </c>
    </row>
    <row r="108" spans="2:23" ht="18" customHeight="1" x14ac:dyDescent="0.25">
      <c r="B108" s="645">
        <f t="shared" si="45"/>
        <v>7</v>
      </c>
      <c r="C108" s="647" t="s">
        <v>37</v>
      </c>
      <c r="D108" s="647" t="s">
        <v>38</v>
      </c>
      <c r="E108" s="1571"/>
      <c r="F108" s="646">
        <f>' WP II-I-1.4'!H108</f>
        <v>0</v>
      </c>
      <c r="G108" s="645">
        <v>28</v>
      </c>
      <c r="H108" s="650" t="str">
        <f t="shared" ref="H108:H120" si="48">VLOOKUP(G108,FactorTable,2)</f>
        <v>NCP XHV</v>
      </c>
      <c r="I108" s="1571"/>
      <c r="J108" s="803">
        <f t="shared" ref="J108:S120" si="49">$F108*HLOOKUP(J$1354,FactorTable,$G108+1)</f>
        <v>0</v>
      </c>
      <c r="K108" s="803">
        <f t="shared" si="49"/>
        <v>0</v>
      </c>
      <c r="L108" s="803">
        <f t="shared" si="49"/>
        <v>0</v>
      </c>
      <c r="M108" s="803">
        <f t="shared" si="49"/>
        <v>0</v>
      </c>
      <c r="N108" s="803">
        <f t="shared" si="49"/>
        <v>0</v>
      </c>
      <c r="O108" s="803">
        <f t="shared" si="49"/>
        <v>0</v>
      </c>
      <c r="P108" s="803">
        <f t="shared" si="49"/>
        <v>0</v>
      </c>
      <c r="Q108" s="803">
        <f t="shared" si="49"/>
        <v>0</v>
      </c>
      <c r="R108" s="803">
        <f t="shared" si="49"/>
        <v>0</v>
      </c>
      <c r="S108" s="803">
        <f t="shared" si="49"/>
        <v>0</v>
      </c>
      <c r="T108" s="1571"/>
      <c r="U108" s="646">
        <f t="shared" ref="U108:U121" si="50">SUM(I108:T108)</f>
        <v>0</v>
      </c>
      <c r="W108" s="646">
        <f t="shared" si="43"/>
        <v>0</v>
      </c>
    </row>
    <row r="109" spans="2:23" ht="18" customHeight="1" x14ac:dyDescent="0.2">
      <c r="B109" s="645">
        <f t="shared" si="45"/>
        <v>8</v>
      </c>
      <c r="C109" s="647" t="s">
        <v>39</v>
      </c>
      <c r="D109" s="647" t="s">
        <v>40</v>
      </c>
      <c r="E109" s="645"/>
      <c r="F109" s="646">
        <f>' WP II-I-1.4'!H109</f>
        <v>0</v>
      </c>
      <c r="G109" s="645">
        <v>28</v>
      </c>
      <c r="H109" s="650" t="str">
        <f t="shared" si="48"/>
        <v>NCP XHV</v>
      </c>
      <c r="I109" s="645"/>
      <c r="J109" s="803">
        <f t="shared" si="49"/>
        <v>0</v>
      </c>
      <c r="K109" s="803">
        <f t="shared" si="49"/>
        <v>0</v>
      </c>
      <c r="L109" s="803">
        <f t="shared" si="49"/>
        <v>0</v>
      </c>
      <c r="M109" s="803">
        <f t="shared" si="49"/>
        <v>0</v>
      </c>
      <c r="N109" s="803">
        <f t="shared" si="49"/>
        <v>0</v>
      </c>
      <c r="O109" s="803">
        <f t="shared" si="49"/>
        <v>0</v>
      </c>
      <c r="P109" s="803">
        <f t="shared" si="49"/>
        <v>0</v>
      </c>
      <c r="Q109" s="803">
        <f t="shared" si="49"/>
        <v>0</v>
      </c>
      <c r="R109" s="803">
        <f t="shared" si="49"/>
        <v>0</v>
      </c>
      <c r="S109" s="803">
        <f t="shared" si="49"/>
        <v>0</v>
      </c>
      <c r="T109" s="645"/>
      <c r="U109" s="646">
        <f t="shared" si="50"/>
        <v>0</v>
      </c>
      <c r="W109" s="646">
        <f t="shared" si="43"/>
        <v>0</v>
      </c>
    </row>
    <row r="110" spans="2:23" ht="18" customHeight="1" x14ac:dyDescent="0.2">
      <c r="B110" s="645">
        <f t="shared" si="45"/>
        <v>9</v>
      </c>
      <c r="C110" s="647" t="s">
        <v>1229</v>
      </c>
      <c r="D110" s="647" t="s">
        <v>1230</v>
      </c>
      <c r="E110" s="645"/>
      <c r="F110" s="668">
        <f>' WP II-I-1.4'!H110</f>
        <v>0</v>
      </c>
      <c r="G110" s="645">
        <v>67</v>
      </c>
      <c r="H110" s="650" t="str">
        <f t="shared" ref="H110:H112" si="51">VLOOKUP(G110,FactorTable,2)</f>
        <v>PLTTRAN_N</v>
      </c>
      <c r="I110" s="645"/>
      <c r="J110" s="803">
        <f t="shared" ca="1" si="49"/>
        <v>0</v>
      </c>
      <c r="K110" s="803">
        <f t="shared" ca="1" si="49"/>
        <v>0</v>
      </c>
      <c r="L110" s="803">
        <f t="shared" ca="1" si="49"/>
        <v>0</v>
      </c>
      <c r="M110" s="803">
        <f t="shared" ca="1" si="49"/>
        <v>0</v>
      </c>
      <c r="N110" s="803">
        <f t="shared" ca="1" si="49"/>
        <v>0</v>
      </c>
      <c r="O110" s="803">
        <f t="shared" ca="1" si="49"/>
        <v>0</v>
      </c>
      <c r="P110" s="803">
        <f t="shared" ca="1" si="49"/>
        <v>0</v>
      </c>
      <c r="Q110" s="803">
        <f t="shared" ca="1" si="49"/>
        <v>0</v>
      </c>
      <c r="R110" s="803">
        <f t="shared" ca="1" si="49"/>
        <v>0</v>
      </c>
      <c r="S110" s="803">
        <f t="shared" ca="1" si="49"/>
        <v>0</v>
      </c>
      <c r="T110" s="645"/>
      <c r="U110" s="646">
        <f t="shared" ref="U110:U112" ca="1" si="52">SUM(I110:T110)</f>
        <v>0</v>
      </c>
      <c r="W110" s="646"/>
    </row>
    <row r="111" spans="2:23" ht="18" customHeight="1" x14ac:dyDescent="0.2">
      <c r="B111" s="645">
        <f t="shared" si="45"/>
        <v>10</v>
      </c>
      <c r="C111" s="647" t="s">
        <v>1231</v>
      </c>
      <c r="D111" s="647" t="s">
        <v>1232</v>
      </c>
      <c r="E111" s="645"/>
      <c r="F111" s="668">
        <f>' WP II-I-1.4'!H111</f>
        <v>0</v>
      </c>
      <c r="G111" s="645">
        <v>67</v>
      </c>
      <c r="H111" s="650" t="str">
        <f t="shared" si="51"/>
        <v>PLTTRAN_N</v>
      </c>
      <c r="I111" s="645"/>
      <c r="J111" s="803">
        <f t="shared" ca="1" si="49"/>
        <v>0</v>
      </c>
      <c r="K111" s="803">
        <f t="shared" ca="1" si="49"/>
        <v>0</v>
      </c>
      <c r="L111" s="803">
        <f t="shared" ca="1" si="49"/>
        <v>0</v>
      </c>
      <c r="M111" s="803">
        <f t="shared" ca="1" si="49"/>
        <v>0</v>
      </c>
      <c r="N111" s="803">
        <f t="shared" ca="1" si="49"/>
        <v>0</v>
      </c>
      <c r="O111" s="803">
        <f t="shared" ca="1" si="49"/>
        <v>0</v>
      </c>
      <c r="P111" s="803">
        <f t="shared" ca="1" si="49"/>
        <v>0</v>
      </c>
      <c r="Q111" s="803">
        <f t="shared" ca="1" si="49"/>
        <v>0</v>
      </c>
      <c r="R111" s="803">
        <f t="shared" ca="1" si="49"/>
        <v>0</v>
      </c>
      <c r="S111" s="803">
        <f t="shared" ca="1" si="49"/>
        <v>0</v>
      </c>
      <c r="T111" s="645"/>
      <c r="U111" s="646">
        <f t="shared" ca="1" si="52"/>
        <v>0</v>
      </c>
      <c r="W111" s="646"/>
    </row>
    <row r="112" spans="2:23" ht="18" customHeight="1" x14ac:dyDescent="0.2">
      <c r="B112" s="645">
        <f t="shared" si="45"/>
        <v>11</v>
      </c>
      <c r="C112" s="647" t="s">
        <v>1233</v>
      </c>
      <c r="D112" s="647" t="s">
        <v>103</v>
      </c>
      <c r="E112" s="645"/>
      <c r="F112" s="668">
        <f>' WP II-I-1.4'!H112</f>
        <v>0</v>
      </c>
      <c r="G112" s="645">
        <v>67</v>
      </c>
      <c r="H112" s="650" t="str">
        <f t="shared" si="51"/>
        <v>PLTTRAN_N</v>
      </c>
      <c r="I112" s="645"/>
      <c r="J112" s="803">
        <f t="shared" ca="1" si="49"/>
        <v>0</v>
      </c>
      <c r="K112" s="803">
        <f t="shared" ca="1" si="49"/>
        <v>0</v>
      </c>
      <c r="L112" s="803">
        <f t="shared" ca="1" si="49"/>
        <v>0</v>
      </c>
      <c r="M112" s="803">
        <f t="shared" ca="1" si="49"/>
        <v>0</v>
      </c>
      <c r="N112" s="803">
        <f t="shared" ca="1" si="49"/>
        <v>0</v>
      </c>
      <c r="O112" s="803">
        <f t="shared" ca="1" si="49"/>
        <v>0</v>
      </c>
      <c r="P112" s="803">
        <f t="shared" ca="1" si="49"/>
        <v>0</v>
      </c>
      <c r="Q112" s="803">
        <f t="shared" ca="1" si="49"/>
        <v>0</v>
      </c>
      <c r="R112" s="803">
        <f t="shared" ca="1" si="49"/>
        <v>0</v>
      </c>
      <c r="S112" s="803">
        <f t="shared" ca="1" si="49"/>
        <v>0</v>
      </c>
      <c r="T112" s="645"/>
      <c r="U112" s="646">
        <f t="shared" ca="1" si="52"/>
        <v>0</v>
      </c>
      <c r="W112" s="646"/>
    </row>
    <row r="113" spans="2:23" ht="18" customHeight="1" x14ac:dyDescent="0.2">
      <c r="B113" s="645">
        <f t="shared" si="45"/>
        <v>12</v>
      </c>
      <c r="C113" s="647" t="s">
        <v>41</v>
      </c>
      <c r="D113" s="647" t="s">
        <v>42</v>
      </c>
      <c r="E113" s="645"/>
      <c r="F113" s="646">
        <f>' WP II-I-1.4'!H113</f>
        <v>0</v>
      </c>
      <c r="G113" s="645">
        <v>28</v>
      </c>
      <c r="H113" s="650" t="str">
        <f t="shared" si="48"/>
        <v>NCP XHV</v>
      </c>
      <c r="I113" s="645"/>
      <c r="J113" s="803">
        <f t="shared" si="49"/>
        <v>0</v>
      </c>
      <c r="K113" s="803">
        <f t="shared" si="49"/>
        <v>0</v>
      </c>
      <c r="L113" s="803">
        <f t="shared" si="49"/>
        <v>0</v>
      </c>
      <c r="M113" s="803">
        <f t="shared" si="49"/>
        <v>0</v>
      </c>
      <c r="N113" s="803">
        <f t="shared" si="49"/>
        <v>0</v>
      </c>
      <c r="O113" s="803">
        <f t="shared" si="49"/>
        <v>0</v>
      </c>
      <c r="P113" s="803">
        <f t="shared" si="49"/>
        <v>0</v>
      </c>
      <c r="Q113" s="803">
        <f t="shared" si="49"/>
        <v>0</v>
      </c>
      <c r="R113" s="803">
        <f t="shared" si="49"/>
        <v>0</v>
      </c>
      <c r="S113" s="803">
        <f t="shared" si="49"/>
        <v>0</v>
      </c>
      <c r="T113" s="645"/>
      <c r="U113" s="646">
        <f t="shared" si="50"/>
        <v>0</v>
      </c>
      <c r="W113" s="646">
        <f t="shared" si="43"/>
        <v>0</v>
      </c>
    </row>
    <row r="114" spans="2:23" ht="18" customHeight="1" x14ac:dyDescent="0.2">
      <c r="B114" s="645">
        <f t="shared" si="45"/>
        <v>13</v>
      </c>
      <c r="C114" s="647" t="s">
        <v>43</v>
      </c>
      <c r="D114" s="647" t="s">
        <v>44</v>
      </c>
      <c r="E114" s="645"/>
      <c r="F114" s="646">
        <f>' WP II-I-1.4'!H114</f>
        <v>0</v>
      </c>
      <c r="G114" s="645">
        <v>28</v>
      </c>
      <c r="H114" s="650" t="str">
        <f t="shared" si="48"/>
        <v>NCP XHV</v>
      </c>
      <c r="I114" s="645"/>
      <c r="J114" s="803">
        <f t="shared" si="49"/>
        <v>0</v>
      </c>
      <c r="K114" s="803">
        <f t="shared" si="49"/>
        <v>0</v>
      </c>
      <c r="L114" s="803">
        <f t="shared" si="49"/>
        <v>0</v>
      </c>
      <c r="M114" s="803">
        <f t="shared" si="49"/>
        <v>0</v>
      </c>
      <c r="N114" s="803">
        <f t="shared" si="49"/>
        <v>0</v>
      </c>
      <c r="O114" s="803">
        <f t="shared" si="49"/>
        <v>0</v>
      </c>
      <c r="P114" s="803">
        <f t="shared" si="49"/>
        <v>0</v>
      </c>
      <c r="Q114" s="803">
        <f t="shared" si="49"/>
        <v>0</v>
      </c>
      <c r="R114" s="803">
        <f t="shared" si="49"/>
        <v>0</v>
      </c>
      <c r="S114" s="803">
        <f t="shared" si="49"/>
        <v>0</v>
      </c>
      <c r="T114" s="645"/>
      <c r="U114" s="646">
        <f t="shared" si="50"/>
        <v>0</v>
      </c>
      <c r="W114" s="646">
        <f t="shared" si="43"/>
        <v>0</v>
      </c>
    </row>
    <row r="115" spans="2:23" ht="18" customHeight="1" x14ac:dyDescent="0.2">
      <c r="B115" s="645">
        <f t="shared" si="45"/>
        <v>14</v>
      </c>
      <c r="C115" s="647" t="s">
        <v>45</v>
      </c>
      <c r="D115" s="647" t="s">
        <v>46</v>
      </c>
      <c r="E115" s="645"/>
      <c r="F115" s="646">
        <f>' WP II-I-1.4'!H115</f>
        <v>0</v>
      </c>
      <c r="G115" s="645">
        <v>28</v>
      </c>
      <c r="H115" s="650" t="str">
        <f t="shared" si="48"/>
        <v>NCP XHV</v>
      </c>
      <c r="I115" s="645"/>
      <c r="J115" s="803">
        <f t="shared" si="49"/>
        <v>0</v>
      </c>
      <c r="K115" s="803">
        <f t="shared" si="49"/>
        <v>0</v>
      </c>
      <c r="L115" s="803">
        <f t="shared" si="49"/>
        <v>0</v>
      </c>
      <c r="M115" s="803">
        <f t="shared" si="49"/>
        <v>0</v>
      </c>
      <c r="N115" s="803">
        <f t="shared" si="49"/>
        <v>0</v>
      </c>
      <c r="O115" s="803">
        <f t="shared" si="49"/>
        <v>0</v>
      </c>
      <c r="P115" s="803">
        <f t="shared" si="49"/>
        <v>0</v>
      </c>
      <c r="Q115" s="803">
        <f t="shared" si="49"/>
        <v>0</v>
      </c>
      <c r="R115" s="803">
        <f t="shared" si="49"/>
        <v>0</v>
      </c>
      <c r="S115" s="803">
        <f t="shared" si="49"/>
        <v>0</v>
      </c>
      <c r="T115" s="645"/>
      <c r="U115" s="646">
        <f t="shared" si="50"/>
        <v>0</v>
      </c>
      <c r="W115" s="646">
        <f t="shared" si="43"/>
        <v>0</v>
      </c>
    </row>
    <row r="116" spans="2:23" ht="18" customHeight="1" x14ac:dyDescent="0.2">
      <c r="B116" s="645">
        <f t="shared" si="45"/>
        <v>15</v>
      </c>
      <c r="C116" s="647" t="s">
        <v>47</v>
      </c>
      <c r="D116" s="647" t="s">
        <v>48</v>
      </c>
      <c r="E116" s="645"/>
      <c r="F116" s="646">
        <f>' WP II-I-1.4'!H116</f>
        <v>0</v>
      </c>
      <c r="G116" s="645">
        <v>28</v>
      </c>
      <c r="H116" s="650" t="str">
        <f t="shared" si="48"/>
        <v>NCP XHV</v>
      </c>
      <c r="I116" s="645"/>
      <c r="J116" s="803">
        <f t="shared" si="49"/>
        <v>0</v>
      </c>
      <c r="K116" s="803">
        <f t="shared" si="49"/>
        <v>0</v>
      </c>
      <c r="L116" s="803">
        <f t="shared" si="49"/>
        <v>0</v>
      </c>
      <c r="M116" s="803">
        <f t="shared" si="49"/>
        <v>0</v>
      </c>
      <c r="N116" s="803">
        <f t="shared" si="49"/>
        <v>0</v>
      </c>
      <c r="O116" s="803">
        <f t="shared" si="49"/>
        <v>0</v>
      </c>
      <c r="P116" s="803">
        <f t="shared" si="49"/>
        <v>0</v>
      </c>
      <c r="Q116" s="803">
        <f t="shared" si="49"/>
        <v>0</v>
      </c>
      <c r="R116" s="803">
        <f t="shared" si="49"/>
        <v>0</v>
      </c>
      <c r="S116" s="803">
        <f t="shared" si="49"/>
        <v>0</v>
      </c>
      <c r="T116" s="645"/>
      <c r="U116" s="646">
        <f t="shared" si="50"/>
        <v>0</v>
      </c>
      <c r="W116" s="646">
        <f t="shared" si="43"/>
        <v>0</v>
      </c>
    </row>
    <row r="117" spans="2:23" ht="18" customHeight="1" x14ac:dyDescent="0.2">
      <c r="B117" s="645">
        <f t="shared" si="45"/>
        <v>16</v>
      </c>
      <c r="C117" s="647" t="s">
        <v>49</v>
      </c>
      <c r="D117" s="647" t="s">
        <v>486</v>
      </c>
      <c r="E117" s="645"/>
      <c r="F117" s="646">
        <f>' WP II-I-1.4'!H117</f>
        <v>0</v>
      </c>
      <c r="G117" s="645">
        <v>28</v>
      </c>
      <c r="H117" s="650" t="str">
        <f t="shared" si="48"/>
        <v>NCP XHV</v>
      </c>
      <c r="I117" s="645"/>
      <c r="J117" s="803">
        <f t="shared" si="49"/>
        <v>0</v>
      </c>
      <c r="K117" s="803">
        <f t="shared" si="49"/>
        <v>0</v>
      </c>
      <c r="L117" s="803">
        <f t="shared" si="49"/>
        <v>0</v>
      </c>
      <c r="M117" s="803">
        <f t="shared" si="49"/>
        <v>0</v>
      </c>
      <c r="N117" s="803">
        <f t="shared" si="49"/>
        <v>0</v>
      </c>
      <c r="O117" s="803">
        <f t="shared" si="49"/>
        <v>0</v>
      </c>
      <c r="P117" s="803">
        <f t="shared" si="49"/>
        <v>0</v>
      </c>
      <c r="Q117" s="803">
        <f t="shared" si="49"/>
        <v>0</v>
      </c>
      <c r="R117" s="803">
        <f t="shared" si="49"/>
        <v>0</v>
      </c>
      <c r="S117" s="803">
        <f t="shared" si="49"/>
        <v>0</v>
      </c>
      <c r="T117" s="645"/>
      <c r="U117" s="646">
        <f t="shared" si="50"/>
        <v>0</v>
      </c>
      <c r="W117" s="646">
        <f t="shared" si="43"/>
        <v>0</v>
      </c>
    </row>
    <row r="118" spans="2:23" ht="18" customHeight="1" x14ac:dyDescent="0.2">
      <c r="B118" s="645">
        <f t="shared" si="45"/>
        <v>17</v>
      </c>
      <c r="C118" s="647" t="s">
        <v>51</v>
      </c>
      <c r="D118" s="647" t="s">
        <v>644</v>
      </c>
      <c r="E118" s="645"/>
      <c r="F118" s="646">
        <f>' WP II-I-1.4'!H118</f>
        <v>0</v>
      </c>
      <c r="G118" s="645">
        <v>28</v>
      </c>
      <c r="H118" s="650" t="str">
        <f t="shared" si="48"/>
        <v>NCP XHV</v>
      </c>
      <c r="I118" s="645"/>
      <c r="J118" s="803">
        <f t="shared" si="49"/>
        <v>0</v>
      </c>
      <c r="K118" s="803">
        <f t="shared" si="49"/>
        <v>0</v>
      </c>
      <c r="L118" s="803">
        <f t="shared" si="49"/>
        <v>0</v>
      </c>
      <c r="M118" s="803">
        <f t="shared" si="49"/>
        <v>0</v>
      </c>
      <c r="N118" s="803">
        <f t="shared" si="49"/>
        <v>0</v>
      </c>
      <c r="O118" s="803">
        <f t="shared" si="49"/>
        <v>0</v>
      </c>
      <c r="P118" s="803">
        <f t="shared" si="49"/>
        <v>0</v>
      </c>
      <c r="Q118" s="803">
        <f t="shared" si="49"/>
        <v>0</v>
      </c>
      <c r="R118" s="803">
        <f t="shared" si="49"/>
        <v>0</v>
      </c>
      <c r="S118" s="803">
        <f t="shared" si="49"/>
        <v>0</v>
      </c>
      <c r="T118" s="645"/>
      <c r="U118" s="646">
        <f t="shared" si="50"/>
        <v>0</v>
      </c>
      <c r="W118" s="646">
        <f t="shared" si="43"/>
        <v>0</v>
      </c>
    </row>
    <row r="119" spans="2:23" ht="18" customHeight="1" x14ac:dyDescent="0.2">
      <c r="B119" s="645">
        <f t="shared" si="45"/>
        <v>18</v>
      </c>
      <c r="C119" s="647" t="s">
        <v>53</v>
      </c>
      <c r="D119" s="649" t="s">
        <v>487</v>
      </c>
      <c r="E119" s="645"/>
      <c r="F119" s="646">
        <f>' WP II-I-1.4'!H119</f>
        <v>0</v>
      </c>
      <c r="G119" s="645">
        <v>28</v>
      </c>
      <c r="H119" s="650" t="str">
        <f t="shared" si="48"/>
        <v>NCP XHV</v>
      </c>
      <c r="I119" s="645"/>
      <c r="J119" s="803">
        <f t="shared" si="49"/>
        <v>0</v>
      </c>
      <c r="K119" s="803">
        <f t="shared" si="49"/>
        <v>0</v>
      </c>
      <c r="L119" s="803">
        <f t="shared" si="49"/>
        <v>0</v>
      </c>
      <c r="M119" s="803">
        <f t="shared" si="49"/>
        <v>0</v>
      </c>
      <c r="N119" s="803">
        <f t="shared" si="49"/>
        <v>0</v>
      </c>
      <c r="O119" s="803">
        <f t="shared" si="49"/>
        <v>0</v>
      </c>
      <c r="P119" s="803">
        <f t="shared" si="49"/>
        <v>0</v>
      </c>
      <c r="Q119" s="803">
        <f t="shared" si="49"/>
        <v>0</v>
      </c>
      <c r="R119" s="803">
        <f t="shared" si="49"/>
        <v>0</v>
      </c>
      <c r="S119" s="803">
        <f t="shared" si="49"/>
        <v>0</v>
      </c>
      <c r="T119" s="645"/>
      <c r="U119" s="646">
        <f t="shared" si="50"/>
        <v>0</v>
      </c>
      <c r="W119" s="646">
        <f t="shared" si="43"/>
        <v>0</v>
      </c>
    </row>
    <row r="120" spans="2:23" ht="18" customHeight="1" x14ac:dyDescent="0.2">
      <c r="B120" s="645">
        <f t="shared" si="45"/>
        <v>19</v>
      </c>
      <c r="C120" s="647" t="s">
        <v>55</v>
      </c>
      <c r="D120" s="647" t="s">
        <v>56</v>
      </c>
      <c r="E120" s="645"/>
      <c r="F120" s="646">
        <f>' WP II-I-1.4'!H120</f>
        <v>0</v>
      </c>
      <c r="G120" s="645">
        <v>28</v>
      </c>
      <c r="H120" s="650" t="str">
        <f t="shared" si="48"/>
        <v>NCP XHV</v>
      </c>
      <c r="I120" s="645"/>
      <c r="J120" s="956">
        <f t="shared" si="49"/>
        <v>0</v>
      </c>
      <c r="K120" s="956">
        <f t="shared" si="49"/>
        <v>0</v>
      </c>
      <c r="L120" s="956">
        <f t="shared" si="49"/>
        <v>0</v>
      </c>
      <c r="M120" s="956">
        <f t="shared" si="49"/>
        <v>0</v>
      </c>
      <c r="N120" s="956">
        <f t="shared" si="49"/>
        <v>0</v>
      </c>
      <c r="O120" s="956">
        <f t="shared" si="49"/>
        <v>0</v>
      </c>
      <c r="P120" s="956">
        <f t="shared" si="49"/>
        <v>0</v>
      </c>
      <c r="Q120" s="956">
        <f t="shared" si="49"/>
        <v>0</v>
      </c>
      <c r="R120" s="956">
        <f t="shared" si="49"/>
        <v>0</v>
      </c>
      <c r="S120" s="956">
        <f t="shared" si="49"/>
        <v>0</v>
      </c>
      <c r="T120" s="645"/>
      <c r="U120" s="646">
        <f t="shared" si="50"/>
        <v>0</v>
      </c>
      <c r="W120" s="646">
        <f t="shared" si="43"/>
        <v>0</v>
      </c>
    </row>
    <row r="121" spans="2:23" ht="18" customHeight="1" x14ac:dyDescent="0.25">
      <c r="B121" s="645">
        <f t="shared" si="45"/>
        <v>20</v>
      </c>
      <c r="C121" s="8"/>
      <c r="D121" s="233" t="s">
        <v>444</v>
      </c>
      <c r="E121" s="1571"/>
      <c r="F121" s="805">
        <f>SUM(F108:F120)</f>
        <v>0</v>
      </c>
      <c r="G121" s="645"/>
      <c r="H121" s="1571"/>
      <c r="I121" s="1571"/>
      <c r="J121" s="805">
        <f t="shared" ref="J121:Q121" ca="1" si="53">SUM(J108:J120)</f>
        <v>0</v>
      </c>
      <c r="K121" s="805">
        <f t="shared" ca="1" si="53"/>
        <v>0</v>
      </c>
      <c r="L121" s="805">
        <f t="shared" ca="1" si="53"/>
        <v>0</v>
      </c>
      <c r="M121" s="805">
        <f t="shared" ca="1" si="53"/>
        <v>0</v>
      </c>
      <c r="N121" s="805">
        <f t="shared" ca="1" si="53"/>
        <v>0</v>
      </c>
      <c r="O121" s="805">
        <f ca="1">SUM(O108:O120)</f>
        <v>0</v>
      </c>
      <c r="P121" s="805">
        <f t="shared" ca="1" si="53"/>
        <v>0</v>
      </c>
      <c r="Q121" s="805">
        <f t="shared" ca="1" si="53"/>
        <v>0</v>
      </c>
      <c r="R121" s="805">
        <f ca="1">SUM(R108:R120)</f>
        <v>0</v>
      </c>
      <c r="S121" s="805">
        <f ca="1">SUM(S108:S120)</f>
        <v>0</v>
      </c>
      <c r="T121" s="1571"/>
      <c r="U121" s="235">
        <f t="shared" ca="1" si="50"/>
        <v>0</v>
      </c>
      <c r="W121" s="646">
        <f t="shared" ca="1" si="43"/>
        <v>0</v>
      </c>
    </row>
    <row r="122" spans="2:23" ht="12" customHeight="1" x14ac:dyDescent="0.2">
      <c r="B122" s="645"/>
      <c r="C122" s="647"/>
      <c r="D122" s="647"/>
      <c r="E122" s="645"/>
      <c r="F122" s="803"/>
      <c r="G122" s="645"/>
      <c r="H122" s="653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53"/>
      <c r="V122" s="653">
        <f>$H$2</f>
        <v>0</v>
      </c>
      <c r="W122" s="646"/>
    </row>
    <row r="123" spans="2:23" ht="12" customHeight="1" thickBot="1" x14ac:dyDescent="0.25">
      <c r="B123" s="645"/>
      <c r="C123" s="647"/>
      <c r="D123" s="647"/>
      <c r="E123" s="645"/>
      <c r="F123" s="803"/>
      <c r="G123" s="645"/>
      <c r="H123" s="645"/>
      <c r="I123" s="645"/>
      <c r="J123" s="645"/>
      <c r="K123" s="645"/>
      <c r="L123" s="645"/>
      <c r="M123" s="645"/>
      <c r="N123" s="645"/>
      <c r="O123" s="645"/>
      <c r="P123" s="645"/>
      <c r="Q123" s="645"/>
      <c r="R123" s="645"/>
      <c r="S123" s="645"/>
      <c r="T123" s="645"/>
      <c r="U123" s="647"/>
      <c r="V123" s="653"/>
      <c r="W123" s="646">
        <f t="shared" si="43"/>
        <v>0</v>
      </c>
    </row>
    <row r="124" spans="2:23" ht="18" customHeight="1" x14ac:dyDescent="0.25">
      <c r="B124" s="829" t="str">
        <f>+$B$4</f>
        <v>2025 RATE CASE</v>
      </c>
      <c r="C124" s="844"/>
      <c r="D124" s="1586"/>
      <c r="I124" s="571"/>
      <c r="U124" s="653"/>
      <c r="W124" s="646">
        <f t="shared" si="43"/>
        <v>0</v>
      </c>
    </row>
    <row r="125" spans="2:23" ht="18" customHeight="1" x14ac:dyDescent="0.25">
      <c r="B125" s="826" t="str">
        <f>+$B$5</f>
        <v>ONCOR ELECTRIC DELIVERY COMPANY LLC</v>
      </c>
      <c r="C125" s="8"/>
      <c r="D125" s="1587"/>
      <c r="I125" s="571"/>
      <c r="U125" s="653"/>
      <c r="W125" s="646">
        <f t="shared" si="43"/>
        <v>0</v>
      </c>
    </row>
    <row r="126" spans="2:23" ht="18" customHeight="1" x14ac:dyDescent="0.25">
      <c r="B126" s="826" t="str">
        <f>+$B$6</f>
        <v>II-I-1-MET:  CLASS REVENUE REQUIREMENT</v>
      </c>
      <c r="C126" s="82"/>
      <c r="D126" s="1587"/>
      <c r="F126" s="571"/>
      <c r="I126" s="571"/>
      <c r="U126" s="571"/>
      <c r="W126" s="646">
        <f t="shared" si="43"/>
        <v>0</v>
      </c>
    </row>
    <row r="127" spans="2:23" ht="18" customHeight="1" x14ac:dyDescent="0.25">
      <c r="B127" s="341" t="str">
        <f>+$B$7</f>
        <v>TEST YEAR ENDING 12/31/2024</v>
      </c>
      <c r="C127" s="82"/>
      <c r="D127" s="1587"/>
      <c r="F127" s="571"/>
      <c r="I127" s="571"/>
      <c r="K127" s="589" t="s">
        <v>0</v>
      </c>
      <c r="U127" s="571"/>
      <c r="W127" s="646">
        <f t="shared" si="43"/>
        <v>0</v>
      </c>
    </row>
    <row r="128" spans="2:23" ht="18" customHeight="1" x14ac:dyDescent="0.25">
      <c r="B128" s="341" t="str">
        <f>+$B$8</f>
        <v>SPONSOR:  MATTHEW A. TROXLE</v>
      </c>
      <c r="C128" s="82"/>
      <c r="D128" s="1587"/>
      <c r="F128" s="571"/>
      <c r="I128" s="571"/>
      <c r="U128" s="571"/>
      <c r="W128" s="646">
        <f t="shared" si="43"/>
        <v>0</v>
      </c>
    </row>
    <row r="129" spans="2:23" ht="12.75" customHeight="1" thickBot="1" x14ac:dyDescent="0.3">
      <c r="B129" s="345"/>
      <c r="C129" s="843"/>
      <c r="D129" s="1588"/>
      <c r="F129" s="571"/>
      <c r="U129" s="571"/>
      <c r="W129" s="646">
        <f t="shared" si="43"/>
        <v>0</v>
      </c>
    </row>
    <row r="130" spans="2:23" ht="18" customHeight="1" thickBot="1" x14ac:dyDescent="0.25">
      <c r="B130" s="655"/>
      <c r="C130" s="656"/>
      <c r="D130" s="656"/>
      <c r="E130" s="656"/>
      <c r="F130" s="655"/>
      <c r="G130" s="656"/>
      <c r="H130" s="656"/>
      <c r="I130" s="656"/>
      <c r="J130" s="657"/>
      <c r="K130" s="657"/>
      <c r="L130" s="656"/>
      <c r="M130" s="657"/>
      <c r="N130" s="657"/>
      <c r="O130" s="657"/>
      <c r="P130" s="657"/>
      <c r="Q130" s="656"/>
      <c r="R130" s="658" t="str">
        <f>R$10</f>
        <v xml:space="preserve"> </v>
      </c>
      <c r="S130" s="659"/>
      <c r="T130" s="657"/>
      <c r="U130" s="655"/>
      <c r="W130" s="646">
        <f t="shared" si="43"/>
        <v>0</v>
      </c>
    </row>
    <row r="131" spans="2:23" ht="18" customHeight="1" x14ac:dyDescent="0.25">
      <c r="B131" s="660" t="s">
        <v>2</v>
      </c>
      <c r="C131" s="660" t="s">
        <v>349</v>
      </c>
      <c r="D131" s="226" t="s">
        <v>518</v>
      </c>
      <c r="E131" s="660" t="s">
        <v>350</v>
      </c>
      <c r="F131" s="226" t="str">
        <f>F$11</f>
        <v>MET</v>
      </c>
      <c r="G131" s="661" t="s">
        <v>688</v>
      </c>
      <c r="H131" s="661" t="s">
        <v>355</v>
      </c>
      <c r="I131" s="660"/>
      <c r="J131" s="661" t="s">
        <v>679</v>
      </c>
      <c r="K131" s="661" t="s">
        <v>388</v>
      </c>
      <c r="L131" s="660" t="s">
        <v>388</v>
      </c>
      <c r="M131" s="661" t="s">
        <v>389</v>
      </c>
      <c r="N131" s="661" t="s">
        <v>389</v>
      </c>
      <c r="O131" s="661" t="s">
        <v>389</v>
      </c>
      <c r="P131" s="661" t="s">
        <v>390</v>
      </c>
      <c r="Q131" s="660" t="s">
        <v>391</v>
      </c>
      <c r="R131" s="662" t="str">
        <f>R$11</f>
        <v>Wholesale</v>
      </c>
      <c r="S131" s="655" t="str">
        <f>S$11</f>
        <v>Wholesale</v>
      </c>
      <c r="T131" s="661"/>
      <c r="U131" s="660" t="s">
        <v>10</v>
      </c>
      <c r="W131" s="646"/>
    </row>
    <row r="132" spans="2:23" ht="18" customHeight="1" x14ac:dyDescent="0.2">
      <c r="B132" s="660"/>
      <c r="C132" s="660"/>
      <c r="D132" s="660"/>
      <c r="E132" s="660"/>
      <c r="F132" s="660"/>
      <c r="G132" s="661" t="s">
        <v>689</v>
      </c>
      <c r="H132" s="661" t="s">
        <v>690</v>
      </c>
      <c r="I132" s="660"/>
      <c r="J132" s="661"/>
      <c r="K132" s="661" t="s">
        <v>680</v>
      </c>
      <c r="L132" s="660" t="s">
        <v>681</v>
      </c>
      <c r="M132" s="661" t="s">
        <v>680</v>
      </c>
      <c r="N132" s="661" t="s">
        <v>681</v>
      </c>
      <c r="O132" s="661" t="s">
        <v>393</v>
      </c>
      <c r="P132" s="661"/>
      <c r="Q132" s="660"/>
      <c r="R132" s="663" t="str">
        <f>R$12</f>
        <v>XFMR</v>
      </c>
      <c r="S132" s="660" t="str">
        <f>S$12</f>
        <v>DLS</v>
      </c>
      <c r="T132" s="661"/>
      <c r="U132" s="660"/>
      <c r="W132" s="646">
        <f t="shared" si="43"/>
        <v>0</v>
      </c>
    </row>
    <row r="133" spans="2:23" ht="18" customHeight="1" thickBot="1" x14ac:dyDescent="0.25">
      <c r="B133" s="664"/>
      <c r="C133" s="664"/>
      <c r="D133" s="664"/>
      <c r="E133" s="664"/>
      <c r="F133" s="664" t="s">
        <v>13</v>
      </c>
      <c r="G133" s="664" t="s">
        <v>14</v>
      </c>
      <c r="H133" s="664" t="s">
        <v>15</v>
      </c>
      <c r="I133" s="664"/>
      <c r="J133" s="665" t="str">
        <f t="shared" ref="J133:Q133" si="54">J$13</f>
        <v>(d)</v>
      </c>
      <c r="K133" s="665" t="str">
        <f t="shared" si="54"/>
        <v>(e)</v>
      </c>
      <c r="L133" s="664" t="str">
        <f t="shared" si="54"/>
        <v>(f)</v>
      </c>
      <c r="M133" s="665" t="str">
        <f t="shared" si="54"/>
        <v>(g)</v>
      </c>
      <c r="N133" s="665" t="str">
        <f t="shared" si="54"/>
        <v>(h)</v>
      </c>
      <c r="O133" s="665" t="str">
        <f>O$13</f>
        <v>(i)</v>
      </c>
      <c r="P133" s="665" t="str">
        <f t="shared" si="54"/>
        <v>(j)</v>
      </c>
      <c r="Q133" s="665" t="str">
        <f t="shared" si="54"/>
        <v>(k)</v>
      </c>
      <c r="R133" s="665" t="str">
        <f>R$13</f>
        <v>(l)</v>
      </c>
      <c r="S133" s="664" t="str">
        <f>S$13</f>
        <v>(m)</v>
      </c>
      <c r="T133" s="664"/>
      <c r="U133" s="664" t="s">
        <v>683</v>
      </c>
      <c r="W133" s="646"/>
    </row>
    <row r="134" spans="2:23" ht="12" customHeight="1" x14ac:dyDescent="0.2">
      <c r="D134" s="672"/>
      <c r="E134" s="672"/>
      <c r="F134" s="1589"/>
      <c r="G134" s="672"/>
      <c r="H134" s="672"/>
      <c r="I134" s="672"/>
      <c r="J134" s="672"/>
      <c r="K134" s="672"/>
      <c r="L134" s="672"/>
      <c r="M134" s="672"/>
      <c r="N134" s="672"/>
      <c r="O134" s="672"/>
      <c r="P134" s="672"/>
      <c r="Q134" s="672"/>
      <c r="R134" s="672"/>
      <c r="S134" s="672"/>
      <c r="T134" s="672"/>
      <c r="U134" s="672"/>
      <c r="W134" s="646">
        <f t="shared" si="43"/>
        <v>0</v>
      </c>
    </row>
    <row r="135" spans="2:23" ht="18" customHeight="1" x14ac:dyDescent="0.25">
      <c r="B135" s="645">
        <v>1</v>
      </c>
      <c r="C135" s="8" t="s">
        <v>518</v>
      </c>
      <c r="D135" s="8"/>
      <c r="E135" s="1571" t="s">
        <v>24</v>
      </c>
      <c r="F135" s="805"/>
      <c r="G135" s="1571"/>
      <c r="H135" s="1571"/>
      <c r="I135" s="1571"/>
      <c r="J135" s="1571"/>
      <c r="K135" s="1571"/>
      <c r="L135" s="1571"/>
      <c r="M135" s="1571"/>
      <c r="N135" s="1571"/>
      <c r="O135" s="1571"/>
      <c r="P135" s="1571"/>
      <c r="Q135" s="1571"/>
      <c r="R135" s="1571"/>
      <c r="S135" s="1571"/>
      <c r="T135" s="1571"/>
      <c r="U135" s="8"/>
      <c r="W135" s="646">
        <f t="shared" si="43"/>
        <v>0</v>
      </c>
    </row>
    <row r="136" spans="2:23" ht="18" customHeight="1" x14ac:dyDescent="0.2">
      <c r="B136" s="645">
        <f t="shared" ref="B136:B168" si="55">B135+1</f>
        <v>2</v>
      </c>
      <c r="C136" s="647" t="s">
        <v>59</v>
      </c>
      <c r="D136" s="647" t="s">
        <v>40</v>
      </c>
      <c r="E136" s="645"/>
      <c r="F136" s="646">
        <f>' WP II-I-1.4'!H136</f>
        <v>0</v>
      </c>
      <c r="G136" s="645">
        <v>54</v>
      </c>
      <c r="H136" s="650" t="str">
        <f t="shared" ref="H136:H158" si="56">VLOOKUP(G136,FactorTable,2)</f>
        <v>PLT 362-373</v>
      </c>
      <c r="I136" s="645"/>
      <c r="J136" s="694">
        <f t="shared" ref="J136:S145" ca="1" si="57">$F136*HLOOKUP(J$1354,FactorTable,$G136+1)</f>
        <v>0</v>
      </c>
      <c r="K136" s="694">
        <f t="shared" ca="1" si="57"/>
        <v>0</v>
      </c>
      <c r="L136" s="694">
        <f t="shared" ca="1" si="57"/>
        <v>0</v>
      </c>
      <c r="M136" s="694">
        <f t="shared" ca="1" si="57"/>
        <v>0</v>
      </c>
      <c r="N136" s="694">
        <f t="shared" ca="1" si="57"/>
        <v>0</v>
      </c>
      <c r="O136" s="694">
        <f t="shared" ca="1" si="57"/>
        <v>0</v>
      </c>
      <c r="P136" s="694">
        <f t="shared" ca="1" si="57"/>
        <v>0</v>
      </c>
      <c r="Q136" s="694">
        <f t="shared" ca="1" si="57"/>
        <v>0</v>
      </c>
      <c r="R136" s="694">
        <f t="shared" ca="1" si="57"/>
        <v>0</v>
      </c>
      <c r="S136" s="694">
        <f t="shared" ca="1" si="57"/>
        <v>0</v>
      </c>
      <c r="T136" s="645"/>
      <c r="U136" s="646">
        <f t="shared" ref="U136:U159" ca="1" si="58">SUM(I136:T136)</f>
        <v>0</v>
      </c>
      <c r="W136" s="646">
        <f t="shared" ca="1" si="43"/>
        <v>0</v>
      </c>
    </row>
    <row r="137" spans="2:23" ht="18" customHeight="1" x14ac:dyDescent="0.2">
      <c r="B137" s="645">
        <f t="shared" si="55"/>
        <v>3</v>
      </c>
      <c r="C137" s="647" t="s">
        <v>60</v>
      </c>
      <c r="D137" s="649" t="s">
        <v>42</v>
      </c>
      <c r="E137" s="645"/>
      <c r="F137" s="646">
        <f>' WP II-I-1.4'!H137</f>
        <v>0</v>
      </c>
      <c r="G137" s="645">
        <v>54</v>
      </c>
      <c r="H137" s="650" t="str">
        <f t="shared" si="56"/>
        <v>PLT 362-373</v>
      </c>
      <c r="I137" s="645"/>
      <c r="J137" s="694">
        <f t="shared" ca="1" si="57"/>
        <v>0</v>
      </c>
      <c r="K137" s="694">
        <f t="shared" ca="1" si="57"/>
        <v>0</v>
      </c>
      <c r="L137" s="694">
        <f t="shared" ca="1" si="57"/>
        <v>0</v>
      </c>
      <c r="M137" s="694">
        <f t="shared" ca="1" si="57"/>
        <v>0</v>
      </c>
      <c r="N137" s="694">
        <f t="shared" ca="1" si="57"/>
        <v>0</v>
      </c>
      <c r="O137" s="694">
        <f t="shared" ca="1" si="57"/>
        <v>0</v>
      </c>
      <c r="P137" s="694">
        <f t="shared" ca="1" si="57"/>
        <v>0</v>
      </c>
      <c r="Q137" s="694">
        <f t="shared" ca="1" si="57"/>
        <v>0</v>
      </c>
      <c r="R137" s="694">
        <f t="shared" ca="1" si="57"/>
        <v>0</v>
      </c>
      <c r="S137" s="694">
        <f t="shared" ca="1" si="57"/>
        <v>0</v>
      </c>
      <c r="T137" s="645"/>
      <c r="U137" s="646">
        <f t="shared" ca="1" si="58"/>
        <v>0</v>
      </c>
      <c r="W137" s="646">
        <f t="shared" ca="1" si="43"/>
        <v>0</v>
      </c>
    </row>
    <row r="138" spans="2:23" ht="18" customHeight="1" x14ac:dyDescent="0.2">
      <c r="B138" s="645">
        <f t="shared" si="55"/>
        <v>4</v>
      </c>
      <c r="C138" s="647" t="s">
        <v>61</v>
      </c>
      <c r="D138" s="647" t="s">
        <v>44</v>
      </c>
      <c r="E138" s="645"/>
      <c r="F138" s="646">
        <f>' WP II-I-1.4'!H138</f>
        <v>0</v>
      </c>
      <c r="G138" s="645">
        <v>28</v>
      </c>
      <c r="H138" s="650" t="str">
        <f t="shared" si="56"/>
        <v>NCP XHV</v>
      </c>
      <c r="I138" s="645"/>
      <c r="J138" s="694">
        <f t="shared" si="57"/>
        <v>0</v>
      </c>
      <c r="K138" s="694">
        <f t="shared" si="57"/>
        <v>0</v>
      </c>
      <c r="L138" s="694">
        <f t="shared" si="57"/>
        <v>0</v>
      </c>
      <c r="M138" s="694">
        <f t="shared" si="57"/>
        <v>0</v>
      </c>
      <c r="N138" s="694">
        <f t="shared" si="57"/>
        <v>0</v>
      </c>
      <c r="O138" s="694">
        <f t="shared" si="57"/>
        <v>0</v>
      </c>
      <c r="P138" s="694">
        <f t="shared" si="57"/>
        <v>0</v>
      </c>
      <c r="Q138" s="694">
        <f t="shared" si="57"/>
        <v>0</v>
      </c>
      <c r="R138" s="694">
        <f t="shared" si="57"/>
        <v>0</v>
      </c>
      <c r="S138" s="694">
        <f t="shared" si="57"/>
        <v>0</v>
      </c>
      <c r="T138" s="645"/>
      <c r="U138" s="646">
        <f t="shared" si="58"/>
        <v>0</v>
      </c>
      <c r="W138" s="646">
        <f t="shared" si="43"/>
        <v>0</v>
      </c>
    </row>
    <row r="139" spans="2:23" ht="18" customHeight="1" x14ac:dyDescent="0.2">
      <c r="B139" s="645">
        <f t="shared" si="55"/>
        <v>5</v>
      </c>
      <c r="C139" s="647" t="s">
        <v>1234</v>
      </c>
      <c r="D139" s="647" t="s">
        <v>1230</v>
      </c>
      <c r="E139" s="645"/>
      <c r="F139" s="668">
        <f>' WP II-I-1.4'!H139</f>
        <v>0</v>
      </c>
      <c r="G139" s="645">
        <v>58</v>
      </c>
      <c r="H139" s="650" t="str">
        <f t="shared" ref="H139:H140" si="59">VLOOKUP(G139,FactorTable,2)</f>
        <v>PLTDIST_N</v>
      </c>
      <c r="I139" s="645"/>
      <c r="J139" s="694">
        <f t="shared" ca="1" si="57"/>
        <v>0</v>
      </c>
      <c r="K139" s="694">
        <f t="shared" ca="1" si="57"/>
        <v>0</v>
      </c>
      <c r="L139" s="694">
        <f t="shared" ca="1" si="57"/>
        <v>0</v>
      </c>
      <c r="M139" s="694">
        <f t="shared" ca="1" si="57"/>
        <v>0</v>
      </c>
      <c r="N139" s="694">
        <f t="shared" ca="1" si="57"/>
        <v>0</v>
      </c>
      <c r="O139" s="694">
        <f t="shared" ca="1" si="57"/>
        <v>0</v>
      </c>
      <c r="P139" s="694">
        <f t="shared" ca="1" si="57"/>
        <v>0</v>
      </c>
      <c r="Q139" s="694">
        <f t="shared" ca="1" si="57"/>
        <v>0</v>
      </c>
      <c r="R139" s="694">
        <f t="shared" ca="1" si="57"/>
        <v>0</v>
      </c>
      <c r="S139" s="694">
        <f t="shared" ca="1" si="57"/>
        <v>0</v>
      </c>
      <c r="T139" s="645"/>
      <c r="U139" s="646">
        <f t="shared" ref="U139:U140" ca="1" si="60">SUM(I139:T139)</f>
        <v>0</v>
      </c>
      <c r="W139" s="646">
        <f t="shared" ref="W139:W140" ca="1" si="61">U139-F139</f>
        <v>0</v>
      </c>
    </row>
    <row r="140" spans="2:23" ht="18" customHeight="1" x14ac:dyDescent="0.2">
      <c r="B140" s="645">
        <f t="shared" si="55"/>
        <v>6</v>
      </c>
      <c r="C140" s="647" t="s">
        <v>1235</v>
      </c>
      <c r="D140" s="647" t="s">
        <v>1232</v>
      </c>
      <c r="E140" s="645"/>
      <c r="F140" s="668">
        <f>' WP II-I-1.4'!H140</f>
        <v>121073893.45000005</v>
      </c>
      <c r="G140" s="645">
        <v>58</v>
      </c>
      <c r="H140" s="650" t="str">
        <f t="shared" si="59"/>
        <v>PLTDIST_N</v>
      </c>
      <c r="I140" s="645"/>
      <c r="J140" s="694">
        <f t="shared" ca="1" si="57"/>
        <v>63205835.886182874</v>
      </c>
      <c r="K140" s="694">
        <f t="shared" ca="1" si="57"/>
        <v>8866835.7166954111</v>
      </c>
      <c r="L140" s="694">
        <f t="shared" ca="1" si="57"/>
        <v>34870386.623277009</v>
      </c>
      <c r="M140" s="694">
        <f t="shared" ca="1" si="57"/>
        <v>1468463.6009497661</v>
      </c>
      <c r="N140" s="694">
        <f t="shared" ca="1" si="57"/>
        <v>11307944.928579241</v>
      </c>
      <c r="O140" s="694">
        <f t="shared" ca="1" si="57"/>
        <v>371038.53272391664</v>
      </c>
      <c r="P140" s="694">
        <f t="shared" ca="1" si="57"/>
        <v>773945.40568178962</v>
      </c>
      <c r="Q140" s="694">
        <f t="shared" ca="1" si="57"/>
        <v>64451.901115021043</v>
      </c>
      <c r="R140" s="694">
        <f t="shared" ca="1" si="57"/>
        <v>40973.580300800626</v>
      </c>
      <c r="S140" s="694">
        <f t="shared" ca="1" si="57"/>
        <v>104017.27449422168</v>
      </c>
      <c r="T140" s="645"/>
      <c r="U140" s="646">
        <f t="shared" ca="1" si="60"/>
        <v>121073893.45000005</v>
      </c>
      <c r="W140" s="646">
        <f t="shared" ca="1" si="61"/>
        <v>0</v>
      </c>
    </row>
    <row r="141" spans="2:23" ht="18" customHeight="1" x14ac:dyDescent="0.2">
      <c r="B141" s="645">
        <f t="shared" si="55"/>
        <v>7</v>
      </c>
      <c r="C141" s="647" t="s">
        <v>1236</v>
      </c>
      <c r="D141" s="647" t="s">
        <v>103</v>
      </c>
      <c r="E141" s="645"/>
      <c r="F141" s="668">
        <f>' WP II-I-1.4'!H141</f>
        <v>38191350.260000005</v>
      </c>
      <c r="G141" s="645">
        <v>58</v>
      </c>
      <c r="H141" s="650" t="str">
        <f t="shared" si="56"/>
        <v>PLTDIST_N</v>
      </c>
      <c r="I141" s="645"/>
      <c r="J141" s="694">
        <f t="shared" ca="1" si="57"/>
        <v>19937545.147188682</v>
      </c>
      <c r="K141" s="694">
        <f t="shared" ca="1" si="57"/>
        <v>2796940.1074397555</v>
      </c>
      <c r="L141" s="694">
        <f t="shared" ca="1" si="57"/>
        <v>10999457.53195063</v>
      </c>
      <c r="M141" s="694">
        <f t="shared" ca="1" si="57"/>
        <v>463209.74844253983</v>
      </c>
      <c r="N141" s="694">
        <f t="shared" ca="1" si="57"/>
        <v>3566959.5912227631</v>
      </c>
      <c r="O141" s="694">
        <f t="shared" ca="1" si="57"/>
        <v>117039.78586488224</v>
      </c>
      <c r="P141" s="694">
        <f t="shared" ca="1" si="57"/>
        <v>244132.0686752146</v>
      </c>
      <c r="Q141" s="694">
        <f t="shared" ca="1" si="57"/>
        <v>20330.601918102046</v>
      </c>
      <c r="R141" s="694">
        <f t="shared" ca="1" si="57"/>
        <v>12924.638929864303</v>
      </c>
      <c r="S141" s="694">
        <f t="shared" ca="1" si="57"/>
        <v>32811.038367572903</v>
      </c>
      <c r="T141" s="645"/>
      <c r="U141" s="646">
        <f t="shared" ca="1" si="58"/>
        <v>38191350.260000005</v>
      </c>
      <c r="W141" s="646">
        <f t="shared" ca="1" si="43"/>
        <v>0</v>
      </c>
    </row>
    <row r="142" spans="2:23" ht="18" customHeight="1" x14ac:dyDescent="0.2">
      <c r="B142" s="645">
        <f t="shared" si="55"/>
        <v>8</v>
      </c>
      <c r="C142" s="647" t="s">
        <v>359</v>
      </c>
      <c r="D142" s="649" t="s">
        <v>489</v>
      </c>
      <c r="E142" s="645"/>
      <c r="F142" s="646">
        <f>' WP II-I-1.4'!H142</f>
        <v>0</v>
      </c>
      <c r="G142" s="645">
        <v>30</v>
      </c>
      <c r="H142" s="650" t="str">
        <f t="shared" si="56"/>
        <v>NCP XSS</v>
      </c>
      <c r="I142" s="645"/>
      <c r="J142" s="694">
        <f t="shared" si="57"/>
        <v>0</v>
      </c>
      <c r="K142" s="694">
        <f t="shared" si="57"/>
        <v>0</v>
      </c>
      <c r="L142" s="694">
        <f t="shared" si="57"/>
        <v>0</v>
      </c>
      <c r="M142" s="694">
        <f t="shared" si="57"/>
        <v>0</v>
      </c>
      <c r="N142" s="694">
        <f t="shared" si="57"/>
        <v>0</v>
      </c>
      <c r="O142" s="694">
        <f t="shared" si="57"/>
        <v>0</v>
      </c>
      <c r="P142" s="694">
        <f t="shared" si="57"/>
        <v>0</v>
      </c>
      <c r="Q142" s="694">
        <f t="shared" si="57"/>
        <v>0</v>
      </c>
      <c r="R142" s="694">
        <f t="shared" si="57"/>
        <v>0</v>
      </c>
      <c r="S142" s="694">
        <f t="shared" si="57"/>
        <v>0</v>
      </c>
      <c r="T142" s="645"/>
      <c r="U142" s="646">
        <f t="shared" si="58"/>
        <v>0</v>
      </c>
      <c r="W142" s="646">
        <f t="shared" si="43"/>
        <v>0</v>
      </c>
    </row>
    <row r="143" spans="2:23" ht="18" customHeight="1" x14ac:dyDescent="0.2">
      <c r="B143" s="645">
        <f t="shared" si="55"/>
        <v>9</v>
      </c>
      <c r="C143" s="647" t="s">
        <v>361</v>
      </c>
      <c r="D143" s="649" t="s">
        <v>490</v>
      </c>
      <c r="E143" s="645"/>
      <c r="F143" s="646">
        <f>' WP II-I-1.4'!H143</f>
        <v>0</v>
      </c>
      <c r="G143" s="645">
        <v>32</v>
      </c>
      <c r="H143" s="650" t="str">
        <f t="shared" si="56"/>
        <v>NCP SEC</v>
      </c>
      <c r="I143" s="645"/>
      <c r="J143" s="694">
        <f t="shared" si="57"/>
        <v>0</v>
      </c>
      <c r="K143" s="694">
        <f t="shared" si="57"/>
        <v>0</v>
      </c>
      <c r="L143" s="694">
        <f t="shared" si="57"/>
        <v>0</v>
      </c>
      <c r="M143" s="694">
        <f t="shared" si="57"/>
        <v>0</v>
      </c>
      <c r="N143" s="694">
        <f t="shared" si="57"/>
        <v>0</v>
      </c>
      <c r="O143" s="694">
        <f t="shared" si="57"/>
        <v>0</v>
      </c>
      <c r="P143" s="694">
        <f t="shared" si="57"/>
        <v>0</v>
      </c>
      <c r="Q143" s="694">
        <f t="shared" si="57"/>
        <v>0</v>
      </c>
      <c r="R143" s="694">
        <f t="shared" si="57"/>
        <v>0</v>
      </c>
      <c r="S143" s="694">
        <f t="shared" si="57"/>
        <v>0</v>
      </c>
      <c r="T143" s="645"/>
      <c r="U143" s="646">
        <f t="shared" si="58"/>
        <v>0</v>
      </c>
      <c r="W143" s="646">
        <f t="shared" si="43"/>
        <v>0</v>
      </c>
    </row>
    <row r="144" spans="2:23" ht="18" customHeight="1" x14ac:dyDescent="0.2">
      <c r="B144" s="645">
        <f t="shared" si="55"/>
        <v>10</v>
      </c>
      <c r="C144" s="647" t="s">
        <v>364</v>
      </c>
      <c r="D144" s="647" t="s">
        <v>491</v>
      </c>
      <c r="E144" s="645"/>
      <c r="F144" s="646">
        <f>' WP II-I-1.4'!H144</f>
        <v>0</v>
      </c>
      <c r="G144" s="645">
        <v>30</v>
      </c>
      <c r="H144" s="650" t="str">
        <f t="shared" si="56"/>
        <v>NCP XSS</v>
      </c>
      <c r="I144" s="645"/>
      <c r="J144" s="694">
        <f t="shared" si="57"/>
        <v>0</v>
      </c>
      <c r="K144" s="694">
        <f t="shared" si="57"/>
        <v>0</v>
      </c>
      <c r="L144" s="694">
        <f t="shared" si="57"/>
        <v>0</v>
      </c>
      <c r="M144" s="694">
        <f t="shared" si="57"/>
        <v>0</v>
      </c>
      <c r="N144" s="694">
        <f t="shared" si="57"/>
        <v>0</v>
      </c>
      <c r="O144" s="694">
        <f t="shared" si="57"/>
        <v>0</v>
      </c>
      <c r="P144" s="694">
        <f t="shared" si="57"/>
        <v>0</v>
      </c>
      <c r="Q144" s="694">
        <f t="shared" si="57"/>
        <v>0</v>
      </c>
      <c r="R144" s="694">
        <f t="shared" si="57"/>
        <v>0</v>
      </c>
      <c r="S144" s="694">
        <f t="shared" si="57"/>
        <v>0</v>
      </c>
      <c r="T144" s="645"/>
      <c r="U144" s="646">
        <f t="shared" si="58"/>
        <v>0</v>
      </c>
      <c r="W144" s="646">
        <f t="shared" si="43"/>
        <v>0</v>
      </c>
    </row>
    <row r="145" spans="2:23" ht="18" customHeight="1" x14ac:dyDescent="0.2">
      <c r="B145" s="645">
        <f t="shared" si="55"/>
        <v>11</v>
      </c>
      <c r="C145" s="647" t="s">
        <v>366</v>
      </c>
      <c r="D145" s="647" t="s">
        <v>492</v>
      </c>
      <c r="E145" s="645"/>
      <c r="F145" s="646">
        <f>' WP II-I-1.4'!H145</f>
        <v>0</v>
      </c>
      <c r="G145" s="645">
        <v>32</v>
      </c>
      <c r="H145" s="650" t="str">
        <f t="shared" si="56"/>
        <v>NCP SEC</v>
      </c>
      <c r="I145" s="645"/>
      <c r="J145" s="694">
        <f t="shared" si="57"/>
        <v>0</v>
      </c>
      <c r="K145" s="694">
        <f t="shared" si="57"/>
        <v>0</v>
      </c>
      <c r="L145" s="694">
        <f t="shared" si="57"/>
        <v>0</v>
      </c>
      <c r="M145" s="694">
        <f t="shared" si="57"/>
        <v>0</v>
      </c>
      <c r="N145" s="694">
        <f t="shared" si="57"/>
        <v>0</v>
      </c>
      <c r="O145" s="694">
        <f t="shared" si="57"/>
        <v>0</v>
      </c>
      <c r="P145" s="694">
        <f t="shared" si="57"/>
        <v>0</v>
      </c>
      <c r="Q145" s="694">
        <f t="shared" si="57"/>
        <v>0</v>
      </c>
      <c r="R145" s="694">
        <f t="shared" si="57"/>
        <v>0</v>
      </c>
      <c r="S145" s="694">
        <f t="shared" si="57"/>
        <v>0</v>
      </c>
      <c r="T145" s="645"/>
      <c r="U145" s="646">
        <f t="shared" si="58"/>
        <v>0</v>
      </c>
      <c r="W145" s="646">
        <f t="shared" si="43"/>
        <v>0</v>
      </c>
    </row>
    <row r="146" spans="2:23" ht="18" customHeight="1" x14ac:dyDescent="0.2">
      <c r="B146" s="645">
        <f t="shared" si="55"/>
        <v>12</v>
      </c>
      <c r="C146" s="647" t="s">
        <v>369</v>
      </c>
      <c r="D146" s="647" t="s">
        <v>370</v>
      </c>
      <c r="E146" s="645"/>
      <c r="F146" s="646">
        <f>' WP II-I-1.4'!H146</f>
        <v>0</v>
      </c>
      <c r="G146" s="645">
        <v>30</v>
      </c>
      <c r="H146" s="650" t="str">
        <f t="shared" si="56"/>
        <v>NCP XSS</v>
      </c>
      <c r="I146" s="645"/>
      <c r="J146" s="694">
        <f t="shared" ref="J146:S158" si="62">$F146*HLOOKUP(J$1354,FactorTable,$G146+1)</f>
        <v>0</v>
      </c>
      <c r="K146" s="694">
        <f t="shared" si="62"/>
        <v>0</v>
      </c>
      <c r="L146" s="694">
        <f t="shared" si="62"/>
        <v>0</v>
      </c>
      <c r="M146" s="694">
        <f t="shared" si="62"/>
        <v>0</v>
      </c>
      <c r="N146" s="694">
        <f t="shared" si="62"/>
        <v>0</v>
      </c>
      <c r="O146" s="694">
        <f t="shared" si="62"/>
        <v>0</v>
      </c>
      <c r="P146" s="694">
        <f t="shared" si="62"/>
        <v>0</v>
      </c>
      <c r="Q146" s="694">
        <f t="shared" si="62"/>
        <v>0</v>
      </c>
      <c r="R146" s="694">
        <f t="shared" si="62"/>
        <v>0</v>
      </c>
      <c r="S146" s="694">
        <f t="shared" si="62"/>
        <v>0</v>
      </c>
      <c r="T146" s="645"/>
      <c r="U146" s="646">
        <f t="shared" si="58"/>
        <v>0</v>
      </c>
      <c r="W146" s="646">
        <f t="shared" si="43"/>
        <v>0</v>
      </c>
    </row>
    <row r="147" spans="2:23" ht="18" customHeight="1" x14ac:dyDescent="0.2">
      <c r="B147" s="645">
        <f t="shared" si="55"/>
        <v>13</v>
      </c>
      <c r="C147" s="647" t="s">
        <v>371</v>
      </c>
      <c r="D147" s="647" t="s">
        <v>372</v>
      </c>
      <c r="E147" s="645"/>
      <c r="F147" s="646">
        <f>' WP II-I-1.4'!H147</f>
        <v>0</v>
      </c>
      <c r="G147" s="645">
        <v>32</v>
      </c>
      <c r="H147" s="650" t="str">
        <f t="shared" si="56"/>
        <v>NCP SEC</v>
      </c>
      <c r="I147" s="645"/>
      <c r="J147" s="694">
        <f t="shared" si="62"/>
        <v>0</v>
      </c>
      <c r="K147" s="694">
        <f t="shared" si="62"/>
        <v>0</v>
      </c>
      <c r="L147" s="694">
        <f t="shared" si="62"/>
        <v>0</v>
      </c>
      <c r="M147" s="694">
        <f t="shared" si="62"/>
        <v>0</v>
      </c>
      <c r="N147" s="694">
        <f t="shared" si="62"/>
        <v>0</v>
      </c>
      <c r="O147" s="694">
        <f t="shared" si="62"/>
        <v>0</v>
      </c>
      <c r="P147" s="694">
        <f t="shared" si="62"/>
        <v>0</v>
      </c>
      <c r="Q147" s="694">
        <f t="shared" si="62"/>
        <v>0</v>
      </c>
      <c r="R147" s="694">
        <f t="shared" si="62"/>
        <v>0</v>
      </c>
      <c r="S147" s="694">
        <f t="shared" si="62"/>
        <v>0</v>
      </c>
      <c r="T147" s="645"/>
      <c r="U147" s="646">
        <f t="shared" si="58"/>
        <v>0</v>
      </c>
      <c r="W147" s="646">
        <f t="shared" si="43"/>
        <v>0</v>
      </c>
    </row>
    <row r="148" spans="2:23" ht="18" customHeight="1" x14ac:dyDescent="0.2">
      <c r="B148" s="645">
        <f t="shared" si="55"/>
        <v>14</v>
      </c>
      <c r="C148" s="647" t="s">
        <v>374</v>
      </c>
      <c r="D148" s="649" t="s">
        <v>493</v>
      </c>
      <c r="E148" s="1590"/>
      <c r="F148" s="646">
        <f>' WP II-I-1.4'!H148</f>
        <v>0</v>
      </c>
      <c r="G148" s="645">
        <v>30</v>
      </c>
      <c r="H148" s="650" t="str">
        <f t="shared" si="56"/>
        <v>NCP XSS</v>
      </c>
      <c r="I148" s="1590"/>
      <c r="J148" s="694">
        <f t="shared" si="62"/>
        <v>0</v>
      </c>
      <c r="K148" s="694">
        <f t="shared" si="62"/>
        <v>0</v>
      </c>
      <c r="L148" s="694">
        <f t="shared" si="62"/>
        <v>0</v>
      </c>
      <c r="M148" s="694">
        <f t="shared" si="62"/>
        <v>0</v>
      </c>
      <c r="N148" s="694">
        <f t="shared" si="62"/>
        <v>0</v>
      </c>
      <c r="O148" s="694">
        <f t="shared" si="62"/>
        <v>0</v>
      </c>
      <c r="P148" s="694">
        <f t="shared" si="62"/>
        <v>0</v>
      </c>
      <c r="Q148" s="694">
        <f t="shared" si="62"/>
        <v>0</v>
      </c>
      <c r="R148" s="694">
        <f t="shared" si="62"/>
        <v>0</v>
      </c>
      <c r="S148" s="694">
        <f t="shared" si="62"/>
        <v>0</v>
      </c>
      <c r="T148" s="1590"/>
      <c r="U148" s="646">
        <f t="shared" si="58"/>
        <v>0</v>
      </c>
      <c r="W148" s="646">
        <f t="shared" si="43"/>
        <v>0</v>
      </c>
    </row>
    <row r="149" spans="2:23" ht="18" customHeight="1" x14ac:dyDescent="0.2">
      <c r="B149" s="645">
        <f t="shared" si="55"/>
        <v>15</v>
      </c>
      <c r="C149" s="647" t="s">
        <v>376</v>
      </c>
      <c r="D149" s="649" t="s">
        <v>494</v>
      </c>
      <c r="E149" s="1590"/>
      <c r="F149" s="646">
        <f>' WP II-I-1.4'!H149</f>
        <v>0</v>
      </c>
      <c r="G149" s="645">
        <v>32</v>
      </c>
      <c r="H149" s="650" t="str">
        <f t="shared" si="56"/>
        <v>NCP SEC</v>
      </c>
      <c r="I149" s="1590"/>
      <c r="J149" s="694">
        <f t="shared" si="62"/>
        <v>0</v>
      </c>
      <c r="K149" s="694">
        <f t="shared" si="62"/>
        <v>0</v>
      </c>
      <c r="L149" s="694">
        <f t="shared" si="62"/>
        <v>0</v>
      </c>
      <c r="M149" s="694">
        <f t="shared" si="62"/>
        <v>0</v>
      </c>
      <c r="N149" s="694">
        <f t="shared" si="62"/>
        <v>0</v>
      </c>
      <c r="O149" s="694">
        <f t="shared" si="62"/>
        <v>0</v>
      </c>
      <c r="P149" s="694">
        <f t="shared" si="62"/>
        <v>0</v>
      </c>
      <c r="Q149" s="694">
        <f t="shared" si="62"/>
        <v>0</v>
      </c>
      <c r="R149" s="694">
        <f t="shared" si="62"/>
        <v>0</v>
      </c>
      <c r="S149" s="694">
        <f t="shared" si="62"/>
        <v>0</v>
      </c>
      <c r="T149" s="1590"/>
      <c r="U149" s="646">
        <f t="shared" si="58"/>
        <v>0</v>
      </c>
      <c r="W149" s="646">
        <f t="shared" si="43"/>
        <v>0</v>
      </c>
    </row>
    <row r="150" spans="2:23" ht="18" customHeight="1" x14ac:dyDescent="0.2">
      <c r="B150" s="645">
        <f t="shared" si="55"/>
        <v>16</v>
      </c>
      <c r="C150" s="647" t="s">
        <v>379</v>
      </c>
      <c r="D150" s="647" t="str">
        <f>'WP II-I-1.2'!D39</f>
        <v>Regulators, Protectors, Primary Transformers</v>
      </c>
      <c r="E150" s="645"/>
      <c r="F150" s="646">
        <f>' WP II-I-1.4'!H150</f>
        <v>0</v>
      </c>
      <c r="G150" s="645">
        <v>30</v>
      </c>
      <c r="H150" s="650" t="str">
        <f t="shared" si="56"/>
        <v>NCP XSS</v>
      </c>
      <c r="I150" s="645"/>
      <c r="J150" s="694">
        <f t="shared" si="62"/>
        <v>0</v>
      </c>
      <c r="K150" s="694">
        <f t="shared" si="62"/>
        <v>0</v>
      </c>
      <c r="L150" s="694">
        <f t="shared" si="62"/>
        <v>0</v>
      </c>
      <c r="M150" s="694">
        <f t="shared" si="62"/>
        <v>0</v>
      </c>
      <c r="N150" s="694">
        <f t="shared" si="62"/>
        <v>0</v>
      </c>
      <c r="O150" s="694">
        <f t="shared" si="62"/>
        <v>0</v>
      </c>
      <c r="P150" s="694">
        <f t="shared" si="62"/>
        <v>0</v>
      </c>
      <c r="Q150" s="694">
        <f t="shared" si="62"/>
        <v>0</v>
      </c>
      <c r="R150" s="694">
        <f t="shared" si="62"/>
        <v>0</v>
      </c>
      <c r="S150" s="694">
        <f t="shared" si="62"/>
        <v>0</v>
      </c>
      <c r="T150" s="645"/>
      <c r="U150" s="646">
        <f t="shared" si="58"/>
        <v>0</v>
      </c>
      <c r="W150" s="646">
        <f t="shared" si="43"/>
        <v>0</v>
      </c>
    </row>
    <row r="151" spans="2:23" ht="18" customHeight="1" x14ac:dyDescent="0.2">
      <c r="B151" s="645">
        <f t="shared" si="55"/>
        <v>17</v>
      </c>
      <c r="C151" s="647" t="s">
        <v>381</v>
      </c>
      <c r="D151" s="647" t="str">
        <f>'WP II-I-1.2'!D40</f>
        <v>Secondary Transformers</v>
      </c>
      <c r="E151" s="645"/>
      <c r="F151" s="646">
        <f>' WP II-I-1.4'!H151</f>
        <v>0</v>
      </c>
      <c r="G151" s="645">
        <v>32</v>
      </c>
      <c r="H151" s="650" t="str">
        <f t="shared" si="56"/>
        <v>NCP SEC</v>
      </c>
      <c r="I151" s="645"/>
      <c r="J151" s="694">
        <f t="shared" si="62"/>
        <v>0</v>
      </c>
      <c r="K151" s="694">
        <f t="shared" si="62"/>
        <v>0</v>
      </c>
      <c r="L151" s="694">
        <f t="shared" si="62"/>
        <v>0</v>
      </c>
      <c r="M151" s="694">
        <f t="shared" si="62"/>
        <v>0</v>
      </c>
      <c r="N151" s="694">
        <f t="shared" si="62"/>
        <v>0</v>
      </c>
      <c r="O151" s="694">
        <f t="shared" si="62"/>
        <v>0</v>
      </c>
      <c r="P151" s="694">
        <f t="shared" si="62"/>
        <v>0</v>
      </c>
      <c r="Q151" s="694">
        <f t="shared" si="62"/>
        <v>0</v>
      </c>
      <c r="R151" s="694">
        <f t="shared" si="62"/>
        <v>0</v>
      </c>
      <c r="S151" s="694">
        <f t="shared" si="62"/>
        <v>0</v>
      </c>
      <c r="T151" s="645"/>
      <c r="U151" s="646">
        <f t="shared" si="58"/>
        <v>0</v>
      </c>
      <c r="W151" s="646">
        <f t="shared" si="43"/>
        <v>0</v>
      </c>
    </row>
    <row r="152" spans="2:23" ht="18" customHeight="1" x14ac:dyDescent="0.2">
      <c r="B152" s="645">
        <f t="shared" si="55"/>
        <v>18</v>
      </c>
      <c r="C152" s="647" t="s">
        <v>383</v>
      </c>
      <c r="D152" s="647" t="str">
        <f>'WP II-I-1.2'!D41</f>
        <v>Capacitors</v>
      </c>
      <c r="E152" s="645"/>
      <c r="F152" s="646">
        <f>' WP II-I-1.4'!H152</f>
        <v>0</v>
      </c>
      <c r="G152" s="645">
        <v>26</v>
      </c>
      <c r="H152" s="650" t="str">
        <f t="shared" si="56"/>
        <v>NCP ALL</v>
      </c>
      <c r="I152" s="645"/>
      <c r="J152" s="694">
        <f t="shared" si="62"/>
        <v>0</v>
      </c>
      <c r="K152" s="694">
        <f t="shared" si="62"/>
        <v>0</v>
      </c>
      <c r="L152" s="694">
        <f t="shared" si="62"/>
        <v>0</v>
      </c>
      <c r="M152" s="694">
        <f t="shared" si="62"/>
        <v>0</v>
      </c>
      <c r="N152" s="694">
        <f t="shared" si="62"/>
        <v>0</v>
      </c>
      <c r="O152" s="694">
        <f t="shared" si="62"/>
        <v>0</v>
      </c>
      <c r="P152" s="694">
        <f t="shared" si="62"/>
        <v>0</v>
      </c>
      <c r="Q152" s="694">
        <f t="shared" si="62"/>
        <v>0</v>
      </c>
      <c r="R152" s="694">
        <f t="shared" si="62"/>
        <v>0</v>
      </c>
      <c r="S152" s="694">
        <f t="shared" si="62"/>
        <v>0</v>
      </c>
      <c r="T152" s="645"/>
      <c r="U152" s="646">
        <f t="shared" si="58"/>
        <v>0</v>
      </c>
      <c r="W152" s="646">
        <f t="shared" si="43"/>
        <v>0</v>
      </c>
    </row>
    <row r="153" spans="2:23" ht="18" customHeight="1" x14ac:dyDescent="0.2">
      <c r="B153" s="645">
        <f t="shared" si="55"/>
        <v>19</v>
      </c>
      <c r="C153" s="647" t="s">
        <v>72</v>
      </c>
      <c r="D153" s="649" t="s">
        <v>73</v>
      </c>
      <c r="E153" s="1590"/>
      <c r="F153" s="646">
        <f>' WP II-I-1.4'!H153</f>
        <v>0</v>
      </c>
      <c r="G153" s="645">
        <v>7</v>
      </c>
      <c r="H153" s="650" t="str">
        <f t="shared" si="56"/>
        <v>CUS W SEC</v>
      </c>
      <c r="I153" s="1590"/>
      <c r="J153" s="694">
        <f t="shared" si="62"/>
        <v>0</v>
      </c>
      <c r="K153" s="694">
        <f t="shared" si="62"/>
        <v>0</v>
      </c>
      <c r="L153" s="694">
        <f t="shared" si="62"/>
        <v>0</v>
      </c>
      <c r="M153" s="694">
        <f t="shared" si="62"/>
        <v>0</v>
      </c>
      <c r="N153" s="694">
        <f t="shared" si="62"/>
        <v>0</v>
      </c>
      <c r="O153" s="694">
        <f t="shared" si="62"/>
        <v>0</v>
      </c>
      <c r="P153" s="694">
        <f t="shared" si="62"/>
        <v>0</v>
      </c>
      <c r="Q153" s="694">
        <f t="shared" si="62"/>
        <v>0</v>
      </c>
      <c r="R153" s="694">
        <f t="shared" si="62"/>
        <v>0</v>
      </c>
      <c r="S153" s="694">
        <f t="shared" si="62"/>
        <v>0</v>
      </c>
      <c r="T153" s="1590"/>
      <c r="U153" s="646">
        <f t="shared" si="58"/>
        <v>0</v>
      </c>
      <c r="W153" s="646">
        <f t="shared" si="43"/>
        <v>0</v>
      </c>
    </row>
    <row r="154" spans="2:23" ht="18" customHeight="1" x14ac:dyDescent="0.2">
      <c r="B154" s="645">
        <f t="shared" si="55"/>
        <v>20</v>
      </c>
      <c r="C154" s="647" t="s">
        <v>74</v>
      </c>
      <c r="D154" s="647" t="s">
        <v>75</v>
      </c>
      <c r="E154" s="645"/>
      <c r="F154" s="646">
        <f>' WP II-I-1.4'!H154</f>
        <v>625718350.30999994</v>
      </c>
      <c r="G154" s="645">
        <v>6</v>
      </c>
      <c r="H154" s="650" t="str">
        <f t="shared" si="56"/>
        <v>CUS W ALL</v>
      </c>
      <c r="I154" s="645"/>
      <c r="J154" s="694">
        <f t="shared" si="62"/>
        <v>326652181.02529699</v>
      </c>
      <c r="K154" s="694">
        <f t="shared" si="62"/>
        <v>45824427.207436398</v>
      </c>
      <c r="L154" s="694">
        <f t="shared" si="62"/>
        <v>180212597.20700565</v>
      </c>
      <c r="M154" s="694">
        <f t="shared" si="62"/>
        <v>7589122.6068155235</v>
      </c>
      <c r="N154" s="694">
        <f t="shared" si="62"/>
        <v>58440250.36684677</v>
      </c>
      <c r="O154" s="694">
        <f t="shared" si="62"/>
        <v>1917553.0907769939</v>
      </c>
      <c r="P154" s="694">
        <f t="shared" si="62"/>
        <v>3999803.9930317672</v>
      </c>
      <c r="Q154" s="694">
        <f t="shared" si="62"/>
        <v>333091.93328856473</v>
      </c>
      <c r="R154" s="694">
        <f t="shared" si="62"/>
        <v>211754.3290428583</v>
      </c>
      <c r="S154" s="694">
        <f t="shared" si="62"/>
        <v>537568.55045836302</v>
      </c>
      <c r="T154" s="645"/>
      <c r="U154" s="646">
        <f t="shared" si="58"/>
        <v>625718350.30999994</v>
      </c>
      <c r="W154" s="646">
        <f t="shared" si="43"/>
        <v>0</v>
      </c>
    </row>
    <row r="155" spans="2:23" ht="18" customHeight="1" x14ac:dyDescent="0.2">
      <c r="B155" s="645">
        <f t="shared" si="55"/>
        <v>21</v>
      </c>
      <c r="C155" s="647" t="s">
        <v>76</v>
      </c>
      <c r="D155" s="647" t="s">
        <v>495</v>
      </c>
      <c r="E155" s="645"/>
      <c r="F155" s="646">
        <f>' WP II-I-1.4'!H155</f>
        <v>0</v>
      </c>
      <c r="G155" s="645">
        <v>33</v>
      </c>
      <c r="H155" s="650" t="str">
        <f t="shared" si="56"/>
        <v>NCP LGT</v>
      </c>
      <c r="I155" s="645"/>
      <c r="J155" s="694">
        <f t="shared" si="62"/>
        <v>0</v>
      </c>
      <c r="K155" s="694">
        <f t="shared" si="62"/>
        <v>0</v>
      </c>
      <c r="L155" s="694">
        <f t="shared" si="62"/>
        <v>0</v>
      </c>
      <c r="M155" s="694">
        <f t="shared" si="62"/>
        <v>0</v>
      </c>
      <c r="N155" s="694">
        <f t="shared" si="62"/>
        <v>0</v>
      </c>
      <c r="O155" s="694">
        <f t="shared" si="62"/>
        <v>0</v>
      </c>
      <c r="P155" s="694">
        <f t="shared" si="62"/>
        <v>0</v>
      </c>
      <c r="Q155" s="694">
        <f t="shared" si="62"/>
        <v>0</v>
      </c>
      <c r="R155" s="694">
        <f t="shared" si="62"/>
        <v>0</v>
      </c>
      <c r="S155" s="694">
        <f t="shared" si="62"/>
        <v>0</v>
      </c>
      <c r="T155" s="645"/>
      <c r="U155" s="646">
        <f t="shared" si="58"/>
        <v>0</v>
      </c>
      <c r="W155" s="646">
        <f t="shared" ref="W155:W166" si="63">U155-F155</f>
        <v>0</v>
      </c>
    </row>
    <row r="156" spans="2:23" ht="18" customHeight="1" x14ac:dyDescent="0.2">
      <c r="B156" s="645">
        <f t="shared" si="55"/>
        <v>22</v>
      </c>
      <c r="C156" s="647" t="s">
        <v>78</v>
      </c>
      <c r="D156" s="647" t="s">
        <v>496</v>
      </c>
      <c r="E156" s="645"/>
      <c r="F156" s="646">
        <f>' WP II-I-1.4'!H156</f>
        <v>0</v>
      </c>
      <c r="G156" s="645">
        <v>6</v>
      </c>
      <c r="H156" s="650" t="str">
        <f t="shared" si="56"/>
        <v>CUS W ALL</v>
      </c>
      <c r="I156" s="645"/>
      <c r="J156" s="694">
        <f t="shared" si="62"/>
        <v>0</v>
      </c>
      <c r="K156" s="694">
        <f t="shared" si="62"/>
        <v>0</v>
      </c>
      <c r="L156" s="694">
        <f t="shared" si="62"/>
        <v>0</v>
      </c>
      <c r="M156" s="694">
        <f t="shared" si="62"/>
        <v>0</v>
      </c>
      <c r="N156" s="694">
        <f t="shared" si="62"/>
        <v>0</v>
      </c>
      <c r="O156" s="694">
        <f t="shared" si="62"/>
        <v>0</v>
      </c>
      <c r="P156" s="694">
        <f t="shared" si="62"/>
        <v>0</v>
      </c>
      <c r="Q156" s="694">
        <f t="shared" si="62"/>
        <v>0</v>
      </c>
      <c r="R156" s="694">
        <f t="shared" si="62"/>
        <v>0</v>
      </c>
      <c r="S156" s="694">
        <f t="shared" si="62"/>
        <v>0</v>
      </c>
      <c r="T156" s="645"/>
      <c r="U156" s="646">
        <f t="shared" si="58"/>
        <v>0</v>
      </c>
      <c r="W156" s="646">
        <f t="shared" si="63"/>
        <v>0</v>
      </c>
    </row>
    <row r="157" spans="2:23" ht="18" customHeight="1" x14ac:dyDescent="0.2">
      <c r="B157" s="645">
        <f t="shared" si="55"/>
        <v>23</v>
      </c>
      <c r="C157" s="647" t="s">
        <v>80</v>
      </c>
      <c r="D157" s="647" t="s">
        <v>84</v>
      </c>
      <c r="E157" s="645"/>
      <c r="F157" s="646">
        <f>' WP II-I-1.4'!H157</f>
        <v>0</v>
      </c>
      <c r="G157" s="645">
        <v>33</v>
      </c>
      <c r="H157" s="650" t="str">
        <f t="shared" si="56"/>
        <v>NCP LGT</v>
      </c>
      <c r="I157" s="645"/>
      <c r="J157" s="694">
        <f t="shared" si="62"/>
        <v>0</v>
      </c>
      <c r="K157" s="694">
        <f t="shared" si="62"/>
        <v>0</v>
      </c>
      <c r="L157" s="694">
        <f t="shared" si="62"/>
        <v>0</v>
      </c>
      <c r="M157" s="694">
        <f t="shared" si="62"/>
        <v>0</v>
      </c>
      <c r="N157" s="694">
        <f t="shared" si="62"/>
        <v>0</v>
      </c>
      <c r="O157" s="694">
        <f t="shared" si="62"/>
        <v>0</v>
      </c>
      <c r="P157" s="694">
        <f t="shared" si="62"/>
        <v>0</v>
      </c>
      <c r="Q157" s="694">
        <f t="shared" si="62"/>
        <v>0</v>
      </c>
      <c r="R157" s="694">
        <f t="shared" si="62"/>
        <v>0</v>
      </c>
      <c r="S157" s="694">
        <f t="shared" si="62"/>
        <v>0</v>
      </c>
      <c r="T157" s="645"/>
      <c r="U157" s="646">
        <f t="shared" si="58"/>
        <v>0</v>
      </c>
      <c r="W157" s="646">
        <f t="shared" si="63"/>
        <v>0</v>
      </c>
    </row>
    <row r="158" spans="2:23" ht="18" customHeight="1" x14ac:dyDescent="0.2">
      <c r="B158" s="645">
        <f t="shared" si="55"/>
        <v>24</v>
      </c>
      <c r="C158" s="647" t="s">
        <v>82</v>
      </c>
      <c r="D158" s="647" t="s">
        <v>38</v>
      </c>
      <c r="E158" s="645"/>
      <c r="F158" s="646">
        <f>' WP II-I-1.4'!H158</f>
        <v>0</v>
      </c>
      <c r="G158" s="645">
        <v>54</v>
      </c>
      <c r="H158" s="650" t="str">
        <f t="shared" si="56"/>
        <v>PLT 362-373</v>
      </c>
      <c r="I158" s="645"/>
      <c r="J158" s="1591">
        <f t="shared" ca="1" si="62"/>
        <v>0</v>
      </c>
      <c r="K158" s="1591">
        <f t="shared" ca="1" si="62"/>
        <v>0</v>
      </c>
      <c r="L158" s="1591">
        <f t="shared" ca="1" si="62"/>
        <v>0</v>
      </c>
      <c r="M158" s="1591">
        <f t="shared" ca="1" si="62"/>
        <v>0</v>
      </c>
      <c r="N158" s="1591">
        <f t="shared" ca="1" si="62"/>
        <v>0</v>
      </c>
      <c r="O158" s="1591">
        <f t="shared" ca="1" si="62"/>
        <v>0</v>
      </c>
      <c r="P158" s="1591">
        <f t="shared" ca="1" si="62"/>
        <v>0</v>
      </c>
      <c r="Q158" s="1591">
        <f t="shared" ca="1" si="62"/>
        <v>0</v>
      </c>
      <c r="R158" s="1591">
        <f t="shared" ca="1" si="62"/>
        <v>0</v>
      </c>
      <c r="S158" s="1591">
        <f t="shared" ca="1" si="62"/>
        <v>0</v>
      </c>
      <c r="T158" s="645"/>
      <c r="U158" s="646">
        <f t="shared" ca="1" si="58"/>
        <v>0</v>
      </c>
      <c r="W158" s="646">
        <f t="shared" ca="1" si="63"/>
        <v>0</v>
      </c>
    </row>
    <row r="159" spans="2:23" ht="18" customHeight="1" x14ac:dyDescent="0.25">
      <c r="B159" s="645">
        <f t="shared" si="55"/>
        <v>25</v>
      </c>
      <c r="D159" s="233" t="s">
        <v>444</v>
      </c>
      <c r="E159" s="121"/>
      <c r="F159" s="805">
        <f>SUM(F136:F158)</f>
        <v>784983594.01999998</v>
      </c>
      <c r="G159" s="121"/>
      <c r="H159" s="121"/>
      <c r="I159" s="121"/>
      <c r="J159" s="805">
        <f t="shared" ref="J159:Q159" ca="1" si="64">SUM(J136:J158)</f>
        <v>409795562.05866855</v>
      </c>
      <c r="K159" s="805">
        <f t="shared" ca="1" si="64"/>
        <v>57488203.031571567</v>
      </c>
      <c r="L159" s="805">
        <f t="shared" ca="1" si="64"/>
        <v>226082441.36223328</v>
      </c>
      <c r="M159" s="805">
        <f t="shared" ca="1" si="64"/>
        <v>9520795.9562078305</v>
      </c>
      <c r="N159" s="805">
        <f t="shared" ca="1" si="64"/>
        <v>73315154.886648774</v>
      </c>
      <c r="O159" s="805">
        <f ca="1">SUM(O136:O158)</f>
        <v>2405631.4093657928</v>
      </c>
      <c r="P159" s="805">
        <f t="shared" ca="1" si="64"/>
        <v>5017881.4673887715</v>
      </c>
      <c r="Q159" s="805">
        <f t="shared" ca="1" si="64"/>
        <v>417874.43632168783</v>
      </c>
      <c r="R159" s="805">
        <f ca="1">SUM(R136:R158)</f>
        <v>265652.54827352322</v>
      </c>
      <c r="S159" s="805">
        <f ca="1">SUM(S136:S158)</f>
        <v>674396.86332015763</v>
      </c>
      <c r="T159" s="121"/>
      <c r="U159" s="235">
        <f t="shared" ca="1" si="58"/>
        <v>784983594.01999998</v>
      </c>
      <c r="W159" s="646">
        <f t="shared" ca="1" si="63"/>
        <v>0</v>
      </c>
    </row>
    <row r="160" spans="2:23" ht="12" customHeight="1" x14ac:dyDescent="0.2">
      <c r="B160" s="645">
        <f t="shared" si="55"/>
        <v>26</v>
      </c>
      <c r="D160" s="647"/>
      <c r="E160" s="645"/>
      <c r="F160" s="803"/>
      <c r="G160" s="645"/>
      <c r="H160" s="645"/>
      <c r="I160" s="645"/>
      <c r="J160" s="803"/>
      <c r="K160" s="803"/>
      <c r="L160" s="803"/>
      <c r="M160" s="803"/>
      <c r="N160" s="803"/>
      <c r="O160" s="803"/>
      <c r="P160" s="803"/>
      <c r="Q160" s="803"/>
      <c r="R160" s="803"/>
      <c r="S160" s="803"/>
      <c r="T160" s="645"/>
      <c r="U160" s="647"/>
      <c r="W160" s="646">
        <f t="shared" si="63"/>
        <v>0</v>
      </c>
    </row>
    <row r="161" spans="2:23" ht="18" customHeight="1" x14ac:dyDescent="0.25">
      <c r="B161" s="645">
        <f t="shared" si="55"/>
        <v>27</v>
      </c>
      <c r="D161" s="233" t="s">
        <v>519</v>
      </c>
      <c r="E161" s="645"/>
      <c r="F161" s="805">
        <f>SUM(F142:F143)</f>
        <v>0</v>
      </c>
      <c r="G161" s="645"/>
      <c r="H161" s="645"/>
      <c r="I161" s="645"/>
      <c r="J161" s="805">
        <f t="shared" ref="J161:Q161" si="65">SUM(J142:J143)</f>
        <v>0</v>
      </c>
      <c r="K161" s="805">
        <f t="shared" si="65"/>
        <v>0</v>
      </c>
      <c r="L161" s="805">
        <f t="shared" si="65"/>
        <v>0</v>
      </c>
      <c r="M161" s="805">
        <f t="shared" si="65"/>
        <v>0</v>
      </c>
      <c r="N161" s="805">
        <f t="shared" si="65"/>
        <v>0</v>
      </c>
      <c r="O161" s="805">
        <f>SUM(O142:O143)</f>
        <v>0</v>
      </c>
      <c r="P161" s="805">
        <f t="shared" si="65"/>
        <v>0</v>
      </c>
      <c r="Q161" s="805">
        <f t="shared" si="65"/>
        <v>0</v>
      </c>
      <c r="R161" s="805">
        <f>SUM(R142:R143)</f>
        <v>0</v>
      </c>
      <c r="S161" s="805">
        <f>SUM(S142:S143)</f>
        <v>0</v>
      </c>
      <c r="T161" s="645"/>
      <c r="U161" s="235">
        <f>SUM(I161:T161)</f>
        <v>0</v>
      </c>
      <c r="W161" s="646">
        <f t="shared" si="63"/>
        <v>0</v>
      </c>
    </row>
    <row r="162" spans="2:23" ht="18" customHeight="1" x14ac:dyDescent="0.25">
      <c r="B162" s="645">
        <f t="shared" si="55"/>
        <v>28</v>
      </c>
      <c r="D162" s="233" t="s">
        <v>520</v>
      </c>
      <c r="E162" s="645"/>
      <c r="F162" s="805">
        <f>SUM(F144:F145)</f>
        <v>0</v>
      </c>
      <c r="G162" s="645"/>
      <c r="H162" s="645"/>
      <c r="I162" s="645"/>
      <c r="J162" s="805">
        <f t="shared" ref="J162:Q162" si="66">SUM(J144:J145)</f>
        <v>0</v>
      </c>
      <c r="K162" s="805">
        <f t="shared" si="66"/>
        <v>0</v>
      </c>
      <c r="L162" s="805">
        <f t="shared" si="66"/>
        <v>0</v>
      </c>
      <c r="M162" s="805">
        <f t="shared" si="66"/>
        <v>0</v>
      </c>
      <c r="N162" s="805">
        <f t="shared" si="66"/>
        <v>0</v>
      </c>
      <c r="O162" s="805">
        <f>SUM(O144:O145)</f>
        <v>0</v>
      </c>
      <c r="P162" s="805">
        <f t="shared" si="66"/>
        <v>0</v>
      </c>
      <c r="Q162" s="805">
        <f t="shared" si="66"/>
        <v>0</v>
      </c>
      <c r="R162" s="805">
        <f>SUM(R144:R145)</f>
        <v>0</v>
      </c>
      <c r="S162" s="805">
        <f>SUM(S144:S145)</f>
        <v>0</v>
      </c>
      <c r="T162" s="645"/>
      <c r="U162" s="235">
        <f>SUM(I162:T162)</f>
        <v>0</v>
      </c>
      <c r="W162" s="646">
        <f t="shared" si="63"/>
        <v>0</v>
      </c>
    </row>
    <row r="163" spans="2:23" ht="18" customHeight="1" x14ac:dyDescent="0.25">
      <c r="B163" s="645">
        <f t="shared" si="55"/>
        <v>29</v>
      </c>
      <c r="D163" s="233" t="s">
        <v>521</v>
      </c>
      <c r="E163" s="645"/>
      <c r="F163" s="805">
        <f>SUM(F146:F147)</f>
        <v>0</v>
      </c>
      <c r="G163" s="645"/>
      <c r="H163" s="645"/>
      <c r="I163" s="645"/>
      <c r="J163" s="805">
        <f t="shared" ref="J163:Q163" si="67">SUM(J146:J147)</f>
        <v>0</v>
      </c>
      <c r="K163" s="805">
        <f t="shared" si="67"/>
        <v>0</v>
      </c>
      <c r="L163" s="805">
        <f t="shared" si="67"/>
        <v>0</v>
      </c>
      <c r="M163" s="805">
        <f t="shared" si="67"/>
        <v>0</v>
      </c>
      <c r="N163" s="805">
        <f t="shared" si="67"/>
        <v>0</v>
      </c>
      <c r="O163" s="805">
        <f>SUM(O146:O147)</f>
        <v>0</v>
      </c>
      <c r="P163" s="805">
        <f t="shared" si="67"/>
        <v>0</v>
      </c>
      <c r="Q163" s="805">
        <f t="shared" si="67"/>
        <v>0</v>
      </c>
      <c r="R163" s="805">
        <f>SUM(R146:R147)</f>
        <v>0</v>
      </c>
      <c r="S163" s="805">
        <f>SUM(S146:S147)</f>
        <v>0</v>
      </c>
      <c r="T163" s="645"/>
      <c r="U163" s="235">
        <f>SUM(I163:T163)</f>
        <v>0</v>
      </c>
      <c r="W163" s="646">
        <f t="shared" si="63"/>
        <v>0</v>
      </c>
    </row>
    <row r="164" spans="2:23" ht="18" customHeight="1" x14ac:dyDescent="0.25">
      <c r="B164" s="645">
        <f t="shared" si="55"/>
        <v>30</v>
      </c>
      <c r="D164" s="233" t="s">
        <v>522</v>
      </c>
      <c r="E164" s="645"/>
      <c r="F164" s="805">
        <f>SUM(F148:F149)</f>
        <v>0</v>
      </c>
      <c r="G164" s="645"/>
      <c r="H164" s="645"/>
      <c r="I164" s="645"/>
      <c r="J164" s="805">
        <f t="shared" ref="J164:Q164" si="68">SUM(J148:J149)</f>
        <v>0</v>
      </c>
      <c r="K164" s="805">
        <f t="shared" si="68"/>
        <v>0</v>
      </c>
      <c r="L164" s="805">
        <f t="shared" si="68"/>
        <v>0</v>
      </c>
      <c r="M164" s="805">
        <f t="shared" si="68"/>
        <v>0</v>
      </c>
      <c r="N164" s="805">
        <f t="shared" si="68"/>
        <v>0</v>
      </c>
      <c r="O164" s="805">
        <f>SUM(O148:O149)</f>
        <v>0</v>
      </c>
      <c r="P164" s="805">
        <f t="shared" si="68"/>
        <v>0</v>
      </c>
      <c r="Q164" s="805">
        <f t="shared" si="68"/>
        <v>0</v>
      </c>
      <c r="R164" s="805">
        <f>SUM(R148:R149)</f>
        <v>0</v>
      </c>
      <c r="S164" s="805">
        <f>SUM(S148:S149)</f>
        <v>0</v>
      </c>
      <c r="T164" s="645"/>
      <c r="U164" s="235">
        <f>SUM(I164:T164)</f>
        <v>0</v>
      </c>
      <c r="W164" s="646">
        <f t="shared" si="63"/>
        <v>0</v>
      </c>
    </row>
    <row r="165" spans="2:23" ht="18" customHeight="1" x14ac:dyDescent="0.25">
      <c r="B165" s="645">
        <f t="shared" si="55"/>
        <v>31</v>
      </c>
      <c r="D165" s="233" t="s">
        <v>523</v>
      </c>
      <c r="E165" s="645"/>
      <c r="F165" s="805">
        <f>SUM(F150:F152)</f>
        <v>0</v>
      </c>
      <c r="G165" s="645"/>
      <c r="H165" s="645"/>
      <c r="I165" s="645"/>
      <c r="J165" s="805">
        <f t="shared" ref="J165:Q165" si="69">SUM(J150:J152)</f>
        <v>0</v>
      </c>
      <c r="K165" s="805">
        <f t="shared" si="69"/>
        <v>0</v>
      </c>
      <c r="L165" s="805">
        <f t="shared" si="69"/>
        <v>0</v>
      </c>
      <c r="M165" s="805">
        <f t="shared" si="69"/>
        <v>0</v>
      </c>
      <c r="N165" s="805">
        <f t="shared" si="69"/>
        <v>0</v>
      </c>
      <c r="O165" s="805">
        <f>SUM(O150:O152)</f>
        <v>0</v>
      </c>
      <c r="P165" s="805">
        <f t="shared" si="69"/>
        <v>0</v>
      </c>
      <c r="Q165" s="805">
        <f t="shared" si="69"/>
        <v>0</v>
      </c>
      <c r="R165" s="805">
        <f>SUM(R150:R152)</f>
        <v>0</v>
      </c>
      <c r="S165" s="805">
        <f>SUM(S150:S152)</f>
        <v>0</v>
      </c>
      <c r="T165" s="645"/>
      <c r="U165" s="235">
        <f>SUM(I165:T165)</f>
        <v>0</v>
      </c>
      <c r="W165" s="646">
        <f t="shared" si="63"/>
        <v>0</v>
      </c>
    </row>
    <row r="166" spans="2:23" ht="14.25" customHeight="1" thickBot="1" x14ac:dyDescent="0.25">
      <c r="B166" s="645">
        <f t="shared" si="55"/>
        <v>32</v>
      </c>
      <c r="D166" s="647"/>
      <c r="E166" s="645"/>
      <c r="F166" s="803"/>
      <c r="G166" s="645"/>
      <c r="H166" s="645"/>
      <c r="I166" s="645"/>
      <c r="J166" s="803"/>
      <c r="K166" s="803"/>
      <c r="L166" s="803"/>
      <c r="M166" s="803"/>
      <c r="N166" s="803"/>
      <c r="O166" s="803"/>
      <c r="P166" s="803"/>
      <c r="Q166" s="803"/>
      <c r="R166" s="803"/>
      <c r="S166" s="803"/>
      <c r="T166" s="645"/>
      <c r="U166" s="647"/>
      <c r="W166" s="646">
        <f t="shared" si="63"/>
        <v>0</v>
      </c>
    </row>
    <row r="167" spans="2:23" ht="18" customHeight="1" x14ac:dyDescent="0.25">
      <c r="B167" s="645">
        <f t="shared" si="55"/>
        <v>33</v>
      </c>
      <c r="C167" s="239" t="s">
        <v>497</v>
      </c>
      <c r="D167" s="240"/>
      <c r="E167" s="241" t="s">
        <v>24</v>
      </c>
      <c r="F167" s="817">
        <f>F106+F121+F159</f>
        <v>785307954.01999998</v>
      </c>
      <c r="G167" s="241"/>
      <c r="H167" s="372"/>
      <c r="I167" s="373"/>
      <c r="J167" s="374">
        <f t="shared" ref="J167:Q167" ca="1" si="70">J106+J121+J159</f>
        <v>409964892.07973135</v>
      </c>
      <c r="K167" s="817">
        <f t="shared" ca="1" si="70"/>
        <v>57511957.507050253</v>
      </c>
      <c r="L167" s="817">
        <f t="shared" ca="1" si="70"/>
        <v>226175860.00338566</v>
      </c>
      <c r="M167" s="817">
        <f t="shared" ca="1" si="70"/>
        <v>9524730.0070591867</v>
      </c>
      <c r="N167" s="817">
        <f t="shared" ca="1" si="70"/>
        <v>73345449.154987872</v>
      </c>
      <c r="O167" s="817">
        <f ca="1">O106+O121+O159</f>
        <v>2406625.4309095372</v>
      </c>
      <c r="P167" s="817">
        <f t="shared" ca="1" si="70"/>
        <v>5019954.8865597723</v>
      </c>
      <c r="Q167" s="817">
        <f t="shared" ca="1" si="70"/>
        <v>418047.10458277998</v>
      </c>
      <c r="R167" s="817">
        <f ca="1">R106+R121+R159</f>
        <v>265762.31752375269</v>
      </c>
      <c r="S167" s="566">
        <f ca="1">S106+S121+S159</f>
        <v>674675.52820978453</v>
      </c>
      <c r="T167" s="373"/>
      <c r="U167" s="243">
        <f ca="1">SUM(I167:T167)</f>
        <v>785307954.01999998</v>
      </c>
    </row>
    <row r="168" spans="2:23" ht="18" customHeight="1" thickBot="1" x14ac:dyDescent="0.3">
      <c r="B168" s="645">
        <f t="shared" si="55"/>
        <v>34</v>
      </c>
      <c r="C168" s="245" t="s">
        <v>498</v>
      </c>
      <c r="D168" s="246"/>
      <c r="E168" s="247" t="s">
        <v>24</v>
      </c>
      <c r="F168" s="248">
        <f>F121+F159</f>
        <v>784983594.01999998</v>
      </c>
      <c r="G168" s="247"/>
      <c r="H168" s="375"/>
      <c r="I168" s="376"/>
      <c r="J168" s="377">
        <f t="shared" ref="J168:Q168" ca="1" si="71">J121+J159</f>
        <v>409795562.05866855</v>
      </c>
      <c r="K168" s="248">
        <f t="shared" ca="1" si="71"/>
        <v>57488203.031571567</v>
      </c>
      <c r="L168" s="248">
        <f t="shared" ca="1" si="71"/>
        <v>226082441.36223328</v>
      </c>
      <c r="M168" s="248">
        <f t="shared" ca="1" si="71"/>
        <v>9520795.9562078305</v>
      </c>
      <c r="N168" s="248">
        <f t="shared" ca="1" si="71"/>
        <v>73315154.886648774</v>
      </c>
      <c r="O168" s="248">
        <f ca="1">O121+O159</f>
        <v>2405631.4093657928</v>
      </c>
      <c r="P168" s="248">
        <f t="shared" ca="1" si="71"/>
        <v>5017881.4673887715</v>
      </c>
      <c r="Q168" s="248">
        <f t="shared" ca="1" si="71"/>
        <v>417874.43632168783</v>
      </c>
      <c r="R168" s="248">
        <f ca="1">R121+R159</f>
        <v>265652.54827352322</v>
      </c>
      <c r="S168" s="378">
        <f ca="1">S121+S159</f>
        <v>674396.86332015763</v>
      </c>
      <c r="T168" s="376"/>
      <c r="U168" s="249">
        <f ca="1">SUM(I168:T168)</f>
        <v>784983594.01999998</v>
      </c>
    </row>
    <row r="169" spans="2:23" ht="8.25" customHeight="1" x14ac:dyDescent="0.2"/>
    <row r="170" spans="2:23" ht="8.25" customHeight="1" x14ac:dyDescent="0.2">
      <c r="H170" s="653"/>
      <c r="U170" s="653"/>
      <c r="V170" s="653">
        <f>$H$2</f>
        <v>0</v>
      </c>
    </row>
    <row r="171" spans="2:23" ht="8.25" customHeight="1" thickBot="1" x14ac:dyDescent="0.25">
      <c r="V171" s="653"/>
    </row>
    <row r="172" spans="2:23" ht="18" customHeight="1" x14ac:dyDescent="0.25">
      <c r="B172" s="829" t="str">
        <f>+$B$4</f>
        <v>2025 RATE CASE</v>
      </c>
      <c r="C172" s="844"/>
      <c r="D172" s="1586"/>
      <c r="F172" s="571"/>
      <c r="U172" s="653"/>
    </row>
    <row r="173" spans="2:23" ht="18" customHeight="1" x14ac:dyDescent="0.25">
      <c r="B173" s="826" t="str">
        <f>+$B$5</f>
        <v>ONCOR ELECTRIC DELIVERY COMPANY LLC</v>
      </c>
      <c r="C173" s="8"/>
      <c r="D173" s="1587"/>
      <c r="F173" s="571"/>
      <c r="U173" s="653"/>
    </row>
    <row r="174" spans="2:23" ht="18" customHeight="1" x14ac:dyDescent="0.25">
      <c r="B174" s="826" t="str">
        <f>+$B$6</f>
        <v>II-I-1-MET:  CLASS REVENUE REQUIREMENT</v>
      </c>
      <c r="C174" s="82"/>
      <c r="D174" s="1587"/>
      <c r="F174" s="571"/>
      <c r="U174" s="571"/>
    </row>
    <row r="175" spans="2:23" ht="18" customHeight="1" x14ac:dyDescent="0.25">
      <c r="B175" s="341" t="str">
        <f>+$B$7</f>
        <v>TEST YEAR ENDING 12/31/2024</v>
      </c>
      <c r="C175" s="82"/>
      <c r="D175" s="1587"/>
      <c r="F175" s="571"/>
      <c r="U175" s="571"/>
    </row>
    <row r="176" spans="2:23" ht="18" customHeight="1" x14ac:dyDescent="0.25">
      <c r="B176" s="341" t="str">
        <f>+$B$8</f>
        <v>SPONSOR:  MATTHEW A. TROXLE</v>
      </c>
      <c r="C176" s="82"/>
      <c r="D176" s="1587"/>
      <c r="F176" s="571"/>
      <c r="U176" s="571"/>
    </row>
    <row r="177" spans="2:23" ht="18" customHeight="1" thickBot="1" x14ac:dyDescent="0.3">
      <c r="B177" s="345"/>
      <c r="C177" s="843"/>
      <c r="D177" s="1588"/>
      <c r="F177" s="571"/>
      <c r="U177" s="571"/>
    </row>
    <row r="178" spans="2:23" ht="18" customHeight="1" thickBot="1" x14ac:dyDescent="0.25">
      <c r="B178" s="655"/>
      <c r="C178" s="656"/>
      <c r="D178" s="656"/>
      <c r="E178" s="656"/>
      <c r="F178" s="655"/>
      <c r="G178" s="656"/>
      <c r="H178" s="656"/>
      <c r="I178" s="656"/>
      <c r="J178" s="657"/>
      <c r="K178" s="657"/>
      <c r="L178" s="656"/>
      <c r="M178" s="657"/>
      <c r="N178" s="657"/>
      <c r="O178" s="657"/>
      <c r="P178" s="657"/>
      <c r="Q178" s="656"/>
      <c r="R178" s="658" t="str">
        <f>R$10</f>
        <v xml:space="preserve"> </v>
      </c>
      <c r="S178" s="659"/>
      <c r="T178" s="657"/>
      <c r="U178" s="655"/>
    </row>
    <row r="179" spans="2:23" ht="18" customHeight="1" x14ac:dyDescent="0.25">
      <c r="B179" s="660" t="s">
        <v>2</v>
      </c>
      <c r="C179" s="660" t="s">
        <v>349</v>
      </c>
      <c r="D179" s="226" t="s">
        <v>499</v>
      </c>
      <c r="E179" s="660" t="s">
        <v>350</v>
      </c>
      <c r="F179" s="226" t="str">
        <f>F$11</f>
        <v>MET</v>
      </c>
      <c r="G179" s="661" t="s">
        <v>688</v>
      </c>
      <c r="H179" s="661" t="s">
        <v>355</v>
      </c>
      <c r="I179" s="660"/>
      <c r="J179" s="661" t="s">
        <v>679</v>
      </c>
      <c r="K179" s="661" t="s">
        <v>388</v>
      </c>
      <c r="L179" s="660" t="s">
        <v>388</v>
      </c>
      <c r="M179" s="661" t="s">
        <v>389</v>
      </c>
      <c r="N179" s="661" t="s">
        <v>389</v>
      </c>
      <c r="O179" s="661" t="s">
        <v>389</v>
      </c>
      <c r="P179" s="661" t="s">
        <v>390</v>
      </c>
      <c r="Q179" s="660" t="s">
        <v>391</v>
      </c>
      <c r="R179" s="662" t="str">
        <f>R$11</f>
        <v>Wholesale</v>
      </c>
      <c r="S179" s="655" t="str">
        <f>S$11</f>
        <v>Wholesale</v>
      </c>
      <c r="T179" s="661"/>
      <c r="U179" s="660" t="s">
        <v>10</v>
      </c>
    </row>
    <row r="180" spans="2:23" ht="18" customHeight="1" x14ac:dyDescent="0.2">
      <c r="B180" s="660"/>
      <c r="C180" s="660"/>
      <c r="D180" s="660"/>
      <c r="E180" s="660"/>
      <c r="F180" s="660"/>
      <c r="G180" s="661" t="s">
        <v>689</v>
      </c>
      <c r="H180" s="661" t="s">
        <v>690</v>
      </c>
      <c r="I180" s="660"/>
      <c r="J180" s="661"/>
      <c r="K180" s="661" t="s">
        <v>680</v>
      </c>
      <c r="L180" s="660" t="s">
        <v>681</v>
      </c>
      <c r="M180" s="661" t="s">
        <v>680</v>
      </c>
      <c r="N180" s="661" t="s">
        <v>681</v>
      </c>
      <c r="O180" s="661" t="s">
        <v>393</v>
      </c>
      <c r="P180" s="661"/>
      <c r="Q180" s="660"/>
      <c r="R180" s="663" t="str">
        <f>R$12</f>
        <v>XFMR</v>
      </c>
      <c r="S180" s="660" t="str">
        <f>S$12</f>
        <v>DLS</v>
      </c>
      <c r="T180" s="661"/>
      <c r="U180" s="660"/>
    </row>
    <row r="181" spans="2:23" ht="18" customHeight="1" thickBot="1" x14ac:dyDescent="0.25">
      <c r="B181" s="664"/>
      <c r="C181" s="664"/>
      <c r="D181" s="664"/>
      <c r="E181" s="664"/>
      <c r="F181" s="664" t="s">
        <v>13</v>
      </c>
      <c r="G181" s="664" t="s">
        <v>14</v>
      </c>
      <c r="H181" s="664" t="s">
        <v>15</v>
      </c>
      <c r="I181" s="664"/>
      <c r="J181" s="665" t="str">
        <f t="shared" ref="J181:Q181" si="72">J$13</f>
        <v>(d)</v>
      </c>
      <c r="K181" s="665" t="str">
        <f t="shared" si="72"/>
        <v>(e)</v>
      </c>
      <c r="L181" s="664" t="str">
        <f t="shared" si="72"/>
        <v>(f)</v>
      </c>
      <c r="M181" s="665" t="str">
        <f t="shared" si="72"/>
        <v>(g)</v>
      </c>
      <c r="N181" s="665" t="str">
        <f t="shared" si="72"/>
        <v>(h)</v>
      </c>
      <c r="O181" s="665" t="str">
        <f>O$13</f>
        <v>(i)</v>
      </c>
      <c r="P181" s="665" t="str">
        <f t="shared" si="72"/>
        <v>(j)</v>
      </c>
      <c r="Q181" s="665" t="str">
        <f t="shared" si="72"/>
        <v>(k)</v>
      </c>
      <c r="R181" s="665" t="str">
        <f>R$13</f>
        <v>(l)</v>
      </c>
      <c r="S181" s="664" t="str">
        <f>S$13</f>
        <v>(m)</v>
      </c>
      <c r="T181" s="664"/>
      <c r="U181" s="664" t="s">
        <v>683</v>
      </c>
    </row>
    <row r="182" spans="2:23" ht="18" customHeight="1" x14ac:dyDescent="0.2">
      <c r="C182" s="672"/>
      <c r="D182" s="672"/>
      <c r="E182" s="673"/>
      <c r="F182" s="672"/>
      <c r="G182" s="673"/>
      <c r="H182" s="673"/>
      <c r="I182" s="645"/>
      <c r="J182" s="673"/>
      <c r="K182" s="673"/>
      <c r="L182" s="673"/>
      <c r="M182" s="673"/>
      <c r="N182" s="673"/>
      <c r="O182" s="673"/>
      <c r="P182" s="673"/>
      <c r="Q182" s="673"/>
      <c r="R182" s="673"/>
      <c r="S182" s="673"/>
      <c r="T182" s="673"/>
      <c r="U182" s="647"/>
    </row>
    <row r="183" spans="2:23" ht="18" customHeight="1" x14ac:dyDescent="0.25">
      <c r="B183" s="645">
        <f t="shared" ref="B183:B199" si="73">B182+1</f>
        <v>1</v>
      </c>
      <c r="C183" s="47" t="s">
        <v>499</v>
      </c>
      <c r="D183" s="47"/>
      <c r="E183" s="55" t="s">
        <v>86</v>
      </c>
      <c r="F183" s="47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47"/>
    </row>
    <row r="184" spans="2:23" ht="18" customHeight="1" x14ac:dyDescent="0.2">
      <c r="B184" s="645">
        <f t="shared" si="73"/>
        <v>2</v>
      </c>
      <c r="C184" s="571" t="s">
        <v>87</v>
      </c>
      <c r="D184" s="571" t="s">
        <v>38</v>
      </c>
      <c r="E184" s="1480"/>
      <c r="F184" s="646">
        <f>' WP II-I-1.4'!H184</f>
        <v>4008542.709999999</v>
      </c>
      <c r="G184" s="1480">
        <v>61</v>
      </c>
      <c r="H184" s="620" t="str">
        <f t="shared" ref="H184:H192" si="74">VLOOKUP(G184,FactorTable,2)</f>
        <v>PLTOPER_N</v>
      </c>
      <c r="I184" s="1480"/>
      <c r="J184" s="648">
        <f t="shared" ref="J184:S192" ca="1" si="75">$F184*HLOOKUP(J$1354,FactorTable,$G184+1)</f>
        <v>2092633.5599808414</v>
      </c>
      <c r="K184" s="648">
        <f t="shared" ca="1" si="75"/>
        <v>293565.26547653525</v>
      </c>
      <c r="L184" s="648">
        <f t="shared" ca="1" si="75"/>
        <v>1154496.8953306463</v>
      </c>
      <c r="M184" s="648">
        <f t="shared" ca="1" si="75"/>
        <v>48618.235482106153</v>
      </c>
      <c r="N184" s="648">
        <f t="shared" ca="1" si="75"/>
        <v>374386.07875658234</v>
      </c>
      <c r="O184" s="648">
        <f t="shared" ca="1" si="75"/>
        <v>12284.430302010343</v>
      </c>
      <c r="P184" s="648">
        <f t="shared" ca="1" si="75"/>
        <v>25623.96504713815</v>
      </c>
      <c r="Q184" s="648">
        <f t="shared" ca="1" si="75"/>
        <v>2133.8885782751568</v>
      </c>
      <c r="R184" s="648">
        <f t="shared" ca="1" si="75"/>
        <v>1356.5628554367256</v>
      </c>
      <c r="S184" s="648">
        <f t="shared" ca="1" si="75"/>
        <v>3443.828190427133</v>
      </c>
      <c r="T184" s="1480"/>
      <c r="U184" s="646">
        <f t="shared" ref="U184:U193" ca="1" si="76">SUM(I184:T184)</f>
        <v>4008542.709999999</v>
      </c>
      <c r="W184" s="646">
        <f ca="1">U184-F184</f>
        <v>0</v>
      </c>
    </row>
    <row r="185" spans="2:23" ht="18" customHeight="1" x14ac:dyDescent="0.2">
      <c r="B185" s="645">
        <f t="shared" si="73"/>
        <v>3</v>
      </c>
      <c r="C185" s="571" t="s">
        <v>88</v>
      </c>
      <c r="D185" s="571" t="s">
        <v>40</v>
      </c>
      <c r="E185" s="1480"/>
      <c r="F185" s="646">
        <f>' WP II-I-1.4'!H185</f>
        <v>3248.17</v>
      </c>
      <c r="G185" s="1480">
        <v>61</v>
      </c>
      <c r="H185" s="620" t="str">
        <f t="shared" si="74"/>
        <v>PLTOPER_N</v>
      </c>
      <c r="I185" s="1480"/>
      <c r="J185" s="648">
        <f t="shared" ca="1" si="75"/>
        <v>1695.685949301753</v>
      </c>
      <c r="K185" s="648">
        <f t="shared" ca="1" si="75"/>
        <v>237.87943832658272</v>
      </c>
      <c r="L185" s="648">
        <f t="shared" ca="1" si="75"/>
        <v>935.50261324423968</v>
      </c>
      <c r="M185" s="648">
        <f t="shared" ca="1" si="75"/>
        <v>39.395936471364877</v>
      </c>
      <c r="N185" s="648">
        <f t="shared" ca="1" si="75"/>
        <v>303.36950792642756</v>
      </c>
      <c r="O185" s="648">
        <f t="shared" ca="1" si="75"/>
        <v>9.9542204887922843</v>
      </c>
      <c r="P185" s="648">
        <f t="shared" ca="1" si="75"/>
        <v>20.763404700548332</v>
      </c>
      <c r="Q185" s="648">
        <f t="shared" ca="1" si="75"/>
        <v>1.7291153830056154</v>
      </c>
      <c r="R185" s="648">
        <f t="shared" ca="1" si="75"/>
        <v>1.0992390723819705</v>
      </c>
      <c r="S185" s="648">
        <f t="shared" ca="1" si="75"/>
        <v>2.7905750849040358</v>
      </c>
      <c r="T185" s="1480"/>
      <c r="U185" s="646">
        <f t="shared" ca="1" si="76"/>
        <v>3248.1699999999996</v>
      </c>
      <c r="W185" s="646">
        <f t="shared" ref="W185:W199" ca="1" si="77">U185-F185</f>
        <v>0</v>
      </c>
    </row>
    <row r="186" spans="2:23" ht="18" customHeight="1" x14ac:dyDescent="0.2">
      <c r="B186" s="645">
        <f t="shared" si="73"/>
        <v>4</v>
      </c>
      <c r="C186" s="571" t="s">
        <v>89</v>
      </c>
      <c r="D186" s="571" t="s">
        <v>42</v>
      </c>
      <c r="E186" s="1480"/>
      <c r="F186" s="646">
        <f>' WP II-I-1.4'!H186</f>
        <v>32267267.569999993</v>
      </c>
      <c r="G186" s="1480">
        <v>61</v>
      </c>
      <c r="H186" s="620" t="str">
        <f t="shared" si="74"/>
        <v>PLTOPER_N</v>
      </c>
      <c r="I186" s="1480"/>
      <c r="J186" s="648">
        <f t="shared" ca="1" si="75"/>
        <v>16844916.442430384</v>
      </c>
      <c r="K186" s="648">
        <f t="shared" ca="1" si="75"/>
        <v>2363090.4435066995</v>
      </c>
      <c r="L186" s="648">
        <f t="shared" ca="1" si="75"/>
        <v>9293267.6350025088</v>
      </c>
      <c r="M186" s="648">
        <f t="shared" ca="1" si="75"/>
        <v>391358.58754075423</v>
      </c>
      <c r="N186" s="648">
        <f t="shared" ca="1" si="75"/>
        <v>3013667.7220839029</v>
      </c>
      <c r="O186" s="648">
        <f t="shared" ca="1" si="75"/>
        <v>98885.063270283499</v>
      </c>
      <c r="P186" s="648">
        <f t="shared" ca="1" si="75"/>
        <v>206263.32215887363</v>
      </c>
      <c r="Q186" s="648">
        <f t="shared" ca="1" si="75"/>
        <v>17177.003889219224</v>
      </c>
      <c r="R186" s="648">
        <f t="shared" ca="1" si="75"/>
        <v>10919.822937822721</v>
      </c>
      <c r="S186" s="648">
        <f t="shared" ca="1" si="75"/>
        <v>27721.527179542318</v>
      </c>
      <c r="T186" s="1480"/>
      <c r="U186" s="646">
        <f t="shared" ca="1" si="76"/>
        <v>32267267.569999989</v>
      </c>
      <c r="W186" s="646">
        <f t="shared" ca="1" si="77"/>
        <v>0</v>
      </c>
    </row>
    <row r="187" spans="2:23" ht="18" customHeight="1" x14ac:dyDescent="0.2">
      <c r="B187" s="645">
        <f t="shared" si="73"/>
        <v>5</v>
      </c>
      <c r="C187" s="571" t="s">
        <v>90</v>
      </c>
      <c r="D187" s="571" t="s">
        <v>91</v>
      </c>
      <c r="E187" s="1480"/>
      <c r="F187" s="646">
        <f>' WP II-I-1.4'!H187</f>
        <v>1565800.9000000006</v>
      </c>
      <c r="G187" s="1480">
        <v>61</v>
      </c>
      <c r="H187" s="620" t="str">
        <f t="shared" si="74"/>
        <v>PLTOPER_N</v>
      </c>
      <c r="I187" s="1480"/>
      <c r="J187" s="648">
        <f t="shared" ca="1" si="75"/>
        <v>817416.14063735586</v>
      </c>
      <c r="K187" s="648">
        <f t="shared" ca="1" si="75"/>
        <v>114671.28833258661</v>
      </c>
      <c r="L187" s="648">
        <f t="shared" ca="1" si="75"/>
        <v>450964.95373400499</v>
      </c>
      <c r="M187" s="648">
        <f t="shared" ca="1" si="75"/>
        <v>18991.060438094672</v>
      </c>
      <c r="N187" s="648">
        <f t="shared" ca="1" si="75"/>
        <v>146241.19074548362</v>
      </c>
      <c r="O187" s="648">
        <f t="shared" ca="1" si="75"/>
        <v>4798.4949679817873</v>
      </c>
      <c r="P187" s="648">
        <f t="shared" ca="1" si="75"/>
        <v>10009.130608060175</v>
      </c>
      <c r="Q187" s="648">
        <f t="shared" ca="1" si="75"/>
        <v>833.53101066570969</v>
      </c>
      <c r="R187" s="648">
        <f t="shared" ca="1" si="75"/>
        <v>529.89514983847982</v>
      </c>
      <c r="S187" s="648">
        <f t="shared" ca="1" si="75"/>
        <v>1345.2143759286973</v>
      </c>
      <c r="T187" s="1480"/>
      <c r="U187" s="646">
        <f t="shared" ca="1" si="76"/>
        <v>1565800.9000000004</v>
      </c>
      <c r="W187" s="646">
        <f t="shared" ca="1" si="77"/>
        <v>0</v>
      </c>
    </row>
    <row r="188" spans="2:23" ht="18" customHeight="1" x14ac:dyDescent="0.2">
      <c r="B188" s="645">
        <f t="shared" si="73"/>
        <v>6</v>
      </c>
      <c r="C188" s="571" t="s">
        <v>92</v>
      </c>
      <c r="D188" s="571" t="s">
        <v>94</v>
      </c>
      <c r="E188" s="1480"/>
      <c r="F188" s="646">
        <f>' WP II-I-1.4'!H188</f>
        <v>0</v>
      </c>
      <c r="G188" s="1480">
        <v>61</v>
      </c>
      <c r="H188" s="620" t="str">
        <f t="shared" si="74"/>
        <v>PLTOPER_N</v>
      </c>
      <c r="I188" s="1480"/>
      <c r="J188" s="648">
        <f t="shared" ca="1" si="75"/>
        <v>0</v>
      </c>
      <c r="K188" s="648">
        <f t="shared" ca="1" si="75"/>
        <v>0</v>
      </c>
      <c r="L188" s="648">
        <f t="shared" ca="1" si="75"/>
        <v>0</v>
      </c>
      <c r="M188" s="648">
        <f t="shared" ca="1" si="75"/>
        <v>0</v>
      </c>
      <c r="N188" s="648">
        <f t="shared" ca="1" si="75"/>
        <v>0</v>
      </c>
      <c r="O188" s="648">
        <f t="shared" ca="1" si="75"/>
        <v>0</v>
      </c>
      <c r="P188" s="648">
        <f t="shared" ca="1" si="75"/>
        <v>0</v>
      </c>
      <c r="Q188" s="648">
        <f t="shared" ca="1" si="75"/>
        <v>0</v>
      </c>
      <c r="R188" s="648">
        <f t="shared" ca="1" si="75"/>
        <v>0</v>
      </c>
      <c r="S188" s="648">
        <f t="shared" ca="1" si="75"/>
        <v>0</v>
      </c>
      <c r="T188" s="1480"/>
      <c r="U188" s="646">
        <f t="shared" ca="1" si="76"/>
        <v>0</v>
      </c>
      <c r="W188" s="646">
        <f t="shared" ca="1" si="77"/>
        <v>0</v>
      </c>
    </row>
    <row r="189" spans="2:23" ht="18" customHeight="1" x14ac:dyDescent="0.2">
      <c r="B189" s="645">
        <f t="shared" si="73"/>
        <v>7</v>
      </c>
      <c r="C189" s="571" t="s">
        <v>95</v>
      </c>
      <c r="D189" s="571" t="s">
        <v>500</v>
      </c>
      <c r="E189" s="1480"/>
      <c r="F189" s="646">
        <f>' WP II-I-1.4'!H189</f>
        <v>468889.48</v>
      </c>
      <c r="G189" s="1480">
        <v>61</v>
      </c>
      <c r="H189" s="620" t="str">
        <f t="shared" si="74"/>
        <v>PLTOPER_N</v>
      </c>
      <c r="I189" s="1480"/>
      <c r="J189" s="648">
        <f t="shared" ca="1" si="75"/>
        <v>244780.69282439197</v>
      </c>
      <c r="K189" s="648">
        <f t="shared" ca="1" si="75"/>
        <v>34339.078970510607</v>
      </c>
      <c r="L189" s="648">
        <f t="shared" ca="1" si="75"/>
        <v>135044.45083315609</v>
      </c>
      <c r="M189" s="648">
        <f t="shared" ca="1" si="75"/>
        <v>5686.9991922132494</v>
      </c>
      <c r="N189" s="648">
        <f t="shared" ca="1" si="75"/>
        <v>43792.895944325108</v>
      </c>
      <c r="O189" s="648">
        <f t="shared" ca="1" si="75"/>
        <v>1436.9411911307473</v>
      </c>
      <c r="P189" s="648">
        <f t="shared" ca="1" si="75"/>
        <v>2997.3006440764066</v>
      </c>
      <c r="Q189" s="648">
        <f t="shared" ca="1" si="75"/>
        <v>249.60639769393345</v>
      </c>
      <c r="R189" s="648">
        <f t="shared" ca="1" si="75"/>
        <v>158.68062233345682</v>
      </c>
      <c r="S189" s="648">
        <f t="shared" ca="1" si="75"/>
        <v>402.83338016840531</v>
      </c>
      <c r="T189" s="1480"/>
      <c r="U189" s="646">
        <f t="shared" ca="1" si="76"/>
        <v>468889.47999999986</v>
      </c>
      <c r="W189" s="646">
        <f t="shared" ca="1" si="77"/>
        <v>0</v>
      </c>
    </row>
    <row r="190" spans="2:23" ht="18" customHeight="1" x14ac:dyDescent="0.2">
      <c r="B190" s="645">
        <f t="shared" si="73"/>
        <v>8</v>
      </c>
      <c r="C190" s="571" t="s">
        <v>97</v>
      </c>
      <c r="D190" s="571" t="s">
        <v>501</v>
      </c>
      <c r="E190" s="1480"/>
      <c r="F190" s="646">
        <f>' WP II-I-1.4'!H190</f>
        <v>1794789.6000000022</v>
      </c>
      <c r="G190" s="1480">
        <v>61</v>
      </c>
      <c r="H190" s="620" t="str">
        <f t="shared" si="74"/>
        <v>PLTOPER_N</v>
      </c>
      <c r="I190" s="1480"/>
      <c r="J190" s="648">
        <f t="shared" ca="1" si="75"/>
        <v>936958.19697642582</v>
      </c>
      <c r="K190" s="648">
        <f t="shared" ca="1" si="75"/>
        <v>131441.25521828985</v>
      </c>
      <c r="L190" s="648">
        <f t="shared" ca="1" si="75"/>
        <v>516915.789821218</v>
      </c>
      <c r="M190" s="648">
        <f t="shared" ca="1" si="75"/>
        <v>21768.385602067152</v>
      </c>
      <c r="N190" s="648">
        <f t="shared" ca="1" si="75"/>
        <v>167628.06065676067</v>
      </c>
      <c r="O190" s="648">
        <f t="shared" ca="1" si="75"/>
        <v>5500.2451871026851</v>
      </c>
      <c r="P190" s="648">
        <f t="shared" ca="1" si="75"/>
        <v>11472.904071257139</v>
      </c>
      <c r="Q190" s="648">
        <f t="shared" ca="1" si="75"/>
        <v>955.42976710532355</v>
      </c>
      <c r="R190" s="648">
        <f t="shared" ca="1" si="75"/>
        <v>607.38903906655446</v>
      </c>
      <c r="S190" s="648">
        <f t="shared" ca="1" si="75"/>
        <v>1541.9436607089181</v>
      </c>
      <c r="T190" s="1480"/>
      <c r="U190" s="646">
        <f t="shared" ca="1" si="76"/>
        <v>1794789.600000002</v>
      </c>
      <c r="W190" s="646">
        <f t="shared" ca="1" si="77"/>
        <v>0</v>
      </c>
    </row>
    <row r="191" spans="2:23" ht="18" customHeight="1" x14ac:dyDescent="0.2">
      <c r="B191" s="645">
        <f t="shared" si="73"/>
        <v>9</v>
      </c>
      <c r="C191" s="571" t="s">
        <v>99</v>
      </c>
      <c r="D191" s="571" t="s">
        <v>100</v>
      </c>
      <c r="E191" s="1480"/>
      <c r="F191" s="646">
        <f>' WP II-I-1.4'!H191</f>
        <v>2971389.4799999963</v>
      </c>
      <c r="G191" s="1480">
        <v>61</v>
      </c>
      <c r="H191" s="620" t="str">
        <f t="shared" si="74"/>
        <v>PLTOPER_N</v>
      </c>
      <c r="I191" s="1480"/>
      <c r="J191" s="648">
        <f t="shared" ca="1" si="75"/>
        <v>1551194.4852452413</v>
      </c>
      <c r="K191" s="648">
        <f t="shared" ca="1" si="75"/>
        <v>217609.44179396884</v>
      </c>
      <c r="L191" s="648">
        <f t="shared" ca="1" si="75"/>
        <v>855787.29669519723</v>
      </c>
      <c r="M191" s="648">
        <f t="shared" ca="1" si="75"/>
        <v>36038.960764295516</v>
      </c>
      <c r="N191" s="648">
        <f t="shared" ca="1" si="75"/>
        <v>277519.02283604682</v>
      </c>
      <c r="O191" s="648">
        <f t="shared" ca="1" si="75"/>
        <v>9106.0092427421623</v>
      </c>
      <c r="P191" s="648">
        <f t="shared" ca="1" si="75"/>
        <v>18994.129708787343</v>
      </c>
      <c r="Q191" s="648">
        <f t="shared" ca="1" si="75"/>
        <v>1581.7753562064331</v>
      </c>
      <c r="R191" s="648">
        <f t="shared" ca="1" si="75"/>
        <v>1005.5715728181534</v>
      </c>
      <c r="S191" s="648">
        <f t="shared" ca="1" si="75"/>
        <v>2552.7867846922877</v>
      </c>
      <c r="T191" s="1480"/>
      <c r="U191" s="646">
        <f t="shared" ca="1" si="76"/>
        <v>2971389.4799999967</v>
      </c>
      <c r="W191" s="646">
        <f t="shared" ca="1" si="77"/>
        <v>0</v>
      </c>
    </row>
    <row r="192" spans="2:23" ht="18" customHeight="1" x14ac:dyDescent="0.2">
      <c r="B192" s="645">
        <f t="shared" si="73"/>
        <v>10</v>
      </c>
      <c r="C192" s="571" t="s">
        <v>101</v>
      </c>
      <c r="D192" s="571" t="s">
        <v>102</v>
      </c>
      <c r="E192" s="1480"/>
      <c r="F192" s="646">
        <f>' WP II-I-1.4'!H192</f>
        <v>910269.58000000031</v>
      </c>
      <c r="G192" s="1480">
        <v>61</v>
      </c>
      <c r="H192" s="620" t="str">
        <f t="shared" si="74"/>
        <v>PLTOPER_N</v>
      </c>
      <c r="I192" s="1480"/>
      <c r="J192" s="651">
        <f t="shared" ca="1" si="75"/>
        <v>475200.29335989448</v>
      </c>
      <c r="K192" s="651">
        <f t="shared" ca="1" si="75"/>
        <v>66663.510966536371</v>
      </c>
      <c r="L192" s="651">
        <f t="shared" ca="1" si="75"/>
        <v>262165.94908725121</v>
      </c>
      <c r="M192" s="651">
        <f t="shared" ca="1" si="75"/>
        <v>11040.346578379826</v>
      </c>
      <c r="N192" s="651">
        <f t="shared" ca="1" si="75"/>
        <v>85016.4968474544</v>
      </c>
      <c r="O192" s="651">
        <f t="shared" ca="1" si="75"/>
        <v>2789.5781635691328</v>
      </c>
      <c r="P192" s="651">
        <f t="shared" ca="1" si="75"/>
        <v>5818.7519976288677</v>
      </c>
      <c r="Q192" s="651">
        <f t="shared" ca="1" si="75"/>
        <v>484.56858275892614</v>
      </c>
      <c r="R192" s="651">
        <f t="shared" ca="1" si="75"/>
        <v>308.0515763450577</v>
      </c>
      <c r="S192" s="651">
        <f t="shared" ca="1" si="75"/>
        <v>782.03284018202919</v>
      </c>
      <c r="T192" s="1480"/>
      <c r="U192" s="646">
        <f t="shared" ca="1" si="76"/>
        <v>910269.58000000042</v>
      </c>
      <c r="W192" s="646">
        <f t="shared" ca="1" si="77"/>
        <v>0</v>
      </c>
    </row>
    <row r="193" spans="2:23" ht="18" customHeight="1" x14ac:dyDescent="0.25">
      <c r="B193" s="645">
        <f t="shared" si="73"/>
        <v>11</v>
      </c>
      <c r="C193" s="647"/>
      <c r="D193" s="233" t="s">
        <v>444</v>
      </c>
      <c r="E193" s="1571"/>
      <c r="F193" s="804">
        <f>SUM(F184:F192)</f>
        <v>43990197.48999998</v>
      </c>
      <c r="G193" s="1571"/>
      <c r="H193" s="1571"/>
      <c r="I193" s="1571"/>
      <c r="J193" s="804">
        <f t="shared" ref="J193:Q193" ca="1" si="78">SUM(J184:J192)</f>
        <v>22964795.497403841</v>
      </c>
      <c r="K193" s="804">
        <f t="shared" ca="1" si="78"/>
        <v>3221618.1637034537</v>
      </c>
      <c r="L193" s="804">
        <f t="shared" ca="1" si="78"/>
        <v>12669578.473117229</v>
      </c>
      <c r="M193" s="804">
        <f t="shared" ca="1" si="78"/>
        <v>533541.9715343822</v>
      </c>
      <c r="N193" s="804">
        <f t="shared" ca="1" si="78"/>
        <v>4108554.8373784823</v>
      </c>
      <c r="O193" s="804">
        <f ca="1">SUM(O184:O192)</f>
        <v>134810.71654530914</v>
      </c>
      <c r="P193" s="804">
        <f t="shared" ca="1" si="78"/>
        <v>281200.26764052227</v>
      </c>
      <c r="Q193" s="804">
        <f t="shared" ca="1" si="78"/>
        <v>23417.53269730771</v>
      </c>
      <c r="R193" s="804">
        <f ca="1">SUM(R184:R192)</f>
        <v>14887.072992733531</v>
      </c>
      <c r="S193" s="804">
        <f ca="1">SUM(S184:S192)</f>
        <v>37792.956986734695</v>
      </c>
      <c r="T193" s="1571"/>
      <c r="U193" s="235">
        <f t="shared" ca="1" si="76"/>
        <v>43990197.48999998</v>
      </c>
      <c r="W193" s="646">
        <f t="shared" ca="1" si="77"/>
        <v>0</v>
      </c>
    </row>
    <row r="194" spans="2:23" ht="18" customHeight="1" x14ac:dyDescent="0.25">
      <c r="B194" s="645">
        <f t="shared" si="73"/>
        <v>12</v>
      </c>
      <c r="C194" s="8"/>
      <c r="D194" s="233"/>
      <c r="E194" s="1571"/>
      <c r="F194" s="802"/>
      <c r="G194" s="1571"/>
      <c r="H194" s="1571"/>
      <c r="I194" s="1571"/>
      <c r="J194" s="1571"/>
      <c r="K194" s="1571"/>
      <c r="L194" s="1571"/>
      <c r="M194" s="1571"/>
      <c r="N194" s="1571"/>
      <c r="O194" s="1571"/>
      <c r="P194" s="1571"/>
      <c r="Q194" s="1571"/>
      <c r="R194" s="1571"/>
      <c r="S194" s="1571"/>
      <c r="T194" s="1571"/>
      <c r="U194" s="694"/>
      <c r="W194" s="646">
        <f t="shared" si="77"/>
        <v>0</v>
      </c>
    </row>
    <row r="195" spans="2:23" ht="18" customHeight="1" x14ac:dyDescent="0.2">
      <c r="B195" s="645">
        <f t="shared" si="73"/>
        <v>13</v>
      </c>
      <c r="C195" s="647" t="s">
        <v>105</v>
      </c>
      <c r="D195" s="647" t="s">
        <v>502</v>
      </c>
      <c r="E195" s="645"/>
      <c r="F195" s="646">
        <f>' WP II-I-1.4'!H195</f>
        <v>1521329.4100000004</v>
      </c>
      <c r="G195" s="1480">
        <v>61</v>
      </c>
      <c r="H195" s="620" t="str">
        <f>VLOOKUP(G195,FactorTable,2)</f>
        <v>PLTOPER_N</v>
      </c>
      <c r="I195" s="645"/>
      <c r="J195" s="648">
        <f t="shared" ref="J195:S196" ca="1" si="79">$F195*HLOOKUP(J$1354,FactorTable,$G195+1)</f>
        <v>794200.08952626446</v>
      </c>
      <c r="K195" s="648">
        <f t="shared" ca="1" si="79"/>
        <v>111414.42275512413</v>
      </c>
      <c r="L195" s="648">
        <f t="shared" ca="1" si="79"/>
        <v>438156.75862418459</v>
      </c>
      <c r="M195" s="648">
        <f t="shared" ca="1" si="79"/>
        <v>18451.681035284182</v>
      </c>
      <c r="N195" s="648">
        <f t="shared" ca="1" si="79"/>
        <v>142087.6846057018</v>
      </c>
      <c r="O195" s="648">
        <f t="shared" ca="1" si="79"/>
        <v>4662.2093003827631</v>
      </c>
      <c r="P195" s="648">
        <f t="shared" ca="1" si="79"/>
        <v>9724.8537553996321</v>
      </c>
      <c r="Q195" s="648">
        <f t="shared" ca="1" si="79"/>
        <v>809.85726900065492</v>
      </c>
      <c r="R195" s="648">
        <f t="shared" ca="1" si="79"/>
        <v>514.84519881527467</v>
      </c>
      <c r="S195" s="648">
        <f t="shared" ca="1" si="79"/>
        <v>1307.007929842883</v>
      </c>
      <c r="T195" s="645"/>
      <c r="U195" s="646">
        <f ca="1">SUM(I195:T195)</f>
        <v>1521329.4100000004</v>
      </c>
      <c r="W195" s="646">
        <f t="shared" ca="1" si="77"/>
        <v>0</v>
      </c>
    </row>
    <row r="196" spans="2:23" ht="18" customHeight="1" x14ac:dyDescent="0.2">
      <c r="B196" s="645">
        <f t="shared" si="73"/>
        <v>14</v>
      </c>
      <c r="C196" s="647" t="s">
        <v>107</v>
      </c>
      <c r="D196" s="647" t="s">
        <v>503</v>
      </c>
      <c r="E196" s="645"/>
      <c r="F196" s="646">
        <f>' WP II-I-1.4'!H196</f>
        <v>0</v>
      </c>
      <c r="G196" s="1480">
        <v>61</v>
      </c>
      <c r="H196" s="620" t="str">
        <f>VLOOKUP(G196,FactorTable,2)</f>
        <v>PLTOPER_N</v>
      </c>
      <c r="I196" s="645"/>
      <c r="J196" s="651">
        <f t="shared" ca="1" si="79"/>
        <v>0</v>
      </c>
      <c r="K196" s="651">
        <f t="shared" ca="1" si="79"/>
        <v>0</v>
      </c>
      <c r="L196" s="651">
        <f t="shared" ca="1" si="79"/>
        <v>0</v>
      </c>
      <c r="M196" s="651">
        <f t="shared" ca="1" si="79"/>
        <v>0</v>
      </c>
      <c r="N196" s="651">
        <f t="shared" ca="1" si="79"/>
        <v>0</v>
      </c>
      <c r="O196" s="651">
        <f t="shared" ca="1" si="79"/>
        <v>0</v>
      </c>
      <c r="P196" s="651">
        <f t="shared" ca="1" si="79"/>
        <v>0</v>
      </c>
      <c r="Q196" s="651">
        <f t="shared" ca="1" si="79"/>
        <v>0</v>
      </c>
      <c r="R196" s="651">
        <f t="shared" ca="1" si="79"/>
        <v>0</v>
      </c>
      <c r="S196" s="651">
        <f t="shared" ca="1" si="79"/>
        <v>0</v>
      </c>
      <c r="T196" s="645"/>
      <c r="U196" s="646">
        <f ca="1">SUM(I196:T196)</f>
        <v>0</v>
      </c>
      <c r="W196" s="646">
        <f t="shared" ca="1" si="77"/>
        <v>0</v>
      </c>
    </row>
    <row r="197" spans="2:23" ht="18" customHeight="1" x14ac:dyDescent="0.25">
      <c r="B197" s="645">
        <f t="shared" si="73"/>
        <v>15</v>
      </c>
      <c r="C197" s="8"/>
      <c r="D197" s="233" t="s">
        <v>444</v>
      </c>
      <c r="E197" s="1571"/>
      <c r="F197" s="804">
        <f>+F196+F195</f>
        <v>1521329.4100000004</v>
      </c>
      <c r="G197" s="1571"/>
      <c r="H197" s="1571"/>
      <c r="I197" s="1571"/>
      <c r="J197" s="804">
        <f t="shared" ref="J197:Q197" ca="1" si="80">+J196+J195</f>
        <v>794200.08952626446</v>
      </c>
      <c r="K197" s="804">
        <f t="shared" ca="1" si="80"/>
        <v>111414.42275512413</v>
      </c>
      <c r="L197" s="804">
        <f t="shared" ca="1" si="80"/>
        <v>438156.75862418459</v>
      </c>
      <c r="M197" s="804">
        <f t="shared" ca="1" si="80"/>
        <v>18451.681035284182</v>
      </c>
      <c r="N197" s="804">
        <f t="shared" ca="1" si="80"/>
        <v>142087.6846057018</v>
      </c>
      <c r="O197" s="804">
        <f ca="1">+O196+O195</f>
        <v>4662.2093003827631</v>
      </c>
      <c r="P197" s="804">
        <f t="shared" ca="1" si="80"/>
        <v>9724.8537553996321</v>
      </c>
      <c r="Q197" s="804">
        <f t="shared" ca="1" si="80"/>
        <v>809.85726900065492</v>
      </c>
      <c r="R197" s="804">
        <f ca="1">+R196+R195</f>
        <v>514.84519881527467</v>
      </c>
      <c r="S197" s="804">
        <f ca="1">+S196+S195</f>
        <v>1307.007929842883</v>
      </c>
      <c r="T197" s="1571"/>
      <c r="U197" s="804">
        <f ca="1">SUM(I197:T197)</f>
        <v>1521329.4100000004</v>
      </c>
      <c r="W197" s="646">
        <f t="shared" ca="1" si="77"/>
        <v>0</v>
      </c>
    </row>
    <row r="198" spans="2:23" ht="18" customHeight="1" thickBot="1" x14ac:dyDescent="0.3">
      <c r="B198" s="645">
        <f t="shared" si="73"/>
        <v>16</v>
      </c>
      <c r="C198" s="8"/>
      <c r="D198" s="233"/>
      <c r="E198" s="1571"/>
      <c r="F198" s="805"/>
      <c r="G198" s="1571"/>
      <c r="H198" s="1571"/>
      <c r="I198" s="1571"/>
      <c r="J198" s="805"/>
      <c r="K198" s="805"/>
      <c r="L198" s="805"/>
      <c r="M198" s="805"/>
      <c r="N198" s="805"/>
      <c r="O198" s="805"/>
      <c r="P198" s="805"/>
      <c r="Q198" s="805"/>
      <c r="R198" s="805"/>
      <c r="S198" s="805"/>
      <c r="T198" s="1571"/>
      <c r="U198" s="8"/>
      <c r="W198" s="646">
        <f t="shared" si="77"/>
        <v>0</v>
      </c>
    </row>
    <row r="199" spans="2:23" ht="18" customHeight="1" thickBot="1" x14ac:dyDescent="0.3">
      <c r="B199" s="645">
        <f t="shared" si="73"/>
        <v>17</v>
      </c>
      <c r="C199" s="223" t="s">
        <v>504</v>
      </c>
      <c r="D199" s="224"/>
      <c r="E199" s="252" t="s">
        <v>86</v>
      </c>
      <c r="F199" s="812">
        <f>+F197+F193</f>
        <v>45511526.899999984</v>
      </c>
      <c r="G199" s="252"/>
      <c r="H199" s="379"/>
      <c r="I199" s="963"/>
      <c r="J199" s="381">
        <f t="shared" ref="J199:Q199" ca="1" si="81">+J197+J193</f>
        <v>23758995.586930107</v>
      </c>
      <c r="K199" s="812">
        <f t="shared" ca="1" si="81"/>
        <v>3333032.5864585778</v>
      </c>
      <c r="L199" s="812">
        <f t="shared" ca="1" si="81"/>
        <v>13107735.231741413</v>
      </c>
      <c r="M199" s="812">
        <f t="shared" ca="1" si="81"/>
        <v>551993.65256966639</v>
      </c>
      <c r="N199" s="812">
        <f t="shared" ca="1" si="81"/>
        <v>4250642.5219841842</v>
      </c>
      <c r="O199" s="812">
        <f ca="1">+O197+O193</f>
        <v>139472.92584569191</v>
      </c>
      <c r="P199" s="812">
        <f t="shared" ca="1" si="81"/>
        <v>290925.12139592192</v>
      </c>
      <c r="Q199" s="812">
        <f t="shared" ca="1" si="81"/>
        <v>24227.389966308365</v>
      </c>
      <c r="R199" s="812">
        <f ca="1">+R197+R193</f>
        <v>15401.918191548804</v>
      </c>
      <c r="S199" s="315">
        <f ca="1">+S197+S193</f>
        <v>39099.964916577577</v>
      </c>
      <c r="T199" s="379"/>
      <c r="U199" s="195">
        <f ca="1">SUM(I199:T199)</f>
        <v>45511526.900000006</v>
      </c>
      <c r="W199" s="646">
        <f t="shared" ca="1" si="77"/>
        <v>0</v>
      </c>
    </row>
    <row r="201" spans="2:23" ht="8.25" customHeight="1" x14ac:dyDescent="0.2">
      <c r="H201" s="653"/>
      <c r="U201" s="653"/>
      <c r="V201" s="653"/>
    </row>
    <row r="202" spans="2:23" ht="6.75" customHeight="1" thickBot="1" x14ac:dyDescent="0.25"/>
    <row r="203" spans="2:23" ht="18" customHeight="1" x14ac:dyDescent="0.25">
      <c r="B203" s="829" t="str">
        <f>+$B$4</f>
        <v>2025 RATE CASE</v>
      </c>
      <c r="C203" s="844"/>
      <c r="D203" s="877"/>
      <c r="F203" s="571"/>
      <c r="U203" s="653"/>
    </row>
    <row r="204" spans="2:23" ht="18" customHeight="1" x14ac:dyDescent="0.25">
      <c r="B204" s="826" t="str">
        <f>+$B$5</f>
        <v>ONCOR ELECTRIC DELIVERY COMPANY LLC</v>
      </c>
      <c r="C204" s="8"/>
      <c r="D204" s="878"/>
      <c r="F204" s="571"/>
      <c r="U204" s="653"/>
    </row>
    <row r="205" spans="2:23" ht="18" customHeight="1" x14ac:dyDescent="0.25">
      <c r="B205" s="826" t="str">
        <f>+$B$6</f>
        <v>II-I-1-MET:  CLASS REVENUE REQUIREMENT</v>
      </c>
      <c r="C205" s="82"/>
      <c r="D205" s="878"/>
      <c r="F205" s="571"/>
      <c r="U205" s="571"/>
    </row>
    <row r="206" spans="2:23" ht="18" customHeight="1" x14ac:dyDescent="0.25">
      <c r="B206" s="341" t="str">
        <f>+$B$7</f>
        <v>TEST YEAR ENDING 12/31/2024</v>
      </c>
      <c r="C206" s="82"/>
      <c r="D206" s="878"/>
      <c r="F206" s="571"/>
      <c r="U206" s="571"/>
    </row>
    <row r="207" spans="2:23" ht="18" customHeight="1" x14ac:dyDescent="0.25">
      <c r="B207" s="341" t="str">
        <f>+$B$8</f>
        <v>SPONSOR:  MATTHEW A. TROXLE</v>
      </c>
      <c r="C207" s="82"/>
      <c r="D207" s="878"/>
      <c r="F207" s="571"/>
      <c r="U207" s="571"/>
    </row>
    <row r="208" spans="2:23" ht="18" customHeight="1" thickBot="1" x14ac:dyDescent="0.3">
      <c r="B208" s="345"/>
      <c r="C208" s="843"/>
      <c r="D208" s="879"/>
      <c r="F208" s="571"/>
      <c r="U208" s="571"/>
    </row>
    <row r="209" spans="2:23" ht="18" customHeight="1" thickBot="1" x14ac:dyDescent="0.25">
      <c r="B209" s="655"/>
      <c r="C209" s="656"/>
      <c r="D209" s="656"/>
      <c r="E209" s="656"/>
      <c r="F209" s="655"/>
      <c r="G209" s="656"/>
      <c r="H209" s="656"/>
      <c r="I209" s="656"/>
      <c r="J209" s="657"/>
      <c r="K209" s="657"/>
      <c r="L209" s="656"/>
      <c r="M209" s="657"/>
      <c r="N209" s="657"/>
      <c r="O209" s="657"/>
      <c r="P209" s="657"/>
      <c r="Q209" s="656"/>
      <c r="R209" s="658" t="str">
        <f>R$10</f>
        <v xml:space="preserve"> </v>
      </c>
      <c r="S209" s="659"/>
      <c r="T209" s="657"/>
      <c r="U209" s="655"/>
    </row>
    <row r="210" spans="2:23" ht="18" customHeight="1" x14ac:dyDescent="0.25">
      <c r="B210" s="660" t="s">
        <v>2</v>
      </c>
      <c r="C210" s="660" t="s">
        <v>349</v>
      </c>
      <c r="D210" s="226" t="s">
        <v>103</v>
      </c>
      <c r="E210" s="660" t="s">
        <v>350</v>
      </c>
      <c r="F210" s="226" t="str">
        <f>F$11</f>
        <v>MET</v>
      </c>
      <c r="G210" s="661" t="s">
        <v>688</v>
      </c>
      <c r="H210" s="661" t="s">
        <v>355</v>
      </c>
      <c r="I210" s="660"/>
      <c r="J210" s="661" t="s">
        <v>679</v>
      </c>
      <c r="K210" s="661" t="s">
        <v>388</v>
      </c>
      <c r="L210" s="660" t="s">
        <v>388</v>
      </c>
      <c r="M210" s="661" t="s">
        <v>389</v>
      </c>
      <c r="N210" s="661" t="s">
        <v>389</v>
      </c>
      <c r="O210" s="661" t="s">
        <v>389</v>
      </c>
      <c r="P210" s="661" t="s">
        <v>390</v>
      </c>
      <c r="Q210" s="660" t="s">
        <v>391</v>
      </c>
      <c r="R210" s="662" t="str">
        <f>R$11</f>
        <v>Wholesale</v>
      </c>
      <c r="S210" s="655" t="str">
        <f>S$11</f>
        <v>Wholesale</v>
      </c>
      <c r="T210" s="661"/>
      <c r="U210" s="660" t="s">
        <v>10</v>
      </c>
    </row>
    <row r="211" spans="2:23" ht="18" customHeight="1" x14ac:dyDescent="0.2">
      <c r="B211" s="660"/>
      <c r="C211" s="660"/>
      <c r="D211" s="660"/>
      <c r="E211" s="660"/>
      <c r="F211" s="660"/>
      <c r="G211" s="661" t="s">
        <v>689</v>
      </c>
      <c r="H211" s="661" t="s">
        <v>690</v>
      </c>
      <c r="I211" s="660"/>
      <c r="J211" s="661"/>
      <c r="K211" s="661" t="s">
        <v>680</v>
      </c>
      <c r="L211" s="660" t="s">
        <v>681</v>
      </c>
      <c r="M211" s="661" t="s">
        <v>680</v>
      </c>
      <c r="N211" s="661" t="s">
        <v>681</v>
      </c>
      <c r="O211" s="661" t="s">
        <v>393</v>
      </c>
      <c r="P211" s="661"/>
      <c r="Q211" s="660"/>
      <c r="R211" s="663" t="str">
        <f>R$12</f>
        <v>XFMR</v>
      </c>
      <c r="S211" s="660" t="str">
        <f>S$12</f>
        <v>DLS</v>
      </c>
      <c r="T211" s="661"/>
      <c r="U211" s="660"/>
    </row>
    <row r="212" spans="2:23" ht="18" customHeight="1" thickBot="1" x14ac:dyDescent="0.25">
      <c r="B212" s="664"/>
      <c r="C212" s="664"/>
      <c r="D212" s="664"/>
      <c r="E212" s="664"/>
      <c r="F212" s="664" t="s">
        <v>13</v>
      </c>
      <c r="G212" s="664" t="s">
        <v>14</v>
      </c>
      <c r="H212" s="664" t="s">
        <v>15</v>
      </c>
      <c r="I212" s="664"/>
      <c r="J212" s="665" t="str">
        <f t="shared" ref="J212:Q212" si="82">J$13</f>
        <v>(d)</v>
      </c>
      <c r="K212" s="665" t="str">
        <f t="shared" si="82"/>
        <v>(e)</v>
      </c>
      <c r="L212" s="664" t="str">
        <f t="shared" si="82"/>
        <v>(f)</v>
      </c>
      <c r="M212" s="665" t="str">
        <f t="shared" si="82"/>
        <v>(g)</v>
      </c>
      <c r="N212" s="665" t="str">
        <f t="shared" si="82"/>
        <v>(h)</v>
      </c>
      <c r="O212" s="665" t="str">
        <f>O$13</f>
        <v>(i)</v>
      </c>
      <c r="P212" s="665" t="str">
        <f t="shared" si="82"/>
        <v>(j)</v>
      </c>
      <c r="Q212" s="665" t="str">
        <f t="shared" si="82"/>
        <v>(k)</v>
      </c>
      <c r="R212" s="665" t="str">
        <f>R$13</f>
        <v>(l)</v>
      </c>
      <c r="S212" s="664" t="str">
        <f>S$13</f>
        <v>(m)</v>
      </c>
      <c r="T212" s="664"/>
      <c r="U212" s="664" t="s">
        <v>683</v>
      </c>
    </row>
    <row r="213" spans="2:23" ht="18" customHeight="1" x14ac:dyDescent="0.2">
      <c r="C213" s="672"/>
      <c r="D213" s="672"/>
      <c r="E213" s="673"/>
      <c r="F213" s="672"/>
      <c r="G213" s="673"/>
      <c r="H213" s="673"/>
      <c r="I213" s="673"/>
      <c r="J213" s="673"/>
      <c r="K213" s="673"/>
      <c r="L213" s="673"/>
      <c r="M213" s="673"/>
      <c r="N213" s="673"/>
      <c r="O213" s="673"/>
      <c r="P213" s="673"/>
      <c r="Q213" s="673"/>
      <c r="R213" s="673"/>
      <c r="S213" s="673"/>
      <c r="T213" s="673"/>
      <c r="U213" s="647"/>
      <c r="W213" s="646">
        <f t="shared" ref="W213:W225" si="83">U213-F213</f>
        <v>0</v>
      </c>
    </row>
    <row r="214" spans="2:23" ht="18" customHeight="1" x14ac:dyDescent="0.25">
      <c r="B214" s="645">
        <f>B213+1</f>
        <v>1</v>
      </c>
      <c r="C214" s="647" t="s">
        <v>1237</v>
      </c>
      <c r="D214" s="647" t="s">
        <v>1230</v>
      </c>
      <c r="E214" s="645"/>
      <c r="F214" s="668">
        <f>' WP II-I-1.4'!H214</f>
        <v>16420909.21000002</v>
      </c>
      <c r="G214" s="645">
        <v>63</v>
      </c>
      <c r="H214" s="620" t="str">
        <f>VLOOKUP(G214,FactorTable,2)</f>
        <v>PLTGEN_N</v>
      </c>
      <c r="I214" s="645"/>
      <c r="J214" s="651">
        <f t="shared" ref="J214:S216" ca="1" si="84">$F214*HLOOKUP(J$1354,FactorTable,$G214+1)</f>
        <v>8572428.4819319136</v>
      </c>
      <c r="K214" s="651">
        <f t="shared" ca="1" si="84"/>
        <v>1202583.8117113982</v>
      </c>
      <c r="L214" s="651">
        <f t="shared" ca="1" si="84"/>
        <v>4729371.7625005525</v>
      </c>
      <c r="M214" s="651">
        <f t="shared" ca="1" si="84"/>
        <v>199163.55856965951</v>
      </c>
      <c r="N214" s="651">
        <f t="shared" ca="1" si="84"/>
        <v>1533664.5393382262</v>
      </c>
      <c r="O214" s="651">
        <f t="shared" ca="1" si="84"/>
        <v>50322.905175154017</v>
      </c>
      <c r="P214" s="651">
        <f t="shared" ca="1" si="84"/>
        <v>104968.02306473845</v>
      </c>
      <c r="Q214" s="651">
        <f t="shared" ca="1" si="84"/>
        <v>8741.4287792663563</v>
      </c>
      <c r="R214" s="651">
        <f t="shared" ca="1" si="84"/>
        <v>5557.1306328390956</v>
      </c>
      <c r="S214" s="651">
        <f t="shared" ca="1" si="84"/>
        <v>14107.568296270592</v>
      </c>
      <c r="T214" s="1571"/>
      <c r="U214" s="646">
        <f t="shared" ref="U214:U215" ca="1" si="85">SUM(I214:T214)</f>
        <v>16420909.210000018</v>
      </c>
      <c r="W214" s="646"/>
    </row>
    <row r="215" spans="2:23" ht="18" customHeight="1" x14ac:dyDescent="0.25">
      <c r="B215" s="1592">
        <f>B214+1</f>
        <v>2</v>
      </c>
      <c r="C215" s="647" t="s">
        <v>1238</v>
      </c>
      <c r="D215" s="647" t="s">
        <v>1232</v>
      </c>
      <c r="E215" s="645"/>
      <c r="F215" s="668">
        <f>' WP II-I-1.4'!H215</f>
        <v>5189735.49</v>
      </c>
      <c r="G215" s="645">
        <v>63</v>
      </c>
      <c r="H215" s="620" t="str">
        <f>VLOOKUP(G215,FactorTable,2)</f>
        <v>PLTGEN_N</v>
      </c>
      <c r="I215" s="645"/>
      <c r="J215" s="651">
        <f t="shared" ca="1" si="84"/>
        <v>2709267.5417190753</v>
      </c>
      <c r="K215" s="651">
        <f t="shared" ca="1" si="84"/>
        <v>380069.81267136021</v>
      </c>
      <c r="L215" s="651">
        <f t="shared" ca="1" si="84"/>
        <v>1494691.1993342016</v>
      </c>
      <c r="M215" s="651">
        <f t="shared" ca="1" si="84"/>
        <v>62944.516348352336</v>
      </c>
      <c r="N215" s="651">
        <f t="shared" ca="1" si="84"/>
        <v>484706.00426382141</v>
      </c>
      <c r="O215" s="651">
        <f t="shared" ca="1" si="84"/>
        <v>15904.2695874817</v>
      </c>
      <c r="P215" s="651">
        <f t="shared" ca="1" si="84"/>
        <v>33174.550059777786</v>
      </c>
      <c r="Q215" s="651">
        <f t="shared" ca="1" si="84"/>
        <v>2762.6791299375277</v>
      </c>
      <c r="R215" s="651">
        <f t="shared" ca="1" si="84"/>
        <v>1756.2997090470594</v>
      </c>
      <c r="S215" s="651">
        <f t="shared" ca="1" si="84"/>
        <v>4458.6171769446282</v>
      </c>
      <c r="T215" s="1571"/>
      <c r="U215" s="646">
        <f t="shared" ca="1" si="85"/>
        <v>5189735.4899999993</v>
      </c>
      <c r="W215" s="646"/>
    </row>
    <row r="216" spans="2:23" ht="18" customHeight="1" x14ac:dyDescent="0.25">
      <c r="B216" s="1592">
        <f t="shared" ref="B216:B225" si="86">B215+1</f>
        <v>3</v>
      </c>
      <c r="C216" s="647" t="s">
        <v>1239</v>
      </c>
      <c r="D216" s="647" t="s">
        <v>103</v>
      </c>
      <c r="E216" s="1571" t="s">
        <v>104</v>
      </c>
      <c r="F216" s="668">
        <f>' WP II-I-1.4'!H216</f>
        <v>11299012.679999974</v>
      </c>
      <c r="G216" s="645">
        <v>63</v>
      </c>
      <c r="H216" s="620" t="str">
        <f>VLOOKUP(G216,FactorTable,2)</f>
        <v>PLTGEN_N</v>
      </c>
      <c r="I216" s="1571"/>
      <c r="J216" s="651">
        <f t="shared" ca="1" si="84"/>
        <v>5898575.8265294917</v>
      </c>
      <c r="K216" s="651">
        <f t="shared" ca="1" si="84"/>
        <v>827482.17918499606</v>
      </c>
      <c r="L216" s="651">
        <f t="shared" ca="1" si="84"/>
        <v>3254218.8029628294</v>
      </c>
      <c r="M216" s="651">
        <f t="shared" ca="1" si="84"/>
        <v>137041.83762870324</v>
      </c>
      <c r="N216" s="651">
        <f t="shared" ca="1" si="84"/>
        <v>1055294.4940646752</v>
      </c>
      <c r="O216" s="651">
        <f t="shared" ca="1" si="84"/>
        <v>34626.532331244816</v>
      </c>
      <c r="P216" s="651">
        <f t="shared" ca="1" si="84"/>
        <v>72227.122654130304</v>
      </c>
      <c r="Q216" s="651">
        <f t="shared" ca="1" si="84"/>
        <v>6014.8627189351073</v>
      </c>
      <c r="R216" s="651">
        <f t="shared" ca="1" si="84"/>
        <v>3823.7888463951344</v>
      </c>
      <c r="S216" s="651">
        <f t="shared" ca="1" si="84"/>
        <v>9707.2330785712238</v>
      </c>
      <c r="T216" s="1571"/>
      <c r="U216" s="646">
        <f ca="1">SUM(I216:T216)</f>
        <v>11299012.679999972</v>
      </c>
      <c r="W216" s="646">
        <f t="shared" ca="1" si="83"/>
        <v>0</v>
      </c>
    </row>
    <row r="217" spans="2:23" ht="18" customHeight="1" x14ac:dyDescent="0.25">
      <c r="B217" s="1593">
        <f t="shared" si="86"/>
        <v>4</v>
      </c>
      <c r="C217" s="8"/>
      <c r="D217" s="233" t="s">
        <v>444</v>
      </c>
      <c r="E217" s="1571"/>
      <c r="F217" s="805">
        <f>SUM(F214:F216)</f>
        <v>32909657.379999992</v>
      </c>
      <c r="G217" s="1571"/>
      <c r="H217" s="1571"/>
      <c r="I217" s="1571"/>
      <c r="J217" s="805">
        <f t="shared" ref="J217:S217" ca="1" si="87">SUM(J214:J216)</f>
        <v>17180271.850180481</v>
      </c>
      <c r="K217" s="805">
        <f t="shared" ca="1" si="87"/>
        <v>2410135.8035677546</v>
      </c>
      <c r="L217" s="805">
        <f t="shared" ca="1" si="87"/>
        <v>9478281.7647975832</v>
      </c>
      <c r="M217" s="805">
        <f t="shared" ca="1" si="87"/>
        <v>399149.91254671512</v>
      </c>
      <c r="N217" s="805">
        <f t="shared" ca="1" si="87"/>
        <v>3073665.0376667227</v>
      </c>
      <c r="O217" s="805">
        <f t="shared" ca="1" si="87"/>
        <v>100853.70709388054</v>
      </c>
      <c r="P217" s="805">
        <f t="shared" ca="1" si="87"/>
        <v>210369.69577864654</v>
      </c>
      <c r="Q217" s="805">
        <f t="shared" ca="1" si="87"/>
        <v>17518.970628138992</v>
      </c>
      <c r="R217" s="805">
        <f t="shared" ca="1" si="87"/>
        <v>11137.219188281289</v>
      </c>
      <c r="S217" s="805">
        <f t="shared" ca="1" si="87"/>
        <v>28273.418551786446</v>
      </c>
      <c r="T217" s="1571"/>
      <c r="U217" s="235">
        <f ca="1">SUM(I217:T217)</f>
        <v>32909657.379999992</v>
      </c>
      <c r="W217" s="646">
        <f t="shared" ca="1" si="83"/>
        <v>0</v>
      </c>
    </row>
    <row r="218" spans="2:23" ht="18" customHeight="1" thickBot="1" x14ac:dyDescent="0.3">
      <c r="B218" s="1593">
        <f t="shared" si="86"/>
        <v>5</v>
      </c>
      <c r="C218" s="647"/>
      <c r="D218" s="233"/>
      <c r="E218" s="645"/>
      <c r="F218" s="803"/>
      <c r="G218" s="645"/>
      <c r="H218" s="645"/>
      <c r="I218" s="645"/>
      <c r="J218" s="803"/>
      <c r="K218" s="803"/>
      <c r="L218" s="803"/>
      <c r="M218" s="803"/>
      <c r="N218" s="803"/>
      <c r="O218" s="803"/>
      <c r="P218" s="803"/>
      <c r="Q218" s="803"/>
      <c r="R218" s="803"/>
      <c r="S218" s="803"/>
      <c r="T218" s="645"/>
      <c r="U218" s="647"/>
      <c r="W218" s="646">
        <f t="shared" si="83"/>
        <v>0</v>
      </c>
    </row>
    <row r="219" spans="2:23" ht="18" customHeight="1" thickBot="1" x14ac:dyDescent="0.3">
      <c r="B219" s="1593">
        <f t="shared" si="86"/>
        <v>6</v>
      </c>
      <c r="C219" s="223" t="s">
        <v>505</v>
      </c>
      <c r="D219" s="224"/>
      <c r="E219" s="252"/>
      <c r="F219" s="253">
        <f>+F217</f>
        <v>32909657.379999992</v>
      </c>
      <c r="G219" s="252"/>
      <c r="H219" s="379"/>
      <c r="I219" s="963"/>
      <c r="J219" s="382">
        <f t="shared" ref="J219:Q219" ca="1" si="88">+J217</f>
        <v>17180271.850180481</v>
      </c>
      <c r="K219" s="253">
        <f t="shared" ca="1" si="88"/>
        <v>2410135.8035677546</v>
      </c>
      <c r="L219" s="253">
        <f t="shared" ca="1" si="88"/>
        <v>9478281.7647975832</v>
      </c>
      <c r="M219" s="253">
        <f t="shared" ca="1" si="88"/>
        <v>399149.91254671512</v>
      </c>
      <c r="N219" s="253">
        <f t="shared" ca="1" si="88"/>
        <v>3073665.0376667227</v>
      </c>
      <c r="O219" s="253">
        <f ca="1">+O217</f>
        <v>100853.70709388054</v>
      </c>
      <c r="P219" s="253">
        <f t="shared" ca="1" si="88"/>
        <v>210369.69577864654</v>
      </c>
      <c r="Q219" s="253">
        <f t="shared" ca="1" si="88"/>
        <v>17518.970628138992</v>
      </c>
      <c r="R219" s="253">
        <f ca="1">+R217</f>
        <v>11137.219188281289</v>
      </c>
      <c r="S219" s="195">
        <f ca="1">+S217</f>
        <v>28273.418551786446</v>
      </c>
      <c r="T219" s="379"/>
      <c r="U219" s="195">
        <f ca="1">SUM(I219:T219)</f>
        <v>32909657.379999992</v>
      </c>
      <c r="W219" s="646">
        <f t="shared" ca="1" si="83"/>
        <v>0</v>
      </c>
    </row>
    <row r="220" spans="2:23" ht="18" customHeight="1" thickBot="1" x14ac:dyDescent="0.25">
      <c r="B220" s="1593">
        <f t="shared" si="86"/>
        <v>7</v>
      </c>
      <c r="C220" s="571"/>
      <c r="D220" s="571"/>
      <c r="E220" s="1480"/>
      <c r="F220" s="571"/>
      <c r="G220" s="1480"/>
      <c r="H220" s="1480"/>
      <c r="I220" s="1480"/>
      <c r="J220" s="571"/>
      <c r="K220" s="571"/>
      <c r="L220" s="571"/>
      <c r="M220" s="571"/>
      <c r="N220" s="571"/>
      <c r="O220" s="571"/>
      <c r="P220" s="571"/>
      <c r="Q220" s="571"/>
      <c r="R220" s="571"/>
      <c r="S220" s="571"/>
      <c r="T220" s="1480"/>
      <c r="U220" s="571"/>
      <c r="W220" s="646">
        <f t="shared" si="83"/>
        <v>0</v>
      </c>
    </row>
    <row r="221" spans="2:23" ht="18" customHeight="1" thickBot="1" x14ac:dyDescent="0.3">
      <c r="B221" s="1593">
        <f t="shared" si="86"/>
        <v>8</v>
      </c>
      <c r="C221" s="223" t="s">
        <v>506</v>
      </c>
      <c r="D221" s="224"/>
      <c r="E221" s="252" t="s">
        <v>507</v>
      </c>
      <c r="F221" s="253">
        <f>+F199+F219</f>
        <v>78421184.279999971</v>
      </c>
      <c r="G221" s="252"/>
      <c r="H221" s="379"/>
      <c r="I221" s="963"/>
      <c r="J221" s="382">
        <f t="shared" ref="J221:S221" ca="1" si="89">+J199+J219</f>
        <v>40939267.437110588</v>
      </c>
      <c r="K221" s="253">
        <f t="shared" ca="1" si="89"/>
        <v>5743168.3900263328</v>
      </c>
      <c r="L221" s="253">
        <f t="shared" ca="1" si="89"/>
        <v>22586016.996538997</v>
      </c>
      <c r="M221" s="253">
        <f t="shared" ca="1" si="89"/>
        <v>951143.56511638151</v>
      </c>
      <c r="N221" s="253">
        <f t="shared" ca="1" si="89"/>
        <v>7324307.5596509073</v>
      </c>
      <c r="O221" s="253">
        <f t="shared" ca="1" si="89"/>
        <v>240326.63293957245</v>
      </c>
      <c r="P221" s="253">
        <f t="shared" ca="1" si="89"/>
        <v>501294.81717456842</v>
      </c>
      <c r="Q221" s="253">
        <f t="shared" ca="1" si="89"/>
        <v>41746.360594447353</v>
      </c>
      <c r="R221" s="253">
        <f t="shared" ca="1" si="89"/>
        <v>26539.137379830092</v>
      </c>
      <c r="S221" s="195">
        <f t="shared" ca="1" si="89"/>
        <v>67373.383468364016</v>
      </c>
      <c r="T221" s="379"/>
      <c r="U221" s="195">
        <f ca="1">SUM(I221:T221)</f>
        <v>78421184.279999986</v>
      </c>
      <c r="W221" s="646">
        <f t="shared" ca="1" si="83"/>
        <v>0</v>
      </c>
    </row>
    <row r="222" spans="2:23" ht="18" customHeight="1" thickBot="1" x14ac:dyDescent="0.25">
      <c r="B222" s="1593">
        <f t="shared" si="86"/>
        <v>9</v>
      </c>
      <c r="C222" s="571"/>
      <c r="D222" s="571"/>
      <c r="E222" s="1480"/>
      <c r="F222" s="571"/>
      <c r="G222" s="1480"/>
      <c r="H222" s="1480"/>
      <c r="I222" s="1480"/>
      <c r="J222" s="571"/>
      <c r="K222" s="571"/>
      <c r="L222" s="571"/>
      <c r="M222" s="571"/>
      <c r="N222" s="571"/>
      <c r="O222" s="571"/>
      <c r="P222" s="571"/>
      <c r="Q222" s="571"/>
      <c r="R222" s="571"/>
      <c r="S222" s="571"/>
      <c r="T222" s="1480"/>
      <c r="U222" s="571"/>
      <c r="W222" s="646">
        <f t="shared" si="83"/>
        <v>0</v>
      </c>
    </row>
    <row r="223" spans="2:23" ht="18" customHeight="1" thickBot="1" x14ac:dyDescent="0.3">
      <c r="B223" s="1593">
        <f t="shared" si="86"/>
        <v>10</v>
      </c>
      <c r="C223" s="223" t="s">
        <v>508</v>
      </c>
      <c r="D223" s="224"/>
      <c r="E223" s="252" t="s">
        <v>509</v>
      </c>
      <c r="F223" s="812">
        <f>+F221+F167</f>
        <v>863729138.29999995</v>
      </c>
      <c r="G223" s="252"/>
      <c r="H223" s="379"/>
      <c r="I223" s="963"/>
      <c r="J223" s="381">
        <f t="shared" ref="J223:S223" ca="1" si="90">+J221+J167</f>
        <v>450904159.51684195</v>
      </c>
      <c r="K223" s="812">
        <f t="shared" ca="1" si="90"/>
        <v>63255125.897076584</v>
      </c>
      <c r="L223" s="812">
        <f t="shared" ca="1" si="90"/>
        <v>248761876.99992466</v>
      </c>
      <c r="M223" s="812">
        <f t="shared" ca="1" si="90"/>
        <v>10475873.572175568</v>
      </c>
      <c r="N223" s="812">
        <f t="shared" ca="1" si="90"/>
        <v>80669756.714638785</v>
      </c>
      <c r="O223" s="812">
        <f t="shared" ca="1" si="90"/>
        <v>2646952.0638491097</v>
      </c>
      <c r="P223" s="812">
        <f t="shared" ca="1" si="90"/>
        <v>5521249.7037343411</v>
      </c>
      <c r="Q223" s="812">
        <f t="shared" ca="1" si="90"/>
        <v>459793.46517722734</v>
      </c>
      <c r="R223" s="812">
        <f t="shared" ca="1" si="90"/>
        <v>292301.45490358281</v>
      </c>
      <c r="S223" s="315">
        <f t="shared" ca="1" si="90"/>
        <v>742048.91167814855</v>
      </c>
      <c r="T223" s="379"/>
      <c r="U223" s="195">
        <f ca="1">SUM(I223:T223)</f>
        <v>863729138.30000007</v>
      </c>
      <c r="W223" s="646">
        <f t="shared" ca="1" si="83"/>
        <v>0</v>
      </c>
    </row>
    <row r="224" spans="2:23" ht="18" customHeight="1" thickBot="1" x14ac:dyDescent="0.3">
      <c r="B224" s="1593">
        <f t="shared" si="86"/>
        <v>11</v>
      </c>
      <c r="C224" s="8"/>
      <c r="D224" s="647"/>
      <c r="E224" s="645"/>
      <c r="F224" s="647"/>
      <c r="G224" s="645"/>
      <c r="H224" s="645"/>
      <c r="I224" s="645"/>
      <c r="J224" s="647"/>
      <c r="K224" s="647"/>
      <c r="L224" s="647"/>
      <c r="M224" s="647"/>
      <c r="N224" s="647"/>
      <c r="O224" s="647"/>
      <c r="P224" s="647"/>
      <c r="Q224" s="647"/>
      <c r="R224" s="647"/>
      <c r="S224" s="647"/>
      <c r="T224" s="645"/>
      <c r="U224" s="647"/>
      <c r="W224" s="646">
        <f t="shared" si="83"/>
        <v>0</v>
      </c>
    </row>
    <row r="225" spans="2:23" ht="18" customHeight="1" thickBot="1" x14ac:dyDescent="0.3">
      <c r="B225" s="1593">
        <f t="shared" si="86"/>
        <v>12</v>
      </c>
      <c r="C225" s="223" t="s">
        <v>510</v>
      </c>
      <c r="D225" s="224"/>
      <c r="E225" s="252" t="s">
        <v>509</v>
      </c>
      <c r="F225" s="812">
        <f>+F221+F168</f>
        <v>863404778.29999995</v>
      </c>
      <c r="G225" s="252"/>
      <c r="H225" s="379"/>
      <c r="I225" s="963"/>
      <c r="J225" s="381">
        <f t="shared" ref="J225:S225" ca="1" si="91">+J221+J168</f>
        <v>450734829.49577916</v>
      </c>
      <c r="K225" s="812">
        <f t="shared" ca="1" si="91"/>
        <v>63231371.421597898</v>
      </c>
      <c r="L225" s="812">
        <f t="shared" ca="1" si="91"/>
        <v>248668458.35877228</v>
      </c>
      <c r="M225" s="812">
        <f t="shared" ca="1" si="91"/>
        <v>10471939.521324212</v>
      </c>
      <c r="N225" s="812">
        <f t="shared" ca="1" si="91"/>
        <v>80639462.446299687</v>
      </c>
      <c r="O225" s="812">
        <f t="shared" ca="1" si="91"/>
        <v>2645958.0423053652</v>
      </c>
      <c r="P225" s="812">
        <f t="shared" ca="1" si="91"/>
        <v>5519176.2845633402</v>
      </c>
      <c r="Q225" s="812">
        <f t="shared" ca="1" si="91"/>
        <v>459620.79691613518</v>
      </c>
      <c r="R225" s="812">
        <f t="shared" ca="1" si="91"/>
        <v>292191.68565335334</v>
      </c>
      <c r="S225" s="315">
        <f t="shared" ca="1" si="91"/>
        <v>741770.24678852165</v>
      </c>
      <c r="T225" s="379"/>
      <c r="U225" s="195">
        <f ca="1">SUM(I225:T225)</f>
        <v>863404778.29999971</v>
      </c>
      <c r="W225" s="646">
        <f t="shared" ca="1" si="83"/>
        <v>0</v>
      </c>
    </row>
    <row r="227" spans="2:23" ht="18" customHeight="1" x14ac:dyDescent="0.2">
      <c r="H227" s="653"/>
      <c r="U227" s="653"/>
      <c r="V227" s="653">
        <f>$H$2</f>
        <v>0</v>
      </c>
    </row>
    <row r="228" spans="2:23" ht="18" customHeight="1" thickBot="1" x14ac:dyDescent="0.25"/>
    <row r="229" spans="2:23" ht="18" customHeight="1" x14ac:dyDescent="0.25">
      <c r="B229" s="829" t="str">
        <f>+$B$4</f>
        <v>2025 RATE CASE</v>
      </c>
      <c r="C229" s="844"/>
      <c r="D229" s="877"/>
      <c r="F229" s="571"/>
      <c r="U229" s="653"/>
    </row>
    <row r="230" spans="2:23" ht="18" customHeight="1" x14ac:dyDescent="0.25">
      <c r="B230" s="826" t="str">
        <f>+$B$5</f>
        <v>ONCOR ELECTRIC DELIVERY COMPANY LLC</v>
      </c>
      <c r="C230" s="8"/>
      <c r="D230" s="878"/>
      <c r="F230" s="571"/>
      <c r="U230" s="653"/>
    </row>
    <row r="231" spans="2:23" ht="18" customHeight="1" x14ac:dyDescent="0.25">
      <c r="B231" s="826" t="str">
        <f>+$B$6</f>
        <v>II-I-1-MET:  CLASS REVENUE REQUIREMENT</v>
      </c>
      <c r="C231" s="82"/>
      <c r="D231" s="878"/>
      <c r="F231" s="571"/>
      <c r="U231" s="571"/>
    </row>
    <row r="232" spans="2:23" ht="18" customHeight="1" x14ac:dyDescent="0.25">
      <c r="B232" s="341" t="str">
        <f>+$B$7</f>
        <v>TEST YEAR ENDING 12/31/2024</v>
      </c>
      <c r="C232" s="82"/>
      <c r="D232" s="878"/>
      <c r="F232" s="571"/>
      <c r="U232" s="571"/>
    </row>
    <row r="233" spans="2:23" ht="18" customHeight="1" x14ac:dyDescent="0.25">
      <c r="B233" s="341" t="str">
        <f>+$B$8</f>
        <v>SPONSOR:  MATTHEW A. TROXLE</v>
      </c>
      <c r="C233" s="82"/>
      <c r="D233" s="878"/>
      <c r="F233" s="571"/>
      <c r="U233" s="571"/>
    </row>
    <row r="234" spans="2:23" ht="18" customHeight="1" thickBot="1" x14ac:dyDescent="0.3">
      <c r="B234" s="345"/>
      <c r="C234" s="843"/>
      <c r="D234" s="879"/>
      <c r="F234" s="571"/>
      <c r="U234" s="571"/>
    </row>
    <row r="235" spans="2:23" ht="18" customHeight="1" thickBot="1" x14ac:dyDescent="0.25">
      <c r="B235" s="655"/>
      <c r="C235" s="656"/>
      <c r="D235" s="656"/>
      <c r="E235" s="656"/>
      <c r="F235" s="655"/>
      <c r="G235" s="656"/>
      <c r="H235" s="656"/>
      <c r="I235" s="656"/>
      <c r="J235" s="657"/>
      <c r="K235" s="657"/>
      <c r="L235" s="656"/>
      <c r="M235" s="657"/>
      <c r="N235" s="657"/>
      <c r="O235" s="657"/>
      <c r="P235" s="657"/>
      <c r="Q235" s="656"/>
      <c r="R235" s="658" t="str">
        <f>R$10</f>
        <v xml:space="preserve"> </v>
      </c>
      <c r="S235" s="659"/>
      <c r="T235" s="657"/>
      <c r="U235" s="655"/>
    </row>
    <row r="236" spans="2:23" ht="18" customHeight="1" x14ac:dyDescent="0.25">
      <c r="B236" s="660" t="s">
        <v>2</v>
      </c>
      <c r="C236" s="660" t="s">
        <v>349</v>
      </c>
      <c r="D236" s="226" t="s">
        <v>511</v>
      </c>
      <c r="E236" s="660" t="s">
        <v>350</v>
      </c>
      <c r="F236" s="226" t="str">
        <f>F$11</f>
        <v>MET</v>
      </c>
      <c r="G236" s="661" t="s">
        <v>688</v>
      </c>
      <c r="H236" s="661" t="s">
        <v>355</v>
      </c>
      <c r="I236" s="660"/>
      <c r="J236" s="661" t="s">
        <v>679</v>
      </c>
      <c r="K236" s="661" t="s">
        <v>388</v>
      </c>
      <c r="L236" s="660" t="s">
        <v>388</v>
      </c>
      <c r="M236" s="661" t="s">
        <v>389</v>
      </c>
      <c r="N236" s="661" t="s">
        <v>389</v>
      </c>
      <c r="O236" s="661" t="s">
        <v>389</v>
      </c>
      <c r="P236" s="661" t="s">
        <v>390</v>
      </c>
      <c r="Q236" s="660" t="s">
        <v>391</v>
      </c>
      <c r="R236" s="662" t="str">
        <f>R$11</f>
        <v>Wholesale</v>
      </c>
      <c r="S236" s="655" t="str">
        <f>S$11</f>
        <v>Wholesale</v>
      </c>
      <c r="T236" s="661"/>
      <c r="U236" s="660" t="s">
        <v>10</v>
      </c>
    </row>
    <row r="237" spans="2:23" ht="18" customHeight="1" x14ac:dyDescent="0.2">
      <c r="B237" s="660"/>
      <c r="C237" s="660"/>
      <c r="D237" s="660"/>
      <c r="E237" s="660"/>
      <c r="F237" s="660"/>
      <c r="G237" s="661" t="s">
        <v>689</v>
      </c>
      <c r="H237" s="661" t="s">
        <v>690</v>
      </c>
      <c r="I237" s="660"/>
      <c r="J237" s="661"/>
      <c r="K237" s="661" t="s">
        <v>680</v>
      </c>
      <c r="L237" s="660" t="s">
        <v>681</v>
      </c>
      <c r="M237" s="661" t="s">
        <v>680</v>
      </c>
      <c r="N237" s="661" t="s">
        <v>681</v>
      </c>
      <c r="O237" s="661" t="s">
        <v>393</v>
      </c>
      <c r="P237" s="661"/>
      <c r="Q237" s="660"/>
      <c r="R237" s="663" t="str">
        <f>R$12</f>
        <v>XFMR</v>
      </c>
      <c r="S237" s="660" t="str">
        <f>S$12</f>
        <v>DLS</v>
      </c>
      <c r="T237" s="661"/>
      <c r="U237" s="660"/>
    </row>
    <row r="238" spans="2:23" ht="18" customHeight="1" thickBot="1" x14ac:dyDescent="0.25">
      <c r="B238" s="664"/>
      <c r="C238" s="664"/>
      <c r="D238" s="664"/>
      <c r="E238" s="664"/>
      <c r="F238" s="664" t="s">
        <v>13</v>
      </c>
      <c r="G238" s="664" t="s">
        <v>14</v>
      </c>
      <c r="H238" s="664" t="s">
        <v>15</v>
      </c>
      <c r="I238" s="664"/>
      <c r="J238" s="665" t="str">
        <f t="shared" ref="J238:Q238" si="92">J$13</f>
        <v>(d)</v>
      </c>
      <c r="K238" s="665" t="str">
        <f t="shared" si="92"/>
        <v>(e)</v>
      </c>
      <c r="L238" s="664" t="str">
        <f t="shared" si="92"/>
        <v>(f)</v>
      </c>
      <c r="M238" s="665" t="str">
        <f t="shared" si="92"/>
        <v>(g)</v>
      </c>
      <c r="N238" s="665" t="str">
        <f t="shared" si="92"/>
        <v>(h)</v>
      </c>
      <c r="O238" s="665" t="str">
        <f>O$13</f>
        <v>(i)</v>
      </c>
      <c r="P238" s="665" t="str">
        <f t="shared" si="92"/>
        <v>(j)</v>
      </c>
      <c r="Q238" s="665" t="str">
        <f t="shared" si="92"/>
        <v>(k)</v>
      </c>
      <c r="R238" s="665" t="str">
        <f>R$13</f>
        <v>(l)</v>
      </c>
      <c r="S238" s="664" t="str">
        <f>S$13</f>
        <v>(m)</v>
      </c>
      <c r="T238" s="664"/>
      <c r="U238" s="664" t="s">
        <v>683</v>
      </c>
    </row>
    <row r="239" spans="2:23" ht="18" customHeight="1" x14ac:dyDescent="0.2">
      <c r="C239" s="672"/>
      <c r="D239" s="672"/>
      <c r="E239" s="673"/>
      <c r="F239" s="672"/>
      <c r="G239" s="673"/>
      <c r="H239" s="673"/>
      <c r="I239" s="673"/>
      <c r="J239" s="673"/>
      <c r="K239" s="673"/>
      <c r="L239" s="673"/>
      <c r="M239" s="673"/>
      <c r="N239" s="673"/>
      <c r="O239" s="673"/>
      <c r="P239" s="673"/>
      <c r="Q239" s="673"/>
      <c r="R239" s="673"/>
      <c r="S239" s="673"/>
      <c r="T239" s="673"/>
      <c r="U239" s="647"/>
    </row>
    <row r="240" spans="2:23" ht="18" customHeight="1" x14ac:dyDescent="0.25">
      <c r="B240" s="645">
        <f>B239+1</f>
        <v>1</v>
      </c>
      <c r="C240" s="8"/>
      <c r="D240" s="8" t="s">
        <v>511</v>
      </c>
      <c r="E240" s="1571"/>
      <c r="F240" s="8"/>
      <c r="G240" s="1571"/>
      <c r="H240" s="1571"/>
      <c r="I240" s="1571"/>
      <c r="J240" s="1571"/>
      <c r="K240" s="1571"/>
      <c r="L240" s="1571"/>
      <c r="M240" s="1571"/>
      <c r="N240" s="1571"/>
      <c r="O240" s="1571"/>
      <c r="P240" s="1571"/>
      <c r="Q240" s="1571"/>
      <c r="R240" s="1571"/>
      <c r="S240" s="1571"/>
      <c r="T240" s="1571"/>
      <c r="U240" s="8"/>
    </row>
    <row r="241" spans="2:23" ht="18" customHeight="1" x14ac:dyDescent="0.2">
      <c r="B241" s="645">
        <f>B240+1</f>
        <v>2</v>
      </c>
      <c r="C241" s="647" t="s">
        <v>512</v>
      </c>
      <c r="D241" s="647" t="s">
        <v>111</v>
      </c>
      <c r="E241" s="645"/>
      <c r="F241" s="646">
        <f>' WP II-I-1.4'!H241</f>
        <v>0</v>
      </c>
      <c r="G241" s="610">
        <v>28</v>
      </c>
      <c r="H241" s="620" t="str">
        <f>VLOOKUP(G241,FactorTable,2)</f>
        <v>NCP XHV</v>
      </c>
      <c r="I241" s="645"/>
      <c r="J241" s="651">
        <f t="shared" ref="J241:S241" si="93">$F241*HLOOKUP(J$1354,FactorTable,$G241+1)</f>
        <v>0</v>
      </c>
      <c r="K241" s="651">
        <f t="shared" si="93"/>
        <v>0</v>
      </c>
      <c r="L241" s="651">
        <f t="shared" si="93"/>
        <v>0</v>
      </c>
      <c r="M241" s="651">
        <f t="shared" si="93"/>
        <v>0</v>
      </c>
      <c r="N241" s="651">
        <f t="shared" si="93"/>
        <v>0</v>
      </c>
      <c r="O241" s="651">
        <f t="shared" si="93"/>
        <v>0</v>
      </c>
      <c r="P241" s="651">
        <f t="shared" si="93"/>
        <v>0</v>
      </c>
      <c r="Q241" s="651">
        <f t="shared" si="93"/>
        <v>0</v>
      </c>
      <c r="R241" s="651">
        <f t="shared" si="93"/>
        <v>0</v>
      </c>
      <c r="S241" s="651">
        <f t="shared" si="93"/>
        <v>0</v>
      </c>
      <c r="T241" s="645"/>
      <c r="U241" s="646">
        <f>SUM(I241:T241)</f>
        <v>0</v>
      </c>
      <c r="W241" s="646">
        <f>U241-F241</f>
        <v>0</v>
      </c>
    </row>
    <row r="242" spans="2:23" ht="18" customHeight="1" x14ac:dyDescent="0.25">
      <c r="B242" s="645">
        <f>B241+1</f>
        <v>3</v>
      </c>
      <c r="C242" s="647"/>
      <c r="D242" s="233" t="s">
        <v>444</v>
      </c>
      <c r="E242" s="1571"/>
      <c r="F242" s="805">
        <f>+F241</f>
        <v>0</v>
      </c>
      <c r="G242" s="1571"/>
      <c r="H242" s="1571"/>
      <c r="I242" s="1571"/>
      <c r="J242" s="805">
        <f t="shared" ref="J242:Q242" si="94">+J241</f>
        <v>0</v>
      </c>
      <c r="K242" s="805">
        <f t="shared" si="94"/>
        <v>0</v>
      </c>
      <c r="L242" s="805">
        <f t="shared" si="94"/>
        <v>0</v>
      </c>
      <c r="M242" s="805">
        <f t="shared" si="94"/>
        <v>0</v>
      </c>
      <c r="N242" s="805">
        <f t="shared" si="94"/>
        <v>0</v>
      </c>
      <c r="O242" s="805">
        <f>+O241</f>
        <v>0</v>
      </c>
      <c r="P242" s="805">
        <f t="shared" si="94"/>
        <v>0</v>
      </c>
      <c r="Q242" s="805">
        <f t="shared" si="94"/>
        <v>0</v>
      </c>
      <c r="R242" s="805">
        <f>+R241</f>
        <v>0</v>
      </c>
      <c r="S242" s="805">
        <f>+S241</f>
        <v>0</v>
      </c>
      <c r="T242" s="1571"/>
      <c r="U242" s="235">
        <f>SUM(I242:T242)</f>
        <v>0</v>
      </c>
      <c r="W242" s="646">
        <f>U242-F242</f>
        <v>0</v>
      </c>
    </row>
    <row r="243" spans="2:23" ht="18" customHeight="1" thickBot="1" x14ac:dyDescent="0.3">
      <c r="B243" s="645">
        <f>B242+1</f>
        <v>4</v>
      </c>
      <c r="C243" s="647"/>
      <c r="D243" s="647"/>
      <c r="E243" s="1571"/>
      <c r="F243" s="803"/>
      <c r="G243" s="1571"/>
      <c r="H243" s="1571"/>
      <c r="I243" s="1571"/>
      <c r="J243" s="803"/>
      <c r="K243" s="803"/>
      <c r="L243" s="803"/>
      <c r="M243" s="803"/>
      <c r="N243" s="803"/>
      <c r="O243" s="803"/>
      <c r="P243" s="803"/>
      <c r="Q243" s="803"/>
      <c r="R243" s="803"/>
      <c r="S243" s="803"/>
      <c r="T243" s="1571"/>
      <c r="U243" s="8"/>
    </row>
    <row r="244" spans="2:23" ht="18" customHeight="1" thickBot="1" x14ac:dyDescent="0.3">
      <c r="B244" s="645">
        <f>B243+1</f>
        <v>5</v>
      </c>
      <c r="C244" s="223" t="s">
        <v>513</v>
      </c>
      <c r="D244" s="224"/>
      <c r="E244" s="252" t="s">
        <v>112</v>
      </c>
      <c r="F244" s="812">
        <f>+F242</f>
        <v>0</v>
      </c>
      <c r="G244" s="252"/>
      <c r="H244" s="379"/>
      <c r="I244" s="380"/>
      <c r="J244" s="381">
        <f t="shared" ref="J244:Q244" si="95">+J242</f>
        <v>0</v>
      </c>
      <c r="K244" s="812">
        <f t="shared" si="95"/>
        <v>0</v>
      </c>
      <c r="L244" s="812">
        <f t="shared" si="95"/>
        <v>0</v>
      </c>
      <c r="M244" s="812">
        <f t="shared" si="95"/>
        <v>0</v>
      </c>
      <c r="N244" s="812">
        <f t="shared" si="95"/>
        <v>0</v>
      </c>
      <c r="O244" s="812">
        <f>+O242</f>
        <v>0</v>
      </c>
      <c r="P244" s="812">
        <f t="shared" si="95"/>
        <v>0</v>
      </c>
      <c r="Q244" s="812">
        <f t="shared" si="95"/>
        <v>0</v>
      </c>
      <c r="R244" s="812">
        <f>+R242</f>
        <v>0</v>
      </c>
      <c r="S244" s="315">
        <f>+S242</f>
        <v>0</v>
      </c>
      <c r="T244" s="380"/>
      <c r="U244" s="195">
        <f>SUM(I244:T244)</f>
        <v>0</v>
      </c>
    </row>
    <row r="245" spans="2:23" ht="18" customHeight="1" thickBot="1" x14ac:dyDescent="0.25"/>
    <row r="246" spans="2:23" ht="18" customHeight="1" x14ac:dyDescent="0.25">
      <c r="B246" s="829" t="str">
        <f>+$B$4</f>
        <v>2025 RATE CASE</v>
      </c>
      <c r="C246" s="844"/>
      <c r="D246" s="868"/>
      <c r="H246" s="653"/>
      <c r="U246" s="653"/>
      <c r="V246" s="653">
        <f>$H$2</f>
        <v>0</v>
      </c>
    </row>
    <row r="247" spans="2:23" ht="18" customHeight="1" x14ac:dyDescent="0.25">
      <c r="B247" s="826" t="str">
        <f>+$B$5</f>
        <v>ONCOR ELECTRIC DELIVERY COMPANY LLC</v>
      </c>
      <c r="C247" s="8"/>
      <c r="D247" s="869"/>
      <c r="U247" s="653"/>
    </row>
    <row r="248" spans="2:23" ht="18" customHeight="1" x14ac:dyDescent="0.25">
      <c r="B248" s="826" t="str">
        <f>+$B$6</f>
        <v>II-I-1-MET:  CLASS REVENUE REQUIREMENT</v>
      </c>
      <c r="C248" s="82"/>
      <c r="D248" s="830"/>
      <c r="F248" s="571"/>
      <c r="U248" s="571"/>
    </row>
    <row r="249" spans="2:23" ht="18" customHeight="1" x14ac:dyDescent="0.25">
      <c r="B249" s="341" t="str">
        <f>+$B$7</f>
        <v>TEST YEAR ENDING 12/31/2024</v>
      </c>
      <c r="C249" s="82"/>
      <c r="D249" s="830"/>
      <c r="F249" s="571"/>
      <c r="U249" s="571"/>
    </row>
    <row r="250" spans="2:23" ht="18" customHeight="1" x14ac:dyDescent="0.25">
      <c r="B250" s="341" t="str">
        <f>+$B$8</f>
        <v>SPONSOR:  MATTHEW A. TROXLE</v>
      </c>
      <c r="C250" s="82"/>
      <c r="D250" s="830"/>
      <c r="F250" s="571"/>
      <c r="U250" s="571"/>
    </row>
    <row r="251" spans="2:23" ht="18" customHeight="1" thickBot="1" x14ac:dyDescent="0.3">
      <c r="B251" s="345"/>
      <c r="C251" s="843"/>
      <c r="D251" s="839"/>
      <c r="F251" s="571"/>
      <c r="U251" s="571"/>
    </row>
    <row r="252" spans="2:23" ht="18" customHeight="1" thickBot="1" x14ac:dyDescent="0.25">
      <c r="B252" s="655"/>
      <c r="C252" s="656"/>
      <c r="D252" s="656"/>
      <c r="E252" s="656"/>
      <c r="F252" s="655"/>
      <c r="G252" s="656"/>
      <c r="H252" s="656"/>
      <c r="I252" s="656"/>
      <c r="J252" s="657"/>
      <c r="K252" s="657"/>
      <c r="L252" s="656"/>
      <c r="M252" s="657"/>
      <c r="N252" s="657"/>
      <c r="O252" s="657"/>
      <c r="P252" s="657"/>
      <c r="Q252" s="656"/>
      <c r="R252" s="658" t="str">
        <f>R$10</f>
        <v xml:space="preserve"> </v>
      </c>
      <c r="S252" s="659"/>
      <c r="T252" s="657"/>
      <c r="U252" s="655"/>
    </row>
    <row r="253" spans="2:23" ht="18" customHeight="1" x14ac:dyDescent="0.25">
      <c r="B253" s="660" t="s">
        <v>2</v>
      </c>
      <c r="C253" s="660" t="s">
        <v>349</v>
      </c>
      <c r="D253" s="226" t="s">
        <v>514</v>
      </c>
      <c r="E253" s="660" t="s">
        <v>350</v>
      </c>
      <c r="F253" s="226" t="str">
        <f>F$11</f>
        <v>MET</v>
      </c>
      <c r="G253" s="661" t="s">
        <v>688</v>
      </c>
      <c r="H253" s="661" t="s">
        <v>355</v>
      </c>
      <c r="I253" s="660"/>
      <c r="J253" s="661" t="s">
        <v>679</v>
      </c>
      <c r="K253" s="661" t="s">
        <v>388</v>
      </c>
      <c r="L253" s="660" t="s">
        <v>388</v>
      </c>
      <c r="M253" s="661" t="s">
        <v>389</v>
      </c>
      <c r="N253" s="661" t="s">
        <v>389</v>
      </c>
      <c r="O253" s="661" t="s">
        <v>389</v>
      </c>
      <c r="P253" s="661" t="s">
        <v>390</v>
      </c>
      <c r="Q253" s="660" t="s">
        <v>391</v>
      </c>
      <c r="R253" s="662" t="str">
        <f>R$11</f>
        <v>Wholesale</v>
      </c>
      <c r="S253" s="655" t="str">
        <f>S$11</f>
        <v>Wholesale</v>
      </c>
      <c r="T253" s="661"/>
      <c r="U253" s="660" t="s">
        <v>10</v>
      </c>
    </row>
    <row r="254" spans="2:23" ht="18" customHeight="1" x14ac:dyDescent="0.2">
      <c r="B254" s="660"/>
      <c r="C254" s="660"/>
      <c r="D254" s="660"/>
      <c r="E254" s="660"/>
      <c r="F254" s="660"/>
      <c r="G254" s="661" t="s">
        <v>689</v>
      </c>
      <c r="H254" s="661" t="s">
        <v>690</v>
      </c>
      <c r="I254" s="660"/>
      <c r="J254" s="661"/>
      <c r="K254" s="661" t="s">
        <v>680</v>
      </c>
      <c r="L254" s="660" t="s">
        <v>681</v>
      </c>
      <c r="M254" s="661" t="s">
        <v>680</v>
      </c>
      <c r="N254" s="661" t="s">
        <v>681</v>
      </c>
      <c r="O254" s="661" t="s">
        <v>393</v>
      </c>
      <c r="P254" s="661"/>
      <c r="Q254" s="660"/>
      <c r="R254" s="663" t="str">
        <f>R$12</f>
        <v>XFMR</v>
      </c>
      <c r="S254" s="660" t="str">
        <f>S$12</f>
        <v>DLS</v>
      </c>
      <c r="T254" s="661"/>
      <c r="U254" s="660"/>
    </row>
    <row r="255" spans="2:23" ht="18" customHeight="1" thickBot="1" x14ac:dyDescent="0.25">
      <c r="B255" s="664"/>
      <c r="C255" s="664"/>
      <c r="D255" s="664"/>
      <c r="E255" s="664"/>
      <c r="F255" s="664" t="s">
        <v>13</v>
      </c>
      <c r="G255" s="664" t="s">
        <v>14</v>
      </c>
      <c r="H255" s="664" t="s">
        <v>15</v>
      </c>
      <c r="I255" s="664"/>
      <c r="J255" s="665" t="str">
        <f t="shared" ref="J255:Q255" si="96">J$13</f>
        <v>(d)</v>
      </c>
      <c r="K255" s="665" t="str">
        <f t="shared" si="96"/>
        <v>(e)</v>
      </c>
      <c r="L255" s="664" t="str">
        <f t="shared" si="96"/>
        <v>(f)</v>
      </c>
      <c r="M255" s="665" t="str">
        <f t="shared" si="96"/>
        <v>(g)</v>
      </c>
      <c r="N255" s="665" t="str">
        <f t="shared" si="96"/>
        <v>(h)</v>
      </c>
      <c r="O255" s="665" t="str">
        <f>O$13</f>
        <v>(i)</v>
      </c>
      <c r="P255" s="665" t="str">
        <f t="shared" si="96"/>
        <v>(j)</v>
      </c>
      <c r="Q255" s="665" t="str">
        <f t="shared" si="96"/>
        <v>(k)</v>
      </c>
      <c r="R255" s="665" t="str">
        <f>R$13</f>
        <v>(l)</v>
      </c>
      <c r="S255" s="664" t="str">
        <f>S$13</f>
        <v>(m)</v>
      </c>
      <c r="T255" s="664"/>
      <c r="U255" s="664" t="s">
        <v>683</v>
      </c>
    </row>
    <row r="256" spans="2:23" ht="18" customHeight="1" x14ac:dyDescent="0.2">
      <c r="D256" s="672"/>
      <c r="E256" s="672"/>
      <c r="F256" s="1589"/>
      <c r="G256" s="672"/>
      <c r="H256" s="672"/>
      <c r="I256" s="672"/>
      <c r="J256" s="672"/>
      <c r="K256" s="672"/>
      <c r="L256" s="672"/>
      <c r="M256" s="672"/>
      <c r="N256" s="672"/>
      <c r="O256" s="672"/>
      <c r="P256" s="672"/>
      <c r="Q256" s="672"/>
      <c r="R256" s="672"/>
      <c r="S256" s="672"/>
      <c r="T256" s="672"/>
      <c r="U256" s="672"/>
    </row>
    <row r="257" spans="2:23" ht="18" customHeight="1" x14ac:dyDescent="0.25">
      <c r="B257" s="645">
        <f t="shared" ref="B257:B276" si="97">B256+1</f>
        <v>1</v>
      </c>
      <c r="C257" s="8" t="s">
        <v>515</v>
      </c>
      <c r="D257" s="8"/>
      <c r="E257" s="1571" t="s">
        <v>24</v>
      </c>
      <c r="F257" s="804"/>
      <c r="G257" s="1571"/>
      <c r="H257" s="1571"/>
      <c r="I257" s="1571"/>
      <c r="J257" s="1571"/>
      <c r="K257" s="1571"/>
      <c r="L257" s="1571"/>
      <c r="M257" s="1571"/>
      <c r="N257" s="1571"/>
      <c r="O257" s="1571"/>
      <c r="P257" s="1571"/>
      <c r="Q257" s="1571"/>
      <c r="R257" s="1571"/>
      <c r="S257" s="1571"/>
      <c r="T257" s="1571"/>
      <c r="U257" s="8"/>
      <c r="W257" s="646">
        <f t="shared" ref="W257:W325" si="98">U257-F257</f>
        <v>0</v>
      </c>
    </row>
    <row r="258" spans="2:23" ht="18" customHeight="1" x14ac:dyDescent="0.2">
      <c r="B258" s="645">
        <f t="shared" si="97"/>
        <v>2</v>
      </c>
      <c r="C258" s="647" t="s">
        <v>25</v>
      </c>
      <c r="D258" s="647" t="s">
        <v>26</v>
      </c>
      <c r="E258" s="645"/>
      <c r="F258" s="646">
        <f>' WP II-I-1.4'!H258</f>
        <v>0</v>
      </c>
      <c r="G258" s="645">
        <v>65</v>
      </c>
      <c r="H258" s="620" t="str">
        <f>VLOOKUP(G258,FactorTable,2)</f>
        <v>PLT_N XINT</v>
      </c>
      <c r="I258" s="645"/>
      <c r="J258" s="648">
        <f t="shared" ref="J258:S260" ca="1" si="99">$F258*HLOOKUP(J$1354,FactorTable,$G258+1)</f>
        <v>0</v>
      </c>
      <c r="K258" s="648">
        <f t="shared" ca="1" si="99"/>
        <v>0</v>
      </c>
      <c r="L258" s="648">
        <f t="shared" ca="1" si="99"/>
        <v>0</v>
      </c>
      <c r="M258" s="648">
        <f t="shared" ca="1" si="99"/>
        <v>0</v>
      </c>
      <c r="N258" s="648">
        <f t="shared" ca="1" si="99"/>
        <v>0</v>
      </c>
      <c r="O258" s="648">
        <f t="shared" ca="1" si="99"/>
        <v>0</v>
      </c>
      <c r="P258" s="648">
        <f t="shared" ca="1" si="99"/>
        <v>0</v>
      </c>
      <c r="Q258" s="648">
        <f t="shared" ca="1" si="99"/>
        <v>0</v>
      </c>
      <c r="R258" s="648">
        <f t="shared" ca="1" si="99"/>
        <v>0</v>
      </c>
      <c r="S258" s="648">
        <f t="shared" ca="1" si="99"/>
        <v>0</v>
      </c>
      <c r="T258" s="645"/>
      <c r="U258" s="646">
        <f ca="1">SUM(I258:T258)</f>
        <v>0</v>
      </c>
      <c r="W258" s="646">
        <f t="shared" ca="1" si="98"/>
        <v>0</v>
      </c>
    </row>
    <row r="259" spans="2:23" ht="18" customHeight="1" x14ac:dyDescent="0.2">
      <c r="B259" s="645">
        <f t="shared" si="97"/>
        <v>3</v>
      </c>
      <c r="C259" s="647" t="s">
        <v>27</v>
      </c>
      <c r="D259" s="647" t="s">
        <v>28</v>
      </c>
      <c r="E259" s="645"/>
      <c r="F259" s="646">
        <f>' WP II-I-1.4'!H259</f>
        <v>0</v>
      </c>
      <c r="G259" s="645">
        <v>65</v>
      </c>
      <c r="H259" s="620" t="str">
        <f>VLOOKUP(G259,FactorTable,2)</f>
        <v>PLT_N XINT</v>
      </c>
      <c r="I259" s="645"/>
      <c r="J259" s="648">
        <f t="shared" ca="1" si="99"/>
        <v>0</v>
      </c>
      <c r="K259" s="648">
        <f t="shared" ca="1" si="99"/>
        <v>0</v>
      </c>
      <c r="L259" s="648">
        <f t="shared" ca="1" si="99"/>
        <v>0</v>
      </c>
      <c r="M259" s="648">
        <f t="shared" ca="1" si="99"/>
        <v>0</v>
      </c>
      <c r="N259" s="648">
        <f t="shared" ca="1" si="99"/>
        <v>0</v>
      </c>
      <c r="O259" s="648">
        <f t="shared" ca="1" si="99"/>
        <v>0</v>
      </c>
      <c r="P259" s="648">
        <f t="shared" ca="1" si="99"/>
        <v>0</v>
      </c>
      <c r="Q259" s="648">
        <f t="shared" ca="1" si="99"/>
        <v>0</v>
      </c>
      <c r="R259" s="648">
        <f t="shared" ca="1" si="99"/>
        <v>0</v>
      </c>
      <c r="S259" s="648">
        <f t="shared" ca="1" si="99"/>
        <v>0</v>
      </c>
      <c r="T259" s="645"/>
      <c r="U259" s="646">
        <f ca="1">SUM(I259:T259)</f>
        <v>0</v>
      </c>
      <c r="W259" s="646">
        <f t="shared" ca="1" si="98"/>
        <v>0</v>
      </c>
    </row>
    <row r="260" spans="2:23" ht="18" customHeight="1" x14ac:dyDescent="0.2">
      <c r="B260" s="645">
        <f t="shared" si="97"/>
        <v>4</v>
      </c>
      <c r="C260" s="647" t="s">
        <v>29</v>
      </c>
      <c r="D260" s="647" t="s">
        <v>32</v>
      </c>
      <c r="E260" s="645"/>
      <c r="F260" s="646">
        <f>' WP II-I-1.4'!H260</f>
        <v>120220.51</v>
      </c>
      <c r="G260" s="645">
        <v>65</v>
      </c>
      <c r="H260" s="620" t="str">
        <f>VLOOKUP(G260,FactorTable,2)</f>
        <v>PLT_N XINT</v>
      </c>
      <c r="I260" s="645"/>
      <c r="J260" s="651">
        <f t="shared" ca="1" si="99"/>
        <v>62760.332625721843</v>
      </c>
      <c r="K260" s="651">
        <f t="shared" ca="1" si="99"/>
        <v>8804.3382563521391</v>
      </c>
      <c r="L260" s="651">
        <f t="shared" ca="1" si="99"/>
        <v>34624.604398955496</v>
      </c>
      <c r="M260" s="651">
        <f t="shared" ca="1" si="99"/>
        <v>1458.1132066717832</v>
      </c>
      <c r="N260" s="651">
        <f t="shared" ca="1" si="99"/>
        <v>11228.24142867035</v>
      </c>
      <c r="O260" s="651">
        <f t="shared" ca="1" si="99"/>
        <v>368.42328567010281</v>
      </c>
      <c r="P260" s="651">
        <f t="shared" ca="1" si="99"/>
        <v>768.49028912782205</v>
      </c>
      <c r="Q260" s="651">
        <f t="shared" ca="1" si="99"/>
        <v>63.997615024392317</v>
      </c>
      <c r="R260" s="651">
        <f t="shared" ca="1" si="99"/>
        <v>40.684780012649405</v>
      </c>
      <c r="S260" s="651">
        <f t="shared" ca="1" si="99"/>
        <v>103.2841137934457</v>
      </c>
      <c r="T260" s="645"/>
      <c r="U260" s="646">
        <f ca="1">SUM(I260:T260)</f>
        <v>120220.51000000004</v>
      </c>
      <c r="W260" s="646">
        <f t="shared" ca="1" si="98"/>
        <v>0</v>
      </c>
    </row>
    <row r="261" spans="2:23" ht="18" customHeight="1" x14ac:dyDescent="0.25">
      <c r="B261" s="645">
        <f t="shared" si="97"/>
        <v>5</v>
      </c>
      <c r="C261" s="8"/>
      <c r="D261" s="233" t="s">
        <v>444</v>
      </c>
      <c r="E261" s="1571"/>
      <c r="F261" s="816">
        <f>SUM(F258:F260)</f>
        <v>120220.51</v>
      </c>
      <c r="G261" s="645"/>
      <c r="H261" s="645"/>
      <c r="I261" s="1571"/>
      <c r="J261" s="816">
        <f t="shared" ref="J261:Q261" ca="1" si="100">SUM(J258:J260)</f>
        <v>62760.332625721843</v>
      </c>
      <c r="K261" s="816">
        <f t="shared" ca="1" si="100"/>
        <v>8804.3382563521391</v>
      </c>
      <c r="L261" s="816">
        <f t="shared" ca="1" si="100"/>
        <v>34624.604398955496</v>
      </c>
      <c r="M261" s="816">
        <f t="shared" ca="1" si="100"/>
        <v>1458.1132066717832</v>
      </c>
      <c r="N261" s="816">
        <f t="shared" ca="1" si="100"/>
        <v>11228.24142867035</v>
      </c>
      <c r="O261" s="816">
        <f ca="1">SUM(O258:O260)</f>
        <v>368.42328567010281</v>
      </c>
      <c r="P261" s="816">
        <f t="shared" ca="1" si="100"/>
        <v>768.49028912782205</v>
      </c>
      <c r="Q261" s="816">
        <f t="shared" ca="1" si="100"/>
        <v>63.997615024392317</v>
      </c>
      <c r="R261" s="816">
        <f ca="1">SUM(R258:R260)</f>
        <v>40.684780012649405</v>
      </c>
      <c r="S261" s="816">
        <f ca="1">SUM(S258:S260)</f>
        <v>103.2841137934457</v>
      </c>
      <c r="T261" s="1571"/>
      <c r="U261" s="235">
        <f ca="1">SUM(I261:T261)</f>
        <v>120220.51000000004</v>
      </c>
      <c r="W261" s="646">
        <f t="shared" ca="1" si="98"/>
        <v>0</v>
      </c>
    </row>
    <row r="262" spans="2:23" ht="18" customHeight="1" x14ac:dyDescent="0.25">
      <c r="B262" s="645">
        <f t="shared" si="97"/>
        <v>6</v>
      </c>
      <c r="C262" s="8" t="s">
        <v>524</v>
      </c>
      <c r="D262" s="8"/>
      <c r="E262" s="1571" t="s">
        <v>24</v>
      </c>
      <c r="F262" s="805"/>
      <c r="G262" s="1571"/>
      <c r="H262" s="1571"/>
      <c r="I262" s="1571"/>
      <c r="J262" s="1571"/>
      <c r="K262" s="1571"/>
      <c r="L262" s="1571"/>
      <c r="M262" s="1571"/>
      <c r="N262" s="1571"/>
      <c r="O262" s="1571"/>
      <c r="P262" s="1571"/>
      <c r="Q262" s="1571"/>
      <c r="R262" s="1571"/>
      <c r="S262" s="1571"/>
      <c r="T262" s="1571"/>
      <c r="U262" s="8"/>
      <c r="W262" s="646">
        <f t="shared" si="98"/>
        <v>0</v>
      </c>
    </row>
    <row r="263" spans="2:23" ht="18" customHeight="1" x14ac:dyDescent="0.25">
      <c r="B263" s="645">
        <f t="shared" si="97"/>
        <v>7</v>
      </c>
      <c r="C263" s="647" t="s">
        <v>37</v>
      </c>
      <c r="D263" s="647" t="s">
        <v>38</v>
      </c>
      <c r="E263" s="1571"/>
      <c r="F263" s="646">
        <f>' WP II-I-1.4'!H263</f>
        <v>0</v>
      </c>
      <c r="G263" s="645">
        <v>28</v>
      </c>
      <c r="H263" s="650" t="str">
        <f t="shared" ref="H263:H275" si="101">VLOOKUP(G263,FactorTable,2)</f>
        <v>NCP XHV</v>
      </c>
      <c r="I263" s="1571"/>
      <c r="J263" s="648">
        <f t="shared" ref="J263:S275" si="102">$F263*HLOOKUP(J$1354,FactorTable,$G263+1)</f>
        <v>0</v>
      </c>
      <c r="K263" s="648">
        <f t="shared" si="102"/>
        <v>0</v>
      </c>
      <c r="L263" s="648">
        <f t="shared" si="102"/>
        <v>0</v>
      </c>
      <c r="M263" s="648">
        <f t="shared" si="102"/>
        <v>0</v>
      </c>
      <c r="N263" s="648">
        <f t="shared" si="102"/>
        <v>0</v>
      </c>
      <c r="O263" s="648">
        <f t="shared" si="102"/>
        <v>0</v>
      </c>
      <c r="P263" s="648">
        <f t="shared" si="102"/>
        <v>0</v>
      </c>
      <c r="Q263" s="648">
        <f t="shared" si="102"/>
        <v>0</v>
      </c>
      <c r="R263" s="648">
        <f t="shared" si="102"/>
        <v>0</v>
      </c>
      <c r="S263" s="648">
        <f t="shared" si="102"/>
        <v>0</v>
      </c>
      <c r="T263" s="1571"/>
      <c r="U263" s="646">
        <f t="shared" ref="U263:U276" si="103">SUM(I263:T263)</f>
        <v>0</v>
      </c>
      <c r="W263" s="646">
        <f t="shared" si="98"/>
        <v>0</v>
      </c>
    </row>
    <row r="264" spans="2:23" ht="18" customHeight="1" x14ac:dyDescent="0.2">
      <c r="B264" s="645">
        <f t="shared" si="97"/>
        <v>8</v>
      </c>
      <c r="C264" s="647" t="s">
        <v>39</v>
      </c>
      <c r="D264" s="647" t="s">
        <v>40</v>
      </c>
      <c r="E264" s="645"/>
      <c r="F264" s="646">
        <f>' WP II-I-1.4'!H264</f>
        <v>0</v>
      </c>
      <c r="G264" s="645">
        <v>28</v>
      </c>
      <c r="H264" s="650" t="str">
        <f t="shared" si="101"/>
        <v>NCP XHV</v>
      </c>
      <c r="I264" s="645"/>
      <c r="J264" s="648">
        <f t="shared" si="102"/>
        <v>0</v>
      </c>
      <c r="K264" s="648">
        <f t="shared" si="102"/>
        <v>0</v>
      </c>
      <c r="L264" s="648">
        <f t="shared" si="102"/>
        <v>0</v>
      </c>
      <c r="M264" s="648">
        <f t="shared" si="102"/>
        <v>0</v>
      </c>
      <c r="N264" s="648">
        <f t="shared" si="102"/>
        <v>0</v>
      </c>
      <c r="O264" s="648">
        <f t="shared" si="102"/>
        <v>0</v>
      </c>
      <c r="P264" s="648">
        <f t="shared" si="102"/>
        <v>0</v>
      </c>
      <c r="Q264" s="648">
        <f t="shared" si="102"/>
        <v>0</v>
      </c>
      <c r="R264" s="648">
        <f t="shared" si="102"/>
        <v>0</v>
      </c>
      <c r="S264" s="648">
        <f t="shared" si="102"/>
        <v>0</v>
      </c>
      <c r="T264" s="645"/>
      <c r="U264" s="646">
        <f t="shared" si="103"/>
        <v>0</v>
      </c>
      <c r="W264" s="646">
        <f t="shared" si="98"/>
        <v>0</v>
      </c>
    </row>
    <row r="265" spans="2:23" ht="18" customHeight="1" x14ac:dyDescent="0.2">
      <c r="B265" s="645">
        <f t="shared" si="97"/>
        <v>9</v>
      </c>
      <c r="C265" s="647" t="s">
        <v>1229</v>
      </c>
      <c r="D265" s="647" t="s">
        <v>1230</v>
      </c>
      <c r="E265" s="645"/>
      <c r="F265" s="668">
        <f>' WP II-I-1.4'!H265</f>
        <v>0</v>
      </c>
      <c r="G265" s="645">
        <v>67</v>
      </c>
      <c r="H265" s="650" t="str">
        <f t="shared" ref="H265:H267" si="104">VLOOKUP(G265,FactorTable,2)</f>
        <v>PLTTRAN_N</v>
      </c>
      <c r="I265" s="645"/>
      <c r="J265" s="648">
        <f t="shared" ca="1" si="102"/>
        <v>0</v>
      </c>
      <c r="K265" s="648">
        <f t="shared" ca="1" si="102"/>
        <v>0</v>
      </c>
      <c r="L265" s="648">
        <f t="shared" ca="1" si="102"/>
        <v>0</v>
      </c>
      <c r="M265" s="648">
        <f t="shared" ca="1" si="102"/>
        <v>0</v>
      </c>
      <c r="N265" s="648">
        <f t="shared" ca="1" si="102"/>
        <v>0</v>
      </c>
      <c r="O265" s="648">
        <f t="shared" ca="1" si="102"/>
        <v>0</v>
      </c>
      <c r="P265" s="648">
        <f t="shared" ca="1" si="102"/>
        <v>0</v>
      </c>
      <c r="Q265" s="648">
        <f t="shared" ca="1" si="102"/>
        <v>0</v>
      </c>
      <c r="R265" s="648">
        <f t="shared" ca="1" si="102"/>
        <v>0</v>
      </c>
      <c r="S265" s="648">
        <f t="shared" ca="1" si="102"/>
        <v>0</v>
      </c>
      <c r="T265" s="645"/>
      <c r="U265" s="646">
        <f t="shared" ref="U265:U267" ca="1" si="105">SUM(I265:T265)</f>
        <v>0</v>
      </c>
      <c r="W265" s="646"/>
    </row>
    <row r="266" spans="2:23" ht="18" customHeight="1" x14ac:dyDescent="0.2">
      <c r="B266" s="645">
        <f t="shared" si="97"/>
        <v>10</v>
      </c>
      <c r="C266" s="647" t="s">
        <v>1231</v>
      </c>
      <c r="D266" s="647" t="s">
        <v>1232</v>
      </c>
      <c r="E266" s="645"/>
      <c r="F266" s="668">
        <f>' WP II-I-1.4'!H266</f>
        <v>0</v>
      </c>
      <c r="G266" s="645">
        <v>67</v>
      </c>
      <c r="H266" s="650" t="str">
        <f t="shared" si="104"/>
        <v>PLTTRAN_N</v>
      </c>
      <c r="I266" s="645"/>
      <c r="J266" s="648">
        <f t="shared" ca="1" si="102"/>
        <v>0</v>
      </c>
      <c r="K266" s="648">
        <f t="shared" ca="1" si="102"/>
        <v>0</v>
      </c>
      <c r="L266" s="648">
        <f t="shared" ca="1" si="102"/>
        <v>0</v>
      </c>
      <c r="M266" s="648">
        <f t="shared" ca="1" si="102"/>
        <v>0</v>
      </c>
      <c r="N266" s="648">
        <f t="shared" ca="1" si="102"/>
        <v>0</v>
      </c>
      <c r="O266" s="648">
        <f t="shared" ca="1" si="102"/>
        <v>0</v>
      </c>
      <c r="P266" s="648">
        <f t="shared" ca="1" si="102"/>
        <v>0</v>
      </c>
      <c r="Q266" s="648">
        <f t="shared" ca="1" si="102"/>
        <v>0</v>
      </c>
      <c r="R266" s="648">
        <f t="shared" ca="1" si="102"/>
        <v>0</v>
      </c>
      <c r="S266" s="648">
        <f t="shared" ca="1" si="102"/>
        <v>0</v>
      </c>
      <c r="T266" s="645"/>
      <c r="U266" s="646">
        <f t="shared" ca="1" si="105"/>
        <v>0</v>
      </c>
      <c r="W266" s="646"/>
    </row>
    <row r="267" spans="2:23" ht="18" customHeight="1" x14ac:dyDescent="0.2">
      <c r="B267" s="645">
        <f t="shared" si="97"/>
        <v>11</v>
      </c>
      <c r="C267" s="647" t="s">
        <v>1233</v>
      </c>
      <c r="D267" s="647" t="s">
        <v>103</v>
      </c>
      <c r="E267" s="645"/>
      <c r="F267" s="668">
        <f>' WP II-I-1.4'!H267</f>
        <v>0</v>
      </c>
      <c r="G267" s="645">
        <v>67</v>
      </c>
      <c r="H267" s="650" t="str">
        <f t="shared" si="104"/>
        <v>PLTTRAN_N</v>
      </c>
      <c r="I267" s="645"/>
      <c r="J267" s="648">
        <f t="shared" ca="1" si="102"/>
        <v>0</v>
      </c>
      <c r="K267" s="648">
        <f t="shared" ca="1" si="102"/>
        <v>0</v>
      </c>
      <c r="L267" s="648">
        <f t="shared" ca="1" si="102"/>
        <v>0</v>
      </c>
      <c r="M267" s="648">
        <f t="shared" ca="1" si="102"/>
        <v>0</v>
      </c>
      <c r="N267" s="648">
        <f t="shared" ca="1" si="102"/>
        <v>0</v>
      </c>
      <c r="O267" s="648">
        <f t="shared" ca="1" si="102"/>
        <v>0</v>
      </c>
      <c r="P267" s="648">
        <f t="shared" ca="1" si="102"/>
        <v>0</v>
      </c>
      <c r="Q267" s="648">
        <f t="shared" ca="1" si="102"/>
        <v>0</v>
      </c>
      <c r="R267" s="648">
        <f t="shared" ca="1" si="102"/>
        <v>0</v>
      </c>
      <c r="S267" s="648">
        <f t="shared" ca="1" si="102"/>
        <v>0</v>
      </c>
      <c r="T267" s="645"/>
      <c r="U267" s="646">
        <f t="shared" ca="1" si="105"/>
        <v>0</v>
      </c>
      <c r="W267" s="646"/>
    </row>
    <row r="268" spans="2:23" ht="18" customHeight="1" x14ac:dyDescent="0.2">
      <c r="B268" s="645">
        <f t="shared" si="97"/>
        <v>12</v>
      </c>
      <c r="C268" s="647" t="s">
        <v>41</v>
      </c>
      <c r="D268" s="647" t="s">
        <v>42</v>
      </c>
      <c r="E268" s="645"/>
      <c r="F268" s="646">
        <f>' WP II-I-1.4'!H268</f>
        <v>0</v>
      </c>
      <c r="G268" s="645">
        <v>28</v>
      </c>
      <c r="H268" s="650" t="str">
        <f t="shared" si="101"/>
        <v>NCP XHV</v>
      </c>
      <c r="I268" s="645"/>
      <c r="J268" s="648">
        <f t="shared" si="102"/>
        <v>0</v>
      </c>
      <c r="K268" s="648">
        <f t="shared" si="102"/>
        <v>0</v>
      </c>
      <c r="L268" s="648">
        <f t="shared" si="102"/>
        <v>0</v>
      </c>
      <c r="M268" s="648">
        <f t="shared" si="102"/>
        <v>0</v>
      </c>
      <c r="N268" s="648">
        <f t="shared" si="102"/>
        <v>0</v>
      </c>
      <c r="O268" s="648">
        <f t="shared" si="102"/>
        <v>0</v>
      </c>
      <c r="P268" s="648">
        <f t="shared" si="102"/>
        <v>0</v>
      </c>
      <c r="Q268" s="648">
        <f t="shared" si="102"/>
        <v>0</v>
      </c>
      <c r="R268" s="648">
        <f t="shared" si="102"/>
        <v>0</v>
      </c>
      <c r="S268" s="648">
        <f t="shared" si="102"/>
        <v>0</v>
      </c>
      <c r="T268" s="645"/>
      <c r="U268" s="646">
        <f t="shared" si="103"/>
        <v>0</v>
      </c>
      <c r="W268" s="646">
        <f t="shared" si="98"/>
        <v>0</v>
      </c>
    </row>
    <row r="269" spans="2:23" ht="18" customHeight="1" x14ac:dyDescent="0.2">
      <c r="B269" s="645">
        <f t="shared" si="97"/>
        <v>13</v>
      </c>
      <c r="C269" s="647" t="s">
        <v>43</v>
      </c>
      <c r="D269" s="647" t="s">
        <v>44</v>
      </c>
      <c r="E269" s="645"/>
      <c r="F269" s="646">
        <f>' WP II-I-1.4'!H269</f>
        <v>0</v>
      </c>
      <c r="G269" s="645">
        <v>28</v>
      </c>
      <c r="H269" s="650" t="str">
        <f t="shared" si="101"/>
        <v>NCP XHV</v>
      </c>
      <c r="I269" s="645"/>
      <c r="J269" s="648">
        <f t="shared" si="102"/>
        <v>0</v>
      </c>
      <c r="K269" s="648">
        <f t="shared" si="102"/>
        <v>0</v>
      </c>
      <c r="L269" s="648">
        <f t="shared" si="102"/>
        <v>0</v>
      </c>
      <c r="M269" s="648">
        <f t="shared" si="102"/>
        <v>0</v>
      </c>
      <c r="N269" s="648">
        <f t="shared" si="102"/>
        <v>0</v>
      </c>
      <c r="O269" s="648">
        <f t="shared" si="102"/>
        <v>0</v>
      </c>
      <c r="P269" s="648">
        <f t="shared" si="102"/>
        <v>0</v>
      </c>
      <c r="Q269" s="648">
        <f t="shared" si="102"/>
        <v>0</v>
      </c>
      <c r="R269" s="648">
        <f t="shared" si="102"/>
        <v>0</v>
      </c>
      <c r="S269" s="648">
        <f t="shared" si="102"/>
        <v>0</v>
      </c>
      <c r="T269" s="645"/>
      <c r="U269" s="646">
        <f t="shared" si="103"/>
        <v>0</v>
      </c>
      <c r="W269" s="646">
        <f t="shared" si="98"/>
        <v>0</v>
      </c>
    </row>
    <row r="270" spans="2:23" ht="18" customHeight="1" x14ac:dyDescent="0.2">
      <c r="B270" s="645">
        <f t="shared" si="97"/>
        <v>14</v>
      </c>
      <c r="C270" s="647" t="s">
        <v>45</v>
      </c>
      <c r="D270" s="647" t="s">
        <v>46</v>
      </c>
      <c r="E270" s="645"/>
      <c r="F270" s="646">
        <f>' WP II-I-1.4'!H270</f>
        <v>0</v>
      </c>
      <c r="G270" s="645">
        <v>28</v>
      </c>
      <c r="H270" s="650" t="str">
        <f t="shared" si="101"/>
        <v>NCP XHV</v>
      </c>
      <c r="I270" s="645"/>
      <c r="J270" s="648">
        <f t="shared" si="102"/>
        <v>0</v>
      </c>
      <c r="K270" s="648">
        <f t="shared" si="102"/>
        <v>0</v>
      </c>
      <c r="L270" s="648">
        <f t="shared" si="102"/>
        <v>0</v>
      </c>
      <c r="M270" s="648">
        <f t="shared" si="102"/>
        <v>0</v>
      </c>
      <c r="N270" s="648">
        <f t="shared" si="102"/>
        <v>0</v>
      </c>
      <c r="O270" s="648">
        <f t="shared" si="102"/>
        <v>0</v>
      </c>
      <c r="P270" s="648">
        <f t="shared" si="102"/>
        <v>0</v>
      </c>
      <c r="Q270" s="648">
        <f t="shared" si="102"/>
        <v>0</v>
      </c>
      <c r="R270" s="648">
        <f t="shared" si="102"/>
        <v>0</v>
      </c>
      <c r="S270" s="648">
        <f t="shared" si="102"/>
        <v>0</v>
      </c>
      <c r="T270" s="645"/>
      <c r="U270" s="646">
        <f t="shared" si="103"/>
        <v>0</v>
      </c>
      <c r="W270" s="646">
        <f t="shared" si="98"/>
        <v>0</v>
      </c>
    </row>
    <row r="271" spans="2:23" ht="18" customHeight="1" x14ac:dyDescent="0.2">
      <c r="B271" s="645">
        <f t="shared" si="97"/>
        <v>15</v>
      </c>
      <c r="C271" s="647" t="s">
        <v>47</v>
      </c>
      <c r="D271" s="647" t="s">
        <v>48</v>
      </c>
      <c r="E271" s="645"/>
      <c r="F271" s="646">
        <f>' WP II-I-1.4'!H271</f>
        <v>0</v>
      </c>
      <c r="G271" s="645">
        <v>28</v>
      </c>
      <c r="H271" s="650" t="str">
        <f t="shared" si="101"/>
        <v>NCP XHV</v>
      </c>
      <c r="I271" s="645"/>
      <c r="J271" s="648">
        <f t="shared" si="102"/>
        <v>0</v>
      </c>
      <c r="K271" s="648">
        <f t="shared" si="102"/>
        <v>0</v>
      </c>
      <c r="L271" s="648">
        <f t="shared" si="102"/>
        <v>0</v>
      </c>
      <c r="M271" s="648">
        <f t="shared" si="102"/>
        <v>0</v>
      </c>
      <c r="N271" s="648">
        <f t="shared" si="102"/>
        <v>0</v>
      </c>
      <c r="O271" s="648">
        <f t="shared" si="102"/>
        <v>0</v>
      </c>
      <c r="P271" s="648">
        <f t="shared" si="102"/>
        <v>0</v>
      </c>
      <c r="Q271" s="648">
        <f t="shared" si="102"/>
        <v>0</v>
      </c>
      <c r="R271" s="648">
        <f t="shared" si="102"/>
        <v>0</v>
      </c>
      <c r="S271" s="648">
        <f t="shared" si="102"/>
        <v>0</v>
      </c>
      <c r="T271" s="645"/>
      <c r="U271" s="646">
        <f t="shared" si="103"/>
        <v>0</v>
      </c>
      <c r="W271" s="646">
        <f t="shared" si="98"/>
        <v>0</v>
      </c>
    </row>
    <row r="272" spans="2:23" ht="18" customHeight="1" x14ac:dyDescent="0.2">
      <c r="B272" s="645">
        <f t="shared" si="97"/>
        <v>16</v>
      </c>
      <c r="C272" s="647" t="s">
        <v>49</v>
      </c>
      <c r="D272" s="647" t="s">
        <v>486</v>
      </c>
      <c r="E272" s="645"/>
      <c r="F272" s="646">
        <f>' WP II-I-1.4'!H272</f>
        <v>0</v>
      </c>
      <c r="G272" s="645">
        <v>28</v>
      </c>
      <c r="H272" s="650" t="str">
        <f t="shared" si="101"/>
        <v>NCP XHV</v>
      </c>
      <c r="I272" s="645"/>
      <c r="J272" s="648">
        <f t="shared" si="102"/>
        <v>0</v>
      </c>
      <c r="K272" s="648">
        <f t="shared" si="102"/>
        <v>0</v>
      </c>
      <c r="L272" s="648">
        <f t="shared" si="102"/>
        <v>0</v>
      </c>
      <c r="M272" s="648">
        <f t="shared" si="102"/>
        <v>0</v>
      </c>
      <c r="N272" s="648">
        <f t="shared" si="102"/>
        <v>0</v>
      </c>
      <c r="O272" s="648">
        <f t="shared" si="102"/>
        <v>0</v>
      </c>
      <c r="P272" s="648">
        <f t="shared" si="102"/>
        <v>0</v>
      </c>
      <c r="Q272" s="648">
        <f t="shared" si="102"/>
        <v>0</v>
      </c>
      <c r="R272" s="648">
        <f t="shared" si="102"/>
        <v>0</v>
      </c>
      <c r="S272" s="648">
        <f t="shared" si="102"/>
        <v>0</v>
      </c>
      <c r="T272" s="645"/>
      <c r="U272" s="646">
        <f t="shared" si="103"/>
        <v>0</v>
      </c>
      <c r="W272" s="646">
        <f t="shared" si="98"/>
        <v>0</v>
      </c>
    </row>
    <row r="273" spans="2:23" ht="18" customHeight="1" x14ac:dyDescent="0.2">
      <c r="B273" s="645">
        <f t="shared" si="97"/>
        <v>17</v>
      </c>
      <c r="C273" s="647" t="s">
        <v>51</v>
      </c>
      <c r="D273" s="647" t="s">
        <v>644</v>
      </c>
      <c r="E273" s="645"/>
      <c r="F273" s="646">
        <f>' WP II-I-1.4'!H273</f>
        <v>0</v>
      </c>
      <c r="G273" s="645">
        <v>28</v>
      </c>
      <c r="H273" s="650" t="str">
        <f t="shared" si="101"/>
        <v>NCP XHV</v>
      </c>
      <c r="I273" s="645"/>
      <c r="J273" s="648">
        <f t="shared" si="102"/>
        <v>0</v>
      </c>
      <c r="K273" s="648">
        <f t="shared" si="102"/>
        <v>0</v>
      </c>
      <c r="L273" s="648">
        <f t="shared" si="102"/>
        <v>0</v>
      </c>
      <c r="M273" s="648">
        <f t="shared" si="102"/>
        <v>0</v>
      </c>
      <c r="N273" s="648">
        <f t="shared" si="102"/>
        <v>0</v>
      </c>
      <c r="O273" s="648">
        <f t="shared" si="102"/>
        <v>0</v>
      </c>
      <c r="P273" s="648">
        <f t="shared" si="102"/>
        <v>0</v>
      </c>
      <c r="Q273" s="648">
        <f t="shared" si="102"/>
        <v>0</v>
      </c>
      <c r="R273" s="648">
        <f t="shared" si="102"/>
        <v>0</v>
      </c>
      <c r="S273" s="648">
        <f t="shared" si="102"/>
        <v>0</v>
      </c>
      <c r="T273" s="645"/>
      <c r="U273" s="646">
        <f t="shared" si="103"/>
        <v>0</v>
      </c>
      <c r="W273" s="646">
        <f t="shared" si="98"/>
        <v>0</v>
      </c>
    </row>
    <row r="274" spans="2:23" ht="18" customHeight="1" x14ac:dyDescent="0.2">
      <c r="B274" s="645">
        <f t="shared" si="97"/>
        <v>18</v>
      </c>
      <c r="C274" s="647" t="s">
        <v>53</v>
      </c>
      <c r="D274" s="649" t="s">
        <v>487</v>
      </c>
      <c r="E274" s="645"/>
      <c r="F274" s="646">
        <f>' WP II-I-1.4'!H274</f>
        <v>0</v>
      </c>
      <c r="G274" s="645">
        <v>28</v>
      </c>
      <c r="H274" s="650" t="str">
        <f t="shared" si="101"/>
        <v>NCP XHV</v>
      </c>
      <c r="I274" s="645"/>
      <c r="J274" s="648">
        <f t="shared" si="102"/>
        <v>0</v>
      </c>
      <c r="K274" s="648">
        <f t="shared" si="102"/>
        <v>0</v>
      </c>
      <c r="L274" s="648">
        <f t="shared" si="102"/>
        <v>0</v>
      </c>
      <c r="M274" s="648">
        <f t="shared" si="102"/>
        <v>0</v>
      </c>
      <c r="N274" s="648">
        <f t="shared" si="102"/>
        <v>0</v>
      </c>
      <c r="O274" s="648">
        <f t="shared" si="102"/>
        <v>0</v>
      </c>
      <c r="P274" s="648">
        <f t="shared" si="102"/>
        <v>0</v>
      </c>
      <c r="Q274" s="648">
        <f t="shared" si="102"/>
        <v>0</v>
      </c>
      <c r="R274" s="648">
        <f t="shared" si="102"/>
        <v>0</v>
      </c>
      <c r="S274" s="648">
        <f t="shared" si="102"/>
        <v>0</v>
      </c>
      <c r="T274" s="645"/>
      <c r="U274" s="646">
        <f t="shared" si="103"/>
        <v>0</v>
      </c>
      <c r="W274" s="646">
        <f t="shared" si="98"/>
        <v>0</v>
      </c>
    </row>
    <row r="275" spans="2:23" ht="18" customHeight="1" x14ac:dyDescent="0.2">
      <c r="B275" s="645">
        <f t="shared" si="97"/>
        <v>19</v>
      </c>
      <c r="C275" s="647" t="s">
        <v>55</v>
      </c>
      <c r="D275" s="647" t="s">
        <v>56</v>
      </c>
      <c r="E275" s="645"/>
      <c r="F275" s="646">
        <f>' WP II-I-1.4'!H275</f>
        <v>0</v>
      </c>
      <c r="G275" s="645">
        <v>28</v>
      </c>
      <c r="H275" s="650" t="str">
        <f t="shared" si="101"/>
        <v>NCP XHV</v>
      </c>
      <c r="I275" s="645"/>
      <c r="J275" s="651">
        <f t="shared" si="102"/>
        <v>0</v>
      </c>
      <c r="K275" s="651">
        <f t="shared" si="102"/>
        <v>0</v>
      </c>
      <c r="L275" s="651">
        <f t="shared" si="102"/>
        <v>0</v>
      </c>
      <c r="M275" s="651">
        <f t="shared" si="102"/>
        <v>0</v>
      </c>
      <c r="N275" s="651">
        <f t="shared" si="102"/>
        <v>0</v>
      </c>
      <c r="O275" s="651">
        <f t="shared" si="102"/>
        <v>0</v>
      </c>
      <c r="P275" s="651">
        <f t="shared" si="102"/>
        <v>0</v>
      </c>
      <c r="Q275" s="651">
        <f t="shared" si="102"/>
        <v>0</v>
      </c>
      <c r="R275" s="651">
        <f t="shared" si="102"/>
        <v>0</v>
      </c>
      <c r="S275" s="651">
        <f t="shared" si="102"/>
        <v>0</v>
      </c>
      <c r="T275" s="645"/>
      <c r="U275" s="646">
        <f t="shared" si="103"/>
        <v>0</v>
      </c>
      <c r="W275" s="646">
        <f t="shared" si="98"/>
        <v>0</v>
      </c>
    </row>
    <row r="276" spans="2:23" ht="18" customHeight="1" x14ac:dyDescent="0.25">
      <c r="B276" s="645">
        <f t="shared" si="97"/>
        <v>20</v>
      </c>
      <c r="C276" s="8"/>
      <c r="D276" s="233" t="s">
        <v>444</v>
      </c>
      <c r="E276" s="1571"/>
      <c r="F276" s="805">
        <f>SUM(F263:F275)</f>
        <v>0</v>
      </c>
      <c r="G276" s="1571"/>
      <c r="H276" s="1571"/>
      <c r="I276" s="1571"/>
      <c r="J276" s="805">
        <f t="shared" ref="J276:Q276" ca="1" si="106">SUM(J263:J275)</f>
        <v>0</v>
      </c>
      <c r="K276" s="805">
        <f t="shared" ca="1" si="106"/>
        <v>0</v>
      </c>
      <c r="L276" s="805">
        <f t="shared" ca="1" si="106"/>
        <v>0</v>
      </c>
      <c r="M276" s="805">
        <f t="shared" ca="1" si="106"/>
        <v>0</v>
      </c>
      <c r="N276" s="805">
        <f t="shared" ca="1" si="106"/>
        <v>0</v>
      </c>
      <c r="O276" s="805">
        <f ca="1">SUM(O263:O275)</f>
        <v>0</v>
      </c>
      <c r="P276" s="805">
        <f t="shared" ca="1" si="106"/>
        <v>0</v>
      </c>
      <c r="Q276" s="805">
        <f t="shared" ca="1" si="106"/>
        <v>0</v>
      </c>
      <c r="R276" s="805">
        <f ca="1">SUM(R263:R275)</f>
        <v>0</v>
      </c>
      <c r="S276" s="805">
        <f ca="1">SUM(S263:S275)</f>
        <v>0</v>
      </c>
      <c r="T276" s="1571"/>
      <c r="U276" s="235">
        <f t="shared" ca="1" si="103"/>
        <v>0</v>
      </c>
      <c r="W276" s="646">
        <f t="shared" ca="1" si="98"/>
        <v>0</v>
      </c>
    </row>
    <row r="277" spans="2:23" ht="18" customHeight="1" thickBot="1" x14ac:dyDescent="0.3">
      <c r="B277" s="645"/>
      <c r="C277" s="8"/>
      <c r="D277" s="233"/>
      <c r="E277" s="1571"/>
      <c r="F277" s="805"/>
      <c r="G277" s="1571"/>
      <c r="H277" s="653"/>
      <c r="I277" s="1571"/>
      <c r="J277" s="1571"/>
      <c r="K277" s="1571"/>
      <c r="L277" s="1571"/>
      <c r="M277" s="1571"/>
      <c r="N277" s="1571"/>
      <c r="O277" s="1571"/>
      <c r="P277" s="1571"/>
      <c r="Q277" s="1571"/>
      <c r="R277" s="1571"/>
      <c r="S277" s="1571"/>
      <c r="T277" s="1571"/>
      <c r="U277" s="653"/>
      <c r="V277" s="653">
        <f>$H$2</f>
        <v>0</v>
      </c>
      <c r="W277" s="646"/>
    </row>
    <row r="278" spans="2:23" ht="18" customHeight="1" x14ac:dyDescent="0.25">
      <c r="B278" s="829" t="str">
        <f>+$B$4</f>
        <v>2025 RATE CASE</v>
      </c>
      <c r="C278" s="844"/>
      <c r="D278" s="1586"/>
      <c r="H278" s="653"/>
      <c r="U278" s="653"/>
      <c r="V278" s="653">
        <f>$H$2</f>
        <v>0</v>
      </c>
      <c r="W278" s="646"/>
    </row>
    <row r="279" spans="2:23" ht="18" customHeight="1" x14ac:dyDescent="0.25">
      <c r="B279" s="826" t="str">
        <f>+$B$5</f>
        <v>ONCOR ELECTRIC DELIVERY COMPANY LLC</v>
      </c>
      <c r="C279" s="8"/>
      <c r="D279" s="1587"/>
      <c r="U279" s="653"/>
      <c r="W279" s="646">
        <f t="shared" si="98"/>
        <v>0</v>
      </c>
    </row>
    <row r="280" spans="2:23" ht="18" customHeight="1" x14ac:dyDescent="0.25">
      <c r="B280" s="826" t="str">
        <f>+$B$6</f>
        <v>II-I-1-MET:  CLASS REVENUE REQUIREMENT</v>
      </c>
      <c r="C280" s="82"/>
      <c r="D280" s="1587"/>
      <c r="F280" s="571"/>
      <c r="U280" s="571"/>
      <c r="W280" s="646">
        <f t="shared" si="98"/>
        <v>0</v>
      </c>
    </row>
    <row r="281" spans="2:23" ht="18" customHeight="1" x14ac:dyDescent="0.25">
      <c r="B281" s="341" t="str">
        <f>+$B$7</f>
        <v>TEST YEAR ENDING 12/31/2024</v>
      </c>
      <c r="C281" s="82"/>
      <c r="D281" s="1587"/>
      <c r="F281" s="571"/>
      <c r="U281" s="571"/>
      <c r="W281" s="646">
        <f t="shared" si="98"/>
        <v>0</v>
      </c>
    </row>
    <row r="282" spans="2:23" ht="18" customHeight="1" x14ac:dyDescent="0.25">
      <c r="B282" s="341" t="str">
        <f>+$B$8</f>
        <v>SPONSOR:  MATTHEW A. TROXLE</v>
      </c>
      <c r="C282" s="82"/>
      <c r="D282" s="1587"/>
      <c r="F282" s="571"/>
      <c r="U282" s="571"/>
      <c r="W282" s="646">
        <f t="shared" si="98"/>
        <v>0</v>
      </c>
    </row>
    <row r="283" spans="2:23" ht="9" customHeight="1" thickBot="1" x14ac:dyDescent="0.3">
      <c r="B283" s="345"/>
      <c r="C283" s="843"/>
      <c r="D283" s="1588"/>
      <c r="F283" s="571"/>
      <c r="U283" s="571"/>
      <c r="W283" s="646">
        <f t="shared" si="98"/>
        <v>0</v>
      </c>
    </row>
    <row r="284" spans="2:23" ht="6.95" customHeight="1" thickBot="1" x14ac:dyDescent="0.25">
      <c r="B284" s="655"/>
      <c r="C284" s="656"/>
      <c r="D284" s="656"/>
      <c r="E284" s="656"/>
      <c r="F284" s="655"/>
      <c r="G284" s="656"/>
      <c r="H284" s="656"/>
      <c r="I284" s="656"/>
      <c r="J284" s="657"/>
      <c r="K284" s="657"/>
      <c r="L284" s="656"/>
      <c r="M284" s="657"/>
      <c r="N284" s="657"/>
      <c r="O284" s="657"/>
      <c r="P284" s="657"/>
      <c r="Q284" s="656"/>
      <c r="R284" s="658" t="str">
        <f>R$10</f>
        <v xml:space="preserve"> </v>
      </c>
      <c r="S284" s="659"/>
      <c r="T284" s="657"/>
      <c r="U284" s="655"/>
      <c r="W284" s="646">
        <f t="shared" si="98"/>
        <v>0</v>
      </c>
    </row>
    <row r="285" spans="2:23" ht="18" customHeight="1" x14ac:dyDescent="0.25">
      <c r="B285" s="660" t="s">
        <v>2</v>
      </c>
      <c r="C285" s="660" t="s">
        <v>349</v>
      </c>
      <c r="D285" s="226" t="s">
        <v>525</v>
      </c>
      <c r="E285" s="660" t="s">
        <v>350</v>
      </c>
      <c r="F285" s="226" t="str">
        <f>F$11</f>
        <v>MET</v>
      </c>
      <c r="G285" s="661" t="s">
        <v>688</v>
      </c>
      <c r="H285" s="661" t="s">
        <v>355</v>
      </c>
      <c r="I285" s="660"/>
      <c r="J285" s="661" t="s">
        <v>679</v>
      </c>
      <c r="K285" s="661" t="s">
        <v>388</v>
      </c>
      <c r="L285" s="660" t="s">
        <v>388</v>
      </c>
      <c r="M285" s="661" t="s">
        <v>389</v>
      </c>
      <c r="N285" s="661" t="s">
        <v>389</v>
      </c>
      <c r="O285" s="661" t="s">
        <v>389</v>
      </c>
      <c r="P285" s="661" t="s">
        <v>390</v>
      </c>
      <c r="Q285" s="660" t="s">
        <v>391</v>
      </c>
      <c r="R285" s="662" t="str">
        <f>R$11</f>
        <v>Wholesale</v>
      </c>
      <c r="S285" s="655" t="str">
        <f>S$11</f>
        <v>Wholesale</v>
      </c>
      <c r="T285" s="661"/>
      <c r="U285" s="660" t="s">
        <v>10</v>
      </c>
      <c r="W285" s="646"/>
    </row>
    <row r="286" spans="2:23" ht="14.1" customHeight="1" x14ac:dyDescent="0.2">
      <c r="B286" s="660"/>
      <c r="C286" s="660"/>
      <c r="D286" s="660"/>
      <c r="E286" s="660"/>
      <c r="F286" s="660"/>
      <c r="G286" s="661" t="s">
        <v>689</v>
      </c>
      <c r="H286" s="661" t="s">
        <v>690</v>
      </c>
      <c r="I286" s="660"/>
      <c r="J286" s="661"/>
      <c r="K286" s="661" t="s">
        <v>680</v>
      </c>
      <c r="L286" s="660" t="s">
        <v>681</v>
      </c>
      <c r="M286" s="661" t="s">
        <v>680</v>
      </c>
      <c r="N286" s="661" t="s">
        <v>681</v>
      </c>
      <c r="O286" s="661" t="s">
        <v>393</v>
      </c>
      <c r="P286" s="661"/>
      <c r="Q286" s="660"/>
      <c r="R286" s="663" t="str">
        <f>R$12</f>
        <v>XFMR</v>
      </c>
      <c r="S286" s="660" t="str">
        <f>S$12</f>
        <v>DLS</v>
      </c>
      <c r="T286" s="661"/>
      <c r="U286" s="660"/>
      <c r="W286" s="646">
        <f t="shared" si="98"/>
        <v>0</v>
      </c>
    </row>
    <row r="287" spans="2:23" ht="18" customHeight="1" thickBot="1" x14ac:dyDescent="0.25">
      <c r="B287" s="664"/>
      <c r="C287" s="664"/>
      <c r="D287" s="664"/>
      <c r="E287" s="664"/>
      <c r="F287" s="664" t="s">
        <v>13</v>
      </c>
      <c r="G287" s="664" t="s">
        <v>14</v>
      </c>
      <c r="H287" s="664" t="s">
        <v>15</v>
      </c>
      <c r="I287" s="664"/>
      <c r="J287" s="665" t="str">
        <f t="shared" ref="J287:Q287" si="107">J$13</f>
        <v>(d)</v>
      </c>
      <c r="K287" s="665" t="str">
        <f t="shared" si="107"/>
        <v>(e)</v>
      </c>
      <c r="L287" s="664" t="str">
        <f t="shared" si="107"/>
        <v>(f)</v>
      </c>
      <c r="M287" s="665" t="str">
        <f t="shared" si="107"/>
        <v>(g)</v>
      </c>
      <c r="N287" s="665" t="str">
        <f t="shared" si="107"/>
        <v>(h)</v>
      </c>
      <c r="O287" s="665" t="str">
        <f>O$13</f>
        <v>(i)</v>
      </c>
      <c r="P287" s="665" t="str">
        <f t="shared" si="107"/>
        <v>(j)</v>
      </c>
      <c r="Q287" s="665" t="str">
        <f t="shared" si="107"/>
        <v>(k)</v>
      </c>
      <c r="R287" s="665" t="str">
        <f>R$13</f>
        <v>(l)</v>
      </c>
      <c r="S287" s="664" t="str">
        <f>S$13</f>
        <v>(m)</v>
      </c>
      <c r="T287" s="664"/>
      <c r="U287" s="664" t="s">
        <v>683</v>
      </c>
      <c r="W287" s="646"/>
    </row>
    <row r="288" spans="2:23" ht="8.4499999999999993" customHeight="1" x14ac:dyDescent="0.2">
      <c r="D288" s="672"/>
      <c r="E288" s="672"/>
      <c r="F288" s="1589"/>
      <c r="G288" s="672"/>
      <c r="H288" s="672"/>
      <c r="I288" s="672"/>
      <c r="J288" s="672"/>
      <c r="K288" s="672"/>
      <c r="L288" s="672"/>
      <c r="M288" s="672"/>
      <c r="N288" s="672"/>
      <c r="O288" s="672"/>
      <c r="P288" s="672"/>
      <c r="Q288" s="672"/>
      <c r="R288" s="672"/>
      <c r="S288" s="672"/>
      <c r="T288" s="672"/>
      <c r="U288" s="672"/>
      <c r="W288" s="646">
        <f t="shared" si="98"/>
        <v>0</v>
      </c>
    </row>
    <row r="289" spans="2:23" ht="20.45" customHeight="1" x14ac:dyDescent="0.25">
      <c r="B289" s="645">
        <v>1</v>
      </c>
      <c r="C289" s="8" t="s">
        <v>525</v>
      </c>
      <c r="D289" s="8"/>
      <c r="E289" s="1571" t="s">
        <v>24</v>
      </c>
      <c r="F289" s="805"/>
      <c r="G289" s="1571"/>
      <c r="H289" s="1571"/>
      <c r="I289" s="1571"/>
      <c r="J289" s="1571"/>
      <c r="K289" s="1571"/>
      <c r="L289" s="1571"/>
      <c r="M289" s="1571"/>
      <c r="N289" s="1571"/>
      <c r="O289" s="1571"/>
      <c r="P289" s="1571"/>
      <c r="Q289" s="1571"/>
      <c r="R289" s="1571"/>
      <c r="S289" s="1571"/>
      <c r="T289" s="1571"/>
      <c r="U289" s="8"/>
      <c r="W289" s="646">
        <f t="shared" si="98"/>
        <v>0</v>
      </c>
    </row>
    <row r="290" spans="2:23" ht="15" customHeight="1" x14ac:dyDescent="0.2">
      <c r="B290" s="645">
        <f t="shared" ref="B290:B327" si="108">B289+1</f>
        <v>2</v>
      </c>
      <c r="C290" s="647" t="s">
        <v>59</v>
      </c>
      <c r="D290" s="647" t="s">
        <v>40</v>
      </c>
      <c r="E290" s="645"/>
      <c r="F290" s="646">
        <f>' WP II-I-1.4'!H290</f>
        <v>0</v>
      </c>
      <c r="G290" s="645">
        <v>54</v>
      </c>
      <c r="H290" s="650" t="str">
        <f t="shared" ref="H290:H311" si="109">VLOOKUP(G290,FactorTable,2)</f>
        <v>PLT 362-373</v>
      </c>
      <c r="I290" s="645"/>
      <c r="J290" s="648">
        <f t="shared" ref="J290:S299" ca="1" si="110">$F290*HLOOKUP(J$1354,FactorTable,$G290+1)</f>
        <v>0</v>
      </c>
      <c r="K290" s="648">
        <f t="shared" ca="1" si="110"/>
        <v>0</v>
      </c>
      <c r="L290" s="648">
        <f t="shared" ca="1" si="110"/>
        <v>0</v>
      </c>
      <c r="M290" s="648">
        <f t="shared" ca="1" si="110"/>
        <v>0</v>
      </c>
      <c r="N290" s="648">
        <f t="shared" ca="1" si="110"/>
        <v>0</v>
      </c>
      <c r="O290" s="648">
        <f t="shared" ca="1" si="110"/>
        <v>0</v>
      </c>
      <c r="P290" s="648">
        <f t="shared" ca="1" si="110"/>
        <v>0</v>
      </c>
      <c r="Q290" s="648">
        <f t="shared" ca="1" si="110"/>
        <v>0</v>
      </c>
      <c r="R290" s="648">
        <f t="shared" ca="1" si="110"/>
        <v>0</v>
      </c>
      <c r="S290" s="648">
        <f t="shared" ca="1" si="110"/>
        <v>0</v>
      </c>
      <c r="T290" s="645"/>
      <c r="U290" s="646">
        <f t="shared" ref="U290:U312" ca="1" si="111">SUM(I290:T290)</f>
        <v>0</v>
      </c>
      <c r="W290" s="646">
        <f t="shared" ca="1" si="98"/>
        <v>0</v>
      </c>
    </row>
    <row r="291" spans="2:23" ht="18" customHeight="1" x14ac:dyDescent="0.2">
      <c r="B291" s="645">
        <f t="shared" si="108"/>
        <v>3</v>
      </c>
      <c r="C291" s="647" t="s">
        <v>60</v>
      </c>
      <c r="D291" s="649" t="s">
        <v>42</v>
      </c>
      <c r="E291" s="645"/>
      <c r="F291" s="646">
        <f>' WP II-I-1.4'!H291</f>
        <v>0</v>
      </c>
      <c r="G291" s="645">
        <v>54</v>
      </c>
      <c r="H291" s="650" t="str">
        <f t="shared" si="109"/>
        <v>PLT 362-373</v>
      </c>
      <c r="I291" s="645"/>
      <c r="J291" s="648">
        <f t="shared" ca="1" si="110"/>
        <v>0</v>
      </c>
      <c r="K291" s="648">
        <f t="shared" ca="1" si="110"/>
        <v>0</v>
      </c>
      <c r="L291" s="648">
        <f t="shared" ca="1" si="110"/>
        <v>0</v>
      </c>
      <c r="M291" s="648">
        <f t="shared" ca="1" si="110"/>
        <v>0</v>
      </c>
      <c r="N291" s="648">
        <f t="shared" ca="1" si="110"/>
        <v>0</v>
      </c>
      <c r="O291" s="648">
        <f t="shared" ca="1" si="110"/>
        <v>0</v>
      </c>
      <c r="P291" s="648">
        <f t="shared" ca="1" si="110"/>
        <v>0</v>
      </c>
      <c r="Q291" s="648">
        <f t="shared" ca="1" si="110"/>
        <v>0</v>
      </c>
      <c r="R291" s="648">
        <f t="shared" ca="1" si="110"/>
        <v>0</v>
      </c>
      <c r="S291" s="648">
        <f t="shared" ca="1" si="110"/>
        <v>0</v>
      </c>
      <c r="T291" s="645"/>
      <c r="U291" s="646">
        <f t="shared" ca="1" si="111"/>
        <v>0</v>
      </c>
      <c r="W291" s="646">
        <f t="shared" ca="1" si="98"/>
        <v>0</v>
      </c>
    </row>
    <row r="292" spans="2:23" ht="14.1" customHeight="1" x14ac:dyDescent="0.2">
      <c r="B292" s="645">
        <f t="shared" si="108"/>
        <v>4</v>
      </c>
      <c r="C292" s="647" t="s">
        <v>61</v>
      </c>
      <c r="D292" s="647" t="s">
        <v>44</v>
      </c>
      <c r="E292" s="645"/>
      <c r="F292" s="646">
        <f>' WP II-I-1.4'!H292</f>
        <v>0</v>
      </c>
      <c r="G292" s="645">
        <v>28</v>
      </c>
      <c r="H292" s="650" t="str">
        <f t="shared" si="109"/>
        <v>NCP XHV</v>
      </c>
      <c r="I292" s="645"/>
      <c r="J292" s="648">
        <f t="shared" si="110"/>
        <v>0</v>
      </c>
      <c r="K292" s="648">
        <f t="shared" si="110"/>
        <v>0</v>
      </c>
      <c r="L292" s="648">
        <f t="shared" si="110"/>
        <v>0</v>
      </c>
      <c r="M292" s="648">
        <f t="shared" si="110"/>
        <v>0</v>
      </c>
      <c r="N292" s="648">
        <f t="shared" si="110"/>
        <v>0</v>
      </c>
      <c r="O292" s="648">
        <f t="shared" si="110"/>
        <v>0</v>
      </c>
      <c r="P292" s="648">
        <f t="shared" si="110"/>
        <v>0</v>
      </c>
      <c r="Q292" s="648">
        <f t="shared" si="110"/>
        <v>0</v>
      </c>
      <c r="R292" s="648">
        <f t="shared" si="110"/>
        <v>0</v>
      </c>
      <c r="S292" s="648">
        <f t="shared" si="110"/>
        <v>0</v>
      </c>
      <c r="T292" s="645"/>
      <c r="U292" s="646">
        <f t="shared" si="111"/>
        <v>0</v>
      </c>
      <c r="W292" s="646">
        <f t="shared" si="98"/>
        <v>0</v>
      </c>
    </row>
    <row r="293" spans="2:23" ht="18" customHeight="1" x14ac:dyDescent="0.2">
      <c r="B293" s="645">
        <f t="shared" si="108"/>
        <v>5</v>
      </c>
      <c r="C293" s="647" t="s">
        <v>1234</v>
      </c>
      <c r="D293" s="647" t="s">
        <v>1230</v>
      </c>
      <c r="E293" s="645"/>
      <c r="F293" s="668">
        <f>' WP II-I-1.4'!H293</f>
        <v>0</v>
      </c>
      <c r="G293" s="645">
        <v>58</v>
      </c>
      <c r="H293" s="650" t="str">
        <f t="shared" ref="H293:H294" si="112">VLOOKUP(G293,FactorTable,2)</f>
        <v>PLTDIST_N</v>
      </c>
      <c r="I293" s="645"/>
      <c r="J293" s="648">
        <f t="shared" ca="1" si="110"/>
        <v>0</v>
      </c>
      <c r="K293" s="648">
        <f t="shared" ca="1" si="110"/>
        <v>0</v>
      </c>
      <c r="L293" s="648">
        <f t="shared" ca="1" si="110"/>
        <v>0</v>
      </c>
      <c r="M293" s="648">
        <f t="shared" ca="1" si="110"/>
        <v>0</v>
      </c>
      <c r="N293" s="648">
        <f t="shared" ca="1" si="110"/>
        <v>0</v>
      </c>
      <c r="O293" s="648">
        <f t="shared" ca="1" si="110"/>
        <v>0</v>
      </c>
      <c r="P293" s="648">
        <f t="shared" ca="1" si="110"/>
        <v>0</v>
      </c>
      <c r="Q293" s="648">
        <f t="shared" ca="1" si="110"/>
        <v>0</v>
      </c>
      <c r="R293" s="648">
        <f t="shared" ca="1" si="110"/>
        <v>0</v>
      </c>
      <c r="S293" s="648">
        <f t="shared" ca="1" si="110"/>
        <v>0</v>
      </c>
      <c r="T293" s="645"/>
      <c r="U293" s="646">
        <f t="shared" ref="U293:U294" ca="1" si="113">SUM(I293:T293)</f>
        <v>0</v>
      </c>
      <c r="W293" s="646"/>
    </row>
    <row r="294" spans="2:23" ht="18" customHeight="1" x14ac:dyDescent="0.2">
      <c r="B294" s="645">
        <f t="shared" si="108"/>
        <v>6</v>
      </c>
      <c r="C294" s="647" t="s">
        <v>1235</v>
      </c>
      <c r="D294" s="647" t="s">
        <v>1232</v>
      </c>
      <c r="E294" s="645"/>
      <c r="F294" s="668">
        <f>' WP II-I-1.4'!H294</f>
        <v>89519192.670000002</v>
      </c>
      <c r="G294" s="645">
        <v>58</v>
      </c>
      <c r="H294" s="650" t="str">
        <f t="shared" si="112"/>
        <v>PLTDIST_N</v>
      </c>
      <c r="I294" s="645"/>
      <c r="J294" s="648">
        <f t="shared" ca="1" si="110"/>
        <v>46732910.285901129</v>
      </c>
      <c r="K294" s="648">
        <f t="shared" ca="1" si="110"/>
        <v>6555930.038079516</v>
      </c>
      <c r="L294" s="648">
        <f t="shared" ca="1" si="110"/>
        <v>25782344.728970338</v>
      </c>
      <c r="M294" s="648">
        <f t="shared" ca="1" si="110"/>
        <v>1085747.4908626063</v>
      </c>
      <c r="N294" s="648">
        <f t="shared" ca="1" si="110"/>
        <v>8360828.8452479271</v>
      </c>
      <c r="O294" s="648">
        <f t="shared" ca="1" si="110"/>
        <v>274337.17502958834</v>
      </c>
      <c r="P294" s="648">
        <f t="shared" ca="1" si="110"/>
        <v>572237.0522089575</v>
      </c>
      <c r="Q294" s="648">
        <f t="shared" ca="1" si="110"/>
        <v>47654.22164478476</v>
      </c>
      <c r="R294" s="648">
        <f t="shared" ca="1" si="110"/>
        <v>30294.902764003633</v>
      </c>
      <c r="S294" s="648">
        <f t="shared" ca="1" si="110"/>
        <v>76907.929291147317</v>
      </c>
      <c r="T294" s="645"/>
      <c r="U294" s="646">
        <f t="shared" ca="1" si="113"/>
        <v>89519192.670000002</v>
      </c>
      <c r="W294" s="646"/>
    </row>
    <row r="295" spans="2:23" ht="18" customHeight="1" x14ac:dyDescent="0.2">
      <c r="B295" s="645">
        <f t="shared" si="108"/>
        <v>7</v>
      </c>
      <c r="C295" s="647" t="s">
        <v>1236</v>
      </c>
      <c r="D295" s="647" t="s">
        <v>1241</v>
      </c>
      <c r="E295" s="645"/>
      <c r="F295" s="668">
        <f>' WP II-I-1.4'!H295</f>
        <v>39392672.700000003</v>
      </c>
      <c r="G295" s="645">
        <v>58</v>
      </c>
      <c r="H295" s="650" t="str">
        <f t="shared" si="109"/>
        <v>PLTDIST_N</v>
      </c>
      <c r="I295" s="645"/>
      <c r="J295" s="648">
        <f t="shared" ca="1" si="110"/>
        <v>20564687.686553583</v>
      </c>
      <c r="K295" s="648">
        <f t="shared" ca="1" si="110"/>
        <v>2884918.8484774227</v>
      </c>
      <c r="L295" s="648">
        <f t="shared" ca="1" si="110"/>
        <v>11345449.361802191</v>
      </c>
      <c r="M295" s="648">
        <f t="shared" ca="1" si="110"/>
        <v>477780.17502977658</v>
      </c>
      <c r="N295" s="648">
        <f t="shared" ca="1" si="110"/>
        <v>3679159.5676660445</v>
      </c>
      <c r="O295" s="648">
        <f t="shared" ca="1" si="110"/>
        <v>120721.31375470756</v>
      </c>
      <c r="P295" s="648">
        <f t="shared" ca="1" si="110"/>
        <v>251811.32930429809</v>
      </c>
      <c r="Q295" s="648">
        <f t="shared" ca="1" si="110"/>
        <v>20970.108197315829</v>
      </c>
      <c r="R295" s="648">
        <f t="shared" ca="1" si="110"/>
        <v>13331.188021992251</v>
      </c>
      <c r="S295" s="648">
        <f t="shared" ca="1" si="110"/>
        <v>33843.12119267138</v>
      </c>
      <c r="T295" s="645"/>
      <c r="U295" s="646">
        <f t="shared" ca="1" si="111"/>
        <v>39392672.70000001</v>
      </c>
      <c r="W295" s="646">
        <f t="shared" ca="1" si="98"/>
        <v>0</v>
      </c>
    </row>
    <row r="296" spans="2:23" ht="18" customHeight="1" x14ac:dyDescent="0.2">
      <c r="B296" s="645">
        <f t="shared" si="108"/>
        <v>8</v>
      </c>
      <c r="C296" s="647" t="s">
        <v>359</v>
      </c>
      <c r="D296" s="649" t="s">
        <v>489</v>
      </c>
      <c r="E296" s="645"/>
      <c r="F296" s="646">
        <f>' WP II-I-1.4'!H296</f>
        <v>0</v>
      </c>
      <c r="G296" s="645">
        <v>30</v>
      </c>
      <c r="H296" s="650" t="str">
        <f t="shared" si="109"/>
        <v>NCP XSS</v>
      </c>
      <c r="I296" s="645"/>
      <c r="J296" s="648">
        <f t="shared" si="110"/>
        <v>0</v>
      </c>
      <c r="K296" s="648">
        <f t="shared" si="110"/>
        <v>0</v>
      </c>
      <c r="L296" s="648">
        <f t="shared" si="110"/>
        <v>0</v>
      </c>
      <c r="M296" s="648">
        <f t="shared" si="110"/>
        <v>0</v>
      </c>
      <c r="N296" s="648">
        <f t="shared" si="110"/>
        <v>0</v>
      </c>
      <c r="O296" s="648">
        <f t="shared" si="110"/>
        <v>0</v>
      </c>
      <c r="P296" s="648">
        <f t="shared" si="110"/>
        <v>0</v>
      </c>
      <c r="Q296" s="648">
        <f t="shared" si="110"/>
        <v>0</v>
      </c>
      <c r="R296" s="648">
        <f t="shared" si="110"/>
        <v>0</v>
      </c>
      <c r="S296" s="648">
        <f t="shared" si="110"/>
        <v>0</v>
      </c>
      <c r="T296" s="645"/>
      <c r="U296" s="646">
        <f t="shared" si="111"/>
        <v>0</v>
      </c>
      <c r="W296" s="646">
        <f t="shared" si="98"/>
        <v>0</v>
      </c>
    </row>
    <row r="297" spans="2:23" ht="18" customHeight="1" x14ac:dyDescent="0.2">
      <c r="B297" s="645">
        <f t="shared" si="108"/>
        <v>9</v>
      </c>
      <c r="C297" s="647" t="s">
        <v>361</v>
      </c>
      <c r="D297" s="649" t="s">
        <v>490</v>
      </c>
      <c r="E297" s="645"/>
      <c r="F297" s="646">
        <f>' WP II-I-1.4'!H297</f>
        <v>0</v>
      </c>
      <c r="G297" s="645">
        <v>32</v>
      </c>
      <c r="H297" s="650" t="str">
        <f t="shared" si="109"/>
        <v>NCP SEC</v>
      </c>
      <c r="I297" s="645"/>
      <c r="J297" s="648">
        <f t="shared" si="110"/>
        <v>0</v>
      </c>
      <c r="K297" s="648">
        <f t="shared" si="110"/>
        <v>0</v>
      </c>
      <c r="L297" s="648">
        <f t="shared" si="110"/>
        <v>0</v>
      </c>
      <c r="M297" s="648">
        <f t="shared" si="110"/>
        <v>0</v>
      </c>
      <c r="N297" s="648">
        <f t="shared" si="110"/>
        <v>0</v>
      </c>
      <c r="O297" s="648">
        <f t="shared" si="110"/>
        <v>0</v>
      </c>
      <c r="P297" s="648">
        <f t="shared" si="110"/>
        <v>0</v>
      </c>
      <c r="Q297" s="648">
        <f t="shared" si="110"/>
        <v>0</v>
      </c>
      <c r="R297" s="648">
        <f t="shared" si="110"/>
        <v>0</v>
      </c>
      <c r="S297" s="648">
        <f t="shared" si="110"/>
        <v>0</v>
      </c>
      <c r="T297" s="645"/>
      <c r="U297" s="646">
        <f t="shared" si="111"/>
        <v>0</v>
      </c>
      <c r="W297" s="646">
        <f t="shared" si="98"/>
        <v>0</v>
      </c>
    </row>
    <row r="298" spans="2:23" ht="18" customHeight="1" x14ac:dyDescent="0.2">
      <c r="B298" s="645">
        <f t="shared" si="108"/>
        <v>10</v>
      </c>
      <c r="C298" s="647" t="s">
        <v>364</v>
      </c>
      <c r="D298" s="647" t="s">
        <v>491</v>
      </c>
      <c r="E298" s="645"/>
      <c r="F298" s="646">
        <f>' WP II-I-1.4'!H298</f>
        <v>0</v>
      </c>
      <c r="G298" s="645">
        <v>30</v>
      </c>
      <c r="H298" s="650" t="str">
        <f t="shared" si="109"/>
        <v>NCP XSS</v>
      </c>
      <c r="I298" s="645"/>
      <c r="J298" s="648">
        <f t="shared" si="110"/>
        <v>0</v>
      </c>
      <c r="K298" s="648">
        <f t="shared" si="110"/>
        <v>0</v>
      </c>
      <c r="L298" s="648">
        <f t="shared" si="110"/>
        <v>0</v>
      </c>
      <c r="M298" s="648">
        <f t="shared" si="110"/>
        <v>0</v>
      </c>
      <c r="N298" s="648">
        <f t="shared" si="110"/>
        <v>0</v>
      </c>
      <c r="O298" s="648">
        <f t="shared" si="110"/>
        <v>0</v>
      </c>
      <c r="P298" s="648">
        <f t="shared" si="110"/>
        <v>0</v>
      </c>
      <c r="Q298" s="648">
        <f t="shared" si="110"/>
        <v>0</v>
      </c>
      <c r="R298" s="648">
        <f t="shared" si="110"/>
        <v>0</v>
      </c>
      <c r="S298" s="648">
        <f t="shared" si="110"/>
        <v>0</v>
      </c>
      <c r="T298" s="645"/>
      <c r="U298" s="646">
        <f t="shared" si="111"/>
        <v>0</v>
      </c>
      <c r="W298" s="646">
        <f t="shared" si="98"/>
        <v>0</v>
      </c>
    </row>
    <row r="299" spans="2:23" ht="18" customHeight="1" x14ac:dyDescent="0.2">
      <c r="B299" s="645">
        <f t="shared" si="108"/>
        <v>11</v>
      </c>
      <c r="C299" s="647" t="s">
        <v>366</v>
      </c>
      <c r="D299" s="647" t="s">
        <v>492</v>
      </c>
      <c r="E299" s="645"/>
      <c r="F299" s="646">
        <f>' WP II-I-1.4'!H299</f>
        <v>0</v>
      </c>
      <c r="G299" s="645">
        <v>32</v>
      </c>
      <c r="H299" s="650" t="str">
        <f t="shared" si="109"/>
        <v>NCP SEC</v>
      </c>
      <c r="I299" s="645"/>
      <c r="J299" s="648">
        <f t="shared" si="110"/>
        <v>0</v>
      </c>
      <c r="K299" s="648">
        <f t="shared" si="110"/>
        <v>0</v>
      </c>
      <c r="L299" s="648">
        <f t="shared" si="110"/>
        <v>0</v>
      </c>
      <c r="M299" s="648">
        <f t="shared" si="110"/>
        <v>0</v>
      </c>
      <c r="N299" s="648">
        <f t="shared" si="110"/>
        <v>0</v>
      </c>
      <c r="O299" s="648">
        <f t="shared" si="110"/>
        <v>0</v>
      </c>
      <c r="P299" s="648">
        <f t="shared" si="110"/>
        <v>0</v>
      </c>
      <c r="Q299" s="648">
        <f t="shared" si="110"/>
        <v>0</v>
      </c>
      <c r="R299" s="648">
        <f t="shared" si="110"/>
        <v>0</v>
      </c>
      <c r="S299" s="648">
        <f t="shared" si="110"/>
        <v>0</v>
      </c>
      <c r="T299" s="645"/>
      <c r="U299" s="646">
        <f t="shared" si="111"/>
        <v>0</v>
      </c>
      <c r="W299" s="646">
        <f t="shared" si="98"/>
        <v>0</v>
      </c>
    </row>
    <row r="300" spans="2:23" ht="18" customHeight="1" x14ac:dyDescent="0.2">
      <c r="B300" s="645">
        <f t="shared" si="108"/>
        <v>12</v>
      </c>
      <c r="C300" s="647" t="s">
        <v>369</v>
      </c>
      <c r="D300" s="647" t="s">
        <v>370</v>
      </c>
      <c r="E300" s="645"/>
      <c r="F300" s="646">
        <f>' WP II-I-1.4'!H300</f>
        <v>0</v>
      </c>
      <c r="G300" s="645">
        <v>30</v>
      </c>
      <c r="H300" s="650" t="str">
        <f t="shared" si="109"/>
        <v>NCP XSS</v>
      </c>
      <c r="I300" s="645"/>
      <c r="J300" s="648">
        <f t="shared" ref="J300:S311" si="114">$F300*HLOOKUP(J$1354,FactorTable,$G300+1)</f>
        <v>0</v>
      </c>
      <c r="K300" s="648">
        <f t="shared" si="114"/>
        <v>0</v>
      </c>
      <c r="L300" s="648">
        <f t="shared" si="114"/>
        <v>0</v>
      </c>
      <c r="M300" s="648">
        <f t="shared" si="114"/>
        <v>0</v>
      </c>
      <c r="N300" s="648">
        <f t="shared" si="114"/>
        <v>0</v>
      </c>
      <c r="O300" s="648">
        <f t="shared" si="114"/>
        <v>0</v>
      </c>
      <c r="P300" s="648">
        <f t="shared" si="114"/>
        <v>0</v>
      </c>
      <c r="Q300" s="648">
        <f t="shared" si="114"/>
        <v>0</v>
      </c>
      <c r="R300" s="648">
        <f t="shared" si="114"/>
        <v>0</v>
      </c>
      <c r="S300" s="648">
        <f t="shared" si="114"/>
        <v>0</v>
      </c>
      <c r="T300" s="645"/>
      <c r="U300" s="646">
        <f t="shared" si="111"/>
        <v>0</v>
      </c>
      <c r="W300" s="646">
        <f t="shared" si="98"/>
        <v>0</v>
      </c>
    </row>
    <row r="301" spans="2:23" ht="18" customHeight="1" x14ac:dyDescent="0.2">
      <c r="B301" s="645">
        <f t="shared" si="108"/>
        <v>13</v>
      </c>
      <c r="C301" s="647" t="s">
        <v>371</v>
      </c>
      <c r="D301" s="647" t="s">
        <v>372</v>
      </c>
      <c r="E301" s="645"/>
      <c r="F301" s="646">
        <f>' WP II-I-1.4'!H301</f>
        <v>0</v>
      </c>
      <c r="G301" s="645">
        <v>32</v>
      </c>
      <c r="H301" s="650" t="str">
        <f t="shared" si="109"/>
        <v>NCP SEC</v>
      </c>
      <c r="I301" s="645"/>
      <c r="J301" s="648">
        <f t="shared" si="114"/>
        <v>0</v>
      </c>
      <c r="K301" s="648">
        <f t="shared" si="114"/>
        <v>0</v>
      </c>
      <c r="L301" s="648">
        <f t="shared" si="114"/>
        <v>0</v>
      </c>
      <c r="M301" s="648">
        <f t="shared" si="114"/>
        <v>0</v>
      </c>
      <c r="N301" s="648">
        <f t="shared" si="114"/>
        <v>0</v>
      </c>
      <c r="O301" s="648">
        <f t="shared" si="114"/>
        <v>0</v>
      </c>
      <c r="P301" s="648">
        <f t="shared" si="114"/>
        <v>0</v>
      </c>
      <c r="Q301" s="648">
        <f t="shared" si="114"/>
        <v>0</v>
      </c>
      <c r="R301" s="648">
        <f t="shared" si="114"/>
        <v>0</v>
      </c>
      <c r="S301" s="648">
        <f t="shared" si="114"/>
        <v>0</v>
      </c>
      <c r="T301" s="645"/>
      <c r="U301" s="646">
        <f t="shared" si="111"/>
        <v>0</v>
      </c>
      <c r="W301" s="646">
        <f t="shared" si="98"/>
        <v>0</v>
      </c>
    </row>
    <row r="302" spans="2:23" ht="18" customHeight="1" x14ac:dyDescent="0.2">
      <c r="B302" s="645">
        <f t="shared" si="108"/>
        <v>14</v>
      </c>
      <c r="C302" s="647" t="s">
        <v>374</v>
      </c>
      <c r="D302" s="649" t="s">
        <v>493</v>
      </c>
      <c r="E302" s="1590"/>
      <c r="F302" s="646">
        <f>' WP II-I-1.4'!H302</f>
        <v>0</v>
      </c>
      <c r="G302" s="645">
        <v>30</v>
      </c>
      <c r="H302" s="650" t="str">
        <f t="shared" si="109"/>
        <v>NCP XSS</v>
      </c>
      <c r="I302" s="1590"/>
      <c r="J302" s="648">
        <f t="shared" si="114"/>
        <v>0</v>
      </c>
      <c r="K302" s="648">
        <f t="shared" si="114"/>
        <v>0</v>
      </c>
      <c r="L302" s="648">
        <f t="shared" si="114"/>
        <v>0</v>
      </c>
      <c r="M302" s="648">
        <f t="shared" si="114"/>
        <v>0</v>
      </c>
      <c r="N302" s="648">
        <f t="shared" si="114"/>
        <v>0</v>
      </c>
      <c r="O302" s="648">
        <f t="shared" si="114"/>
        <v>0</v>
      </c>
      <c r="P302" s="648">
        <f t="shared" si="114"/>
        <v>0</v>
      </c>
      <c r="Q302" s="648">
        <f t="shared" si="114"/>
        <v>0</v>
      </c>
      <c r="R302" s="648">
        <f t="shared" si="114"/>
        <v>0</v>
      </c>
      <c r="S302" s="648">
        <f t="shared" si="114"/>
        <v>0</v>
      </c>
      <c r="T302" s="1590"/>
      <c r="U302" s="646">
        <f t="shared" si="111"/>
        <v>0</v>
      </c>
      <c r="W302" s="646">
        <f t="shared" si="98"/>
        <v>0</v>
      </c>
    </row>
    <row r="303" spans="2:23" ht="14.25" customHeight="1" x14ac:dyDescent="0.2">
      <c r="B303" s="645">
        <f t="shared" si="108"/>
        <v>15</v>
      </c>
      <c r="C303" s="647" t="s">
        <v>376</v>
      </c>
      <c r="D303" s="649" t="s">
        <v>494</v>
      </c>
      <c r="E303" s="1590"/>
      <c r="F303" s="646">
        <f>' WP II-I-1.4'!H303</f>
        <v>0</v>
      </c>
      <c r="G303" s="645">
        <v>32</v>
      </c>
      <c r="H303" s="650" t="str">
        <f t="shared" si="109"/>
        <v>NCP SEC</v>
      </c>
      <c r="I303" s="1590"/>
      <c r="J303" s="648">
        <f t="shared" si="114"/>
        <v>0</v>
      </c>
      <c r="K303" s="648">
        <f t="shared" si="114"/>
        <v>0</v>
      </c>
      <c r="L303" s="648">
        <f t="shared" si="114"/>
        <v>0</v>
      </c>
      <c r="M303" s="648">
        <f t="shared" si="114"/>
        <v>0</v>
      </c>
      <c r="N303" s="648">
        <f t="shared" si="114"/>
        <v>0</v>
      </c>
      <c r="O303" s="648">
        <f t="shared" si="114"/>
        <v>0</v>
      </c>
      <c r="P303" s="648">
        <f t="shared" si="114"/>
        <v>0</v>
      </c>
      <c r="Q303" s="648">
        <f t="shared" si="114"/>
        <v>0</v>
      </c>
      <c r="R303" s="648">
        <f t="shared" si="114"/>
        <v>0</v>
      </c>
      <c r="S303" s="648">
        <f t="shared" si="114"/>
        <v>0</v>
      </c>
      <c r="T303" s="1590"/>
      <c r="U303" s="646">
        <f t="shared" si="111"/>
        <v>0</v>
      </c>
      <c r="W303" s="646">
        <f t="shared" si="98"/>
        <v>0</v>
      </c>
    </row>
    <row r="304" spans="2:23" ht="18" customHeight="1" x14ac:dyDescent="0.2">
      <c r="B304" s="645">
        <f t="shared" si="108"/>
        <v>16</v>
      </c>
      <c r="C304" s="647" t="s">
        <v>379</v>
      </c>
      <c r="D304" s="647" t="str">
        <f>'WP II-I-1.2'!D39</f>
        <v>Regulators, Protectors, Primary Transformers</v>
      </c>
      <c r="E304" s="645"/>
      <c r="F304" s="646">
        <f>' WP II-I-1.4'!H304</f>
        <v>0</v>
      </c>
      <c r="G304" s="645">
        <v>30</v>
      </c>
      <c r="H304" s="650" t="str">
        <f t="shared" si="109"/>
        <v>NCP XSS</v>
      </c>
      <c r="I304" s="645"/>
      <c r="J304" s="648">
        <f t="shared" si="114"/>
        <v>0</v>
      </c>
      <c r="K304" s="648">
        <f t="shared" si="114"/>
        <v>0</v>
      </c>
      <c r="L304" s="648">
        <f t="shared" si="114"/>
        <v>0</v>
      </c>
      <c r="M304" s="648">
        <f t="shared" si="114"/>
        <v>0</v>
      </c>
      <c r="N304" s="648">
        <f t="shared" si="114"/>
        <v>0</v>
      </c>
      <c r="O304" s="648">
        <f t="shared" si="114"/>
        <v>0</v>
      </c>
      <c r="P304" s="648">
        <f t="shared" si="114"/>
        <v>0</v>
      </c>
      <c r="Q304" s="648">
        <f t="shared" si="114"/>
        <v>0</v>
      </c>
      <c r="R304" s="648">
        <f t="shared" si="114"/>
        <v>0</v>
      </c>
      <c r="S304" s="648">
        <f t="shared" si="114"/>
        <v>0</v>
      </c>
      <c r="T304" s="645"/>
      <c r="U304" s="646">
        <f t="shared" si="111"/>
        <v>0</v>
      </c>
      <c r="W304" s="646">
        <f t="shared" si="98"/>
        <v>0</v>
      </c>
    </row>
    <row r="305" spans="2:23" ht="18" customHeight="1" x14ac:dyDescent="0.2">
      <c r="B305" s="645">
        <f t="shared" si="108"/>
        <v>17</v>
      </c>
      <c r="C305" s="647" t="s">
        <v>381</v>
      </c>
      <c r="D305" s="647" t="str">
        <f>'WP II-I-1.2'!D40</f>
        <v>Secondary Transformers</v>
      </c>
      <c r="E305" s="645"/>
      <c r="F305" s="646">
        <f>' WP II-I-1.4'!H305</f>
        <v>0</v>
      </c>
      <c r="G305" s="645">
        <v>32</v>
      </c>
      <c r="H305" s="650" t="str">
        <f t="shared" si="109"/>
        <v>NCP SEC</v>
      </c>
      <c r="I305" s="645"/>
      <c r="J305" s="648">
        <f t="shared" si="114"/>
        <v>0</v>
      </c>
      <c r="K305" s="648">
        <f t="shared" si="114"/>
        <v>0</v>
      </c>
      <c r="L305" s="648">
        <f t="shared" si="114"/>
        <v>0</v>
      </c>
      <c r="M305" s="648">
        <f t="shared" si="114"/>
        <v>0</v>
      </c>
      <c r="N305" s="648">
        <f t="shared" si="114"/>
        <v>0</v>
      </c>
      <c r="O305" s="648">
        <f t="shared" si="114"/>
        <v>0</v>
      </c>
      <c r="P305" s="648">
        <f t="shared" si="114"/>
        <v>0</v>
      </c>
      <c r="Q305" s="648">
        <f t="shared" si="114"/>
        <v>0</v>
      </c>
      <c r="R305" s="648">
        <f t="shared" si="114"/>
        <v>0</v>
      </c>
      <c r="S305" s="648">
        <f t="shared" si="114"/>
        <v>0</v>
      </c>
      <c r="T305" s="645"/>
      <c r="U305" s="646">
        <f t="shared" si="111"/>
        <v>0</v>
      </c>
      <c r="W305" s="646">
        <f t="shared" si="98"/>
        <v>0</v>
      </c>
    </row>
    <row r="306" spans="2:23" ht="15" customHeight="1" x14ac:dyDescent="0.2">
      <c r="B306" s="645">
        <f t="shared" si="108"/>
        <v>18</v>
      </c>
      <c r="C306" s="647" t="s">
        <v>383</v>
      </c>
      <c r="D306" s="647" t="str">
        <f>'WP II-I-1.2'!D41</f>
        <v>Capacitors</v>
      </c>
      <c r="E306" s="645"/>
      <c r="F306" s="646">
        <f>' WP II-I-1.4'!H306</f>
        <v>0</v>
      </c>
      <c r="G306" s="645">
        <v>26</v>
      </c>
      <c r="H306" s="650" t="str">
        <f t="shared" si="109"/>
        <v>NCP ALL</v>
      </c>
      <c r="I306" s="645"/>
      <c r="J306" s="648">
        <f t="shared" si="114"/>
        <v>0</v>
      </c>
      <c r="K306" s="648">
        <f t="shared" si="114"/>
        <v>0</v>
      </c>
      <c r="L306" s="648">
        <f t="shared" si="114"/>
        <v>0</v>
      </c>
      <c r="M306" s="648">
        <f t="shared" si="114"/>
        <v>0</v>
      </c>
      <c r="N306" s="648">
        <f t="shared" si="114"/>
        <v>0</v>
      </c>
      <c r="O306" s="648">
        <f t="shared" si="114"/>
        <v>0</v>
      </c>
      <c r="P306" s="648">
        <f t="shared" si="114"/>
        <v>0</v>
      </c>
      <c r="Q306" s="648">
        <f t="shared" si="114"/>
        <v>0</v>
      </c>
      <c r="R306" s="648">
        <f t="shared" si="114"/>
        <v>0</v>
      </c>
      <c r="S306" s="648">
        <f t="shared" si="114"/>
        <v>0</v>
      </c>
      <c r="T306" s="645"/>
      <c r="U306" s="646">
        <f t="shared" si="111"/>
        <v>0</v>
      </c>
      <c r="W306" s="646">
        <f t="shared" si="98"/>
        <v>0</v>
      </c>
    </row>
    <row r="307" spans="2:23" ht="18" customHeight="1" x14ac:dyDescent="0.2">
      <c r="B307" s="645">
        <f t="shared" si="108"/>
        <v>19</v>
      </c>
      <c r="C307" s="647" t="s">
        <v>72</v>
      </c>
      <c r="D307" s="649" t="s">
        <v>73</v>
      </c>
      <c r="E307" s="1590"/>
      <c r="F307" s="646">
        <f>' WP II-I-1.4'!H307</f>
        <v>0</v>
      </c>
      <c r="G307" s="645">
        <v>7</v>
      </c>
      <c r="H307" s="650" t="str">
        <f t="shared" si="109"/>
        <v>CUS W SEC</v>
      </c>
      <c r="I307" s="1590"/>
      <c r="J307" s="648">
        <f t="shared" si="114"/>
        <v>0</v>
      </c>
      <c r="K307" s="648">
        <f t="shared" si="114"/>
        <v>0</v>
      </c>
      <c r="L307" s="648">
        <f t="shared" si="114"/>
        <v>0</v>
      </c>
      <c r="M307" s="648">
        <f t="shared" si="114"/>
        <v>0</v>
      </c>
      <c r="N307" s="648">
        <f t="shared" si="114"/>
        <v>0</v>
      </c>
      <c r="O307" s="648">
        <f t="shared" si="114"/>
        <v>0</v>
      </c>
      <c r="P307" s="648">
        <f t="shared" si="114"/>
        <v>0</v>
      </c>
      <c r="Q307" s="648">
        <f t="shared" si="114"/>
        <v>0</v>
      </c>
      <c r="R307" s="648">
        <f t="shared" si="114"/>
        <v>0</v>
      </c>
      <c r="S307" s="648">
        <f t="shared" si="114"/>
        <v>0</v>
      </c>
      <c r="T307" s="1590"/>
      <c r="U307" s="646">
        <f t="shared" si="111"/>
        <v>0</v>
      </c>
      <c r="W307" s="646">
        <f t="shared" si="98"/>
        <v>0</v>
      </c>
    </row>
    <row r="308" spans="2:23" ht="18" customHeight="1" x14ac:dyDescent="0.2">
      <c r="B308" s="645">
        <f t="shared" si="108"/>
        <v>20</v>
      </c>
      <c r="C308" s="647" t="s">
        <v>74</v>
      </c>
      <c r="D308" s="647" t="s">
        <v>75</v>
      </c>
      <c r="E308" s="645"/>
      <c r="F308" s="646">
        <f>' WP II-I-1.4'!H308</f>
        <v>298670487.00999999</v>
      </c>
      <c r="G308" s="645">
        <v>6</v>
      </c>
      <c r="H308" s="650" t="str">
        <f t="shared" si="109"/>
        <v>CUS W ALL</v>
      </c>
      <c r="I308" s="645"/>
      <c r="J308" s="648">
        <f t="shared" si="114"/>
        <v>155918978.46909755</v>
      </c>
      <c r="K308" s="648">
        <f t="shared" si="114"/>
        <v>21873106.301291406</v>
      </c>
      <c r="L308" s="648">
        <f t="shared" si="114"/>
        <v>86019826.88614966</v>
      </c>
      <c r="M308" s="648">
        <f t="shared" si="114"/>
        <v>3622471.5861908589</v>
      </c>
      <c r="N308" s="648">
        <f t="shared" si="114"/>
        <v>27894943.514769904</v>
      </c>
      <c r="O308" s="648">
        <f t="shared" si="114"/>
        <v>915294.421533513</v>
      </c>
      <c r="P308" s="648">
        <f t="shared" si="114"/>
        <v>1909203.087861316</v>
      </c>
      <c r="Q308" s="648">
        <f t="shared" si="114"/>
        <v>158992.82781959375</v>
      </c>
      <c r="R308" s="648">
        <f t="shared" si="114"/>
        <v>101075.45759265791</v>
      </c>
      <c r="S308" s="648">
        <f t="shared" si="114"/>
        <v>256594.45769348906</v>
      </c>
      <c r="T308" s="645"/>
      <c r="U308" s="646">
        <f t="shared" si="111"/>
        <v>298670487.00999993</v>
      </c>
      <c r="W308" s="646">
        <f t="shared" si="98"/>
        <v>0</v>
      </c>
    </row>
    <row r="309" spans="2:23" ht="18" customHeight="1" x14ac:dyDescent="0.2">
      <c r="B309" s="645">
        <f t="shared" si="108"/>
        <v>21</v>
      </c>
      <c r="C309" s="647" t="s">
        <v>76</v>
      </c>
      <c r="D309" s="647" t="s">
        <v>495</v>
      </c>
      <c r="E309" s="645"/>
      <c r="F309" s="646">
        <f>' WP II-I-1.4'!H309</f>
        <v>0</v>
      </c>
      <c r="G309" s="645">
        <v>33</v>
      </c>
      <c r="H309" s="650" t="str">
        <f t="shared" si="109"/>
        <v>NCP LGT</v>
      </c>
      <c r="I309" s="645"/>
      <c r="J309" s="648">
        <f t="shared" si="114"/>
        <v>0</v>
      </c>
      <c r="K309" s="648">
        <f t="shared" si="114"/>
        <v>0</v>
      </c>
      <c r="L309" s="648">
        <f t="shared" si="114"/>
        <v>0</v>
      </c>
      <c r="M309" s="648">
        <f t="shared" si="114"/>
        <v>0</v>
      </c>
      <c r="N309" s="648">
        <f t="shared" si="114"/>
        <v>0</v>
      </c>
      <c r="O309" s="648">
        <f t="shared" si="114"/>
        <v>0</v>
      </c>
      <c r="P309" s="648">
        <f t="shared" si="114"/>
        <v>0</v>
      </c>
      <c r="Q309" s="648">
        <f t="shared" si="114"/>
        <v>0</v>
      </c>
      <c r="R309" s="648">
        <f t="shared" si="114"/>
        <v>0</v>
      </c>
      <c r="S309" s="648">
        <f t="shared" si="114"/>
        <v>0</v>
      </c>
      <c r="T309" s="645"/>
      <c r="U309" s="646">
        <f t="shared" si="111"/>
        <v>0</v>
      </c>
      <c r="W309" s="646">
        <f t="shared" si="98"/>
        <v>0</v>
      </c>
    </row>
    <row r="310" spans="2:23" ht="12.75" customHeight="1" x14ac:dyDescent="0.2">
      <c r="B310" s="645">
        <f t="shared" si="108"/>
        <v>22</v>
      </c>
      <c r="C310" s="647" t="s">
        <v>78</v>
      </c>
      <c r="D310" s="647" t="s">
        <v>496</v>
      </c>
      <c r="E310" s="645"/>
      <c r="F310" s="646">
        <f>' WP II-I-1.4'!H310</f>
        <v>0</v>
      </c>
      <c r="G310" s="645">
        <v>6</v>
      </c>
      <c r="H310" s="650" t="str">
        <f t="shared" si="109"/>
        <v>CUS W ALL</v>
      </c>
      <c r="I310" s="645"/>
      <c r="J310" s="648">
        <f t="shared" si="114"/>
        <v>0</v>
      </c>
      <c r="K310" s="648">
        <f t="shared" si="114"/>
        <v>0</v>
      </c>
      <c r="L310" s="648">
        <f t="shared" si="114"/>
        <v>0</v>
      </c>
      <c r="M310" s="648">
        <f t="shared" si="114"/>
        <v>0</v>
      </c>
      <c r="N310" s="648">
        <f t="shared" si="114"/>
        <v>0</v>
      </c>
      <c r="O310" s="648">
        <f t="shared" si="114"/>
        <v>0</v>
      </c>
      <c r="P310" s="648">
        <f t="shared" si="114"/>
        <v>0</v>
      </c>
      <c r="Q310" s="648">
        <f t="shared" si="114"/>
        <v>0</v>
      </c>
      <c r="R310" s="648">
        <f t="shared" si="114"/>
        <v>0</v>
      </c>
      <c r="S310" s="648">
        <f t="shared" si="114"/>
        <v>0</v>
      </c>
      <c r="T310" s="645"/>
      <c r="U310" s="646">
        <f t="shared" si="111"/>
        <v>0</v>
      </c>
      <c r="W310" s="646">
        <f t="shared" si="98"/>
        <v>0</v>
      </c>
    </row>
    <row r="311" spans="2:23" ht="15" customHeight="1" x14ac:dyDescent="0.2">
      <c r="B311" s="645">
        <f t="shared" si="108"/>
        <v>23</v>
      </c>
      <c r="C311" s="647" t="s">
        <v>80</v>
      </c>
      <c r="D311" s="647" t="s">
        <v>84</v>
      </c>
      <c r="E311" s="645"/>
      <c r="F311" s="646">
        <f>' WP II-I-1.4'!H311</f>
        <v>0</v>
      </c>
      <c r="G311" s="645">
        <v>33</v>
      </c>
      <c r="H311" s="650" t="str">
        <f t="shared" si="109"/>
        <v>NCP LGT</v>
      </c>
      <c r="I311" s="645"/>
      <c r="J311" s="651">
        <f t="shared" si="114"/>
        <v>0</v>
      </c>
      <c r="K311" s="651">
        <f t="shared" si="114"/>
        <v>0</v>
      </c>
      <c r="L311" s="651">
        <f t="shared" si="114"/>
        <v>0</v>
      </c>
      <c r="M311" s="651">
        <f t="shared" si="114"/>
        <v>0</v>
      </c>
      <c r="N311" s="651">
        <f t="shared" si="114"/>
        <v>0</v>
      </c>
      <c r="O311" s="651">
        <f t="shared" si="114"/>
        <v>0</v>
      </c>
      <c r="P311" s="651">
        <f t="shared" si="114"/>
        <v>0</v>
      </c>
      <c r="Q311" s="651">
        <f t="shared" si="114"/>
        <v>0</v>
      </c>
      <c r="R311" s="651">
        <f t="shared" si="114"/>
        <v>0</v>
      </c>
      <c r="S311" s="651">
        <f t="shared" si="114"/>
        <v>0</v>
      </c>
      <c r="T311" s="645"/>
      <c r="U311" s="646">
        <f t="shared" si="111"/>
        <v>0</v>
      </c>
      <c r="W311" s="646">
        <f t="shared" si="98"/>
        <v>0</v>
      </c>
    </row>
    <row r="312" spans="2:23" ht="18" customHeight="1" x14ac:dyDescent="0.25">
      <c r="B312" s="645">
        <f t="shared" si="108"/>
        <v>24</v>
      </c>
      <c r="D312" s="233" t="s">
        <v>444</v>
      </c>
      <c r="E312" s="121"/>
      <c r="F312" s="805">
        <f>SUM(F290:F311)</f>
        <v>427582352.38</v>
      </c>
      <c r="G312" s="121"/>
      <c r="H312" s="121"/>
      <c r="I312" s="121"/>
      <c r="J312" s="805">
        <f t="shared" ref="J312:Q312" ca="1" si="115">SUM(J290:J311)</f>
        <v>223216576.44155228</v>
      </c>
      <c r="K312" s="805">
        <f t="shared" ca="1" si="115"/>
        <v>31313955.187848344</v>
      </c>
      <c r="L312" s="805">
        <f t="shared" ca="1" si="115"/>
        <v>123147620.97692218</v>
      </c>
      <c r="M312" s="805">
        <f t="shared" ca="1" si="115"/>
        <v>5185999.2520832419</v>
      </c>
      <c r="N312" s="805">
        <f t="shared" ca="1" si="115"/>
        <v>39934931.927683875</v>
      </c>
      <c r="O312" s="805">
        <f ca="1">SUM(O290:O311)</f>
        <v>1310352.9103178089</v>
      </c>
      <c r="P312" s="805">
        <f t="shared" ca="1" si="115"/>
        <v>2733251.4693745719</v>
      </c>
      <c r="Q312" s="805">
        <f t="shared" ca="1" si="115"/>
        <v>227617.15766169433</v>
      </c>
      <c r="R312" s="805">
        <f ca="1">SUM(R290:R311)</f>
        <v>144701.5483786538</v>
      </c>
      <c r="S312" s="805">
        <f ca="1">SUM(S290:S311)</f>
        <v>367345.50817730778</v>
      </c>
      <c r="T312" s="121"/>
      <c r="U312" s="235">
        <f t="shared" ca="1" si="111"/>
        <v>427582352.37999994</v>
      </c>
      <c r="W312" s="646">
        <f t="shared" ca="1" si="98"/>
        <v>0</v>
      </c>
    </row>
    <row r="313" spans="2:23" ht="5.45" customHeight="1" x14ac:dyDescent="0.2">
      <c r="B313" s="645">
        <f t="shared" si="108"/>
        <v>25</v>
      </c>
      <c r="D313" s="647"/>
      <c r="E313" s="645"/>
      <c r="F313" s="803"/>
      <c r="G313" s="645"/>
      <c r="H313" s="645"/>
      <c r="I313" s="645"/>
      <c r="J313" s="803"/>
      <c r="K313" s="803"/>
      <c r="L313" s="803"/>
      <c r="M313" s="803"/>
      <c r="N313" s="803"/>
      <c r="O313" s="803"/>
      <c r="P313" s="803"/>
      <c r="Q313" s="803"/>
      <c r="R313" s="803"/>
      <c r="S313" s="803"/>
      <c r="T313" s="645"/>
      <c r="U313" s="647"/>
      <c r="W313" s="646">
        <f t="shared" si="98"/>
        <v>0</v>
      </c>
    </row>
    <row r="314" spans="2:23" ht="15" customHeight="1" x14ac:dyDescent="0.25">
      <c r="B314" s="645">
        <f t="shared" si="108"/>
        <v>26</v>
      </c>
      <c r="D314" s="233" t="s">
        <v>519</v>
      </c>
      <c r="E314" s="645"/>
      <c r="F314" s="805">
        <f>SUM(F296:F297)</f>
        <v>0</v>
      </c>
      <c r="G314" s="645"/>
      <c r="H314" s="645"/>
      <c r="I314" s="645"/>
      <c r="J314" s="805">
        <f t="shared" ref="J314:Q314" si="116">SUM(J296:J297)</f>
        <v>0</v>
      </c>
      <c r="K314" s="805">
        <f t="shared" si="116"/>
        <v>0</v>
      </c>
      <c r="L314" s="805">
        <f t="shared" si="116"/>
        <v>0</v>
      </c>
      <c r="M314" s="805">
        <f t="shared" si="116"/>
        <v>0</v>
      </c>
      <c r="N314" s="805">
        <f t="shared" si="116"/>
        <v>0</v>
      </c>
      <c r="O314" s="805">
        <f>SUM(O296:O297)</f>
        <v>0</v>
      </c>
      <c r="P314" s="805">
        <f t="shared" si="116"/>
        <v>0</v>
      </c>
      <c r="Q314" s="805">
        <f t="shared" si="116"/>
        <v>0</v>
      </c>
      <c r="R314" s="805">
        <f>SUM(R296:R297)</f>
        <v>0</v>
      </c>
      <c r="S314" s="805">
        <f>SUM(S296:S297)</f>
        <v>0</v>
      </c>
      <c r="T314" s="645"/>
      <c r="U314" s="235">
        <f>SUM(I314:T314)</f>
        <v>0</v>
      </c>
      <c r="W314" s="646">
        <f t="shared" si="98"/>
        <v>0</v>
      </c>
    </row>
    <row r="315" spans="2:23" ht="13.5" customHeight="1" x14ac:dyDescent="0.25">
      <c r="B315" s="645">
        <f t="shared" si="108"/>
        <v>27</v>
      </c>
      <c r="D315" s="233" t="s">
        <v>520</v>
      </c>
      <c r="E315" s="645"/>
      <c r="F315" s="805">
        <f>SUM(F298:F299)</f>
        <v>0</v>
      </c>
      <c r="G315" s="645"/>
      <c r="H315" s="645"/>
      <c r="I315" s="645"/>
      <c r="J315" s="805">
        <f t="shared" ref="J315:Q315" si="117">SUM(J298:J299)</f>
        <v>0</v>
      </c>
      <c r="K315" s="805">
        <f t="shared" si="117"/>
        <v>0</v>
      </c>
      <c r="L315" s="805">
        <f t="shared" si="117"/>
        <v>0</v>
      </c>
      <c r="M315" s="805">
        <f t="shared" si="117"/>
        <v>0</v>
      </c>
      <c r="N315" s="805">
        <f t="shared" si="117"/>
        <v>0</v>
      </c>
      <c r="O315" s="805">
        <f>SUM(O298:O299)</f>
        <v>0</v>
      </c>
      <c r="P315" s="805">
        <f t="shared" si="117"/>
        <v>0</v>
      </c>
      <c r="Q315" s="805">
        <f t="shared" si="117"/>
        <v>0</v>
      </c>
      <c r="R315" s="805">
        <f>SUM(R298:R299)</f>
        <v>0</v>
      </c>
      <c r="S315" s="805">
        <f>SUM(S298:S299)</f>
        <v>0</v>
      </c>
      <c r="T315" s="645"/>
      <c r="U315" s="235">
        <f>SUM(I315:T315)</f>
        <v>0</v>
      </c>
      <c r="W315" s="646">
        <f t="shared" si="98"/>
        <v>0</v>
      </c>
    </row>
    <row r="316" spans="2:23" ht="15.75" customHeight="1" x14ac:dyDescent="0.25">
      <c r="B316" s="645">
        <f t="shared" si="108"/>
        <v>28</v>
      </c>
      <c r="D316" s="233" t="s">
        <v>521</v>
      </c>
      <c r="E316" s="645"/>
      <c r="F316" s="805">
        <f>SUM(F300:F301)</f>
        <v>0</v>
      </c>
      <c r="G316" s="645"/>
      <c r="H316" s="645"/>
      <c r="I316" s="645"/>
      <c r="J316" s="805">
        <f t="shared" ref="J316:Q316" si="118">SUM(J300:J301)</f>
        <v>0</v>
      </c>
      <c r="K316" s="805">
        <f t="shared" si="118"/>
        <v>0</v>
      </c>
      <c r="L316" s="805">
        <f t="shared" si="118"/>
        <v>0</v>
      </c>
      <c r="M316" s="805">
        <f t="shared" si="118"/>
        <v>0</v>
      </c>
      <c r="N316" s="805">
        <f t="shared" si="118"/>
        <v>0</v>
      </c>
      <c r="O316" s="805">
        <f>SUM(O300:O301)</f>
        <v>0</v>
      </c>
      <c r="P316" s="805">
        <f t="shared" si="118"/>
        <v>0</v>
      </c>
      <c r="Q316" s="805">
        <f t="shared" si="118"/>
        <v>0</v>
      </c>
      <c r="R316" s="805">
        <f>SUM(R300:R301)</f>
        <v>0</v>
      </c>
      <c r="S316" s="805">
        <f>SUM(S300:S301)</f>
        <v>0</v>
      </c>
      <c r="T316" s="645"/>
      <c r="U316" s="235">
        <f>SUM(I316:T316)</f>
        <v>0</v>
      </c>
      <c r="W316" s="646">
        <f t="shared" si="98"/>
        <v>0</v>
      </c>
    </row>
    <row r="317" spans="2:23" ht="14.25" customHeight="1" x14ac:dyDescent="0.25">
      <c r="B317" s="645">
        <f t="shared" si="108"/>
        <v>29</v>
      </c>
      <c r="D317" s="233" t="s">
        <v>522</v>
      </c>
      <c r="E317" s="645"/>
      <c r="F317" s="805">
        <f>SUM(F302:F303)</f>
        <v>0</v>
      </c>
      <c r="G317" s="645"/>
      <c r="H317" s="645"/>
      <c r="I317" s="645"/>
      <c r="J317" s="805">
        <f t="shared" ref="J317:Q317" si="119">SUM(J302:J303)</f>
        <v>0</v>
      </c>
      <c r="K317" s="805">
        <f t="shared" si="119"/>
        <v>0</v>
      </c>
      <c r="L317" s="805">
        <f t="shared" si="119"/>
        <v>0</v>
      </c>
      <c r="M317" s="805">
        <f t="shared" si="119"/>
        <v>0</v>
      </c>
      <c r="N317" s="805">
        <f t="shared" si="119"/>
        <v>0</v>
      </c>
      <c r="O317" s="805">
        <f>SUM(O302:O303)</f>
        <v>0</v>
      </c>
      <c r="P317" s="805">
        <f t="shared" si="119"/>
        <v>0</v>
      </c>
      <c r="Q317" s="805">
        <f t="shared" si="119"/>
        <v>0</v>
      </c>
      <c r="R317" s="805">
        <f>SUM(R302:R303)</f>
        <v>0</v>
      </c>
      <c r="S317" s="805">
        <f>SUM(S302:S303)</f>
        <v>0</v>
      </c>
      <c r="T317" s="645"/>
      <c r="U317" s="235">
        <f>SUM(I317:T317)</f>
        <v>0</v>
      </c>
      <c r="W317" s="646">
        <f t="shared" si="98"/>
        <v>0</v>
      </c>
    </row>
    <row r="318" spans="2:23" ht="17.25" customHeight="1" x14ac:dyDescent="0.25">
      <c r="B318" s="645">
        <f t="shared" si="108"/>
        <v>30</v>
      </c>
      <c r="D318" s="233" t="s">
        <v>523</v>
      </c>
      <c r="E318" s="645"/>
      <c r="F318" s="805">
        <f>SUM(F304:F306)</f>
        <v>0</v>
      </c>
      <c r="G318" s="645"/>
      <c r="H318" s="645"/>
      <c r="I318" s="645"/>
      <c r="J318" s="805">
        <f t="shared" ref="J318:Q318" si="120">SUM(J304:J306)</f>
        <v>0</v>
      </c>
      <c r="K318" s="805">
        <f t="shared" si="120"/>
        <v>0</v>
      </c>
      <c r="L318" s="805">
        <f t="shared" si="120"/>
        <v>0</v>
      </c>
      <c r="M318" s="805">
        <f t="shared" si="120"/>
        <v>0</v>
      </c>
      <c r="N318" s="805">
        <f t="shared" si="120"/>
        <v>0</v>
      </c>
      <c r="O318" s="805">
        <f>SUM(O304:O306)</f>
        <v>0</v>
      </c>
      <c r="P318" s="805">
        <f t="shared" si="120"/>
        <v>0</v>
      </c>
      <c r="Q318" s="805">
        <f t="shared" si="120"/>
        <v>0</v>
      </c>
      <c r="R318" s="805">
        <f>SUM(R304:R306)</f>
        <v>0</v>
      </c>
      <c r="S318" s="805">
        <f>SUM(S304:S306)</f>
        <v>0</v>
      </c>
      <c r="T318" s="645"/>
      <c r="U318" s="235">
        <f>SUM(I318:T318)</f>
        <v>0</v>
      </c>
      <c r="W318" s="646">
        <f t="shared" si="98"/>
        <v>0</v>
      </c>
    </row>
    <row r="319" spans="2:23" ht="8.25" customHeight="1" thickBot="1" x14ac:dyDescent="0.25">
      <c r="B319" s="645">
        <f t="shared" si="108"/>
        <v>31</v>
      </c>
      <c r="D319" s="647"/>
      <c r="E319" s="645"/>
      <c r="F319" s="803"/>
      <c r="G319" s="645"/>
      <c r="H319" s="645"/>
      <c r="I319" s="645"/>
      <c r="J319" s="803"/>
      <c r="K319" s="803"/>
      <c r="L319" s="803"/>
      <c r="M319" s="803"/>
      <c r="N319" s="803"/>
      <c r="O319" s="803"/>
      <c r="P319" s="803"/>
      <c r="Q319" s="803"/>
      <c r="R319" s="803"/>
      <c r="S319" s="803"/>
      <c r="T319" s="645"/>
      <c r="U319" s="647"/>
      <c r="W319" s="646">
        <f t="shared" si="98"/>
        <v>0</v>
      </c>
    </row>
    <row r="320" spans="2:23" ht="18" customHeight="1" x14ac:dyDescent="0.25">
      <c r="B320" s="645">
        <f t="shared" si="108"/>
        <v>32</v>
      </c>
      <c r="C320" s="239" t="s">
        <v>526</v>
      </c>
      <c r="D320" s="240"/>
      <c r="E320" s="241" t="s">
        <v>24</v>
      </c>
      <c r="F320" s="817">
        <f>F261+F276+F312</f>
        <v>427702572.88999999</v>
      </c>
      <c r="G320" s="241"/>
      <c r="H320" s="372"/>
      <c r="I320" s="769"/>
      <c r="J320" s="374">
        <f t="shared" ref="J320:Q320" ca="1" si="121">J261+J276+J312</f>
        <v>223279336.774178</v>
      </c>
      <c r="K320" s="817">
        <f t="shared" ca="1" si="121"/>
        <v>31322759.526104696</v>
      </c>
      <c r="L320" s="817">
        <f t="shared" ca="1" si="121"/>
        <v>123182245.58132114</v>
      </c>
      <c r="M320" s="817">
        <f t="shared" ca="1" si="121"/>
        <v>5187457.3652899135</v>
      </c>
      <c r="N320" s="817">
        <f t="shared" ca="1" si="121"/>
        <v>39946160.169112548</v>
      </c>
      <c r="O320" s="817">
        <f ca="1">O261+O276+O312</f>
        <v>1310721.333603479</v>
      </c>
      <c r="P320" s="817">
        <f t="shared" ca="1" si="121"/>
        <v>2734019.9596636998</v>
      </c>
      <c r="Q320" s="817">
        <f t="shared" ca="1" si="121"/>
        <v>227681.15527671872</v>
      </c>
      <c r="R320" s="817">
        <f ca="1">R261+R276+R312</f>
        <v>144742.23315866644</v>
      </c>
      <c r="S320" s="566">
        <f ca="1">S261+S276+S312</f>
        <v>367448.79229110124</v>
      </c>
      <c r="T320" s="373"/>
      <c r="U320" s="243">
        <f ca="1">SUM(I320:T320)</f>
        <v>427702572.88999999</v>
      </c>
      <c r="W320" s="646">
        <f t="shared" ca="1" si="98"/>
        <v>0</v>
      </c>
    </row>
    <row r="321" spans="2:23" ht="18" customHeight="1" thickBot="1" x14ac:dyDescent="0.3">
      <c r="B321" s="645">
        <f t="shared" si="108"/>
        <v>33</v>
      </c>
      <c r="C321" s="245" t="s">
        <v>527</v>
      </c>
      <c r="D321" s="246"/>
      <c r="E321" s="247" t="s">
        <v>24</v>
      </c>
      <c r="F321" s="248">
        <f>F276+F312</f>
        <v>427582352.38</v>
      </c>
      <c r="G321" s="247"/>
      <c r="H321" s="375"/>
      <c r="I321" s="964"/>
      <c r="J321" s="377">
        <f t="shared" ref="J321:Q321" ca="1" si="122">J276+J312</f>
        <v>223216576.44155228</v>
      </c>
      <c r="K321" s="248">
        <f t="shared" ca="1" si="122"/>
        <v>31313955.187848344</v>
      </c>
      <c r="L321" s="248">
        <f t="shared" ca="1" si="122"/>
        <v>123147620.97692218</v>
      </c>
      <c r="M321" s="248">
        <f t="shared" ca="1" si="122"/>
        <v>5185999.2520832419</v>
      </c>
      <c r="N321" s="248">
        <f t="shared" ca="1" si="122"/>
        <v>39934931.927683875</v>
      </c>
      <c r="O321" s="248">
        <f ca="1">O276+O312</f>
        <v>1310352.9103178089</v>
      </c>
      <c r="P321" s="248">
        <f t="shared" ca="1" si="122"/>
        <v>2733251.4693745719</v>
      </c>
      <c r="Q321" s="248">
        <f t="shared" ca="1" si="122"/>
        <v>227617.15766169433</v>
      </c>
      <c r="R321" s="248">
        <f ca="1">R276+R312</f>
        <v>144701.5483786538</v>
      </c>
      <c r="S321" s="378">
        <f ca="1">S276+S312</f>
        <v>367345.50817730778</v>
      </c>
      <c r="T321" s="376"/>
      <c r="U321" s="249">
        <f ca="1">SUM(I321:T321)</f>
        <v>427582352.37999994</v>
      </c>
      <c r="W321" s="646">
        <f t="shared" ca="1" si="98"/>
        <v>0</v>
      </c>
    </row>
    <row r="322" spans="2:23" ht="6.75" customHeight="1" thickBot="1" x14ac:dyDescent="0.3">
      <c r="B322" s="645">
        <f t="shared" si="108"/>
        <v>34</v>
      </c>
      <c r="C322" s="8"/>
      <c r="D322" s="8"/>
      <c r="E322" s="1571"/>
      <c r="F322" s="805"/>
      <c r="G322" s="1571"/>
      <c r="H322" s="1571"/>
      <c r="I322" s="1571"/>
      <c r="J322" s="805"/>
      <c r="K322" s="805"/>
      <c r="L322" s="805"/>
      <c r="M322" s="805"/>
      <c r="N322" s="805"/>
      <c r="O322" s="805"/>
      <c r="P322" s="805"/>
      <c r="Q322" s="805"/>
      <c r="R322" s="805"/>
      <c r="S322" s="805"/>
      <c r="T322" s="1571"/>
      <c r="U322" s="805"/>
      <c r="W322" s="646">
        <f t="shared" si="98"/>
        <v>0</v>
      </c>
    </row>
    <row r="323" spans="2:23" ht="18" customHeight="1" x14ac:dyDescent="0.25">
      <c r="B323" s="645">
        <f t="shared" si="108"/>
        <v>35</v>
      </c>
      <c r="C323" s="255" t="s">
        <v>528</v>
      </c>
      <c r="D323" s="240"/>
      <c r="E323" s="256"/>
      <c r="F323" s="817">
        <f>F106-F261</f>
        <v>204139.49</v>
      </c>
      <c r="G323" s="256"/>
      <c r="H323" s="383"/>
      <c r="I323" s="965"/>
      <c r="J323" s="374">
        <f t="shared" ref="J323:S323" ca="1" si="123">J106-J261</f>
        <v>106569.68843706633</v>
      </c>
      <c r="K323" s="817">
        <f t="shared" ca="1" si="123"/>
        <v>14950.137222335978</v>
      </c>
      <c r="L323" s="817">
        <f t="shared" ca="1" si="123"/>
        <v>58794.036753416971</v>
      </c>
      <c r="M323" s="817">
        <f t="shared" ca="1" si="123"/>
        <v>2475.9376446851074</v>
      </c>
      <c r="N323" s="817">
        <f t="shared" ca="1" si="123"/>
        <v>19066.026910430148</v>
      </c>
      <c r="O323" s="817">
        <f t="shared" ca="1" si="123"/>
        <v>625.59825807442598</v>
      </c>
      <c r="P323" s="817">
        <f t="shared" ca="1" si="123"/>
        <v>1304.9288818730361</v>
      </c>
      <c r="Q323" s="817">
        <f t="shared" ca="1" si="123"/>
        <v>108.67064606776155</v>
      </c>
      <c r="R323" s="817">
        <f t="shared" ca="1" si="123"/>
        <v>69.084470216807802</v>
      </c>
      <c r="S323" s="566">
        <f t="shared" ca="1" si="123"/>
        <v>175.38077583347447</v>
      </c>
      <c r="T323" s="384"/>
      <c r="U323" s="243">
        <f ca="1">SUM(I323:T323)</f>
        <v>204139.49000000002</v>
      </c>
      <c r="W323" s="646">
        <f t="shared" ca="1" si="98"/>
        <v>0</v>
      </c>
    </row>
    <row r="324" spans="2:23" ht="14.25" customHeight="1" x14ac:dyDescent="0.25">
      <c r="B324" s="645">
        <f t="shared" si="108"/>
        <v>36</v>
      </c>
      <c r="C324" s="173" t="s">
        <v>529</v>
      </c>
      <c r="D324" s="225"/>
      <c r="E324" s="257"/>
      <c r="F324" s="258">
        <f>F121-F276</f>
        <v>0</v>
      </c>
      <c r="G324" s="257"/>
      <c r="H324" s="385"/>
      <c r="I324" s="966"/>
      <c r="J324" s="567">
        <f t="shared" ref="J324:S324" ca="1" si="124">J121-J276</f>
        <v>0</v>
      </c>
      <c r="K324" s="258">
        <f t="shared" ca="1" si="124"/>
        <v>0</v>
      </c>
      <c r="L324" s="258">
        <f t="shared" ca="1" si="124"/>
        <v>0</v>
      </c>
      <c r="M324" s="258">
        <f t="shared" ca="1" si="124"/>
        <v>0</v>
      </c>
      <c r="N324" s="258">
        <f t="shared" ca="1" si="124"/>
        <v>0</v>
      </c>
      <c r="O324" s="258">
        <f t="shared" ca="1" si="124"/>
        <v>0</v>
      </c>
      <c r="P324" s="258">
        <f t="shared" ca="1" si="124"/>
        <v>0</v>
      </c>
      <c r="Q324" s="258">
        <f t="shared" ca="1" si="124"/>
        <v>0</v>
      </c>
      <c r="R324" s="258">
        <f t="shared" ca="1" si="124"/>
        <v>0</v>
      </c>
      <c r="S324" s="259">
        <f t="shared" ca="1" si="124"/>
        <v>0</v>
      </c>
      <c r="T324" s="386"/>
      <c r="U324" s="259">
        <f ca="1">SUM(I324:T324)</f>
        <v>0</v>
      </c>
      <c r="W324" s="646">
        <f t="shared" ca="1" si="98"/>
        <v>0</v>
      </c>
    </row>
    <row r="325" spans="2:23" ht="18" customHeight="1" x14ac:dyDescent="0.25">
      <c r="B325" s="645">
        <f t="shared" si="108"/>
        <v>37</v>
      </c>
      <c r="C325" s="173" t="s">
        <v>530</v>
      </c>
      <c r="D325" s="225"/>
      <c r="E325" s="257"/>
      <c r="F325" s="258">
        <f>F159-F312</f>
        <v>357401241.63999999</v>
      </c>
      <c r="G325" s="257"/>
      <c r="H325" s="385"/>
      <c r="I325" s="966"/>
      <c r="J325" s="567">
        <f t="shared" ref="J325:S325" ca="1" si="125">J159-J312</f>
        <v>186578985.61711627</v>
      </c>
      <c r="K325" s="258">
        <f t="shared" ca="1" si="125"/>
        <v>26174247.843723223</v>
      </c>
      <c r="L325" s="258">
        <f t="shared" ca="1" si="125"/>
        <v>102934820.3853111</v>
      </c>
      <c r="M325" s="258">
        <f t="shared" ca="1" si="125"/>
        <v>4334796.7041245885</v>
      </c>
      <c r="N325" s="258">
        <f t="shared" ca="1" si="125"/>
        <v>33380222.958964899</v>
      </c>
      <c r="O325" s="258">
        <f t="shared" ca="1" si="125"/>
        <v>1095278.4990479839</v>
      </c>
      <c r="P325" s="258">
        <f t="shared" ca="1" si="125"/>
        <v>2284629.9980141995</v>
      </c>
      <c r="Q325" s="258">
        <f t="shared" ca="1" si="125"/>
        <v>190257.27865999349</v>
      </c>
      <c r="R325" s="258">
        <f t="shared" ca="1" si="125"/>
        <v>120950.99989486943</v>
      </c>
      <c r="S325" s="259">
        <f t="shared" ca="1" si="125"/>
        <v>307051.35514284985</v>
      </c>
      <c r="T325" s="386"/>
      <c r="U325" s="261">
        <f ca="1">SUM(I325:T325)</f>
        <v>357401241.63999999</v>
      </c>
      <c r="W325" s="646">
        <f t="shared" ca="1" si="98"/>
        <v>0</v>
      </c>
    </row>
    <row r="326" spans="2:23" ht="18" customHeight="1" x14ac:dyDescent="0.25">
      <c r="B326" s="645">
        <f t="shared" si="108"/>
        <v>38</v>
      </c>
      <c r="C326" s="173" t="s">
        <v>531</v>
      </c>
      <c r="D326" s="225"/>
      <c r="E326" s="257"/>
      <c r="F326" s="258">
        <f>SUM(F324:F325)</f>
        <v>357401241.63999999</v>
      </c>
      <c r="G326" s="257"/>
      <c r="H326" s="385"/>
      <c r="I326" s="966"/>
      <c r="J326" s="567">
        <f t="shared" ref="J326:Q326" ca="1" si="126">SUM(J324:J325)</f>
        <v>186578985.61711627</v>
      </c>
      <c r="K326" s="258">
        <f t="shared" ca="1" si="126"/>
        <v>26174247.843723223</v>
      </c>
      <c r="L326" s="258">
        <f t="shared" ca="1" si="126"/>
        <v>102934820.3853111</v>
      </c>
      <c r="M326" s="258">
        <f t="shared" ca="1" si="126"/>
        <v>4334796.7041245885</v>
      </c>
      <c r="N326" s="258">
        <f t="shared" ca="1" si="126"/>
        <v>33380222.958964899</v>
      </c>
      <c r="O326" s="258">
        <f ca="1">SUM(O324:O325)</f>
        <v>1095278.4990479839</v>
      </c>
      <c r="P326" s="258">
        <f t="shared" ca="1" si="126"/>
        <v>2284629.9980141995</v>
      </c>
      <c r="Q326" s="258">
        <f t="shared" ca="1" si="126"/>
        <v>190257.27865999349</v>
      </c>
      <c r="R326" s="258">
        <f ca="1">SUM(R324:R325)</f>
        <v>120950.99989486943</v>
      </c>
      <c r="S326" s="259">
        <f ca="1">SUM(S324:S325)</f>
        <v>307051.35514284985</v>
      </c>
      <c r="T326" s="386"/>
      <c r="U326" s="261">
        <f ca="1">SUM(I326:T326)</f>
        <v>357401241.63999999</v>
      </c>
      <c r="W326" s="646">
        <f t="shared" ref="W326:W388" ca="1" si="127">U326-F326</f>
        <v>0</v>
      </c>
    </row>
    <row r="327" spans="2:23" ht="18" customHeight="1" thickBot="1" x14ac:dyDescent="0.3">
      <c r="B327" s="645">
        <f t="shared" si="108"/>
        <v>39</v>
      </c>
      <c r="C327" s="262" t="s">
        <v>532</v>
      </c>
      <c r="D327" s="246"/>
      <c r="E327" s="263"/>
      <c r="F327" s="248">
        <f>SUM(F323:F325)</f>
        <v>357605381.13</v>
      </c>
      <c r="G327" s="263"/>
      <c r="H327" s="387"/>
      <c r="I327" s="967"/>
      <c r="J327" s="377">
        <f t="shared" ref="J327:Q327" ca="1" si="128">SUM(J323:J325)</f>
        <v>186685555.30555335</v>
      </c>
      <c r="K327" s="248">
        <f t="shared" ca="1" si="128"/>
        <v>26189197.980945557</v>
      </c>
      <c r="L327" s="248">
        <f t="shared" ca="1" si="128"/>
        <v>102993614.42206451</v>
      </c>
      <c r="M327" s="248">
        <f t="shared" ca="1" si="128"/>
        <v>4337272.6417692732</v>
      </c>
      <c r="N327" s="248">
        <f t="shared" ca="1" si="128"/>
        <v>33399288.985875331</v>
      </c>
      <c r="O327" s="248">
        <f ca="1">SUM(O323:O325)</f>
        <v>1095904.0973060583</v>
      </c>
      <c r="P327" s="248">
        <f t="shared" ca="1" si="128"/>
        <v>2285934.9268960725</v>
      </c>
      <c r="Q327" s="248">
        <f t="shared" ca="1" si="128"/>
        <v>190365.94930606126</v>
      </c>
      <c r="R327" s="248">
        <f ca="1">SUM(R323:R325)</f>
        <v>121020.08436508624</v>
      </c>
      <c r="S327" s="378">
        <f ca="1">SUM(S323:S325)</f>
        <v>307226.73591868335</v>
      </c>
      <c r="T327" s="388"/>
      <c r="U327" s="249">
        <f ca="1">SUM(I327:T327)</f>
        <v>357605381.13000005</v>
      </c>
      <c r="W327" s="646">
        <f t="shared" ca="1" si="127"/>
        <v>0</v>
      </c>
    </row>
    <row r="328" spans="2:23" ht="9" customHeight="1" x14ac:dyDescent="0.2">
      <c r="W328" s="646">
        <f t="shared" si="127"/>
        <v>0</v>
      </c>
    </row>
    <row r="329" spans="2:23" ht="11.25" customHeight="1" x14ac:dyDescent="0.2">
      <c r="B329" s="645"/>
      <c r="C329" s="647"/>
      <c r="D329" s="647"/>
      <c r="E329" s="645"/>
      <c r="F329" s="802"/>
      <c r="G329" s="645"/>
      <c r="H329" s="653"/>
      <c r="I329" s="645"/>
      <c r="J329" s="645"/>
      <c r="K329" s="645"/>
      <c r="L329" s="645"/>
      <c r="M329" s="645"/>
      <c r="N329" s="645"/>
      <c r="O329" s="645"/>
      <c r="P329" s="645"/>
      <c r="Q329" s="645"/>
      <c r="R329" s="645"/>
      <c r="S329" s="645"/>
      <c r="T329" s="645"/>
      <c r="U329" s="653"/>
      <c r="V329" s="653">
        <f>$H$2</f>
        <v>0</v>
      </c>
      <c r="W329" s="646"/>
    </row>
    <row r="330" spans="2:23" ht="9.75" customHeight="1" thickBot="1" x14ac:dyDescent="0.25">
      <c r="B330" s="645"/>
      <c r="C330" s="647"/>
      <c r="D330" s="647"/>
      <c r="E330" s="645"/>
      <c r="F330" s="802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7"/>
      <c r="W330" s="646">
        <f t="shared" si="127"/>
        <v>0</v>
      </c>
    </row>
    <row r="331" spans="2:23" ht="18" customHeight="1" x14ac:dyDescent="0.25">
      <c r="B331" s="829" t="str">
        <f>+$B$4</f>
        <v>2025 RATE CASE</v>
      </c>
      <c r="C331" s="844"/>
      <c r="D331" s="877"/>
      <c r="F331" s="571"/>
      <c r="U331" s="653"/>
      <c r="W331" s="646">
        <f t="shared" si="127"/>
        <v>0</v>
      </c>
    </row>
    <row r="332" spans="2:23" ht="18" customHeight="1" x14ac:dyDescent="0.25">
      <c r="B332" s="826" t="str">
        <f>+$B$5</f>
        <v>ONCOR ELECTRIC DELIVERY COMPANY LLC</v>
      </c>
      <c r="C332" s="8"/>
      <c r="D332" s="878"/>
      <c r="F332" s="571"/>
      <c r="U332" s="653"/>
      <c r="W332" s="646">
        <f t="shared" si="127"/>
        <v>0</v>
      </c>
    </row>
    <row r="333" spans="2:23" ht="18" customHeight="1" x14ac:dyDescent="0.25">
      <c r="B333" s="826" t="str">
        <f>+$B$6</f>
        <v>II-I-1-MET:  CLASS REVENUE REQUIREMENT</v>
      </c>
      <c r="C333" s="82"/>
      <c r="D333" s="878"/>
      <c r="F333" s="571"/>
      <c r="U333" s="571"/>
      <c r="W333" s="646">
        <f t="shared" si="127"/>
        <v>0</v>
      </c>
    </row>
    <row r="334" spans="2:23" ht="18" customHeight="1" x14ac:dyDescent="0.25">
      <c r="B334" s="341" t="str">
        <f>+$B$7</f>
        <v>TEST YEAR ENDING 12/31/2024</v>
      </c>
      <c r="C334" s="82"/>
      <c r="D334" s="878"/>
      <c r="F334" s="571"/>
      <c r="U334" s="571"/>
      <c r="W334" s="646">
        <f t="shared" si="127"/>
        <v>0</v>
      </c>
    </row>
    <row r="335" spans="2:23" ht="18" customHeight="1" x14ac:dyDescent="0.25">
      <c r="B335" s="341" t="str">
        <f>+$B$8</f>
        <v>SPONSOR:  MATTHEW A. TROXLE</v>
      </c>
      <c r="C335" s="82"/>
      <c r="D335" s="878"/>
      <c r="F335" s="571"/>
      <c r="U335" s="571"/>
      <c r="W335" s="646">
        <f t="shared" si="127"/>
        <v>0</v>
      </c>
    </row>
    <row r="336" spans="2:23" ht="18" customHeight="1" thickBot="1" x14ac:dyDescent="0.3">
      <c r="B336" s="345"/>
      <c r="C336" s="843"/>
      <c r="D336" s="879"/>
      <c r="F336" s="571"/>
      <c r="U336" s="571"/>
      <c r="W336" s="646">
        <f t="shared" si="127"/>
        <v>0</v>
      </c>
    </row>
    <row r="337" spans="2:23" ht="18" customHeight="1" thickBot="1" x14ac:dyDescent="0.25">
      <c r="B337" s="655"/>
      <c r="C337" s="656"/>
      <c r="D337" s="656"/>
      <c r="E337" s="656"/>
      <c r="F337" s="655"/>
      <c r="G337" s="656"/>
      <c r="H337" s="656"/>
      <c r="I337" s="656"/>
      <c r="J337" s="657"/>
      <c r="K337" s="657"/>
      <c r="L337" s="656"/>
      <c r="M337" s="657"/>
      <c r="N337" s="657"/>
      <c r="O337" s="657"/>
      <c r="P337" s="657"/>
      <c r="Q337" s="656"/>
      <c r="R337" s="658" t="str">
        <f>R$10</f>
        <v xml:space="preserve"> </v>
      </c>
      <c r="S337" s="659"/>
      <c r="T337" s="657"/>
      <c r="U337" s="655"/>
      <c r="W337" s="646">
        <f t="shared" si="127"/>
        <v>0</v>
      </c>
    </row>
    <row r="338" spans="2:23" ht="18" customHeight="1" x14ac:dyDescent="0.25">
      <c r="B338" s="660" t="s">
        <v>2</v>
      </c>
      <c r="C338" s="660" t="s">
        <v>349</v>
      </c>
      <c r="D338" s="226" t="s">
        <v>533</v>
      </c>
      <c r="E338" s="660" t="s">
        <v>350</v>
      </c>
      <c r="F338" s="226" t="str">
        <f>F$11</f>
        <v>MET</v>
      </c>
      <c r="G338" s="661" t="s">
        <v>688</v>
      </c>
      <c r="H338" s="661" t="s">
        <v>355</v>
      </c>
      <c r="I338" s="660"/>
      <c r="J338" s="661" t="s">
        <v>679</v>
      </c>
      <c r="K338" s="661" t="s">
        <v>388</v>
      </c>
      <c r="L338" s="660" t="s">
        <v>388</v>
      </c>
      <c r="M338" s="661" t="s">
        <v>389</v>
      </c>
      <c r="N338" s="661" t="s">
        <v>389</v>
      </c>
      <c r="O338" s="661" t="s">
        <v>389</v>
      </c>
      <c r="P338" s="661" t="s">
        <v>390</v>
      </c>
      <c r="Q338" s="660" t="s">
        <v>391</v>
      </c>
      <c r="R338" s="662" t="str">
        <f>R$11</f>
        <v>Wholesale</v>
      </c>
      <c r="S338" s="655" t="str">
        <f>S$11</f>
        <v>Wholesale</v>
      </c>
      <c r="T338" s="661"/>
      <c r="U338" s="660" t="s">
        <v>10</v>
      </c>
      <c r="W338" s="646"/>
    </row>
    <row r="339" spans="2:23" ht="18" customHeight="1" x14ac:dyDescent="0.2">
      <c r="B339" s="660"/>
      <c r="C339" s="660"/>
      <c r="D339" s="660"/>
      <c r="E339" s="660"/>
      <c r="F339" s="660"/>
      <c r="G339" s="661" t="s">
        <v>689</v>
      </c>
      <c r="H339" s="661" t="s">
        <v>690</v>
      </c>
      <c r="I339" s="660"/>
      <c r="J339" s="661"/>
      <c r="K339" s="661" t="s">
        <v>680</v>
      </c>
      <c r="L339" s="660" t="s">
        <v>681</v>
      </c>
      <c r="M339" s="661" t="s">
        <v>680</v>
      </c>
      <c r="N339" s="661" t="s">
        <v>681</v>
      </c>
      <c r="O339" s="661" t="s">
        <v>393</v>
      </c>
      <c r="P339" s="661"/>
      <c r="Q339" s="660"/>
      <c r="R339" s="663" t="str">
        <f>R$12</f>
        <v>XFMR</v>
      </c>
      <c r="S339" s="660" t="str">
        <f>S$12</f>
        <v>DLS</v>
      </c>
      <c r="T339" s="661"/>
      <c r="U339" s="660"/>
      <c r="W339" s="646">
        <f t="shared" si="127"/>
        <v>0</v>
      </c>
    </row>
    <row r="340" spans="2:23" ht="18" customHeight="1" thickBot="1" x14ac:dyDescent="0.25">
      <c r="B340" s="664"/>
      <c r="C340" s="664"/>
      <c r="D340" s="664"/>
      <c r="E340" s="664"/>
      <c r="F340" s="664" t="s">
        <v>13</v>
      </c>
      <c r="G340" s="664" t="s">
        <v>14</v>
      </c>
      <c r="H340" s="664" t="s">
        <v>15</v>
      </c>
      <c r="I340" s="664"/>
      <c r="J340" s="665" t="str">
        <f t="shared" ref="J340:Q340" si="129">J$13</f>
        <v>(d)</v>
      </c>
      <c r="K340" s="665" t="str">
        <f t="shared" si="129"/>
        <v>(e)</v>
      </c>
      <c r="L340" s="664" t="str">
        <f t="shared" si="129"/>
        <v>(f)</v>
      </c>
      <c r="M340" s="665" t="str">
        <f t="shared" si="129"/>
        <v>(g)</v>
      </c>
      <c r="N340" s="665" t="str">
        <f t="shared" si="129"/>
        <v>(h)</v>
      </c>
      <c r="O340" s="665" t="str">
        <f>O$13</f>
        <v>(i)</v>
      </c>
      <c r="P340" s="665" t="str">
        <f t="shared" si="129"/>
        <v>(j)</v>
      </c>
      <c r="Q340" s="665" t="str">
        <f t="shared" si="129"/>
        <v>(k)</v>
      </c>
      <c r="R340" s="665" t="str">
        <f>R$13</f>
        <v>(l)</v>
      </c>
      <c r="S340" s="664" t="str">
        <f>S$13</f>
        <v>(m)</v>
      </c>
      <c r="T340" s="664"/>
      <c r="U340" s="664" t="s">
        <v>683</v>
      </c>
      <c r="W340" s="646"/>
    </row>
    <row r="341" spans="2:23" ht="18" customHeight="1" x14ac:dyDescent="0.2">
      <c r="C341" s="645"/>
      <c r="D341" s="645"/>
      <c r="E341" s="645"/>
      <c r="F341" s="645"/>
      <c r="G341" s="645"/>
      <c r="H341" s="645"/>
      <c r="I341" s="645"/>
      <c r="J341" s="645"/>
      <c r="K341" s="645"/>
      <c r="L341" s="645"/>
      <c r="M341" s="645"/>
      <c r="N341" s="645"/>
      <c r="O341" s="645"/>
      <c r="P341" s="645"/>
      <c r="Q341" s="645"/>
      <c r="R341" s="645"/>
      <c r="S341" s="645"/>
      <c r="T341" s="645"/>
      <c r="U341" s="647"/>
      <c r="W341" s="646">
        <f t="shared" si="127"/>
        <v>0</v>
      </c>
    </row>
    <row r="342" spans="2:23" ht="18" customHeight="1" x14ac:dyDescent="0.2">
      <c r="B342" s="645"/>
      <c r="C342" s="647"/>
      <c r="D342" s="647"/>
      <c r="E342" s="645"/>
      <c r="F342" s="802"/>
      <c r="G342" s="645"/>
      <c r="H342" s="645"/>
      <c r="I342" s="645"/>
      <c r="J342" s="645"/>
      <c r="K342" s="645"/>
      <c r="L342" s="645"/>
      <c r="M342" s="645"/>
      <c r="N342" s="645"/>
      <c r="O342" s="645"/>
      <c r="P342" s="645"/>
      <c r="Q342" s="645"/>
      <c r="R342" s="645"/>
      <c r="S342" s="645"/>
      <c r="T342" s="645"/>
      <c r="U342" s="647"/>
      <c r="W342" s="646">
        <f t="shared" si="127"/>
        <v>0</v>
      </c>
    </row>
    <row r="343" spans="2:23" ht="18" customHeight="1" x14ac:dyDescent="0.25">
      <c r="B343" s="645">
        <f t="shared" ref="B343:B368" si="130">B342+1</f>
        <v>1</v>
      </c>
      <c r="C343" s="8" t="s">
        <v>284</v>
      </c>
      <c r="D343" s="647"/>
      <c r="E343" s="1571" t="s">
        <v>34</v>
      </c>
      <c r="F343" s="802"/>
      <c r="G343" s="1571"/>
      <c r="H343" s="1571"/>
      <c r="I343" s="1571"/>
      <c r="J343" s="1571"/>
      <c r="K343" s="1571"/>
      <c r="L343" s="1571"/>
      <c r="M343" s="1571"/>
      <c r="N343" s="1571"/>
      <c r="O343" s="1571"/>
      <c r="P343" s="1571"/>
      <c r="Q343" s="1571"/>
      <c r="R343" s="1571"/>
      <c r="S343" s="1571"/>
      <c r="T343" s="1571"/>
      <c r="U343" s="647"/>
      <c r="W343" s="646">
        <f t="shared" si="127"/>
        <v>0</v>
      </c>
    </row>
    <row r="344" spans="2:23" ht="18" customHeight="1" x14ac:dyDescent="0.25">
      <c r="B344" s="645">
        <f t="shared" si="130"/>
        <v>2</v>
      </c>
      <c r="C344" s="8" t="s">
        <v>534</v>
      </c>
      <c r="D344" s="8"/>
      <c r="E344" s="1571"/>
      <c r="F344" s="8"/>
      <c r="G344" s="1571"/>
      <c r="H344" s="1571"/>
      <c r="I344" s="1571"/>
      <c r="J344" s="1571"/>
      <c r="K344" s="1571"/>
      <c r="L344" s="1571"/>
      <c r="M344" s="1571"/>
      <c r="N344" s="1571"/>
      <c r="O344" s="1571"/>
      <c r="P344" s="1571"/>
      <c r="Q344" s="1571"/>
      <c r="R344" s="1571"/>
      <c r="S344" s="1571"/>
      <c r="T344" s="1571"/>
      <c r="U344" s="8"/>
      <c r="W344" s="646">
        <f t="shared" si="127"/>
        <v>0</v>
      </c>
    </row>
    <row r="345" spans="2:23" ht="18" customHeight="1" x14ac:dyDescent="0.2">
      <c r="B345" s="645">
        <f t="shared" si="130"/>
        <v>3</v>
      </c>
      <c r="C345" s="647" t="s">
        <v>87</v>
      </c>
      <c r="D345" s="647" t="s">
        <v>38</v>
      </c>
      <c r="E345" s="645"/>
      <c r="F345" s="646">
        <f>' WP II-I-1.4'!H345</f>
        <v>0</v>
      </c>
      <c r="G345" s="645">
        <v>61</v>
      </c>
      <c r="H345" s="620" t="str">
        <f t="shared" ref="H345:H353" si="131">VLOOKUP(G345,FactorTable,2)</f>
        <v>PLTOPER_N</v>
      </c>
      <c r="I345" s="645"/>
      <c r="J345" s="648">
        <f t="shared" ref="J345:S353" ca="1" si="132">$F345*HLOOKUP(J$1354,FactorTable,$G345+1)</f>
        <v>0</v>
      </c>
      <c r="K345" s="648">
        <f t="shared" ca="1" si="132"/>
        <v>0</v>
      </c>
      <c r="L345" s="648">
        <f t="shared" ca="1" si="132"/>
        <v>0</v>
      </c>
      <c r="M345" s="648">
        <f t="shared" ca="1" si="132"/>
        <v>0</v>
      </c>
      <c r="N345" s="648">
        <f t="shared" ca="1" si="132"/>
        <v>0</v>
      </c>
      <c r="O345" s="648">
        <f t="shared" ca="1" si="132"/>
        <v>0</v>
      </c>
      <c r="P345" s="648">
        <f t="shared" ca="1" si="132"/>
        <v>0</v>
      </c>
      <c r="Q345" s="648">
        <f t="shared" ca="1" si="132"/>
        <v>0</v>
      </c>
      <c r="R345" s="648">
        <f t="shared" ca="1" si="132"/>
        <v>0</v>
      </c>
      <c r="S345" s="648">
        <f t="shared" ca="1" si="132"/>
        <v>0</v>
      </c>
      <c r="T345" s="645"/>
      <c r="U345" s="646">
        <f t="shared" ref="U345:U354" ca="1" si="133">SUM(I345:T345)</f>
        <v>0</v>
      </c>
      <c r="W345" s="646">
        <f t="shared" ca="1" si="127"/>
        <v>0</v>
      </c>
    </row>
    <row r="346" spans="2:23" ht="18" customHeight="1" x14ac:dyDescent="0.25">
      <c r="B346" s="645">
        <f t="shared" si="130"/>
        <v>4</v>
      </c>
      <c r="C346" s="647" t="s">
        <v>88</v>
      </c>
      <c r="D346" s="647" t="s">
        <v>40</v>
      </c>
      <c r="E346" s="1571"/>
      <c r="F346" s="646">
        <f>' WP II-I-1.4'!H346</f>
        <v>799.17</v>
      </c>
      <c r="G346" s="645">
        <v>61</v>
      </c>
      <c r="H346" s="620" t="str">
        <f t="shared" si="131"/>
        <v>PLTOPER_N</v>
      </c>
      <c r="I346" s="1571"/>
      <c r="J346" s="648">
        <f t="shared" ca="1" si="132"/>
        <v>417.20148271287582</v>
      </c>
      <c r="K346" s="648">
        <f t="shared" ca="1" si="132"/>
        <v>58.527143199849483</v>
      </c>
      <c r="L346" s="648">
        <f t="shared" ca="1" si="132"/>
        <v>230.16825579523208</v>
      </c>
      <c r="M346" s="648">
        <f t="shared" ca="1" si="132"/>
        <v>9.692857993830577</v>
      </c>
      <c r="N346" s="648">
        <f t="shared" ca="1" si="132"/>
        <v>74.640123407815196</v>
      </c>
      <c r="O346" s="648">
        <f t="shared" ca="1" si="132"/>
        <v>2.4491065393831386</v>
      </c>
      <c r="P346" s="648">
        <f t="shared" ca="1" si="132"/>
        <v>5.1085657876703525</v>
      </c>
      <c r="Q346" s="648">
        <f t="shared" ca="1" si="132"/>
        <v>0.42542636026950487</v>
      </c>
      <c r="R346" s="648">
        <f t="shared" ca="1" si="132"/>
        <v>0.27045348287666571</v>
      </c>
      <c r="S346" s="648">
        <f t="shared" ca="1" si="132"/>
        <v>0.68658472019714423</v>
      </c>
      <c r="T346" s="1571"/>
      <c r="U346" s="646">
        <f t="shared" ca="1" si="133"/>
        <v>799.17</v>
      </c>
      <c r="W346" s="646">
        <f t="shared" ca="1" si="127"/>
        <v>0</v>
      </c>
    </row>
    <row r="347" spans="2:23" ht="18" customHeight="1" x14ac:dyDescent="0.25">
      <c r="B347" s="645">
        <f t="shared" si="130"/>
        <v>5</v>
      </c>
      <c r="C347" s="647" t="s">
        <v>89</v>
      </c>
      <c r="D347" s="647" t="s">
        <v>42</v>
      </c>
      <c r="E347" s="1571"/>
      <c r="F347" s="646">
        <f>' WP II-I-1.4'!H347</f>
        <v>2970219.48</v>
      </c>
      <c r="G347" s="645">
        <v>61</v>
      </c>
      <c r="H347" s="620" t="str">
        <f t="shared" si="131"/>
        <v>PLTOPER_N</v>
      </c>
      <c r="I347" s="1571"/>
      <c r="J347" s="648">
        <f t="shared" ca="1" si="132"/>
        <v>1550583.6943812543</v>
      </c>
      <c r="K347" s="648">
        <f t="shared" ca="1" si="132"/>
        <v>217523.75694901269</v>
      </c>
      <c r="L347" s="648">
        <f t="shared" ca="1" si="132"/>
        <v>855450.32601401606</v>
      </c>
      <c r="M347" s="648">
        <f t="shared" ca="1" si="132"/>
        <v>36024.770236807315</v>
      </c>
      <c r="N347" s="648">
        <f t="shared" ca="1" si="132"/>
        <v>277409.74828321469</v>
      </c>
      <c r="O347" s="648">
        <f t="shared" ca="1" si="132"/>
        <v>9102.4237044323309</v>
      </c>
      <c r="P347" s="648">
        <f t="shared" ca="1" si="132"/>
        <v>18986.650671822044</v>
      </c>
      <c r="Q347" s="648">
        <f t="shared" ca="1" si="132"/>
        <v>1581.1525239660916</v>
      </c>
      <c r="R347" s="648">
        <f t="shared" ca="1" si="132"/>
        <v>1005.1756238023436</v>
      </c>
      <c r="S347" s="648">
        <f t="shared" ca="1" si="132"/>
        <v>2551.7816116719941</v>
      </c>
      <c r="T347" s="1571"/>
      <c r="U347" s="646">
        <f t="shared" ca="1" si="133"/>
        <v>2970219.48</v>
      </c>
      <c r="W347" s="646">
        <f t="shared" ca="1" si="127"/>
        <v>0</v>
      </c>
    </row>
    <row r="348" spans="2:23" ht="18" customHeight="1" x14ac:dyDescent="0.25">
      <c r="B348" s="645">
        <f t="shared" si="130"/>
        <v>6</v>
      </c>
      <c r="C348" s="647" t="s">
        <v>90</v>
      </c>
      <c r="D348" s="647" t="s">
        <v>91</v>
      </c>
      <c r="E348" s="1571"/>
      <c r="F348" s="646">
        <f>' WP II-I-1.4'!H348</f>
        <v>240727.43</v>
      </c>
      <c r="G348" s="645">
        <v>61</v>
      </c>
      <c r="H348" s="620" t="str">
        <f t="shared" si="131"/>
        <v>PLTOPER_N</v>
      </c>
      <c r="I348" s="1571"/>
      <c r="J348" s="648">
        <f t="shared" ca="1" si="132"/>
        <v>125670.18372268732</v>
      </c>
      <c r="K348" s="648">
        <f t="shared" ca="1" si="132"/>
        <v>17629.651723340143</v>
      </c>
      <c r="L348" s="648">
        <f t="shared" ca="1" si="132"/>
        <v>69331.697492609615</v>
      </c>
      <c r="M348" s="648">
        <f t="shared" ca="1" si="132"/>
        <v>2919.7001817007526</v>
      </c>
      <c r="N348" s="648">
        <f t="shared" ca="1" si="132"/>
        <v>22483.232707491767</v>
      </c>
      <c r="O348" s="648">
        <f t="shared" ca="1" si="132"/>
        <v>737.72429273107934</v>
      </c>
      <c r="P348" s="648">
        <f t="shared" ca="1" si="132"/>
        <v>1538.8114081507183</v>
      </c>
      <c r="Q348" s="648">
        <f t="shared" ca="1" si="132"/>
        <v>128.14769618720925</v>
      </c>
      <c r="R348" s="648">
        <f t="shared" ca="1" si="132"/>
        <v>81.466486313861566</v>
      </c>
      <c r="S348" s="648">
        <f t="shared" ca="1" si="132"/>
        <v>206.81428878752661</v>
      </c>
      <c r="T348" s="1571"/>
      <c r="U348" s="646">
        <f t="shared" ca="1" si="133"/>
        <v>240727.42999999996</v>
      </c>
      <c r="W348" s="646">
        <f t="shared" ca="1" si="127"/>
        <v>0</v>
      </c>
    </row>
    <row r="349" spans="2:23" ht="18" customHeight="1" x14ac:dyDescent="0.25">
      <c r="B349" s="645">
        <f t="shared" si="130"/>
        <v>7</v>
      </c>
      <c r="C349" s="647" t="s">
        <v>92</v>
      </c>
      <c r="D349" s="647" t="s">
        <v>94</v>
      </c>
      <c r="E349" s="1571"/>
      <c r="F349" s="646">
        <f>' WP II-I-1.4'!H349</f>
        <v>0</v>
      </c>
      <c r="G349" s="645">
        <v>61</v>
      </c>
      <c r="H349" s="620" t="str">
        <f t="shared" si="131"/>
        <v>PLTOPER_N</v>
      </c>
      <c r="I349" s="1571"/>
      <c r="J349" s="648">
        <f t="shared" ca="1" si="132"/>
        <v>0</v>
      </c>
      <c r="K349" s="648">
        <f t="shared" ca="1" si="132"/>
        <v>0</v>
      </c>
      <c r="L349" s="648">
        <f t="shared" ca="1" si="132"/>
        <v>0</v>
      </c>
      <c r="M349" s="648">
        <f t="shared" ca="1" si="132"/>
        <v>0</v>
      </c>
      <c r="N349" s="648">
        <f t="shared" ca="1" si="132"/>
        <v>0</v>
      </c>
      <c r="O349" s="648">
        <f t="shared" ca="1" si="132"/>
        <v>0</v>
      </c>
      <c r="P349" s="648">
        <f t="shared" ca="1" si="132"/>
        <v>0</v>
      </c>
      <c r="Q349" s="648">
        <f t="shared" ca="1" si="132"/>
        <v>0</v>
      </c>
      <c r="R349" s="648">
        <f t="shared" ca="1" si="132"/>
        <v>0</v>
      </c>
      <c r="S349" s="648">
        <f t="shared" ca="1" si="132"/>
        <v>0</v>
      </c>
      <c r="T349" s="1571"/>
      <c r="U349" s="646">
        <f t="shared" ca="1" si="133"/>
        <v>0</v>
      </c>
      <c r="W349" s="646">
        <f t="shared" ca="1" si="127"/>
        <v>0</v>
      </c>
    </row>
    <row r="350" spans="2:23" ht="18" customHeight="1" x14ac:dyDescent="0.25">
      <c r="B350" s="645">
        <f t="shared" si="130"/>
        <v>8</v>
      </c>
      <c r="C350" s="647" t="s">
        <v>95</v>
      </c>
      <c r="D350" s="647" t="s">
        <v>500</v>
      </c>
      <c r="E350" s="1571"/>
      <c r="F350" s="646">
        <f>' WP II-I-1.4'!H350</f>
        <v>85306.45</v>
      </c>
      <c r="G350" s="645">
        <v>61</v>
      </c>
      <c r="H350" s="620" t="str">
        <f t="shared" si="131"/>
        <v>PLTOPER_N</v>
      </c>
      <c r="I350" s="1571"/>
      <c r="J350" s="648">
        <f t="shared" ca="1" si="132"/>
        <v>44533.675469514375</v>
      </c>
      <c r="K350" s="648">
        <f t="shared" ca="1" si="132"/>
        <v>6247.410206865623</v>
      </c>
      <c r="L350" s="648">
        <f t="shared" ca="1" si="132"/>
        <v>24569.03638097423</v>
      </c>
      <c r="M350" s="648">
        <f t="shared" ca="1" si="132"/>
        <v>1034.6525843159884</v>
      </c>
      <c r="N350" s="648">
        <f t="shared" ca="1" si="132"/>
        <v>7967.3710918610768</v>
      </c>
      <c r="O350" s="648">
        <f t="shared" ca="1" si="132"/>
        <v>261.42696115539962</v>
      </c>
      <c r="P350" s="648">
        <f t="shared" ca="1" si="132"/>
        <v>545.3077717351897</v>
      </c>
      <c r="Q350" s="648">
        <f t="shared" ca="1" si="132"/>
        <v>45.41163023012939</v>
      </c>
      <c r="R350" s="648">
        <f t="shared" ca="1" si="132"/>
        <v>28.869234974215924</v>
      </c>
      <c r="S350" s="648">
        <f t="shared" ca="1" si="132"/>
        <v>73.288668373764878</v>
      </c>
      <c r="T350" s="1571"/>
      <c r="U350" s="646">
        <f t="shared" ca="1" si="133"/>
        <v>85306.449999999983</v>
      </c>
      <c r="W350" s="646">
        <f t="shared" ca="1" si="127"/>
        <v>0</v>
      </c>
    </row>
    <row r="351" spans="2:23" ht="18" customHeight="1" x14ac:dyDescent="0.25">
      <c r="B351" s="645">
        <f t="shared" si="130"/>
        <v>9</v>
      </c>
      <c r="C351" s="647" t="s">
        <v>97</v>
      </c>
      <c r="D351" s="647" t="s">
        <v>501</v>
      </c>
      <c r="E351" s="1571"/>
      <c r="F351" s="646">
        <f>' WP II-I-1.4'!H351</f>
        <v>452222.55</v>
      </c>
      <c r="G351" s="645">
        <v>61</v>
      </c>
      <c r="H351" s="620" t="str">
        <f t="shared" si="131"/>
        <v>PLTOPER_N</v>
      </c>
      <c r="I351" s="1571"/>
      <c r="J351" s="648">
        <f t="shared" ca="1" si="132"/>
        <v>236079.83079469652</v>
      </c>
      <c r="K351" s="648">
        <f t="shared" ca="1" si="132"/>
        <v>33118.477848331509</v>
      </c>
      <c r="L351" s="648">
        <f t="shared" ca="1" si="132"/>
        <v>130244.22283715871</v>
      </c>
      <c r="M351" s="648">
        <f t="shared" ca="1" si="132"/>
        <v>5484.8517321195086</v>
      </c>
      <c r="N351" s="648">
        <f t="shared" ca="1" si="132"/>
        <v>42236.253788051203</v>
      </c>
      <c r="O351" s="648">
        <f t="shared" ca="1" si="132"/>
        <v>1385.864339829471</v>
      </c>
      <c r="P351" s="648">
        <f t="shared" ca="1" si="132"/>
        <v>2890.7599726504313</v>
      </c>
      <c r="Q351" s="648">
        <f t="shared" ca="1" si="132"/>
        <v>240.73400337637071</v>
      </c>
      <c r="R351" s="648">
        <f t="shared" ca="1" si="132"/>
        <v>153.0402338461993</v>
      </c>
      <c r="S351" s="648">
        <f t="shared" ca="1" si="132"/>
        <v>388.51444994004913</v>
      </c>
      <c r="T351" s="1571"/>
      <c r="U351" s="646">
        <f t="shared" ca="1" si="133"/>
        <v>452222.55</v>
      </c>
      <c r="W351" s="646">
        <f t="shared" ca="1" si="127"/>
        <v>0</v>
      </c>
    </row>
    <row r="352" spans="2:23" ht="18" customHeight="1" x14ac:dyDescent="0.25">
      <c r="B352" s="645">
        <f t="shared" si="130"/>
        <v>10</v>
      </c>
      <c r="C352" s="647" t="s">
        <v>99</v>
      </c>
      <c r="D352" s="647" t="s">
        <v>100</v>
      </c>
      <c r="E352" s="1571"/>
      <c r="F352" s="646">
        <f>' WP II-I-1.4'!H352</f>
        <v>537112.02</v>
      </c>
      <c r="G352" s="645">
        <v>61</v>
      </c>
      <c r="H352" s="620" t="str">
        <f t="shared" si="131"/>
        <v>PLTOPER_N</v>
      </c>
      <c r="I352" s="1571"/>
      <c r="J352" s="648">
        <f t="shared" ca="1" si="132"/>
        <v>280395.82457663305</v>
      </c>
      <c r="K352" s="648">
        <f t="shared" ca="1" si="132"/>
        <v>39335.350562333952</v>
      </c>
      <c r="L352" s="648">
        <f t="shared" ca="1" si="132"/>
        <v>154693.16517143263</v>
      </c>
      <c r="M352" s="648">
        <f t="shared" ca="1" si="132"/>
        <v>6514.4469094679343</v>
      </c>
      <c r="N352" s="648">
        <f t="shared" ca="1" si="132"/>
        <v>50164.680176459209</v>
      </c>
      <c r="O352" s="648">
        <f t="shared" ca="1" si="132"/>
        <v>1646.0134396477436</v>
      </c>
      <c r="P352" s="648">
        <f t="shared" ca="1" si="132"/>
        <v>3433.4022667498957</v>
      </c>
      <c r="Q352" s="648">
        <f t="shared" ca="1" si="132"/>
        <v>285.92366045472369</v>
      </c>
      <c r="R352" s="648">
        <f t="shared" ca="1" si="132"/>
        <v>181.76835529852389</v>
      </c>
      <c r="S352" s="648">
        <f t="shared" ca="1" si="132"/>
        <v>461.44488152235817</v>
      </c>
      <c r="T352" s="1571"/>
      <c r="U352" s="646">
        <f t="shared" ca="1" si="133"/>
        <v>537112.02</v>
      </c>
      <c r="W352" s="646">
        <f t="shared" ca="1" si="127"/>
        <v>0</v>
      </c>
    </row>
    <row r="353" spans="2:23" ht="18" customHeight="1" x14ac:dyDescent="0.25">
      <c r="B353" s="645">
        <f t="shared" si="130"/>
        <v>11</v>
      </c>
      <c r="C353" s="647" t="s">
        <v>101</v>
      </c>
      <c r="D353" s="647" t="s">
        <v>102</v>
      </c>
      <c r="E353" s="1571"/>
      <c r="F353" s="646">
        <f>' WP II-I-1.4'!H353</f>
        <v>193798.38</v>
      </c>
      <c r="G353" s="645">
        <v>61</v>
      </c>
      <c r="H353" s="620" t="str">
        <f t="shared" si="131"/>
        <v>PLTOPER_N</v>
      </c>
      <c r="I353" s="1571"/>
      <c r="J353" s="651">
        <f t="shared" ca="1" si="132"/>
        <v>101171.17945287404</v>
      </c>
      <c r="K353" s="651">
        <f t="shared" ca="1" si="132"/>
        <v>14192.806959919475</v>
      </c>
      <c r="L353" s="651">
        <f t="shared" ca="1" si="132"/>
        <v>55815.7026671942</v>
      </c>
      <c r="M353" s="651">
        <f t="shared" ca="1" si="132"/>
        <v>2350.5138791176046</v>
      </c>
      <c r="N353" s="651">
        <f t="shared" ca="1" si="132"/>
        <v>18100.197704411657</v>
      </c>
      <c r="O353" s="651">
        <f t="shared" ca="1" si="132"/>
        <v>593.90727852629414</v>
      </c>
      <c r="P353" s="651">
        <f t="shared" ca="1" si="132"/>
        <v>1238.8249981530066</v>
      </c>
      <c r="Q353" s="651">
        <f t="shared" ca="1" si="132"/>
        <v>103.16570870969431</v>
      </c>
      <c r="R353" s="651">
        <f t="shared" ca="1" si="132"/>
        <v>65.584852843394472</v>
      </c>
      <c r="S353" s="651">
        <f t="shared" ca="1" si="132"/>
        <v>166.49649825063483</v>
      </c>
      <c r="T353" s="1571"/>
      <c r="U353" s="646">
        <f t="shared" ca="1" si="133"/>
        <v>193798.37999999998</v>
      </c>
      <c r="W353" s="646">
        <f t="shared" ca="1" si="127"/>
        <v>0</v>
      </c>
    </row>
    <row r="354" spans="2:23" ht="18" customHeight="1" x14ac:dyDescent="0.25">
      <c r="B354" s="645">
        <f t="shared" si="130"/>
        <v>12</v>
      </c>
      <c r="C354" s="8"/>
      <c r="D354" s="233" t="s">
        <v>444</v>
      </c>
      <c r="E354" s="1571"/>
      <c r="F354" s="816">
        <f>SUM(F345:F353)</f>
        <v>4480185.4799999995</v>
      </c>
      <c r="G354" s="1571"/>
      <c r="H354" s="1571"/>
      <c r="I354" s="1571"/>
      <c r="J354" s="816">
        <f t="shared" ref="J354:Q354" ca="1" si="134">SUM(J345:J353)</f>
        <v>2338851.5898803729</v>
      </c>
      <c r="K354" s="816">
        <f t="shared" ca="1" si="134"/>
        <v>328105.98139300325</v>
      </c>
      <c r="L354" s="816">
        <f t="shared" ca="1" si="134"/>
        <v>1290334.3188191806</v>
      </c>
      <c r="M354" s="816">
        <f t="shared" ca="1" si="134"/>
        <v>54338.628381522947</v>
      </c>
      <c r="N354" s="816">
        <f t="shared" ca="1" si="134"/>
        <v>418436.12387489743</v>
      </c>
      <c r="O354" s="816">
        <f ca="1">SUM(O345:O353)</f>
        <v>13729.809122861703</v>
      </c>
      <c r="P354" s="816">
        <f t="shared" ca="1" si="134"/>
        <v>28638.865655048958</v>
      </c>
      <c r="Q354" s="816">
        <f t="shared" ca="1" si="134"/>
        <v>2384.9606492844882</v>
      </c>
      <c r="R354" s="816">
        <f ca="1">SUM(R345:R353)</f>
        <v>1516.1752405614152</v>
      </c>
      <c r="S354" s="816">
        <f ca="1">SUM(S345:S353)</f>
        <v>3849.0269832665244</v>
      </c>
      <c r="T354" s="1571"/>
      <c r="U354" s="235">
        <f t="shared" ca="1" si="133"/>
        <v>4480185.4799999995</v>
      </c>
      <c r="W354" s="646">
        <f t="shared" ca="1" si="127"/>
        <v>0</v>
      </c>
    </row>
    <row r="355" spans="2:23" ht="18" customHeight="1" x14ac:dyDescent="0.25">
      <c r="B355" s="645">
        <f t="shared" si="130"/>
        <v>13</v>
      </c>
      <c r="C355" s="647"/>
      <c r="D355" s="233"/>
      <c r="E355" s="1571"/>
      <c r="F355" s="805"/>
      <c r="G355" s="1571"/>
      <c r="H355" s="1571"/>
      <c r="I355" s="1571"/>
      <c r="J355" s="1571"/>
      <c r="K355" s="1571"/>
      <c r="L355" s="1571"/>
      <c r="M355" s="1571"/>
      <c r="N355" s="1571"/>
      <c r="O355" s="1571"/>
      <c r="P355" s="1571"/>
      <c r="Q355" s="1571"/>
      <c r="R355" s="1571"/>
      <c r="S355" s="1571"/>
      <c r="T355" s="1571"/>
      <c r="U355" s="803"/>
      <c r="W355" s="646">
        <f t="shared" si="127"/>
        <v>0</v>
      </c>
    </row>
    <row r="356" spans="2:23" ht="18" customHeight="1" x14ac:dyDescent="0.25">
      <c r="B356" s="645">
        <f t="shared" si="130"/>
        <v>14</v>
      </c>
      <c r="C356" s="647" t="s">
        <v>1237</v>
      </c>
      <c r="D356" s="650" t="s">
        <v>1230</v>
      </c>
      <c r="E356" s="1571"/>
      <c r="F356" s="668">
        <f>' WP II-I-1.4'!H356</f>
        <v>6754448.7999999998</v>
      </c>
      <c r="G356" s="645">
        <v>63</v>
      </c>
      <c r="H356" s="620" t="str">
        <f>VLOOKUP(G356,FactorTable,2)</f>
        <v>PLTGEN_N</v>
      </c>
      <c r="I356" s="1571"/>
      <c r="J356" s="648">
        <f t="shared" ref="J356:S360" ca="1" si="135">$F356*HLOOKUP(J$1354,FactorTable,$G356+1)</f>
        <v>3526115.9130950924</v>
      </c>
      <c r="K356" s="648">
        <f t="shared" ca="1" si="135"/>
        <v>494661.45144794148</v>
      </c>
      <c r="L356" s="648">
        <f t="shared" ca="1" si="135"/>
        <v>1945342.9172193627</v>
      </c>
      <c r="M356" s="648">
        <f t="shared" ca="1" si="135"/>
        <v>81922.385781497462</v>
      </c>
      <c r="N356" s="648">
        <f t="shared" ca="1" si="135"/>
        <v>630845.61730766809</v>
      </c>
      <c r="O356" s="648">
        <f t="shared" ca="1" si="135"/>
        <v>20699.431567762284</v>
      </c>
      <c r="P356" s="648">
        <f t="shared" ca="1" si="135"/>
        <v>43176.728423553235</v>
      </c>
      <c r="Q356" s="648">
        <f t="shared" ca="1" si="135"/>
        <v>3595.6311781106938</v>
      </c>
      <c r="R356" s="648">
        <f t="shared" ca="1" si="135"/>
        <v>2285.8267988939951</v>
      </c>
      <c r="S356" s="648">
        <f t="shared" ca="1" si="135"/>
        <v>5802.89718011679</v>
      </c>
      <c r="T356" s="1571"/>
      <c r="U356" s="646">
        <f t="shared" ref="U356:U357" ca="1" si="136">SUM(I356:T356)</f>
        <v>6754448.7999999998</v>
      </c>
      <c r="W356" s="646"/>
    </row>
    <row r="357" spans="2:23" ht="18" customHeight="1" x14ac:dyDescent="0.25">
      <c r="B357" s="645">
        <f t="shared" si="130"/>
        <v>15</v>
      </c>
      <c r="C357" s="647" t="s">
        <v>1238</v>
      </c>
      <c r="D357" s="650" t="s">
        <v>1232</v>
      </c>
      <c r="E357" s="1571"/>
      <c r="F357" s="668">
        <f>' WP II-I-1.4'!H357</f>
        <v>1428939.99</v>
      </c>
      <c r="G357" s="645">
        <v>63</v>
      </c>
      <c r="H357" s="620" t="str">
        <f>VLOOKUP(G357,FactorTable,2)</f>
        <v>PLTGEN_N</v>
      </c>
      <c r="I357" s="1571"/>
      <c r="J357" s="648">
        <f t="shared" ca="1" si="135"/>
        <v>745968.79579529003</v>
      </c>
      <c r="K357" s="648">
        <f t="shared" ca="1" si="135"/>
        <v>104648.2918762234</v>
      </c>
      <c r="L357" s="648">
        <f t="shared" ca="1" si="135"/>
        <v>411547.76222124993</v>
      </c>
      <c r="M357" s="648">
        <f t="shared" ca="1" si="135"/>
        <v>17331.121544572095</v>
      </c>
      <c r="N357" s="648">
        <f t="shared" ca="1" si="135"/>
        <v>133458.78498437401</v>
      </c>
      <c r="O357" s="648">
        <f t="shared" ca="1" si="135"/>
        <v>4379.0761338577204</v>
      </c>
      <c r="P357" s="648">
        <f t="shared" ca="1" si="135"/>
        <v>9134.2692362676389</v>
      </c>
      <c r="Q357" s="648">
        <f t="shared" ca="1" si="135"/>
        <v>760.67512417788748</v>
      </c>
      <c r="R357" s="648">
        <f t="shared" ca="1" si="135"/>
        <v>483.57895956711042</v>
      </c>
      <c r="S357" s="648">
        <f t="shared" ca="1" si="135"/>
        <v>1227.6341244199104</v>
      </c>
      <c r="T357" s="1571"/>
      <c r="U357" s="646">
        <f t="shared" ca="1" si="136"/>
        <v>1428939.9899999995</v>
      </c>
      <c r="W357" s="646"/>
    </row>
    <row r="358" spans="2:23" ht="18" customHeight="1" x14ac:dyDescent="0.25">
      <c r="B358" s="645">
        <f t="shared" si="130"/>
        <v>16</v>
      </c>
      <c r="C358" s="647" t="s">
        <v>1239</v>
      </c>
      <c r="D358" s="650" t="s">
        <v>103</v>
      </c>
      <c r="E358" s="1571"/>
      <c r="F358" s="668">
        <f>' WP II-I-1.4'!H358</f>
        <v>2013076.53</v>
      </c>
      <c r="G358" s="645">
        <v>63</v>
      </c>
      <c r="H358" s="620" t="str">
        <f>VLOOKUP(G358,FactorTable,2)</f>
        <v>PLTGEN_N</v>
      </c>
      <c r="I358" s="1571"/>
      <c r="J358" s="648">
        <f t="shared" ca="1" si="135"/>
        <v>1050913.4641321509</v>
      </c>
      <c r="K358" s="648">
        <f t="shared" ca="1" si="135"/>
        <v>147427.47893885663</v>
      </c>
      <c r="L358" s="648">
        <f t="shared" ca="1" si="135"/>
        <v>579784.41844966414</v>
      </c>
      <c r="M358" s="648">
        <f t="shared" ca="1" si="135"/>
        <v>24415.912679408906</v>
      </c>
      <c r="N358" s="648">
        <f t="shared" ca="1" si="135"/>
        <v>188015.41678063033</v>
      </c>
      <c r="O358" s="648">
        <f t="shared" ca="1" si="135"/>
        <v>6169.1991615072066</v>
      </c>
      <c r="P358" s="648">
        <f t="shared" ca="1" si="135"/>
        <v>12868.268189646937</v>
      </c>
      <c r="Q358" s="648">
        <f t="shared" ca="1" si="135"/>
        <v>1071.6315941562673</v>
      </c>
      <c r="R358" s="648">
        <f t="shared" ca="1" si="135"/>
        <v>681.26125709895553</v>
      </c>
      <c r="S358" s="648">
        <f t="shared" ca="1" si="135"/>
        <v>1729.4788168793718</v>
      </c>
      <c r="T358" s="1571"/>
      <c r="U358" s="646">
        <f ca="1">SUM(I358:T358)</f>
        <v>2013076.53</v>
      </c>
      <c r="W358" s="646">
        <f t="shared" ca="1" si="127"/>
        <v>0</v>
      </c>
    </row>
    <row r="359" spans="2:23" ht="18" customHeight="1" x14ac:dyDescent="0.25">
      <c r="B359" s="645">
        <f t="shared" si="130"/>
        <v>17</v>
      </c>
      <c r="C359" s="647" t="s">
        <v>105</v>
      </c>
      <c r="D359" s="647" t="s">
        <v>502</v>
      </c>
      <c r="E359" s="1571"/>
      <c r="F359" s="646">
        <f>' WP II-I-1.4'!H359</f>
        <v>211936.69</v>
      </c>
      <c r="G359" s="645">
        <v>61</v>
      </c>
      <c r="H359" s="620" t="str">
        <f>VLOOKUP(G359,FactorTable,2)</f>
        <v>PLTOPER_N</v>
      </c>
      <c r="I359" s="1571"/>
      <c r="J359" s="648">
        <f t="shared" ca="1" si="135"/>
        <v>110640.16580860033</v>
      </c>
      <c r="K359" s="648">
        <f t="shared" ca="1" si="135"/>
        <v>15521.164464296844</v>
      </c>
      <c r="L359" s="648">
        <f t="shared" ca="1" si="135"/>
        <v>61039.701535736836</v>
      </c>
      <c r="M359" s="648">
        <f t="shared" ca="1" si="135"/>
        <v>2570.5072010366916</v>
      </c>
      <c r="N359" s="648">
        <f t="shared" ca="1" si="135"/>
        <v>19794.262417563063</v>
      </c>
      <c r="O359" s="648">
        <f t="shared" ca="1" si="135"/>
        <v>649.49326603127872</v>
      </c>
      <c r="P359" s="648">
        <f t="shared" ca="1" si="135"/>
        <v>1354.771229758496</v>
      </c>
      <c r="Q359" s="648">
        <f t="shared" ca="1" si="135"/>
        <v>112.82137046469008</v>
      </c>
      <c r="R359" s="648">
        <f t="shared" ca="1" si="135"/>
        <v>71.723182751920376</v>
      </c>
      <c r="S359" s="648">
        <f t="shared" ca="1" si="135"/>
        <v>182.07952375984948</v>
      </c>
      <c r="T359" s="1571"/>
      <c r="U359" s="646">
        <f ca="1">SUM(I359:T359)</f>
        <v>211936.69</v>
      </c>
      <c r="W359" s="646">
        <f t="shared" ca="1" si="127"/>
        <v>0</v>
      </c>
    </row>
    <row r="360" spans="2:23" ht="18" customHeight="1" x14ac:dyDescent="0.25">
      <c r="B360" s="645">
        <f t="shared" si="130"/>
        <v>18</v>
      </c>
      <c r="C360" s="647" t="s">
        <v>107</v>
      </c>
      <c r="D360" s="1" t="s">
        <v>108</v>
      </c>
      <c r="E360" s="1571"/>
      <c r="F360" s="646">
        <f>' WP II-I-1.4'!H360</f>
        <v>0</v>
      </c>
      <c r="G360" s="645">
        <v>61</v>
      </c>
      <c r="H360" s="620" t="str">
        <f>VLOOKUP(G360,FactorTable,2)</f>
        <v>PLTOPER_N</v>
      </c>
      <c r="I360" s="1571"/>
      <c r="J360" s="651">
        <f t="shared" ca="1" si="135"/>
        <v>0</v>
      </c>
      <c r="K360" s="651">
        <f t="shared" ca="1" si="135"/>
        <v>0</v>
      </c>
      <c r="L360" s="651">
        <f t="shared" ca="1" si="135"/>
        <v>0</v>
      </c>
      <c r="M360" s="651">
        <f t="shared" ca="1" si="135"/>
        <v>0</v>
      </c>
      <c r="N360" s="651">
        <f t="shared" ca="1" si="135"/>
        <v>0</v>
      </c>
      <c r="O360" s="651">
        <f t="shared" ca="1" si="135"/>
        <v>0</v>
      </c>
      <c r="P360" s="651">
        <f t="shared" ca="1" si="135"/>
        <v>0</v>
      </c>
      <c r="Q360" s="651">
        <f t="shared" ca="1" si="135"/>
        <v>0</v>
      </c>
      <c r="R360" s="651">
        <f t="shared" ca="1" si="135"/>
        <v>0</v>
      </c>
      <c r="S360" s="651">
        <f t="shared" ca="1" si="135"/>
        <v>0</v>
      </c>
      <c r="T360" s="1571"/>
      <c r="U360" s="646">
        <f ca="1">SUM(I360:T360)</f>
        <v>0</v>
      </c>
      <c r="W360" s="646">
        <f t="shared" ca="1" si="127"/>
        <v>0</v>
      </c>
    </row>
    <row r="361" spans="2:23" ht="18" customHeight="1" x14ac:dyDescent="0.25">
      <c r="B361" s="645">
        <f t="shared" si="130"/>
        <v>19</v>
      </c>
      <c r="C361" s="8"/>
      <c r="D361" s="233" t="s">
        <v>444</v>
      </c>
      <c r="E361" s="1571"/>
      <c r="F361" s="805">
        <f>SUM(F356:F360)</f>
        <v>10408402.01</v>
      </c>
      <c r="G361" s="1571"/>
      <c r="H361" s="1571"/>
      <c r="I361" s="1571"/>
      <c r="J361" s="805">
        <f t="shared" ref="J361:S361" ca="1" si="137">SUM(J356:J360)</f>
        <v>5433638.3388311332</v>
      </c>
      <c r="K361" s="805">
        <f t="shared" ca="1" si="137"/>
        <v>762258.3867273184</v>
      </c>
      <c r="L361" s="805">
        <f t="shared" ca="1" si="137"/>
        <v>2997714.7994260131</v>
      </c>
      <c r="M361" s="805">
        <f t="shared" ca="1" si="137"/>
        <v>126239.92720651515</v>
      </c>
      <c r="N361" s="805">
        <f t="shared" ca="1" si="137"/>
        <v>972114.0814902354</v>
      </c>
      <c r="O361" s="805">
        <f t="shared" ca="1" si="137"/>
        <v>31897.200129158489</v>
      </c>
      <c r="P361" s="805">
        <f t="shared" ca="1" si="137"/>
        <v>66534.037079226313</v>
      </c>
      <c r="Q361" s="805">
        <f t="shared" ca="1" si="137"/>
        <v>5540.7592669095393</v>
      </c>
      <c r="R361" s="805">
        <f t="shared" ca="1" si="137"/>
        <v>3522.3901983119813</v>
      </c>
      <c r="S361" s="805">
        <f t="shared" ca="1" si="137"/>
        <v>8942.0896451759199</v>
      </c>
      <c r="T361" s="1571"/>
      <c r="U361" s="235">
        <f ca="1">SUM(I361:T361)</f>
        <v>10408402.009999996</v>
      </c>
      <c r="W361" s="646">
        <f t="shared" ca="1" si="127"/>
        <v>0</v>
      </c>
    </row>
    <row r="362" spans="2:23" ht="18" customHeight="1" thickBot="1" x14ac:dyDescent="0.25">
      <c r="B362" s="645">
        <f t="shared" si="130"/>
        <v>20</v>
      </c>
      <c r="C362" s="647"/>
      <c r="D362" s="647"/>
      <c r="E362" s="645"/>
      <c r="F362" s="802"/>
      <c r="G362" s="645"/>
      <c r="H362" s="645"/>
      <c r="I362" s="645"/>
      <c r="J362" s="802"/>
      <c r="K362" s="802"/>
      <c r="L362" s="802"/>
      <c r="M362" s="802"/>
      <c r="N362" s="802"/>
      <c r="O362" s="802"/>
      <c r="P362" s="802"/>
      <c r="Q362" s="802"/>
      <c r="R362" s="802"/>
      <c r="S362" s="802"/>
      <c r="T362" s="645"/>
      <c r="U362" s="647"/>
      <c r="W362" s="646">
        <f t="shared" si="127"/>
        <v>0</v>
      </c>
    </row>
    <row r="363" spans="2:23" ht="18" customHeight="1" x14ac:dyDescent="0.25">
      <c r="B363" s="645">
        <f t="shared" si="130"/>
        <v>21</v>
      </c>
      <c r="C363" s="255" t="s">
        <v>536</v>
      </c>
      <c r="D363" s="240"/>
      <c r="E363" s="241"/>
      <c r="F363" s="264">
        <f>+F361+F354</f>
        <v>14888587.489999998</v>
      </c>
      <c r="G363" s="241"/>
      <c r="H363" s="372"/>
      <c r="I363" s="769"/>
      <c r="J363" s="389">
        <f t="shared" ref="J363:Q363" ca="1" si="138">+J361+J354</f>
        <v>7772489.9287115056</v>
      </c>
      <c r="K363" s="264">
        <f t="shared" ca="1" si="138"/>
        <v>1090364.3681203215</v>
      </c>
      <c r="L363" s="264">
        <f t="shared" ca="1" si="138"/>
        <v>4288049.1182451937</v>
      </c>
      <c r="M363" s="264">
        <f t="shared" ca="1" si="138"/>
        <v>180578.55558803809</v>
      </c>
      <c r="N363" s="264">
        <f t="shared" ca="1" si="138"/>
        <v>1390550.2053651328</v>
      </c>
      <c r="O363" s="264">
        <f ca="1">+O361+O354</f>
        <v>45627.009252020194</v>
      </c>
      <c r="P363" s="264">
        <f t="shared" ca="1" si="138"/>
        <v>95172.902734275267</v>
      </c>
      <c r="Q363" s="264">
        <f t="shared" ca="1" si="138"/>
        <v>7925.719916194028</v>
      </c>
      <c r="R363" s="264">
        <f ca="1">+R361+R354</f>
        <v>5038.5654388733965</v>
      </c>
      <c r="S363" s="243">
        <f ca="1">+S361+S354</f>
        <v>12791.116628442443</v>
      </c>
      <c r="T363" s="373"/>
      <c r="U363" s="243">
        <f ca="1">SUM(I363:T363)</f>
        <v>14888587.49</v>
      </c>
      <c r="W363" s="646">
        <f t="shared" ca="1" si="127"/>
        <v>0</v>
      </c>
    </row>
    <row r="364" spans="2:23" ht="18" customHeight="1" thickBot="1" x14ac:dyDescent="0.3">
      <c r="B364" s="645">
        <f t="shared" si="130"/>
        <v>22</v>
      </c>
      <c r="C364" s="262" t="s">
        <v>537</v>
      </c>
      <c r="D364" s="246"/>
      <c r="E364" s="263"/>
      <c r="F364" s="248">
        <f>+F221-F363</f>
        <v>63532596.789999977</v>
      </c>
      <c r="G364" s="263"/>
      <c r="H364" s="387"/>
      <c r="I364" s="967"/>
      <c r="J364" s="377">
        <f t="shared" ref="J364:Q364" ca="1" si="139">+J221-J363</f>
        <v>33166777.508399084</v>
      </c>
      <c r="K364" s="248">
        <f t="shared" ca="1" si="139"/>
        <v>4652804.0219060108</v>
      </c>
      <c r="L364" s="248">
        <f t="shared" ca="1" si="139"/>
        <v>18297967.878293805</v>
      </c>
      <c r="M364" s="248">
        <f t="shared" ca="1" si="139"/>
        <v>770565.00952834345</v>
      </c>
      <c r="N364" s="248">
        <f t="shared" ca="1" si="139"/>
        <v>5933757.3542857748</v>
      </c>
      <c r="O364" s="248">
        <f ca="1">+O221-O363</f>
        <v>194699.62368755226</v>
      </c>
      <c r="P364" s="248">
        <f t="shared" ca="1" si="139"/>
        <v>406121.91444029316</v>
      </c>
      <c r="Q364" s="248">
        <f t="shared" ca="1" si="139"/>
        <v>33820.640678253323</v>
      </c>
      <c r="R364" s="248">
        <f ca="1">+R221-R363</f>
        <v>21500.571940956695</v>
      </c>
      <c r="S364" s="378">
        <f ca="1">+S221-S363</f>
        <v>54582.266839921576</v>
      </c>
      <c r="T364" s="388"/>
      <c r="U364" s="249">
        <f ca="1">SUM(I364:T364)</f>
        <v>63532596.790000007</v>
      </c>
      <c r="W364" s="646">
        <f t="shared" ca="1" si="127"/>
        <v>0</v>
      </c>
    </row>
    <row r="365" spans="2:23" ht="18" customHeight="1" thickBot="1" x14ac:dyDescent="0.25">
      <c r="B365" s="645">
        <f t="shared" si="130"/>
        <v>23</v>
      </c>
      <c r="C365" s="647"/>
      <c r="D365" s="649"/>
      <c r="E365" s="691"/>
      <c r="F365" s="802"/>
      <c r="G365" s="691"/>
      <c r="H365" s="691"/>
      <c r="I365" s="691"/>
      <c r="J365" s="802"/>
      <c r="K365" s="802"/>
      <c r="L365" s="802"/>
      <c r="M365" s="802"/>
      <c r="N365" s="802"/>
      <c r="O365" s="802"/>
      <c r="P365" s="802"/>
      <c r="Q365" s="802"/>
      <c r="R365" s="802"/>
      <c r="S365" s="802"/>
      <c r="T365" s="691"/>
      <c r="U365" s="802"/>
      <c r="W365" s="646">
        <f t="shared" si="127"/>
        <v>0</v>
      </c>
    </row>
    <row r="366" spans="2:23" ht="18" customHeight="1" thickBot="1" x14ac:dyDescent="0.3">
      <c r="B366" s="645">
        <f t="shared" si="130"/>
        <v>24</v>
      </c>
      <c r="C366" s="223" t="s">
        <v>538</v>
      </c>
      <c r="D366" s="224"/>
      <c r="E366" s="266"/>
      <c r="F366" s="812">
        <f>F364+F327</f>
        <v>421137977.91999996</v>
      </c>
      <c r="G366" s="266"/>
      <c r="H366" s="390"/>
      <c r="I366" s="969"/>
      <c r="J366" s="381">
        <f t="shared" ref="J366:Q366" ca="1" si="140">J364+J327</f>
        <v>219852332.81395245</v>
      </c>
      <c r="K366" s="812">
        <f t="shared" ca="1" si="140"/>
        <v>30842002.002851568</v>
      </c>
      <c r="L366" s="812">
        <f t="shared" ca="1" si="140"/>
        <v>121291582.30035833</v>
      </c>
      <c r="M366" s="812">
        <f t="shared" ca="1" si="140"/>
        <v>5107837.6512976168</v>
      </c>
      <c r="N366" s="812">
        <f t="shared" ca="1" si="140"/>
        <v>39333046.340161107</v>
      </c>
      <c r="O366" s="812">
        <f ca="1">O364+O327</f>
        <v>1290603.7209936106</v>
      </c>
      <c r="P366" s="812">
        <f t="shared" ca="1" si="140"/>
        <v>2692056.8413363658</v>
      </c>
      <c r="Q366" s="812">
        <f t="shared" ca="1" si="140"/>
        <v>224186.58998431457</v>
      </c>
      <c r="R366" s="812">
        <f ca="1">R364+R327</f>
        <v>142520.65630604292</v>
      </c>
      <c r="S366" s="315">
        <f ca="1">S364+S327</f>
        <v>361809.00275860494</v>
      </c>
      <c r="T366" s="391"/>
      <c r="U366" s="195">
        <f ca="1">SUM(I366:T366)</f>
        <v>421137977.92000002</v>
      </c>
      <c r="W366" s="646">
        <f t="shared" ca="1" si="127"/>
        <v>0</v>
      </c>
    </row>
    <row r="367" spans="2:23" ht="18" customHeight="1" thickBot="1" x14ac:dyDescent="0.3">
      <c r="B367" s="645">
        <f t="shared" si="130"/>
        <v>25</v>
      </c>
      <c r="C367" s="8"/>
      <c r="D367" s="8"/>
      <c r="E367" s="233"/>
      <c r="F367" s="805"/>
      <c r="G367" s="233"/>
      <c r="H367" s="233"/>
      <c r="I367" s="233"/>
      <c r="J367" s="805"/>
      <c r="K367" s="805"/>
      <c r="L367" s="805"/>
      <c r="M367" s="805"/>
      <c r="N367" s="805"/>
      <c r="O367" s="805"/>
      <c r="P367" s="805"/>
      <c r="Q367" s="805"/>
      <c r="R367" s="805"/>
      <c r="S367" s="805"/>
      <c r="T367" s="233"/>
      <c r="U367" s="805"/>
      <c r="W367" s="646">
        <f t="shared" si="127"/>
        <v>0</v>
      </c>
    </row>
    <row r="368" spans="2:23" ht="18" customHeight="1" thickBot="1" x14ac:dyDescent="0.3">
      <c r="B368" s="645">
        <f t="shared" si="130"/>
        <v>26</v>
      </c>
      <c r="C368" s="223" t="s">
        <v>539</v>
      </c>
      <c r="D368" s="224"/>
      <c r="E368" s="266"/>
      <c r="F368" s="812">
        <f>F364+F326</f>
        <v>420933838.42999995</v>
      </c>
      <c r="G368" s="266"/>
      <c r="H368" s="390"/>
      <c r="I368" s="969"/>
      <c r="J368" s="381">
        <f t="shared" ref="J368:Q368" ca="1" si="141">J364+J326</f>
        <v>219745763.12551534</v>
      </c>
      <c r="K368" s="812">
        <f t="shared" ca="1" si="141"/>
        <v>30827051.865629233</v>
      </c>
      <c r="L368" s="812">
        <f t="shared" ca="1" si="141"/>
        <v>121232788.26360491</v>
      </c>
      <c r="M368" s="812">
        <f t="shared" ca="1" si="141"/>
        <v>5105361.7136529321</v>
      </c>
      <c r="N368" s="812">
        <f t="shared" ca="1" si="141"/>
        <v>39313980.313250676</v>
      </c>
      <c r="O368" s="812">
        <f ca="1">O364+O326</f>
        <v>1289978.1227355362</v>
      </c>
      <c r="P368" s="812">
        <f t="shared" ca="1" si="141"/>
        <v>2690751.9124544929</v>
      </c>
      <c r="Q368" s="812">
        <f t="shared" ca="1" si="141"/>
        <v>224077.91933824681</v>
      </c>
      <c r="R368" s="812">
        <f ca="1">R364+R326</f>
        <v>142451.57183582612</v>
      </c>
      <c r="S368" s="315">
        <f ca="1">S364+S326</f>
        <v>361633.62198277144</v>
      </c>
      <c r="T368" s="391"/>
      <c r="U368" s="195">
        <f ca="1">SUM(I368:T368)</f>
        <v>420933838.42999989</v>
      </c>
      <c r="W368" s="646">
        <f t="shared" ca="1" si="127"/>
        <v>0</v>
      </c>
    </row>
    <row r="369" spans="2:23" ht="18" customHeight="1" x14ac:dyDescent="0.2">
      <c r="W369" s="646">
        <f t="shared" si="127"/>
        <v>0</v>
      </c>
    </row>
    <row r="370" spans="2:23" ht="18" customHeight="1" x14ac:dyDescent="0.2">
      <c r="H370" s="653"/>
      <c r="U370" s="653"/>
      <c r="V370" s="653">
        <f>$H$2</f>
        <v>0</v>
      </c>
      <c r="W370" s="646"/>
    </row>
    <row r="371" spans="2:23" ht="18" customHeight="1" thickBot="1" x14ac:dyDescent="0.25">
      <c r="W371" s="646">
        <f t="shared" si="127"/>
        <v>0</v>
      </c>
    </row>
    <row r="372" spans="2:23" ht="18" customHeight="1" x14ac:dyDescent="0.25">
      <c r="B372" s="829" t="str">
        <f>+$B$4</f>
        <v>2025 RATE CASE</v>
      </c>
      <c r="C372" s="844"/>
      <c r="D372" s="874"/>
      <c r="F372" s="654"/>
      <c r="U372" s="653"/>
      <c r="W372" s="646">
        <f t="shared" si="127"/>
        <v>0</v>
      </c>
    </row>
    <row r="373" spans="2:23" ht="18" customHeight="1" x14ac:dyDescent="0.25">
      <c r="B373" s="826" t="str">
        <f>+$B$5</f>
        <v>ONCOR ELECTRIC DELIVERY COMPANY LLC</v>
      </c>
      <c r="C373" s="8"/>
      <c r="D373" s="875"/>
      <c r="F373" s="654"/>
      <c r="U373" s="653"/>
      <c r="W373" s="646">
        <f t="shared" si="127"/>
        <v>0</v>
      </c>
    </row>
    <row r="374" spans="2:23" ht="18" customHeight="1" x14ac:dyDescent="0.25">
      <c r="B374" s="826" t="str">
        <f>+$B$6</f>
        <v>II-I-1-MET:  CLASS REVENUE REQUIREMENT</v>
      </c>
      <c r="C374" s="82"/>
      <c r="D374" s="875"/>
      <c r="F374" s="654"/>
      <c r="U374" s="654"/>
      <c r="W374" s="646">
        <f t="shared" si="127"/>
        <v>0</v>
      </c>
    </row>
    <row r="375" spans="2:23" ht="18" customHeight="1" x14ac:dyDescent="0.25">
      <c r="B375" s="341" t="str">
        <f>+$B$7</f>
        <v>TEST YEAR ENDING 12/31/2024</v>
      </c>
      <c r="C375" s="82"/>
      <c r="D375" s="875"/>
      <c r="F375" s="654"/>
      <c r="U375" s="654"/>
      <c r="W375" s="646">
        <f t="shared" si="127"/>
        <v>0</v>
      </c>
    </row>
    <row r="376" spans="2:23" ht="18" customHeight="1" x14ac:dyDescent="0.25">
      <c r="B376" s="341" t="str">
        <f>+$B$8</f>
        <v>SPONSOR:  MATTHEW A. TROXLE</v>
      </c>
      <c r="C376" s="82"/>
      <c r="D376" s="875"/>
      <c r="F376" s="654"/>
      <c r="U376" s="654"/>
      <c r="W376" s="646">
        <f t="shared" si="127"/>
        <v>0</v>
      </c>
    </row>
    <row r="377" spans="2:23" ht="18" customHeight="1" thickBot="1" x14ac:dyDescent="0.3">
      <c r="B377" s="345"/>
      <c r="C377" s="843"/>
      <c r="D377" s="876"/>
      <c r="F377" s="654"/>
      <c r="U377" s="654"/>
      <c r="W377" s="646">
        <f t="shared" si="127"/>
        <v>0</v>
      </c>
    </row>
    <row r="378" spans="2:23" ht="18" customHeight="1" thickBot="1" x14ac:dyDescent="0.25">
      <c r="B378" s="655"/>
      <c r="C378" s="656"/>
      <c r="D378" s="656"/>
      <c r="E378" s="656"/>
      <c r="F378" s="655"/>
      <c r="G378" s="656"/>
      <c r="H378" s="656"/>
      <c r="I378" s="656"/>
      <c r="J378" s="657"/>
      <c r="K378" s="657"/>
      <c r="L378" s="656"/>
      <c r="M378" s="657"/>
      <c r="N378" s="657"/>
      <c r="O378" s="657"/>
      <c r="P378" s="657"/>
      <c r="Q378" s="656"/>
      <c r="R378" s="658" t="str">
        <f>R$10</f>
        <v xml:space="preserve"> </v>
      </c>
      <c r="S378" s="659"/>
      <c r="T378" s="657"/>
      <c r="U378" s="655"/>
      <c r="W378" s="646"/>
    </row>
    <row r="379" spans="2:23" ht="18" customHeight="1" x14ac:dyDescent="0.25">
      <c r="B379" s="660" t="s">
        <v>2</v>
      </c>
      <c r="C379" s="660" t="s">
        <v>349</v>
      </c>
      <c r="D379" s="226" t="s">
        <v>113</v>
      </c>
      <c r="E379" s="660" t="s">
        <v>350</v>
      </c>
      <c r="F379" s="226" t="str">
        <f>F$11</f>
        <v>MET</v>
      </c>
      <c r="G379" s="661" t="s">
        <v>688</v>
      </c>
      <c r="H379" s="661" t="s">
        <v>355</v>
      </c>
      <c r="I379" s="660"/>
      <c r="J379" s="661" t="s">
        <v>679</v>
      </c>
      <c r="K379" s="661" t="s">
        <v>388</v>
      </c>
      <c r="L379" s="660" t="s">
        <v>388</v>
      </c>
      <c r="M379" s="661" t="s">
        <v>389</v>
      </c>
      <c r="N379" s="661" t="s">
        <v>389</v>
      </c>
      <c r="O379" s="661" t="s">
        <v>389</v>
      </c>
      <c r="P379" s="661" t="s">
        <v>390</v>
      </c>
      <c r="Q379" s="660" t="s">
        <v>391</v>
      </c>
      <c r="R379" s="662" t="str">
        <f>R$11</f>
        <v>Wholesale</v>
      </c>
      <c r="S379" s="655" t="str">
        <f>S$11</f>
        <v>Wholesale</v>
      </c>
      <c r="T379" s="661"/>
      <c r="U379" s="660" t="s">
        <v>10</v>
      </c>
      <c r="W379" s="646"/>
    </row>
    <row r="380" spans="2:23" ht="18" customHeight="1" x14ac:dyDescent="0.2">
      <c r="B380" s="660"/>
      <c r="C380" s="660"/>
      <c r="D380" s="660"/>
      <c r="E380" s="660"/>
      <c r="F380" s="660"/>
      <c r="G380" s="661" t="s">
        <v>689</v>
      </c>
      <c r="H380" s="661" t="s">
        <v>690</v>
      </c>
      <c r="I380" s="660"/>
      <c r="J380" s="661"/>
      <c r="K380" s="661" t="s">
        <v>680</v>
      </c>
      <c r="L380" s="660" t="s">
        <v>681</v>
      </c>
      <c r="M380" s="661" t="s">
        <v>680</v>
      </c>
      <c r="N380" s="661" t="s">
        <v>681</v>
      </c>
      <c r="O380" s="661" t="s">
        <v>393</v>
      </c>
      <c r="P380" s="661"/>
      <c r="Q380" s="660"/>
      <c r="R380" s="663" t="str">
        <f>R$12</f>
        <v>XFMR</v>
      </c>
      <c r="S380" s="660" t="str">
        <f>S$12</f>
        <v>DLS</v>
      </c>
      <c r="T380" s="661"/>
      <c r="U380" s="660"/>
      <c r="W380" s="646"/>
    </row>
    <row r="381" spans="2:23" ht="18" customHeight="1" thickBot="1" x14ac:dyDescent="0.25">
      <c r="B381" s="664"/>
      <c r="C381" s="664"/>
      <c r="D381" s="664"/>
      <c r="E381" s="664"/>
      <c r="F381" s="664" t="s">
        <v>13</v>
      </c>
      <c r="G381" s="664" t="s">
        <v>14</v>
      </c>
      <c r="H381" s="664" t="s">
        <v>15</v>
      </c>
      <c r="I381" s="664"/>
      <c r="J381" s="665" t="str">
        <f t="shared" ref="J381:Q381" si="142">J$13</f>
        <v>(d)</v>
      </c>
      <c r="K381" s="665" t="str">
        <f t="shared" si="142"/>
        <v>(e)</v>
      </c>
      <c r="L381" s="664" t="str">
        <f t="shared" si="142"/>
        <v>(f)</v>
      </c>
      <c r="M381" s="665" t="str">
        <f t="shared" si="142"/>
        <v>(g)</v>
      </c>
      <c r="N381" s="665" t="str">
        <f t="shared" si="142"/>
        <v>(h)</v>
      </c>
      <c r="O381" s="665" t="str">
        <f>O$13</f>
        <v>(i)</v>
      </c>
      <c r="P381" s="665" t="str">
        <f t="shared" si="142"/>
        <v>(j)</v>
      </c>
      <c r="Q381" s="665" t="str">
        <f t="shared" si="142"/>
        <v>(k)</v>
      </c>
      <c r="R381" s="665" t="str">
        <f>R$13</f>
        <v>(l)</v>
      </c>
      <c r="S381" s="664" t="str">
        <f>S$13</f>
        <v>(m)</v>
      </c>
      <c r="T381" s="664"/>
      <c r="U381" s="664" t="s">
        <v>683</v>
      </c>
      <c r="W381" s="646"/>
    </row>
    <row r="382" spans="2:23" ht="18" customHeight="1" x14ac:dyDescent="0.2">
      <c r="C382" s="666"/>
      <c r="D382" s="666"/>
      <c r="E382" s="666"/>
      <c r="F382" s="666"/>
      <c r="G382" s="666"/>
      <c r="H382" s="666"/>
      <c r="I382" s="666"/>
      <c r="J382" s="666"/>
      <c r="K382" s="666"/>
      <c r="L382" s="666"/>
      <c r="M382" s="666"/>
      <c r="N382" s="666"/>
      <c r="O382" s="666"/>
      <c r="P382" s="666"/>
      <c r="Q382" s="666"/>
      <c r="R382" s="666"/>
      <c r="S382" s="666"/>
      <c r="T382" s="666"/>
      <c r="U382" s="611"/>
      <c r="W382" s="646"/>
    </row>
    <row r="383" spans="2:23" ht="18" customHeight="1" x14ac:dyDescent="0.25">
      <c r="B383" s="645">
        <f t="shared" ref="B383:B388" si="143">B382+1</f>
        <v>1</v>
      </c>
      <c r="C383" s="269" t="s">
        <v>110</v>
      </c>
      <c r="D383" s="34"/>
      <c r="E383" s="806"/>
      <c r="F383" s="807"/>
      <c r="G383" s="806"/>
      <c r="H383" s="806"/>
      <c r="I383" s="806"/>
      <c r="J383" s="806"/>
      <c r="K383" s="806"/>
      <c r="L383" s="806"/>
      <c r="M383" s="806"/>
      <c r="N383" s="806"/>
      <c r="O383" s="806"/>
      <c r="P383" s="806"/>
      <c r="Q383" s="806"/>
      <c r="R383" s="806"/>
      <c r="S383" s="806"/>
      <c r="T383" s="806"/>
      <c r="U383" s="34"/>
      <c r="W383" s="646">
        <f t="shared" si="127"/>
        <v>0</v>
      </c>
    </row>
    <row r="384" spans="2:23" ht="18" customHeight="1" x14ac:dyDescent="0.25">
      <c r="B384" s="645">
        <f t="shared" si="143"/>
        <v>2</v>
      </c>
      <c r="C384" s="269"/>
      <c r="D384" s="611"/>
      <c r="E384" s="813"/>
      <c r="F384" s="813"/>
      <c r="G384" s="813"/>
      <c r="H384" s="813"/>
      <c r="I384" s="813"/>
      <c r="J384" s="813"/>
      <c r="K384" s="813"/>
      <c r="L384" s="813"/>
      <c r="M384" s="813"/>
      <c r="N384" s="813"/>
      <c r="O384" s="813"/>
      <c r="P384" s="813"/>
      <c r="Q384" s="813"/>
      <c r="R384" s="813"/>
      <c r="S384" s="813"/>
      <c r="T384" s="813"/>
      <c r="U384" s="611"/>
      <c r="W384" s="646">
        <f t="shared" si="127"/>
        <v>0</v>
      </c>
    </row>
    <row r="385" spans="2:23" ht="18" customHeight="1" x14ac:dyDescent="0.25">
      <c r="B385" s="645">
        <f t="shared" si="143"/>
        <v>3</v>
      </c>
      <c r="C385" s="611" t="s">
        <v>540</v>
      </c>
      <c r="D385" s="611" t="s">
        <v>113</v>
      </c>
      <c r="E385" s="36" t="s">
        <v>114</v>
      </c>
      <c r="F385" s="646">
        <f>' WP II-I-1.4'!H385</f>
        <v>0</v>
      </c>
      <c r="G385" s="610">
        <v>28</v>
      </c>
      <c r="H385" s="620" t="str">
        <f>VLOOKUP(G385,FactorTable,2)</f>
        <v>NCP XHV</v>
      </c>
      <c r="I385" s="36"/>
      <c r="J385" s="648">
        <f t="shared" ref="J385:S385" si="144">$F385*HLOOKUP(J$1354,FactorTable,$G385+1)</f>
        <v>0</v>
      </c>
      <c r="K385" s="648">
        <f t="shared" si="144"/>
        <v>0</v>
      </c>
      <c r="L385" s="648">
        <f t="shared" si="144"/>
        <v>0</v>
      </c>
      <c r="M385" s="648">
        <f t="shared" si="144"/>
        <v>0</v>
      </c>
      <c r="N385" s="648">
        <f t="shared" si="144"/>
        <v>0</v>
      </c>
      <c r="O385" s="648">
        <f t="shared" si="144"/>
        <v>0</v>
      </c>
      <c r="P385" s="648">
        <f t="shared" si="144"/>
        <v>0</v>
      </c>
      <c r="Q385" s="648">
        <f t="shared" si="144"/>
        <v>0</v>
      </c>
      <c r="R385" s="648">
        <f t="shared" si="144"/>
        <v>0</v>
      </c>
      <c r="S385" s="648">
        <f t="shared" si="144"/>
        <v>0</v>
      </c>
      <c r="T385" s="36"/>
      <c r="U385" s="646">
        <f>SUM(I385:T385)</f>
        <v>0</v>
      </c>
      <c r="W385" s="646">
        <f t="shared" si="127"/>
        <v>0</v>
      </c>
    </row>
    <row r="386" spans="2:23" ht="18" customHeight="1" x14ac:dyDescent="0.25">
      <c r="B386" s="645">
        <f t="shared" si="143"/>
        <v>4</v>
      </c>
      <c r="C386" s="34"/>
      <c r="D386" s="42" t="s">
        <v>444</v>
      </c>
      <c r="E386" s="807"/>
      <c r="F386" s="807">
        <f>+F385</f>
        <v>0</v>
      </c>
      <c r="G386" s="807"/>
      <c r="H386" s="807"/>
      <c r="I386" s="807"/>
      <c r="J386" s="807">
        <f t="shared" ref="J386:Q386" si="145">+J385</f>
        <v>0</v>
      </c>
      <c r="K386" s="807">
        <f t="shared" si="145"/>
        <v>0</v>
      </c>
      <c r="L386" s="807">
        <f t="shared" si="145"/>
        <v>0</v>
      </c>
      <c r="M386" s="807">
        <f t="shared" si="145"/>
        <v>0</v>
      </c>
      <c r="N386" s="807">
        <f t="shared" si="145"/>
        <v>0</v>
      </c>
      <c r="O386" s="807">
        <f>+O385</f>
        <v>0</v>
      </c>
      <c r="P386" s="807">
        <f t="shared" si="145"/>
        <v>0</v>
      </c>
      <c r="Q386" s="807">
        <f t="shared" si="145"/>
        <v>0</v>
      </c>
      <c r="R386" s="807">
        <f>+R385</f>
        <v>0</v>
      </c>
      <c r="S386" s="807">
        <f>+S385</f>
        <v>0</v>
      </c>
      <c r="T386" s="807"/>
      <c r="U386" s="235">
        <f>SUM(I386:T386)</f>
        <v>0</v>
      </c>
      <c r="W386" s="646">
        <f t="shared" si="127"/>
        <v>0</v>
      </c>
    </row>
    <row r="387" spans="2:23" ht="18" customHeight="1" thickBot="1" x14ac:dyDescent="0.25">
      <c r="B387" s="645">
        <f t="shared" si="143"/>
        <v>5</v>
      </c>
      <c r="C387" s="611"/>
      <c r="D387" s="611"/>
      <c r="E387" s="813"/>
      <c r="F387" s="813"/>
      <c r="G387" s="813"/>
      <c r="H387" s="813"/>
      <c r="I387" s="813"/>
      <c r="J387" s="813"/>
      <c r="K387" s="813"/>
      <c r="L387" s="813"/>
      <c r="M387" s="813"/>
      <c r="N387" s="813"/>
      <c r="O387" s="813"/>
      <c r="P387" s="813"/>
      <c r="Q387" s="813"/>
      <c r="R387" s="813"/>
      <c r="S387" s="813"/>
      <c r="T387" s="813"/>
      <c r="U387" s="611"/>
      <c r="W387" s="646">
        <f t="shared" si="127"/>
        <v>0</v>
      </c>
    </row>
    <row r="388" spans="2:23" ht="18" customHeight="1" thickBot="1" x14ac:dyDescent="0.3">
      <c r="B388" s="645">
        <f t="shared" si="143"/>
        <v>6</v>
      </c>
      <c r="C388" s="270" t="s">
        <v>541</v>
      </c>
      <c r="D388" s="271"/>
      <c r="E388" s="272" t="s">
        <v>114</v>
      </c>
      <c r="F388" s="814">
        <f>+F386</f>
        <v>0</v>
      </c>
      <c r="G388" s="272"/>
      <c r="H388" s="392"/>
      <c r="I388" s="393"/>
      <c r="J388" s="291">
        <f t="shared" ref="J388:Q388" si="146">+J386</f>
        <v>0</v>
      </c>
      <c r="K388" s="814">
        <f t="shared" si="146"/>
        <v>0</v>
      </c>
      <c r="L388" s="814">
        <f t="shared" si="146"/>
        <v>0</v>
      </c>
      <c r="M388" s="814">
        <f t="shared" si="146"/>
        <v>0</v>
      </c>
      <c r="N388" s="814">
        <f t="shared" si="146"/>
        <v>0</v>
      </c>
      <c r="O388" s="814">
        <f>+O386</f>
        <v>0</v>
      </c>
      <c r="P388" s="814">
        <f t="shared" si="146"/>
        <v>0</v>
      </c>
      <c r="Q388" s="814">
        <f t="shared" si="146"/>
        <v>0</v>
      </c>
      <c r="R388" s="814">
        <f>+R386</f>
        <v>0</v>
      </c>
      <c r="S388" s="218">
        <f>+S386</f>
        <v>0</v>
      </c>
      <c r="T388" s="393"/>
      <c r="U388" s="195">
        <f>SUM(I388:T388)</f>
        <v>0</v>
      </c>
      <c r="W388" s="646">
        <f t="shared" si="127"/>
        <v>0</v>
      </c>
    </row>
    <row r="389" spans="2:23" ht="18" customHeight="1" x14ac:dyDescent="0.2">
      <c r="W389" s="646"/>
    </row>
    <row r="390" spans="2:23" ht="18" customHeight="1" x14ac:dyDescent="0.2">
      <c r="H390" s="653"/>
      <c r="U390" s="653"/>
      <c r="V390" s="653">
        <f>$H$2</f>
        <v>0</v>
      </c>
      <c r="W390" s="646"/>
    </row>
    <row r="391" spans="2:23" ht="18" customHeight="1" thickBot="1" x14ac:dyDescent="0.25">
      <c r="W391" s="646"/>
    </row>
    <row r="392" spans="2:23" ht="18" customHeight="1" x14ac:dyDescent="0.25">
      <c r="B392" s="829" t="str">
        <f>+$B$4</f>
        <v>2025 RATE CASE</v>
      </c>
      <c r="C392" s="844"/>
      <c r="D392" s="874"/>
      <c r="F392" s="654"/>
      <c r="U392" s="653"/>
      <c r="W392" s="646"/>
    </row>
    <row r="393" spans="2:23" ht="18" customHeight="1" x14ac:dyDescent="0.25">
      <c r="B393" s="826" t="str">
        <f>+$B$5</f>
        <v>ONCOR ELECTRIC DELIVERY COMPANY LLC</v>
      </c>
      <c r="C393" s="8"/>
      <c r="D393" s="875"/>
      <c r="F393" s="654"/>
      <c r="U393" s="653"/>
      <c r="W393" s="646"/>
    </row>
    <row r="394" spans="2:23" ht="18" customHeight="1" x14ac:dyDescent="0.25">
      <c r="B394" s="826" t="str">
        <f>+$B$6</f>
        <v>II-I-1-MET:  CLASS REVENUE REQUIREMENT</v>
      </c>
      <c r="C394" s="82"/>
      <c r="D394" s="875"/>
      <c r="F394" s="654"/>
      <c r="U394" s="654"/>
      <c r="W394" s="646"/>
    </row>
    <row r="395" spans="2:23" ht="18" customHeight="1" x14ac:dyDescent="0.25">
      <c r="B395" s="341" t="str">
        <f>+$B$7</f>
        <v>TEST YEAR ENDING 12/31/2024</v>
      </c>
      <c r="C395" s="82"/>
      <c r="D395" s="875"/>
      <c r="F395" s="654"/>
      <c r="U395" s="654"/>
      <c r="W395" s="646"/>
    </row>
    <row r="396" spans="2:23" ht="18" customHeight="1" x14ac:dyDescent="0.25">
      <c r="B396" s="341" t="str">
        <f>+$B$8</f>
        <v>SPONSOR:  MATTHEW A. TROXLE</v>
      </c>
      <c r="C396" s="82"/>
      <c r="D396" s="875"/>
      <c r="F396" s="654"/>
      <c r="U396" s="654"/>
      <c r="W396" s="646"/>
    </row>
    <row r="397" spans="2:23" ht="18" customHeight="1" thickBot="1" x14ac:dyDescent="0.3">
      <c r="B397" s="345"/>
      <c r="C397" s="843"/>
      <c r="D397" s="876"/>
      <c r="F397" s="654"/>
      <c r="U397" s="654"/>
      <c r="W397" s="646"/>
    </row>
    <row r="398" spans="2:23" ht="18" customHeight="1" thickBot="1" x14ac:dyDescent="0.25">
      <c r="B398" s="655"/>
      <c r="C398" s="656"/>
      <c r="D398" s="656"/>
      <c r="E398" s="656"/>
      <c r="F398" s="655"/>
      <c r="G398" s="656"/>
      <c r="H398" s="656"/>
      <c r="I398" s="656"/>
      <c r="J398" s="657"/>
      <c r="K398" s="657"/>
      <c r="L398" s="656"/>
      <c r="M398" s="657"/>
      <c r="N398" s="657"/>
      <c r="O398" s="657"/>
      <c r="P398" s="657"/>
      <c r="Q398" s="656"/>
      <c r="R398" s="658" t="str">
        <f>R$10</f>
        <v xml:space="preserve"> </v>
      </c>
      <c r="S398" s="659"/>
      <c r="T398" s="657"/>
      <c r="U398" s="655"/>
      <c r="W398" s="646"/>
    </row>
    <row r="399" spans="2:23" ht="18" customHeight="1" x14ac:dyDescent="0.25">
      <c r="B399" s="660" t="s">
        <v>2</v>
      </c>
      <c r="C399" s="660" t="s">
        <v>349</v>
      </c>
      <c r="D399" s="226" t="s">
        <v>542</v>
      </c>
      <c r="E399" s="660" t="s">
        <v>350</v>
      </c>
      <c r="F399" s="226" t="str">
        <f>F$11</f>
        <v>MET</v>
      </c>
      <c r="G399" s="661" t="s">
        <v>688</v>
      </c>
      <c r="H399" s="661" t="s">
        <v>355</v>
      </c>
      <c r="I399" s="660"/>
      <c r="J399" s="661" t="s">
        <v>679</v>
      </c>
      <c r="K399" s="661" t="s">
        <v>388</v>
      </c>
      <c r="L399" s="660" t="s">
        <v>388</v>
      </c>
      <c r="M399" s="661" t="s">
        <v>389</v>
      </c>
      <c r="N399" s="661" t="s">
        <v>389</v>
      </c>
      <c r="O399" s="661" t="s">
        <v>389</v>
      </c>
      <c r="P399" s="661" t="s">
        <v>390</v>
      </c>
      <c r="Q399" s="660" t="s">
        <v>391</v>
      </c>
      <c r="R399" s="662" t="str">
        <f>R$11</f>
        <v>Wholesale</v>
      </c>
      <c r="S399" s="655" t="str">
        <f>S$11</f>
        <v>Wholesale</v>
      </c>
      <c r="T399" s="661"/>
      <c r="U399" s="660" t="s">
        <v>10</v>
      </c>
      <c r="W399" s="646"/>
    </row>
    <row r="400" spans="2:23" ht="18" customHeight="1" x14ac:dyDescent="0.2">
      <c r="B400" s="660"/>
      <c r="C400" s="660"/>
      <c r="D400" s="660"/>
      <c r="E400" s="660"/>
      <c r="F400" s="660"/>
      <c r="G400" s="661" t="s">
        <v>689</v>
      </c>
      <c r="H400" s="661" t="s">
        <v>690</v>
      </c>
      <c r="I400" s="660"/>
      <c r="J400" s="661"/>
      <c r="K400" s="661" t="s">
        <v>680</v>
      </c>
      <c r="L400" s="660" t="s">
        <v>681</v>
      </c>
      <c r="M400" s="661" t="s">
        <v>680</v>
      </c>
      <c r="N400" s="661" t="s">
        <v>681</v>
      </c>
      <c r="O400" s="661" t="s">
        <v>393</v>
      </c>
      <c r="P400" s="661"/>
      <c r="Q400" s="660"/>
      <c r="R400" s="663" t="str">
        <f>R$12</f>
        <v>XFMR</v>
      </c>
      <c r="S400" s="660" t="str">
        <f>S$12</f>
        <v>DLS</v>
      </c>
      <c r="T400" s="661"/>
      <c r="U400" s="660"/>
      <c r="W400" s="646"/>
    </row>
    <row r="401" spans="2:23" ht="18" customHeight="1" thickBot="1" x14ac:dyDescent="0.25">
      <c r="B401" s="664"/>
      <c r="C401" s="664"/>
      <c r="D401" s="664"/>
      <c r="E401" s="664"/>
      <c r="F401" s="664" t="s">
        <v>13</v>
      </c>
      <c r="G401" s="664" t="s">
        <v>14</v>
      </c>
      <c r="H401" s="664" t="s">
        <v>15</v>
      </c>
      <c r="I401" s="664"/>
      <c r="J401" s="665" t="str">
        <f t="shared" ref="J401:Q401" si="147">J$13</f>
        <v>(d)</v>
      </c>
      <c r="K401" s="665" t="str">
        <f t="shared" si="147"/>
        <v>(e)</v>
      </c>
      <c r="L401" s="664" t="str">
        <f t="shared" si="147"/>
        <v>(f)</v>
      </c>
      <c r="M401" s="665" t="str">
        <f t="shared" si="147"/>
        <v>(g)</v>
      </c>
      <c r="N401" s="665" t="str">
        <f t="shared" si="147"/>
        <v>(h)</v>
      </c>
      <c r="O401" s="665" t="str">
        <f>O$13</f>
        <v>(i)</v>
      </c>
      <c r="P401" s="665" t="str">
        <f t="shared" si="147"/>
        <v>(j)</v>
      </c>
      <c r="Q401" s="665" t="str">
        <f t="shared" si="147"/>
        <v>(k)</v>
      </c>
      <c r="R401" s="665" t="str">
        <f>R$13</f>
        <v>(l)</v>
      </c>
      <c r="S401" s="664" t="str">
        <f>S$13</f>
        <v>(m)</v>
      </c>
      <c r="T401" s="664"/>
      <c r="U401" s="664" t="s">
        <v>683</v>
      </c>
      <c r="W401" s="646"/>
    </row>
    <row r="402" spans="2:23" ht="18" customHeight="1" x14ac:dyDescent="0.2">
      <c r="C402" s="666"/>
      <c r="D402" s="666"/>
      <c r="E402" s="666"/>
      <c r="F402" s="666"/>
      <c r="G402" s="666"/>
      <c r="H402" s="666"/>
      <c r="I402" s="666"/>
      <c r="J402" s="666"/>
      <c r="K402" s="666"/>
      <c r="L402" s="666"/>
      <c r="M402" s="666"/>
      <c r="N402" s="666"/>
      <c r="O402" s="666"/>
      <c r="P402" s="666"/>
      <c r="Q402" s="666"/>
      <c r="R402" s="666"/>
      <c r="S402" s="666"/>
      <c r="T402" s="666"/>
      <c r="U402" s="611"/>
      <c r="W402" s="646">
        <f t="shared" ref="W402:W455" si="148">U402-F402</f>
        <v>0</v>
      </c>
    </row>
    <row r="403" spans="2:23" ht="18" customHeight="1" x14ac:dyDescent="0.25">
      <c r="B403" s="645">
        <f t="shared" ref="B403:B413" si="149">B402+1</f>
        <v>1</v>
      </c>
      <c r="C403" s="269" t="s">
        <v>110</v>
      </c>
      <c r="D403" s="34"/>
      <c r="E403" s="806"/>
      <c r="F403" s="818"/>
      <c r="G403" s="806"/>
      <c r="H403" s="806"/>
      <c r="I403" s="806"/>
      <c r="J403" s="806"/>
      <c r="K403" s="806"/>
      <c r="L403" s="806"/>
      <c r="M403" s="806"/>
      <c r="N403" s="806"/>
      <c r="O403" s="806"/>
      <c r="P403" s="806"/>
      <c r="Q403" s="806"/>
      <c r="R403" s="806"/>
      <c r="S403" s="806"/>
      <c r="T403" s="806"/>
      <c r="U403" s="42"/>
      <c r="W403" s="646">
        <f t="shared" si="148"/>
        <v>0</v>
      </c>
    </row>
    <row r="404" spans="2:23" ht="18" customHeight="1" x14ac:dyDescent="0.25">
      <c r="B404" s="645">
        <f t="shared" si="149"/>
        <v>2</v>
      </c>
      <c r="C404" s="269"/>
      <c r="D404" s="611"/>
      <c r="E404" s="813"/>
      <c r="F404" s="1594"/>
      <c r="G404" s="813"/>
      <c r="H404" s="813"/>
      <c r="I404" s="813"/>
      <c r="J404" s="813"/>
      <c r="K404" s="813"/>
      <c r="L404" s="813"/>
      <c r="M404" s="813"/>
      <c r="N404" s="813"/>
      <c r="O404" s="813"/>
      <c r="P404" s="813"/>
      <c r="Q404" s="813"/>
      <c r="R404" s="813"/>
      <c r="S404" s="813"/>
      <c r="T404" s="813"/>
      <c r="U404" s="619"/>
      <c r="W404" s="646">
        <f t="shared" si="148"/>
        <v>0</v>
      </c>
    </row>
    <row r="405" spans="2:23" ht="18" customHeight="1" x14ac:dyDescent="0.25">
      <c r="B405" s="645">
        <f t="shared" si="149"/>
        <v>3</v>
      </c>
      <c r="C405" s="611"/>
      <c r="D405" s="611" t="s">
        <v>131</v>
      </c>
      <c r="E405" s="806" t="s">
        <v>475</v>
      </c>
      <c r="F405" s="646">
        <f>' WP II-I-1.4'!H405</f>
        <v>0</v>
      </c>
      <c r="G405" s="1007">
        <v>2</v>
      </c>
      <c r="H405" s="620" t="str">
        <f>VLOOKUP(G405,FactorTable,2)</f>
        <v>N / A</v>
      </c>
      <c r="I405" s="806"/>
      <c r="J405" s="806"/>
      <c r="K405" s="806"/>
      <c r="L405" s="806"/>
      <c r="M405" s="806"/>
      <c r="N405" s="806"/>
      <c r="O405" s="806"/>
      <c r="P405" s="806"/>
      <c r="Q405" s="806"/>
      <c r="R405" s="806"/>
      <c r="S405" s="806"/>
      <c r="T405" s="806"/>
      <c r="U405" s="646">
        <f>SUM(I405:T405)</f>
        <v>0</v>
      </c>
      <c r="W405" s="646">
        <f t="shared" si="148"/>
        <v>0</v>
      </c>
    </row>
    <row r="406" spans="2:23" ht="18" customHeight="1" x14ac:dyDescent="0.25">
      <c r="B406" s="645">
        <f t="shared" si="149"/>
        <v>4</v>
      </c>
      <c r="C406" s="611"/>
      <c r="D406" s="611" t="s">
        <v>543</v>
      </c>
      <c r="E406" s="806"/>
      <c r="F406" s="646">
        <f>' WP II-I-1.4'!H406</f>
        <v>0</v>
      </c>
      <c r="G406" s="1007">
        <v>2</v>
      </c>
      <c r="H406" s="620" t="str">
        <f>VLOOKUP(G406,FactorTable,2)</f>
        <v>N / A</v>
      </c>
      <c r="I406" s="806"/>
      <c r="J406" s="806"/>
      <c r="K406" s="806"/>
      <c r="L406" s="806"/>
      <c r="M406" s="806"/>
      <c r="N406" s="806"/>
      <c r="O406" s="806"/>
      <c r="P406" s="806"/>
      <c r="Q406" s="806"/>
      <c r="R406" s="806"/>
      <c r="S406" s="806"/>
      <c r="T406" s="806"/>
      <c r="U406" s="646">
        <f>SUM(I406:T406)</f>
        <v>0</v>
      </c>
      <c r="W406" s="646">
        <f t="shared" si="148"/>
        <v>0</v>
      </c>
    </row>
    <row r="407" spans="2:23" ht="18" customHeight="1" x14ac:dyDescent="0.25">
      <c r="B407" s="645">
        <f t="shared" si="149"/>
        <v>5</v>
      </c>
      <c r="C407" s="611"/>
      <c r="D407" s="611" t="s">
        <v>544</v>
      </c>
      <c r="E407" s="806"/>
      <c r="F407" s="646">
        <f>' WP II-I-1.4'!H407</f>
        <v>0</v>
      </c>
      <c r="G407" s="1007">
        <v>2</v>
      </c>
      <c r="H407" s="620" t="str">
        <f>VLOOKUP(G407,FactorTable,2)</f>
        <v>N / A</v>
      </c>
      <c r="I407" s="806"/>
      <c r="J407" s="806"/>
      <c r="K407" s="806"/>
      <c r="L407" s="806"/>
      <c r="M407" s="806"/>
      <c r="N407" s="806"/>
      <c r="O407" s="806"/>
      <c r="P407" s="806"/>
      <c r="Q407" s="806"/>
      <c r="R407" s="806"/>
      <c r="S407" s="806"/>
      <c r="T407" s="806"/>
      <c r="U407" s="646">
        <f>SUM(I407:T407)</f>
        <v>0</v>
      </c>
      <c r="W407" s="646">
        <f t="shared" si="148"/>
        <v>0</v>
      </c>
    </row>
    <row r="408" spans="2:23" ht="18" customHeight="1" thickBot="1" x14ac:dyDescent="0.3">
      <c r="B408" s="645">
        <f t="shared" si="149"/>
        <v>6</v>
      </c>
      <c r="C408" s="611"/>
      <c r="D408" s="611"/>
      <c r="E408" s="806"/>
      <c r="F408" s="25"/>
      <c r="G408" s="806"/>
      <c r="H408" s="806"/>
      <c r="I408" s="806"/>
      <c r="J408" s="806"/>
      <c r="K408" s="806"/>
      <c r="L408" s="806"/>
      <c r="M408" s="806"/>
      <c r="N408" s="806"/>
      <c r="O408" s="806"/>
      <c r="P408" s="806"/>
      <c r="Q408" s="806"/>
      <c r="R408" s="806"/>
      <c r="S408" s="806"/>
      <c r="T408" s="806"/>
      <c r="U408" s="646"/>
      <c r="W408" s="646">
        <f t="shared" si="148"/>
        <v>0</v>
      </c>
    </row>
    <row r="409" spans="2:23" ht="18" customHeight="1" thickBot="1" x14ac:dyDescent="0.3">
      <c r="B409" s="645">
        <f t="shared" si="149"/>
        <v>7</v>
      </c>
      <c r="C409" s="276" t="s">
        <v>545</v>
      </c>
      <c r="D409" s="271"/>
      <c r="E409" s="272" t="s">
        <v>475</v>
      </c>
      <c r="F409" s="277">
        <f>SUM(F405:F407)</f>
        <v>0</v>
      </c>
      <c r="G409" s="272"/>
      <c r="H409" s="392"/>
      <c r="I409" s="393"/>
      <c r="J409" s="395">
        <f t="shared" ref="J409:Q409" si="150">SUM(J405:J407)</f>
        <v>0</v>
      </c>
      <c r="K409" s="277">
        <f t="shared" si="150"/>
        <v>0</v>
      </c>
      <c r="L409" s="277">
        <f t="shared" si="150"/>
        <v>0</v>
      </c>
      <c r="M409" s="277">
        <f t="shared" si="150"/>
        <v>0</v>
      </c>
      <c r="N409" s="277">
        <f t="shared" si="150"/>
        <v>0</v>
      </c>
      <c r="O409" s="277">
        <f>SUM(O405:O407)</f>
        <v>0</v>
      </c>
      <c r="P409" s="277">
        <f t="shared" si="150"/>
        <v>0</v>
      </c>
      <c r="Q409" s="277">
        <f t="shared" si="150"/>
        <v>0</v>
      </c>
      <c r="R409" s="277">
        <f>SUM(R405:R407)</f>
        <v>0</v>
      </c>
      <c r="S409" s="396">
        <f>SUM(S405:S407)</f>
        <v>0</v>
      </c>
      <c r="T409" s="393"/>
      <c r="U409" s="195">
        <f>SUM(I409:T409)</f>
        <v>0</v>
      </c>
      <c r="W409" s="646">
        <f t="shared" si="148"/>
        <v>0</v>
      </c>
    </row>
    <row r="410" spans="2:23" ht="18" customHeight="1" x14ac:dyDescent="0.2">
      <c r="B410" s="645">
        <f t="shared" si="149"/>
        <v>8</v>
      </c>
      <c r="C410" s="611"/>
      <c r="D410" s="611"/>
      <c r="E410" s="813"/>
      <c r="F410" s="1594"/>
      <c r="G410" s="813"/>
      <c r="H410" s="813"/>
      <c r="I410" s="813"/>
      <c r="J410" s="813"/>
      <c r="K410" s="813"/>
      <c r="L410" s="813"/>
      <c r="M410" s="813"/>
      <c r="N410" s="813"/>
      <c r="O410" s="813"/>
      <c r="P410" s="813"/>
      <c r="Q410" s="813"/>
      <c r="R410" s="813"/>
      <c r="S410" s="813"/>
      <c r="T410" s="813"/>
      <c r="U410" s="1595"/>
      <c r="W410" s="646">
        <f t="shared" si="148"/>
        <v>0</v>
      </c>
    </row>
    <row r="411" spans="2:23" ht="18" customHeight="1" x14ac:dyDescent="0.25">
      <c r="B411" s="645">
        <f t="shared" si="149"/>
        <v>9</v>
      </c>
      <c r="C411" s="34" t="s">
        <v>546</v>
      </c>
      <c r="D411" s="42"/>
      <c r="E411" s="806" t="s">
        <v>125</v>
      </c>
      <c r="F411" s="646">
        <f>' WP II-I-1.4'!H411</f>
        <v>-11971648.140000001</v>
      </c>
      <c r="G411" s="1007">
        <v>64</v>
      </c>
      <c r="H411" s="620" t="str">
        <f>VLOOKUP(G411,FactorTable,2)</f>
        <v>PLANT</v>
      </c>
      <c r="I411" s="806"/>
      <c r="J411" s="648">
        <f t="shared" ref="J411:S411" ca="1" si="151">$F411*HLOOKUP(J$1354,FactorTable,$G411+1)</f>
        <v>-6249720.7784637082</v>
      </c>
      <c r="K411" s="648">
        <f t="shared" ca="1" si="151"/>
        <v>-876742.57670832449</v>
      </c>
      <c r="L411" s="648">
        <f t="shared" ca="1" si="151"/>
        <v>-3447943.9560769731</v>
      </c>
      <c r="M411" s="648">
        <f t="shared" ca="1" si="151"/>
        <v>-145200.00171819</v>
      </c>
      <c r="N411" s="648">
        <f t="shared" ca="1" si="151"/>
        <v>-1118116.6642448304</v>
      </c>
      <c r="O411" s="648">
        <f t="shared" ca="1" si="151"/>
        <v>-36687.865844398541</v>
      </c>
      <c r="P411" s="648">
        <f t="shared" ca="1" si="151"/>
        <v>-76526.836730647294</v>
      </c>
      <c r="Q411" s="648">
        <f t="shared" ca="1" si="151"/>
        <v>-6372.9302834533164</v>
      </c>
      <c r="R411" s="648">
        <f t="shared" ca="1" si="151"/>
        <v>-4051.4207680930922</v>
      </c>
      <c r="S411" s="648">
        <f t="shared" ca="1" si="151"/>
        <v>-10285.109161380635</v>
      </c>
      <c r="T411" s="806"/>
      <c r="U411" s="235">
        <f ca="1">SUM(I411:T411)</f>
        <v>-11971648.140000001</v>
      </c>
      <c r="V411" s="104"/>
      <c r="W411" s="646">
        <f t="shared" ca="1" si="148"/>
        <v>0</v>
      </c>
    </row>
    <row r="412" spans="2:23" ht="18" customHeight="1" thickBot="1" x14ac:dyDescent="0.25">
      <c r="B412" s="645">
        <f t="shared" si="149"/>
        <v>10</v>
      </c>
      <c r="C412" s="611"/>
      <c r="D412" s="611"/>
      <c r="E412" s="813"/>
      <c r="F412" s="1594"/>
      <c r="G412" s="813"/>
      <c r="H412" s="813"/>
      <c r="I412" s="813"/>
      <c r="J412" s="813"/>
      <c r="K412" s="813"/>
      <c r="L412" s="813"/>
      <c r="M412" s="813"/>
      <c r="N412" s="813"/>
      <c r="O412" s="813"/>
      <c r="P412" s="813"/>
      <c r="Q412" s="813"/>
      <c r="R412" s="813"/>
      <c r="S412" s="813"/>
      <c r="T412" s="813"/>
      <c r="U412" s="619"/>
      <c r="W412" s="646">
        <f t="shared" si="148"/>
        <v>0</v>
      </c>
    </row>
    <row r="413" spans="2:23" ht="18" customHeight="1" thickBot="1" x14ac:dyDescent="0.3">
      <c r="B413" s="645">
        <f t="shared" si="149"/>
        <v>11</v>
      </c>
      <c r="C413" s="276" t="s">
        <v>547</v>
      </c>
      <c r="D413" s="271"/>
      <c r="E413" s="272"/>
      <c r="F413" s="277">
        <f>+F411+F409</f>
        <v>-11971648.140000001</v>
      </c>
      <c r="G413" s="272"/>
      <c r="H413" s="392"/>
      <c r="I413" s="393"/>
      <c r="J413" s="395">
        <f t="shared" ref="J413:Q413" ca="1" si="152">+J411+J409</f>
        <v>-6249720.7784637082</v>
      </c>
      <c r="K413" s="277">
        <f t="shared" ca="1" si="152"/>
        <v>-876742.57670832449</v>
      </c>
      <c r="L413" s="277">
        <f t="shared" ca="1" si="152"/>
        <v>-3447943.9560769731</v>
      </c>
      <c r="M413" s="277">
        <f t="shared" ca="1" si="152"/>
        <v>-145200.00171819</v>
      </c>
      <c r="N413" s="277">
        <f t="shared" ca="1" si="152"/>
        <v>-1118116.6642448304</v>
      </c>
      <c r="O413" s="277">
        <f ca="1">+O411+O409</f>
        <v>-36687.865844398541</v>
      </c>
      <c r="P413" s="277">
        <f t="shared" ca="1" si="152"/>
        <v>-76526.836730647294</v>
      </c>
      <c r="Q413" s="277">
        <f t="shared" ca="1" si="152"/>
        <v>-6372.9302834533164</v>
      </c>
      <c r="R413" s="277">
        <f ca="1">+R411+R409</f>
        <v>-4051.4207680930922</v>
      </c>
      <c r="S413" s="396">
        <f ca="1">+S411+S409</f>
        <v>-10285.109161380635</v>
      </c>
      <c r="T413" s="393"/>
      <c r="U413" s="195">
        <f ca="1">SUM(I413:T413)</f>
        <v>-11971648.140000001</v>
      </c>
      <c r="W413" s="646">
        <f t="shared" ca="1" si="148"/>
        <v>0</v>
      </c>
    </row>
    <row r="414" spans="2:23" ht="18" customHeight="1" x14ac:dyDescent="0.2">
      <c r="F414" s="1596"/>
      <c r="W414" s="646">
        <f t="shared" si="148"/>
        <v>0</v>
      </c>
    </row>
    <row r="415" spans="2:23" ht="18" customHeight="1" x14ac:dyDescent="0.2">
      <c r="F415" s="1596"/>
      <c r="H415" s="653"/>
      <c r="U415" s="653"/>
      <c r="V415" s="653">
        <f>$H$2</f>
        <v>0</v>
      </c>
      <c r="W415" s="646"/>
    </row>
    <row r="416" spans="2:23" ht="18" customHeight="1" thickBot="1" x14ac:dyDescent="0.25">
      <c r="F416" s="1596"/>
      <c r="W416" s="646"/>
    </row>
    <row r="417" spans="2:23" ht="18" customHeight="1" x14ac:dyDescent="0.25">
      <c r="B417" s="829" t="str">
        <f>+$B$4</f>
        <v>2025 RATE CASE</v>
      </c>
      <c r="C417" s="844"/>
      <c r="D417" s="874"/>
      <c r="F417" s="654"/>
      <c r="U417" s="653"/>
      <c r="W417" s="646"/>
    </row>
    <row r="418" spans="2:23" ht="18" customHeight="1" x14ac:dyDescent="0.25">
      <c r="B418" s="826" t="str">
        <f>+$B$5</f>
        <v>ONCOR ELECTRIC DELIVERY COMPANY LLC</v>
      </c>
      <c r="C418" s="8"/>
      <c r="D418" s="875"/>
      <c r="F418" s="654"/>
      <c r="U418" s="653"/>
      <c r="W418" s="646"/>
    </row>
    <row r="419" spans="2:23" ht="18" customHeight="1" x14ac:dyDescent="0.25">
      <c r="B419" s="826" t="str">
        <f>+$B$6</f>
        <v>II-I-1-MET:  CLASS REVENUE REQUIREMENT</v>
      </c>
      <c r="C419" s="82"/>
      <c r="D419" s="875"/>
      <c r="F419" s="654"/>
      <c r="U419" s="654"/>
      <c r="W419" s="646"/>
    </row>
    <row r="420" spans="2:23" ht="18" customHeight="1" x14ac:dyDescent="0.25">
      <c r="B420" s="341" t="str">
        <f>+$B$7</f>
        <v>TEST YEAR ENDING 12/31/2024</v>
      </c>
      <c r="C420" s="82"/>
      <c r="D420" s="875"/>
      <c r="F420" s="654"/>
      <c r="U420" s="654"/>
      <c r="W420" s="646"/>
    </row>
    <row r="421" spans="2:23" ht="18" customHeight="1" x14ac:dyDescent="0.25">
      <c r="B421" s="341" t="str">
        <f>+$B$8</f>
        <v>SPONSOR:  MATTHEW A. TROXLE</v>
      </c>
      <c r="C421" s="82"/>
      <c r="D421" s="875"/>
      <c r="F421" s="654"/>
      <c r="U421" s="654"/>
      <c r="W421" s="646"/>
    </row>
    <row r="422" spans="2:23" ht="18" customHeight="1" thickBot="1" x14ac:dyDescent="0.3">
      <c r="B422" s="345"/>
      <c r="C422" s="843"/>
      <c r="D422" s="876"/>
      <c r="F422" s="654"/>
      <c r="U422" s="654"/>
      <c r="W422" s="646"/>
    </row>
    <row r="423" spans="2:23" ht="18" customHeight="1" thickBot="1" x14ac:dyDescent="0.25">
      <c r="B423" s="655"/>
      <c r="C423" s="656"/>
      <c r="D423" s="656"/>
      <c r="E423" s="656"/>
      <c r="F423" s="655"/>
      <c r="G423" s="656"/>
      <c r="H423" s="656"/>
      <c r="I423" s="656"/>
      <c r="J423" s="657"/>
      <c r="K423" s="657"/>
      <c r="L423" s="656"/>
      <c r="M423" s="657"/>
      <c r="N423" s="657"/>
      <c r="O423" s="657"/>
      <c r="P423" s="657"/>
      <c r="Q423" s="656"/>
      <c r="R423" s="658" t="str">
        <f>R$10</f>
        <v xml:space="preserve"> </v>
      </c>
      <c r="S423" s="659"/>
      <c r="T423" s="657"/>
      <c r="U423" s="655"/>
      <c r="W423" s="646"/>
    </row>
    <row r="424" spans="2:23" ht="18" customHeight="1" x14ac:dyDescent="0.25">
      <c r="B424" s="660" t="s">
        <v>2</v>
      </c>
      <c r="C424" s="660" t="s">
        <v>349</v>
      </c>
      <c r="D424" s="226" t="s">
        <v>548</v>
      </c>
      <c r="E424" s="660" t="s">
        <v>350</v>
      </c>
      <c r="F424" s="226" t="str">
        <f>F$11</f>
        <v>MET</v>
      </c>
      <c r="G424" s="661" t="s">
        <v>688</v>
      </c>
      <c r="H424" s="661" t="s">
        <v>355</v>
      </c>
      <c r="I424" s="660"/>
      <c r="J424" s="661" t="s">
        <v>679</v>
      </c>
      <c r="K424" s="661" t="s">
        <v>388</v>
      </c>
      <c r="L424" s="660" t="s">
        <v>388</v>
      </c>
      <c r="M424" s="661" t="s">
        <v>389</v>
      </c>
      <c r="N424" s="661" t="s">
        <v>389</v>
      </c>
      <c r="O424" s="661" t="s">
        <v>389</v>
      </c>
      <c r="P424" s="661" t="s">
        <v>390</v>
      </c>
      <c r="Q424" s="660" t="s">
        <v>391</v>
      </c>
      <c r="R424" s="662" t="str">
        <f>R$11</f>
        <v>Wholesale</v>
      </c>
      <c r="S424" s="655" t="str">
        <f>S$11</f>
        <v>Wholesale</v>
      </c>
      <c r="T424" s="661"/>
      <c r="U424" s="660" t="s">
        <v>10</v>
      </c>
      <c r="W424" s="646"/>
    </row>
    <row r="425" spans="2:23" ht="18" customHeight="1" x14ac:dyDescent="0.2">
      <c r="B425" s="660"/>
      <c r="C425" s="660"/>
      <c r="D425" s="660"/>
      <c r="E425" s="660"/>
      <c r="F425" s="660"/>
      <c r="G425" s="661" t="s">
        <v>689</v>
      </c>
      <c r="H425" s="661" t="s">
        <v>690</v>
      </c>
      <c r="I425" s="660"/>
      <c r="J425" s="661"/>
      <c r="K425" s="661" t="s">
        <v>680</v>
      </c>
      <c r="L425" s="660" t="s">
        <v>681</v>
      </c>
      <c r="M425" s="661" t="s">
        <v>680</v>
      </c>
      <c r="N425" s="661" t="s">
        <v>681</v>
      </c>
      <c r="O425" s="661" t="s">
        <v>393</v>
      </c>
      <c r="P425" s="661"/>
      <c r="Q425" s="660"/>
      <c r="R425" s="663" t="str">
        <f>R$12</f>
        <v>XFMR</v>
      </c>
      <c r="S425" s="660" t="str">
        <f>S$12</f>
        <v>DLS</v>
      </c>
      <c r="T425" s="661"/>
      <c r="U425" s="660"/>
      <c r="W425" s="646"/>
    </row>
    <row r="426" spans="2:23" ht="18" customHeight="1" thickBot="1" x14ac:dyDescent="0.25">
      <c r="B426" s="664"/>
      <c r="C426" s="664"/>
      <c r="D426" s="664"/>
      <c r="E426" s="664"/>
      <c r="F426" s="664" t="s">
        <v>13</v>
      </c>
      <c r="G426" s="664" t="s">
        <v>14</v>
      </c>
      <c r="H426" s="664" t="s">
        <v>15</v>
      </c>
      <c r="I426" s="664"/>
      <c r="J426" s="665" t="str">
        <f t="shared" ref="J426:Q426" si="153">J$13</f>
        <v>(d)</v>
      </c>
      <c r="K426" s="665" t="str">
        <f t="shared" si="153"/>
        <v>(e)</v>
      </c>
      <c r="L426" s="664" t="str">
        <f t="shared" si="153"/>
        <v>(f)</v>
      </c>
      <c r="M426" s="665" t="str">
        <f t="shared" si="153"/>
        <v>(g)</v>
      </c>
      <c r="N426" s="665" t="str">
        <f t="shared" si="153"/>
        <v>(h)</v>
      </c>
      <c r="O426" s="665" t="str">
        <f>O$13</f>
        <v>(i)</v>
      </c>
      <c r="P426" s="665" t="str">
        <f t="shared" si="153"/>
        <v>(j)</v>
      </c>
      <c r="Q426" s="665" t="str">
        <f t="shared" si="153"/>
        <v>(k)</v>
      </c>
      <c r="R426" s="665" t="str">
        <f>R$13</f>
        <v>(l)</v>
      </c>
      <c r="S426" s="664" t="str">
        <f>S$13</f>
        <v>(m)</v>
      </c>
      <c r="T426" s="664"/>
      <c r="U426" s="664" t="s">
        <v>683</v>
      </c>
      <c r="W426" s="646"/>
    </row>
    <row r="427" spans="2:23" ht="18" customHeight="1" x14ac:dyDescent="0.25">
      <c r="C427" s="33"/>
      <c r="D427" s="611"/>
      <c r="E427" s="813"/>
      <c r="F427" s="819"/>
      <c r="G427" s="813"/>
      <c r="H427" s="813"/>
      <c r="I427" s="813"/>
      <c r="J427" s="813"/>
      <c r="K427" s="813"/>
      <c r="L427" s="813"/>
      <c r="M427" s="813"/>
      <c r="N427" s="813"/>
      <c r="O427" s="813"/>
      <c r="P427" s="813"/>
      <c r="Q427" s="813"/>
      <c r="R427" s="813"/>
      <c r="S427" s="813"/>
      <c r="T427" s="813"/>
      <c r="U427" s="611"/>
      <c r="W427" s="646">
        <f t="shared" si="148"/>
        <v>0</v>
      </c>
    </row>
    <row r="428" spans="2:23" ht="18" customHeight="1" x14ac:dyDescent="0.25">
      <c r="B428" s="645">
        <f t="shared" ref="B428:B435" si="154">B427+1</f>
        <v>1</v>
      </c>
      <c r="C428" s="269" t="s">
        <v>110</v>
      </c>
      <c r="D428" s="611"/>
      <c r="E428" s="813"/>
      <c r="F428" s="819"/>
      <c r="G428" s="813"/>
      <c r="H428" s="813"/>
      <c r="I428" s="813"/>
      <c r="J428" s="813"/>
      <c r="K428" s="813"/>
      <c r="L428" s="813"/>
      <c r="M428" s="813"/>
      <c r="N428" s="813"/>
      <c r="O428" s="813"/>
      <c r="P428" s="813"/>
      <c r="Q428" s="813"/>
      <c r="R428" s="813"/>
      <c r="S428" s="813"/>
      <c r="T428" s="813"/>
      <c r="U428" s="611"/>
      <c r="W428" s="646">
        <f t="shared" si="148"/>
        <v>0</v>
      </c>
    </row>
    <row r="429" spans="2:23" ht="18" customHeight="1" x14ac:dyDescent="0.25">
      <c r="B429" s="645">
        <f t="shared" si="154"/>
        <v>2</v>
      </c>
      <c r="C429" s="53" t="s">
        <v>549</v>
      </c>
      <c r="D429" s="42"/>
      <c r="E429" s="611"/>
      <c r="F429" s="611"/>
      <c r="G429" s="611"/>
      <c r="H429" s="611"/>
      <c r="I429" s="611"/>
      <c r="J429" s="611"/>
      <c r="K429" s="611"/>
      <c r="L429" s="611"/>
      <c r="M429" s="611"/>
      <c r="N429" s="611"/>
      <c r="O429" s="611"/>
      <c r="P429" s="611"/>
      <c r="Q429" s="611"/>
      <c r="R429" s="611"/>
      <c r="S429" s="611"/>
      <c r="T429" s="611"/>
      <c r="U429" s="611"/>
      <c r="W429" s="646">
        <f t="shared" si="148"/>
        <v>0</v>
      </c>
    </row>
    <row r="430" spans="2:23" ht="18" customHeight="1" x14ac:dyDescent="0.25">
      <c r="B430" s="645">
        <f t="shared" si="154"/>
        <v>3</v>
      </c>
      <c r="C430" s="611"/>
      <c r="D430" s="34" t="s">
        <v>548</v>
      </c>
      <c r="E430" s="806" t="s">
        <v>116</v>
      </c>
      <c r="F430" s="611"/>
      <c r="G430" s="806"/>
      <c r="H430" s="806"/>
      <c r="I430" s="806"/>
      <c r="J430" s="806"/>
      <c r="K430" s="806"/>
      <c r="L430" s="806"/>
      <c r="M430" s="806"/>
      <c r="N430" s="806"/>
      <c r="O430" s="806"/>
      <c r="P430" s="806"/>
      <c r="Q430" s="806"/>
      <c r="R430" s="806"/>
      <c r="S430" s="806"/>
      <c r="T430" s="806"/>
      <c r="U430" s="611"/>
      <c r="W430" s="646">
        <f t="shared" si="148"/>
        <v>0</v>
      </c>
    </row>
    <row r="431" spans="2:23" ht="18" customHeight="1" x14ac:dyDescent="0.2">
      <c r="B431" s="645">
        <f t="shared" si="154"/>
        <v>4</v>
      </c>
      <c r="C431" s="611">
        <v>154</v>
      </c>
      <c r="D431" s="611" t="s">
        <v>550</v>
      </c>
      <c r="E431" s="611"/>
      <c r="F431" s="646">
        <f>' WP II-I-1.4'!H431</f>
        <v>1087596.75</v>
      </c>
      <c r="G431" s="610">
        <v>64</v>
      </c>
      <c r="H431" s="620" t="str">
        <f>VLOOKUP(G431,FactorTable,2)</f>
        <v>PLANT</v>
      </c>
      <c r="I431" s="611"/>
      <c r="J431" s="648">
        <f t="shared" ref="J431:S432" ca="1" si="155">$F431*HLOOKUP(J$1354,FactorTable,$G431+1)</f>
        <v>567772.78513170523</v>
      </c>
      <c r="K431" s="648">
        <f t="shared" ca="1" si="155"/>
        <v>79650.050340904796</v>
      </c>
      <c r="L431" s="648">
        <f t="shared" ca="1" si="155"/>
        <v>313237.79290521803</v>
      </c>
      <c r="M431" s="648">
        <f t="shared" ca="1" si="155"/>
        <v>13191.086817950687</v>
      </c>
      <c r="N431" s="648">
        <f t="shared" ca="1" si="155"/>
        <v>101578.33206694285</v>
      </c>
      <c r="O431" s="648">
        <f t="shared" ca="1" si="155"/>
        <v>3333.0083869975697</v>
      </c>
      <c r="P431" s="648">
        <f t="shared" ca="1" si="155"/>
        <v>6952.2874330010682</v>
      </c>
      <c r="Q431" s="648">
        <f t="shared" ca="1" si="155"/>
        <v>578.96608580582665</v>
      </c>
      <c r="R431" s="648">
        <f t="shared" ca="1" si="155"/>
        <v>368.06227586476251</v>
      </c>
      <c r="S431" s="648">
        <f t="shared" ca="1" si="155"/>
        <v>934.37855560903597</v>
      </c>
      <c r="T431" s="611"/>
      <c r="U431" s="646">
        <f ca="1">SUM(I431:T431)</f>
        <v>1087596.7499999998</v>
      </c>
      <c r="W431" s="646">
        <f t="shared" ca="1" si="148"/>
        <v>0</v>
      </c>
    </row>
    <row r="432" spans="2:23" ht="18" customHeight="1" x14ac:dyDescent="0.2">
      <c r="B432" s="645">
        <f t="shared" si="154"/>
        <v>5</v>
      </c>
      <c r="C432" s="611">
        <v>163</v>
      </c>
      <c r="D432" s="611" t="s">
        <v>551</v>
      </c>
      <c r="E432" s="813"/>
      <c r="F432" s="646">
        <f>' WP II-I-1.4'!H432</f>
        <v>154202.72</v>
      </c>
      <c r="G432" s="610">
        <v>64</v>
      </c>
      <c r="H432" s="620" t="str">
        <f>VLOOKUP(G432,FactorTable,2)</f>
        <v>PLANT</v>
      </c>
      <c r="I432" s="813"/>
      <c r="J432" s="648">
        <f t="shared" ca="1" si="155"/>
        <v>80500.523571153099</v>
      </c>
      <c r="K432" s="648">
        <f t="shared" ca="1" si="155"/>
        <v>11293.022354750919</v>
      </c>
      <c r="L432" s="648">
        <f t="shared" ca="1" si="155"/>
        <v>44411.791109877187</v>
      </c>
      <c r="M432" s="648">
        <f t="shared" ca="1" si="155"/>
        <v>1870.2717409592672</v>
      </c>
      <c r="N432" s="648">
        <f t="shared" ca="1" si="155"/>
        <v>14402.079720986487</v>
      </c>
      <c r="O432" s="648">
        <f t="shared" ca="1" si="155"/>
        <v>472.5638974719609</v>
      </c>
      <c r="P432" s="648">
        <f t="shared" ca="1" si="155"/>
        <v>985.71610515623786</v>
      </c>
      <c r="Q432" s="648">
        <f t="shared" ca="1" si="155"/>
        <v>82.087543217660283</v>
      </c>
      <c r="R432" s="648">
        <f t="shared" ca="1" si="155"/>
        <v>52.184970272977303</v>
      </c>
      <c r="S432" s="648">
        <f t="shared" ca="1" si="155"/>
        <v>132.47898615418316</v>
      </c>
      <c r="T432" s="813"/>
      <c r="U432" s="646">
        <f ca="1">SUM(I432:T432)</f>
        <v>154202.71999999997</v>
      </c>
      <c r="W432" s="646">
        <f t="shared" ca="1" si="148"/>
        <v>0</v>
      </c>
    </row>
    <row r="433" spans="2:23" ht="18" customHeight="1" x14ac:dyDescent="0.25">
      <c r="B433" s="645">
        <f t="shared" si="154"/>
        <v>6</v>
      </c>
      <c r="C433" s="34"/>
      <c r="D433" s="42" t="s">
        <v>444</v>
      </c>
      <c r="E433" s="807"/>
      <c r="F433" s="807">
        <f>SUM(F431:F432)</f>
        <v>1241799.47</v>
      </c>
      <c r="G433" s="807"/>
      <c r="H433" s="807"/>
      <c r="I433" s="807"/>
      <c r="J433" s="807">
        <f t="shared" ref="J433:Q433" ca="1" si="156">SUM(J431:J432)</f>
        <v>648273.30870285828</v>
      </c>
      <c r="K433" s="807">
        <f t="shared" ca="1" si="156"/>
        <v>90943.072695655719</v>
      </c>
      <c r="L433" s="807">
        <f t="shared" ca="1" si="156"/>
        <v>357649.5840150952</v>
      </c>
      <c r="M433" s="807">
        <f t="shared" ca="1" si="156"/>
        <v>15061.358558909955</v>
      </c>
      <c r="N433" s="807">
        <f t="shared" ca="1" si="156"/>
        <v>115980.41178792933</v>
      </c>
      <c r="O433" s="807">
        <f ca="1">SUM(O431:O432)</f>
        <v>3805.5722844695306</v>
      </c>
      <c r="P433" s="807">
        <f t="shared" ca="1" si="156"/>
        <v>7938.0035381573061</v>
      </c>
      <c r="Q433" s="807">
        <f t="shared" ca="1" si="156"/>
        <v>661.05362902348691</v>
      </c>
      <c r="R433" s="807">
        <f ca="1">SUM(R431:R432)</f>
        <v>420.24724613773981</v>
      </c>
      <c r="S433" s="807">
        <f ca="1">SUM(S431:S432)</f>
        <v>1066.8575417632192</v>
      </c>
      <c r="T433" s="807"/>
      <c r="U433" s="235">
        <f ca="1">SUM(I433:T433)</f>
        <v>1241799.47</v>
      </c>
      <c r="W433" s="646">
        <f t="shared" ca="1" si="148"/>
        <v>0</v>
      </c>
    </row>
    <row r="434" spans="2:23" ht="18" customHeight="1" thickBot="1" x14ac:dyDescent="0.25">
      <c r="B434" s="645">
        <f t="shared" si="154"/>
        <v>7</v>
      </c>
      <c r="C434" s="611"/>
      <c r="D434" s="619"/>
      <c r="E434" s="813"/>
      <c r="F434" s="813"/>
      <c r="G434" s="813"/>
      <c r="H434" s="813"/>
      <c r="I434" s="813"/>
      <c r="J434" s="813"/>
      <c r="K434" s="813"/>
      <c r="L434" s="813"/>
      <c r="M434" s="813"/>
      <c r="N434" s="813"/>
      <c r="O434" s="813"/>
      <c r="P434" s="813"/>
      <c r="Q434" s="813"/>
      <c r="R434" s="813"/>
      <c r="S434" s="813"/>
      <c r="T434" s="813"/>
      <c r="U434" s="611"/>
      <c r="W434" s="646">
        <f t="shared" si="148"/>
        <v>0</v>
      </c>
    </row>
    <row r="435" spans="2:23" ht="18" customHeight="1" thickBot="1" x14ac:dyDescent="0.3">
      <c r="B435" s="645">
        <f t="shared" si="154"/>
        <v>8</v>
      </c>
      <c r="C435" s="270" t="s">
        <v>552</v>
      </c>
      <c r="D435" s="271"/>
      <c r="E435" s="272" t="s">
        <v>116</v>
      </c>
      <c r="F435" s="814">
        <f>F433</f>
        <v>1241799.47</v>
      </c>
      <c r="G435" s="272"/>
      <c r="H435" s="392"/>
      <c r="I435" s="393"/>
      <c r="J435" s="291">
        <f t="shared" ref="J435:Q435" ca="1" si="157">J433</f>
        <v>648273.30870285828</v>
      </c>
      <c r="K435" s="814">
        <f t="shared" ca="1" si="157"/>
        <v>90943.072695655719</v>
      </c>
      <c r="L435" s="814">
        <f t="shared" ca="1" si="157"/>
        <v>357649.5840150952</v>
      </c>
      <c r="M435" s="814">
        <f t="shared" ca="1" si="157"/>
        <v>15061.358558909955</v>
      </c>
      <c r="N435" s="814">
        <f t="shared" ca="1" si="157"/>
        <v>115980.41178792933</v>
      </c>
      <c r="O435" s="814">
        <f ca="1">O433</f>
        <v>3805.5722844695306</v>
      </c>
      <c r="P435" s="814">
        <f t="shared" ca="1" si="157"/>
        <v>7938.0035381573061</v>
      </c>
      <c r="Q435" s="814">
        <f t="shared" ca="1" si="157"/>
        <v>661.05362902348691</v>
      </c>
      <c r="R435" s="814">
        <f ca="1">R433</f>
        <v>420.24724613773981</v>
      </c>
      <c r="S435" s="218">
        <f ca="1">S433</f>
        <v>1066.8575417632192</v>
      </c>
      <c r="T435" s="393"/>
      <c r="U435" s="195">
        <f ca="1">SUM(I435:T435)</f>
        <v>1241799.47</v>
      </c>
      <c r="W435" s="646">
        <f t="shared" ca="1" si="148"/>
        <v>0</v>
      </c>
    </row>
    <row r="436" spans="2:23" ht="18" customHeight="1" x14ac:dyDescent="0.2">
      <c r="W436" s="646">
        <f t="shared" si="148"/>
        <v>0</v>
      </c>
    </row>
    <row r="437" spans="2:23" ht="18" customHeight="1" x14ac:dyDescent="0.2">
      <c r="H437" s="653"/>
      <c r="U437" s="653"/>
      <c r="V437" s="653">
        <f>$H$2</f>
        <v>0</v>
      </c>
      <c r="W437" s="646"/>
    </row>
    <row r="438" spans="2:23" ht="18" customHeight="1" thickBot="1" x14ac:dyDescent="0.25">
      <c r="W438" s="646"/>
    </row>
    <row r="439" spans="2:23" ht="18" customHeight="1" x14ac:dyDescent="0.25">
      <c r="B439" s="829" t="str">
        <f>+$B$4</f>
        <v>2025 RATE CASE</v>
      </c>
      <c r="C439" s="844"/>
      <c r="D439" s="874"/>
      <c r="F439" s="654"/>
      <c r="U439" s="653"/>
      <c r="W439" s="646"/>
    </row>
    <row r="440" spans="2:23" ht="18" customHeight="1" x14ac:dyDescent="0.25">
      <c r="B440" s="826" t="str">
        <f>+$B$5</f>
        <v>ONCOR ELECTRIC DELIVERY COMPANY LLC</v>
      </c>
      <c r="C440" s="8"/>
      <c r="D440" s="875"/>
      <c r="F440" s="654"/>
      <c r="U440" s="653"/>
      <c r="W440" s="646"/>
    </row>
    <row r="441" spans="2:23" ht="18" customHeight="1" x14ac:dyDescent="0.25">
      <c r="B441" s="826" t="str">
        <f>+$B$6</f>
        <v>II-I-1-MET:  CLASS REVENUE REQUIREMENT</v>
      </c>
      <c r="C441" s="82"/>
      <c r="D441" s="875"/>
      <c r="F441" s="654"/>
      <c r="U441" s="654"/>
      <c r="W441" s="646"/>
    </row>
    <row r="442" spans="2:23" ht="18" customHeight="1" x14ac:dyDescent="0.25">
      <c r="B442" s="341" t="str">
        <f>+$B$7</f>
        <v>TEST YEAR ENDING 12/31/2024</v>
      </c>
      <c r="C442" s="82"/>
      <c r="D442" s="875"/>
      <c r="F442" s="654"/>
      <c r="U442" s="654"/>
      <c r="W442" s="646"/>
    </row>
    <row r="443" spans="2:23" ht="18" customHeight="1" x14ac:dyDescent="0.25">
      <c r="B443" s="341" t="str">
        <f>+$B$8</f>
        <v>SPONSOR:  MATTHEW A. TROXLE</v>
      </c>
      <c r="C443" s="82"/>
      <c r="D443" s="875"/>
      <c r="F443" s="654"/>
      <c r="U443" s="654"/>
      <c r="W443" s="646"/>
    </row>
    <row r="444" spans="2:23" ht="18" customHeight="1" thickBot="1" x14ac:dyDescent="0.3">
      <c r="B444" s="345"/>
      <c r="C444" s="843"/>
      <c r="D444" s="876"/>
      <c r="F444" s="654"/>
      <c r="U444" s="654"/>
      <c r="W444" s="646"/>
    </row>
    <row r="445" spans="2:23" ht="18" customHeight="1" thickBot="1" x14ac:dyDescent="0.25">
      <c r="B445" s="655"/>
      <c r="C445" s="656"/>
      <c r="D445" s="656"/>
      <c r="E445" s="656"/>
      <c r="F445" s="655"/>
      <c r="G445" s="656"/>
      <c r="H445" s="656"/>
      <c r="I445" s="656"/>
      <c r="J445" s="657"/>
      <c r="K445" s="657"/>
      <c r="L445" s="656"/>
      <c r="M445" s="657"/>
      <c r="N445" s="657"/>
      <c r="O445" s="657"/>
      <c r="P445" s="657"/>
      <c r="Q445" s="656"/>
      <c r="R445" s="658" t="str">
        <f>R$10</f>
        <v xml:space="preserve"> </v>
      </c>
      <c r="S445" s="659"/>
      <c r="T445" s="657"/>
      <c r="U445" s="655"/>
      <c r="W445" s="646"/>
    </row>
    <row r="446" spans="2:23" ht="18" customHeight="1" x14ac:dyDescent="0.25">
      <c r="B446" s="660" t="s">
        <v>2</v>
      </c>
      <c r="C446" s="660" t="s">
        <v>349</v>
      </c>
      <c r="D446" s="226" t="s">
        <v>118</v>
      </c>
      <c r="E446" s="660" t="s">
        <v>350</v>
      </c>
      <c r="F446" s="226" t="str">
        <f>F$11</f>
        <v>MET</v>
      </c>
      <c r="G446" s="661" t="s">
        <v>688</v>
      </c>
      <c r="H446" s="661" t="s">
        <v>355</v>
      </c>
      <c r="I446" s="660"/>
      <c r="J446" s="661" t="s">
        <v>679</v>
      </c>
      <c r="K446" s="661" t="s">
        <v>388</v>
      </c>
      <c r="L446" s="660" t="s">
        <v>388</v>
      </c>
      <c r="M446" s="661" t="s">
        <v>389</v>
      </c>
      <c r="N446" s="661" t="s">
        <v>389</v>
      </c>
      <c r="O446" s="661" t="s">
        <v>389</v>
      </c>
      <c r="P446" s="661" t="s">
        <v>390</v>
      </c>
      <c r="Q446" s="660" t="s">
        <v>391</v>
      </c>
      <c r="R446" s="662" t="str">
        <f>R$11</f>
        <v>Wholesale</v>
      </c>
      <c r="S446" s="655" t="str">
        <f>S$11</f>
        <v>Wholesale</v>
      </c>
      <c r="T446" s="661"/>
      <c r="U446" s="660" t="s">
        <v>10</v>
      </c>
      <c r="W446" s="646"/>
    </row>
    <row r="447" spans="2:23" ht="18" customHeight="1" x14ac:dyDescent="0.2">
      <c r="B447" s="660"/>
      <c r="C447" s="660"/>
      <c r="D447" s="660"/>
      <c r="E447" s="660"/>
      <c r="F447" s="660"/>
      <c r="G447" s="661" t="s">
        <v>689</v>
      </c>
      <c r="H447" s="661" t="s">
        <v>690</v>
      </c>
      <c r="I447" s="660"/>
      <c r="J447" s="661"/>
      <c r="K447" s="661" t="s">
        <v>680</v>
      </c>
      <c r="L447" s="660" t="s">
        <v>681</v>
      </c>
      <c r="M447" s="661" t="s">
        <v>680</v>
      </c>
      <c r="N447" s="661" t="s">
        <v>681</v>
      </c>
      <c r="O447" s="661" t="s">
        <v>393</v>
      </c>
      <c r="P447" s="661"/>
      <c r="Q447" s="660"/>
      <c r="R447" s="663" t="str">
        <f>R$12</f>
        <v>XFMR</v>
      </c>
      <c r="S447" s="660" t="str">
        <f>S$12</f>
        <v>DLS</v>
      </c>
      <c r="T447" s="661"/>
      <c r="U447" s="660"/>
      <c r="W447" s="646"/>
    </row>
    <row r="448" spans="2:23" ht="18" customHeight="1" thickBot="1" x14ac:dyDescent="0.25">
      <c r="B448" s="664"/>
      <c r="C448" s="664"/>
      <c r="D448" s="664"/>
      <c r="E448" s="664"/>
      <c r="F448" s="664" t="s">
        <v>13</v>
      </c>
      <c r="G448" s="664" t="s">
        <v>14</v>
      </c>
      <c r="H448" s="664" t="s">
        <v>15</v>
      </c>
      <c r="I448" s="664"/>
      <c r="J448" s="665" t="str">
        <f t="shared" ref="J448:Q448" si="158">J$13</f>
        <v>(d)</v>
      </c>
      <c r="K448" s="665" t="str">
        <f t="shared" si="158"/>
        <v>(e)</v>
      </c>
      <c r="L448" s="664" t="str">
        <f t="shared" si="158"/>
        <v>(f)</v>
      </c>
      <c r="M448" s="665" t="str">
        <f t="shared" si="158"/>
        <v>(g)</v>
      </c>
      <c r="N448" s="665" t="str">
        <f t="shared" si="158"/>
        <v>(h)</v>
      </c>
      <c r="O448" s="665" t="str">
        <f>O$13</f>
        <v>(i)</v>
      </c>
      <c r="P448" s="665" t="str">
        <f t="shared" si="158"/>
        <v>(j)</v>
      </c>
      <c r="Q448" s="665" t="str">
        <f t="shared" si="158"/>
        <v>(k)</v>
      </c>
      <c r="R448" s="665" t="str">
        <f>R$13</f>
        <v>(l)</v>
      </c>
      <c r="S448" s="664" t="str">
        <f>S$13</f>
        <v>(m)</v>
      </c>
      <c r="T448" s="664"/>
      <c r="U448" s="664" t="s">
        <v>683</v>
      </c>
      <c r="W448" s="646"/>
    </row>
    <row r="449" spans="2:23" ht="18" customHeight="1" x14ac:dyDescent="0.2"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11"/>
      <c r="W449" s="646">
        <f t="shared" si="148"/>
        <v>0</v>
      </c>
    </row>
    <row r="450" spans="2:23" ht="18" customHeight="1" x14ac:dyDescent="0.25">
      <c r="B450" s="645">
        <f t="shared" ref="B450:B455" si="159">B449+1</f>
        <v>1</v>
      </c>
      <c r="C450" s="269" t="s">
        <v>110</v>
      </c>
      <c r="D450" s="611"/>
      <c r="E450" s="611"/>
      <c r="F450" s="611"/>
      <c r="G450" s="611"/>
      <c r="H450" s="611"/>
      <c r="I450" s="611"/>
      <c r="J450" s="611"/>
      <c r="K450" s="611"/>
      <c r="L450" s="611"/>
      <c r="M450" s="611"/>
      <c r="N450" s="611"/>
      <c r="O450" s="611"/>
      <c r="P450" s="611"/>
      <c r="Q450" s="611"/>
      <c r="R450" s="611"/>
      <c r="S450" s="611"/>
      <c r="T450" s="611"/>
      <c r="U450" s="611"/>
      <c r="W450" s="646">
        <f t="shared" si="148"/>
        <v>0</v>
      </c>
    </row>
    <row r="451" spans="2:23" ht="18" customHeight="1" x14ac:dyDescent="0.25">
      <c r="B451" s="645">
        <f t="shared" si="159"/>
        <v>2</v>
      </c>
      <c r="C451" s="283" t="s">
        <v>549</v>
      </c>
      <c r="D451" s="34"/>
      <c r="E451" s="806" t="s">
        <v>119</v>
      </c>
      <c r="F451" s="284"/>
      <c r="G451" s="806"/>
      <c r="H451" s="806"/>
      <c r="I451" s="806"/>
      <c r="J451" s="806"/>
      <c r="K451" s="806"/>
      <c r="L451" s="806"/>
      <c r="M451" s="806"/>
      <c r="N451" s="806"/>
      <c r="O451" s="806"/>
      <c r="P451" s="806"/>
      <c r="Q451" s="806"/>
      <c r="R451" s="806"/>
      <c r="S451" s="806"/>
      <c r="T451" s="806"/>
      <c r="U451" s="34"/>
      <c r="W451" s="646">
        <f t="shared" si="148"/>
        <v>0</v>
      </c>
    </row>
    <row r="452" spans="2:23" ht="18" customHeight="1" x14ac:dyDescent="0.2">
      <c r="B452" s="645">
        <f t="shared" si="159"/>
        <v>3</v>
      </c>
      <c r="C452" s="611"/>
      <c r="D452" s="611" t="s">
        <v>118</v>
      </c>
      <c r="E452" s="611"/>
      <c r="F452" s="646">
        <f>' WP II-I-1.4'!H452</f>
        <v>-298798.5199999999</v>
      </c>
      <c r="G452" s="610">
        <v>76</v>
      </c>
      <c r="H452" s="620" t="str">
        <f>VLOOKUP(G452,FactorTable,2)</f>
        <v>O&amp;M</v>
      </c>
      <c r="I452" s="611"/>
      <c r="J452" s="651">
        <f t="shared" ref="J452:S452" ca="1" si="160">$F452*HLOOKUP(J$1354,FactorTable,$G452+1)</f>
        <v>-155937.01466669943</v>
      </c>
      <c r="K452" s="651">
        <f t="shared" ca="1" si="160"/>
        <v>-21873.233167905597</v>
      </c>
      <c r="L452" s="651">
        <f t="shared" ca="1" si="160"/>
        <v>-86031.065483492304</v>
      </c>
      <c r="M452" s="651">
        <f t="shared" ca="1" si="160"/>
        <v>-3622.4255630020193</v>
      </c>
      <c r="N452" s="651">
        <f t="shared" ca="1" si="160"/>
        <v>-27898.194329480433</v>
      </c>
      <c r="O452" s="651">
        <f t="shared" ca="1" si="160"/>
        <v>-916.85202809729367</v>
      </c>
      <c r="P452" s="651">
        <f t="shared" ca="1" si="160"/>
        <v>-1909.1754032837289</v>
      </c>
      <c r="Q452" s="651">
        <f t="shared" ca="1" si="160"/>
        <v>-252.64580888350275</v>
      </c>
      <c r="R452" s="651">
        <f t="shared" ca="1" si="160"/>
        <v>-101.18257722364125</v>
      </c>
      <c r="S452" s="651">
        <f t="shared" ca="1" si="160"/>
        <v>-256.73097193194906</v>
      </c>
      <c r="T452" s="611"/>
      <c r="U452" s="646">
        <f ca="1">SUM(I452:T452)</f>
        <v>-298798.51999999984</v>
      </c>
      <c r="W452" s="646">
        <f t="shared" ca="1" si="148"/>
        <v>0</v>
      </c>
    </row>
    <row r="453" spans="2:23" ht="18" customHeight="1" x14ac:dyDescent="0.25">
      <c r="B453" s="645">
        <f t="shared" si="159"/>
        <v>4</v>
      </c>
      <c r="C453" s="34"/>
      <c r="D453" s="42" t="s">
        <v>444</v>
      </c>
      <c r="E453" s="807"/>
      <c r="F453" s="807">
        <f>+F452</f>
        <v>-298798.5199999999</v>
      </c>
      <c r="G453" s="807"/>
      <c r="H453" s="807"/>
      <c r="I453" s="807"/>
      <c r="J453" s="807">
        <f t="shared" ref="J453:Q453" ca="1" si="161">+J452</f>
        <v>-155937.01466669943</v>
      </c>
      <c r="K453" s="807">
        <f t="shared" ca="1" si="161"/>
        <v>-21873.233167905597</v>
      </c>
      <c r="L453" s="807">
        <f t="shared" ca="1" si="161"/>
        <v>-86031.065483492304</v>
      </c>
      <c r="M453" s="807">
        <f t="shared" ca="1" si="161"/>
        <v>-3622.4255630020193</v>
      </c>
      <c r="N453" s="807">
        <f t="shared" ca="1" si="161"/>
        <v>-27898.194329480433</v>
      </c>
      <c r="O453" s="807">
        <f ca="1">+O452</f>
        <v>-916.85202809729367</v>
      </c>
      <c r="P453" s="807">
        <f t="shared" ca="1" si="161"/>
        <v>-1909.1754032837289</v>
      </c>
      <c r="Q453" s="807">
        <f t="shared" ca="1" si="161"/>
        <v>-252.64580888350275</v>
      </c>
      <c r="R453" s="807">
        <f ca="1">+R452</f>
        <v>-101.18257722364125</v>
      </c>
      <c r="S453" s="807">
        <f ca="1">+S452</f>
        <v>-256.73097193194906</v>
      </c>
      <c r="T453" s="807"/>
      <c r="U453" s="235">
        <f ca="1">SUM(I453:T453)</f>
        <v>-298798.51999999984</v>
      </c>
      <c r="W453" s="646">
        <f t="shared" ca="1" si="148"/>
        <v>0</v>
      </c>
    </row>
    <row r="454" spans="2:23" ht="18" customHeight="1" thickBot="1" x14ac:dyDescent="0.25">
      <c r="B454" s="645">
        <f t="shared" si="159"/>
        <v>5</v>
      </c>
      <c r="C454" s="611"/>
      <c r="D454" s="619"/>
      <c r="E454" s="813"/>
      <c r="F454" s="813"/>
      <c r="G454" s="813"/>
      <c r="H454" s="813"/>
      <c r="I454" s="813"/>
      <c r="J454" s="813"/>
      <c r="K454" s="813"/>
      <c r="L454" s="813"/>
      <c r="M454" s="813"/>
      <c r="N454" s="813"/>
      <c r="O454" s="813"/>
      <c r="P454" s="813"/>
      <c r="Q454" s="813"/>
      <c r="R454" s="813"/>
      <c r="S454" s="813"/>
      <c r="T454" s="813"/>
      <c r="U454" s="611"/>
      <c r="W454" s="646">
        <f t="shared" si="148"/>
        <v>0</v>
      </c>
    </row>
    <row r="455" spans="2:23" ht="18" customHeight="1" thickBot="1" x14ac:dyDescent="0.3">
      <c r="B455" s="645">
        <f t="shared" si="159"/>
        <v>6</v>
      </c>
      <c r="C455" s="270" t="s">
        <v>553</v>
      </c>
      <c r="D455" s="271"/>
      <c r="E455" s="272" t="s">
        <v>119</v>
      </c>
      <c r="F455" s="814">
        <f>+F453</f>
        <v>-298798.5199999999</v>
      </c>
      <c r="G455" s="272"/>
      <c r="H455" s="392"/>
      <c r="I455" s="568"/>
      <c r="J455" s="291">
        <f t="shared" ref="J455:Q455" ca="1" si="162">+J453</f>
        <v>-155937.01466669943</v>
      </c>
      <c r="K455" s="814">
        <f t="shared" ca="1" si="162"/>
        <v>-21873.233167905597</v>
      </c>
      <c r="L455" s="814">
        <f t="shared" ca="1" si="162"/>
        <v>-86031.065483492304</v>
      </c>
      <c r="M455" s="814">
        <f t="shared" ca="1" si="162"/>
        <v>-3622.4255630020193</v>
      </c>
      <c r="N455" s="814">
        <f t="shared" ca="1" si="162"/>
        <v>-27898.194329480433</v>
      </c>
      <c r="O455" s="814">
        <f ca="1">+O453</f>
        <v>-916.85202809729367</v>
      </c>
      <c r="P455" s="814">
        <f t="shared" ca="1" si="162"/>
        <v>-1909.1754032837289</v>
      </c>
      <c r="Q455" s="814">
        <f t="shared" ca="1" si="162"/>
        <v>-252.64580888350275</v>
      </c>
      <c r="R455" s="814">
        <f ca="1">+R453</f>
        <v>-101.18257722364125</v>
      </c>
      <c r="S455" s="218">
        <f ca="1">+S453</f>
        <v>-256.73097193194906</v>
      </c>
      <c r="T455" s="392"/>
      <c r="U455" s="195">
        <f ca="1">SUM(I455:T455)</f>
        <v>-298798.51999999984</v>
      </c>
      <c r="W455" s="646">
        <f t="shared" ca="1" si="148"/>
        <v>0</v>
      </c>
    </row>
    <row r="456" spans="2:23" ht="18" customHeight="1" x14ac:dyDescent="0.2">
      <c r="W456" s="646">
        <f>U456-F456</f>
        <v>0</v>
      </c>
    </row>
    <row r="457" spans="2:23" ht="18" customHeight="1" x14ac:dyDescent="0.2">
      <c r="H457" s="653"/>
      <c r="U457" s="653"/>
      <c r="V457" s="653">
        <f>$H$2</f>
        <v>0</v>
      </c>
      <c r="W457" s="646"/>
    </row>
    <row r="458" spans="2:23" ht="18" customHeight="1" thickBot="1" x14ac:dyDescent="0.25">
      <c r="W458" s="646"/>
    </row>
    <row r="459" spans="2:23" ht="18" customHeight="1" x14ac:dyDescent="0.25">
      <c r="B459" s="829" t="str">
        <f>+$B$4</f>
        <v>2025 RATE CASE</v>
      </c>
      <c r="C459" s="844"/>
      <c r="D459" s="874"/>
      <c r="F459" s="654"/>
      <c r="U459" s="653"/>
      <c r="W459" s="646"/>
    </row>
    <row r="460" spans="2:23" ht="18" customHeight="1" x14ac:dyDescent="0.25">
      <c r="B460" s="826" t="str">
        <f>+$B$5</f>
        <v>ONCOR ELECTRIC DELIVERY COMPANY LLC</v>
      </c>
      <c r="C460" s="8"/>
      <c r="D460" s="875"/>
      <c r="F460" s="654"/>
      <c r="U460" s="653"/>
      <c r="W460" s="646"/>
    </row>
    <row r="461" spans="2:23" ht="18" customHeight="1" x14ac:dyDescent="0.25">
      <c r="B461" s="826" t="str">
        <f>+$B$6</f>
        <v>II-I-1-MET:  CLASS REVENUE REQUIREMENT</v>
      </c>
      <c r="C461" s="82"/>
      <c r="D461" s="875"/>
      <c r="F461" s="654"/>
      <c r="U461" s="654"/>
      <c r="W461" s="646"/>
    </row>
    <row r="462" spans="2:23" ht="18" customHeight="1" x14ac:dyDescent="0.25">
      <c r="B462" s="341" t="str">
        <f>+$B$7</f>
        <v>TEST YEAR ENDING 12/31/2024</v>
      </c>
      <c r="C462" s="82"/>
      <c r="D462" s="875"/>
      <c r="F462" s="654"/>
      <c r="U462" s="654"/>
      <c r="W462" s="646"/>
    </row>
    <row r="463" spans="2:23" ht="18" customHeight="1" x14ac:dyDescent="0.25">
      <c r="B463" s="341" t="str">
        <f>+$B$8</f>
        <v>SPONSOR:  MATTHEW A. TROXLE</v>
      </c>
      <c r="C463" s="82"/>
      <c r="D463" s="875"/>
      <c r="F463" s="654"/>
      <c r="U463" s="654"/>
      <c r="W463" s="646"/>
    </row>
    <row r="464" spans="2:23" ht="18" customHeight="1" thickBot="1" x14ac:dyDescent="0.3">
      <c r="B464" s="345"/>
      <c r="C464" s="843"/>
      <c r="D464" s="876"/>
      <c r="F464" s="654"/>
      <c r="U464" s="654"/>
      <c r="W464" s="646"/>
    </row>
    <row r="465" spans="2:23" ht="18" customHeight="1" thickBot="1" x14ac:dyDescent="0.25">
      <c r="B465" s="655"/>
      <c r="C465" s="656"/>
      <c r="D465" s="656"/>
      <c r="E465" s="656"/>
      <c r="F465" s="655"/>
      <c r="G465" s="656"/>
      <c r="H465" s="656"/>
      <c r="I465" s="656"/>
      <c r="J465" s="657"/>
      <c r="K465" s="657"/>
      <c r="L465" s="656"/>
      <c r="M465" s="657"/>
      <c r="N465" s="657"/>
      <c r="O465" s="657"/>
      <c r="P465" s="657"/>
      <c r="Q465" s="656"/>
      <c r="R465" s="658" t="str">
        <f>R$10</f>
        <v xml:space="preserve"> </v>
      </c>
      <c r="S465" s="659"/>
      <c r="T465" s="657"/>
      <c r="U465" s="655"/>
      <c r="W465" s="646"/>
    </row>
    <row r="466" spans="2:23" ht="18" customHeight="1" x14ac:dyDescent="0.25">
      <c r="B466" s="660" t="s">
        <v>2</v>
      </c>
      <c r="C466" s="660" t="s">
        <v>349</v>
      </c>
      <c r="D466" s="226" t="s">
        <v>120</v>
      </c>
      <c r="E466" s="660" t="s">
        <v>350</v>
      </c>
      <c r="F466" s="226" t="str">
        <f>F$11</f>
        <v>MET</v>
      </c>
      <c r="G466" s="661" t="s">
        <v>688</v>
      </c>
      <c r="H466" s="661" t="s">
        <v>355</v>
      </c>
      <c r="I466" s="660"/>
      <c r="J466" s="661" t="s">
        <v>679</v>
      </c>
      <c r="K466" s="661" t="s">
        <v>388</v>
      </c>
      <c r="L466" s="660" t="s">
        <v>388</v>
      </c>
      <c r="M466" s="661" t="s">
        <v>389</v>
      </c>
      <c r="N466" s="661" t="s">
        <v>389</v>
      </c>
      <c r="O466" s="661" t="s">
        <v>389</v>
      </c>
      <c r="P466" s="661" t="s">
        <v>390</v>
      </c>
      <c r="Q466" s="660" t="s">
        <v>391</v>
      </c>
      <c r="R466" s="662" t="str">
        <f>R$11</f>
        <v>Wholesale</v>
      </c>
      <c r="S466" s="655" t="str">
        <f>S$11</f>
        <v>Wholesale</v>
      </c>
      <c r="T466" s="661"/>
      <c r="U466" s="660" t="s">
        <v>10</v>
      </c>
      <c r="W466" s="646"/>
    </row>
    <row r="467" spans="2:23" ht="18" customHeight="1" x14ac:dyDescent="0.2">
      <c r="B467" s="660"/>
      <c r="C467" s="660"/>
      <c r="D467" s="660"/>
      <c r="E467" s="660"/>
      <c r="F467" s="660"/>
      <c r="G467" s="661" t="s">
        <v>689</v>
      </c>
      <c r="H467" s="661" t="s">
        <v>690</v>
      </c>
      <c r="I467" s="660"/>
      <c r="J467" s="661"/>
      <c r="K467" s="661" t="s">
        <v>680</v>
      </c>
      <c r="L467" s="660" t="s">
        <v>681</v>
      </c>
      <c r="M467" s="661" t="s">
        <v>680</v>
      </c>
      <c r="N467" s="661" t="s">
        <v>681</v>
      </c>
      <c r="O467" s="661" t="s">
        <v>393</v>
      </c>
      <c r="P467" s="661"/>
      <c r="Q467" s="660"/>
      <c r="R467" s="663" t="str">
        <f>R$12</f>
        <v>XFMR</v>
      </c>
      <c r="S467" s="660" t="str">
        <f>S$12</f>
        <v>DLS</v>
      </c>
      <c r="T467" s="661"/>
      <c r="U467" s="660"/>
      <c r="W467" s="646"/>
    </row>
    <row r="468" spans="2:23" ht="18" customHeight="1" thickBot="1" x14ac:dyDescent="0.25">
      <c r="B468" s="664"/>
      <c r="C468" s="664"/>
      <c r="D468" s="664"/>
      <c r="E468" s="664"/>
      <c r="F468" s="664" t="s">
        <v>13</v>
      </c>
      <c r="G468" s="664" t="s">
        <v>14</v>
      </c>
      <c r="H468" s="664" t="s">
        <v>15</v>
      </c>
      <c r="I468" s="664"/>
      <c r="J468" s="665" t="str">
        <f t="shared" ref="J468:Q468" si="163">J$13</f>
        <v>(d)</v>
      </c>
      <c r="K468" s="665" t="str">
        <f t="shared" si="163"/>
        <v>(e)</v>
      </c>
      <c r="L468" s="664" t="str">
        <f t="shared" si="163"/>
        <v>(f)</v>
      </c>
      <c r="M468" s="665" t="str">
        <f t="shared" si="163"/>
        <v>(g)</v>
      </c>
      <c r="N468" s="665" t="str">
        <f t="shared" si="163"/>
        <v>(h)</v>
      </c>
      <c r="O468" s="665" t="str">
        <f>O$13</f>
        <v>(i)</v>
      </c>
      <c r="P468" s="665" t="str">
        <f t="shared" si="163"/>
        <v>(j)</v>
      </c>
      <c r="Q468" s="665" t="str">
        <f t="shared" si="163"/>
        <v>(k)</v>
      </c>
      <c r="R468" s="665" t="str">
        <f>R$13</f>
        <v>(l)</v>
      </c>
      <c r="S468" s="664" t="str">
        <f>S$13</f>
        <v>(m)</v>
      </c>
      <c r="T468" s="664"/>
      <c r="U468" s="664" t="s">
        <v>683</v>
      </c>
      <c r="W468" s="646"/>
    </row>
    <row r="469" spans="2:23" ht="18" customHeight="1" x14ac:dyDescent="0.2"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11"/>
      <c r="W469" s="646">
        <f t="shared" ref="W469:W479" si="164">U469-F469</f>
        <v>0</v>
      </c>
    </row>
    <row r="470" spans="2:23" ht="18" customHeight="1" x14ac:dyDescent="0.25">
      <c r="B470" s="645">
        <f t="shared" ref="B470:B478" si="165">B469+1</f>
        <v>1</v>
      </c>
      <c r="C470" s="269" t="s">
        <v>110</v>
      </c>
      <c r="D470" s="34"/>
      <c r="E470" s="806"/>
      <c r="F470" s="807"/>
      <c r="G470" s="806"/>
      <c r="H470" s="806"/>
      <c r="I470" s="806"/>
      <c r="J470" s="806"/>
      <c r="K470" s="806"/>
      <c r="L470" s="806"/>
      <c r="M470" s="806"/>
      <c r="N470" s="806"/>
      <c r="O470" s="806"/>
      <c r="P470" s="806"/>
      <c r="Q470" s="806"/>
      <c r="R470" s="806"/>
      <c r="S470" s="806"/>
      <c r="T470" s="806"/>
      <c r="U470" s="34"/>
      <c r="W470" s="646">
        <f t="shared" si="164"/>
        <v>0</v>
      </c>
    </row>
    <row r="471" spans="2:23" ht="18" customHeight="1" x14ac:dyDescent="0.25">
      <c r="B471" s="645">
        <f t="shared" si="165"/>
        <v>2</v>
      </c>
      <c r="C471" s="283" t="s">
        <v>549</v>
      </c>
      <c r="D471" s="42"/>
      <c r="E471" s="813"/>
      <c r="F471" s="813"/>
      <c r="G471" s="813"/>
      <c r="H471" s="813"/>
      <c r="I471" s="813"/>
      <c r="J471" s="813"/>
      <c r="K471" s="813"/>
      <c r="L471" s="813"/>
      <c r="M471" s="813"/>
      <c r="N471" s="813"/>
      <c r="O471" s="813"/>
      <c r="P471" s="813"/>
      <c r="Q471" s="813"/>
      <c r="R471" s="813"/>
      <c r="S471" s="813"/>
      <c r="T471" s="813"/>
      <c r="U471" s="611"/>
      <c r="W471" s="646">
        <f t="shared" si="164"/>
        <v>0</v>
      </c>
    </row>
    <row r="472" spans="2:23" ht="18" customHeight="1" x14ac:dyDescent="0.25">
      <c r="B472" s="645">
        <f t="shared" si="165"/>
        <v>3</v>
      </c>
      <c r="C472" s="34">
        <v>165</v>
      </c>
      <c r="D472" s="283" t="s">
        <v>120</v>
      </c>
      <c r="E472" s="806" t="s">
        <v>121</v>
      </c>
      <c r="F472" s="807"/>
      <c r="G472" s="806"/>
      <c r="H472" s="806"/>
      <c r="I472" s="806"/>
      <c r="J472" s="806"/>
      <c r="K472" s="806"/>
      <c r="L472" s="806"/>
      <c r="M472" s="806"/>
      <c r="N472" s="806"/>
      <c r="O472" s="806"/>
      <c r="P472" s="806"/>
      <c r="Q472" s="806"/>
      <c r="R472" s="806"/>
      <c r="S472" s="806"/>
      <c r="T472" s="806"/>
      <c r="U472" s="34"/>
      <c r="W472" s="646">
        <f t="shared" si="164"/>
        <v>0</v>
      </c>
    </row>
    <row r="473" spans="2:23" ht="18" customHeight="1" x14ac:dyDescent="0.2">
      <c r="B473" s="645">
        <f t="shared" si="165"/>
        <v>4</v>
      </c>
      <c r="C473" s="611"/>
      <c r="D473" s="611" t="s">
        <v>120</v>
      </c>
      <c r="E473" s="821"/>
      <c r="F473" s="646">
        <f>' WP II-I-1.4'!H473</f>
        <v>584939.38897891541</v>
      </c>
      <c r="G473" s="1007">
        <v>19</v>
      </c>
      <c r="H473" s="620" t="str">
        <f>VLOOKUP(G473,FactorTable,2)</f>
        <v>ENERGY ICL</v>
      </c>
      <c r="I473" s="821"/>
      <c r="J473" s="651">
        <f t="shared" ref="J473:S473" si="166">$F473*HLOOKUP(J$1354,FactorTable,$G473+1)</f>
        <v>229342.27961704502</v>
      </c>
      <c r="K473" s="651">
        <f t="shared" si="166"/>
        <v>6948.1500084378085</v>
      </c>
      <c r="L473" s="651">
        <f t="shared" si="166"/>
        <v>244195.51534296709</v>
      </c>
      <c r="M473" s="651">
        <f t="shared" si="166"/>
        <v>4.7016999334745568</v>
      </c>
      <c r="N473" s="651">
        <f t="shared" si="166"/>
        <v>40434.894978183031</v>
      </c>
      <c r="O473" s="651">
        <f t="shared" si="166"/>
        <v>7707.6294738031629</v>
      </c>
      <c r="P473" s="651">
        <f t="shared" si="166"/>
        <v>53159.051376293472</v>
      </c>
      <c r="Q473" s="651">
        <f t="shared" si="166"/>
        <v>1876.5583157754083</v>
      </c>
      <c r="R473" s="651">
        <f t="shared" si="166"/>
        <v>582.92132021610644</v>
      </c>
      <c r="S473" s="651">
        <f t="shared" si="166"/>
        <v>687.68684626060985</v>
      </c>
      <c r="T473" s="821"/>
      <c r="U473" s="646">
        <f>SUM(I473:T473)</f>
        <v>584939.38897891506</v>
      </c>
      <c r="W473" s="646">
        <f t="shared" si="164"/>
        <v>0</v>
      </c>
    </row>
    <row r="474" spans="2:23" ht="18" customHeight="1" x14ac:dyDescent="0.25">
      <c r="B474" s="645">
        <f t="shared" si="165"/>
        <v>5</v>
      </c>
      <c r="C474" s="34"/>
      <c r="D474" s="42" t="s">
        <v>444</v>
      </c>
      <c r="E474" s="822"/>
      <c r="F474" s="807">
        <f>SUM(F473:F473)</f>
        <v>584939.38897891541</v>
      </c>
      <c r="G474" s="822"/>
      <c r="H474" s="822"/>
      <c r="I474" s="822"/>
      <c r="J474" s="807">
        <f t="shared" ref="J474:Q474" si="167">SUM(J473:J473)</f>
        <v>229342.27961704502</v>
      </c>
      <c r="K474" s="807">
        <f t="shared" si="167"/>
        <v>6948.1500084378085</v>
      </c>
      <c r="L474" s="807">
        <f t="shared" si="167"/>
        <v>244195.51534296709</v>
      </c>
      <c r="M474" s="807">
        <f t="shared" si="167"/>
        <v>4.7016999334745568</v>
      </c>
      <c r="N474" s="807">
        <f t="shared" si="167"/>
        <v>40434.894978183031</v>
      </c>
      <c r="O474" s="807">
        <f>SUM(O473:O473)</f>
        <v>7707.6294738031629</v>
      </c>
      <c r="P474" s="807">
        <f t="shared" si="167"/>
        <v>53159.051376293472</v>
      </c>
      <c r="Q474" s="807">
        <f t="shared" si="167"/>
        <v>1876.5583157754083</v>
      </c>
      <c r="R474" s="807">
        <f>SUM(R473:R473)</f>
        <v>582.92132021610644</v>
      </c>
      <c r="S474" s="807">
        <f>SUM(S473:S473)</f>
        <v>687.68684626060985</v>
      </c>
      <c r="T474" s="822"/>
      <c r="U474" s="235">
        <f>SUM(I474:T474)</f>
        <v>584939.38897891506</v>
      </c>
      <c r="W474" s="646">
        <f t="shared" si="164"/>
        <v>0</v>
      </c>
    </row>
    <row r="475" spans="2:23" ht="18" customHeight="1" thickBot="1" x14ac:dyDescent="0.3">
      <c r="B475" s="645">
        <f t="shared" si="165"/>
        <v>6</v>
      </c>
      <c r="C475" s="34"/>
      <c r="D475" s="42"/>
      <c r="E475" s="822"/>
      <c r="F475" s="288"/>
      <c r="G475" s="822"/>
      <c r="H475" s="822"/>
      <c r="I475" s="822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822"/>
      <c r="U475" s="288"/>
      <c r="W475" s="646">
        <f t="shared" si="164"/>
        <v>0</v>
      </c>
    </row>
    <row r="476" spans="2:23" ht="18" customHeight="1" thickBot="1" x14ac:dyDescent="0.3">
      <c r="B476" s="645">
        <f t="shared" si="165"/>
        <v>7</v>
      </c>
      <c r="C476" s="276" t="s">
        <v>554</v>
      </c>
      <c r="D476" s="271"/>
      <c r="E476" s="272" t="s">
        <v>121</v>
      </c>
      <c r="F476" s="814">
        <f>+F474</f>
        <v>584939.38897891541</v>
      </c>
      <c r="G476" s="272"/>
      <c r="H476" s="392"/>
      <c r="I476" s="568"/>
      <c r="J476" s="291">
        <f t="shared" ref="J476:Q476" si="168">+J474</f>
        <v>229342.27961704502</v>
      </c>
      <c r="K476" s="814">
        <f t="shared" si="168"/>
        <v>6948.1500084378085</v>
      </c>
      <c r="L476" s="814">
        <f t="shared" si="168"/>
        <v>244195.51534296709</v>
      </c>
      <c r="M476" s="814">
        <f t="shared" si="168"/>
        <v>4.7016999334745568</v>
      </c>
      <c r="N476" s="814">
        <f t="shared" si="168"/>
        <v>40434.894978183031</v>
      </c>
      <c r="O476" s="814">
        <f>+O474</f>
        <v>7707.6294738031629</v>
      </c>
      <c r="P476" s="814">
        <f t="shared" si="168"/>
        <v>53159.051376293472</v>
      </c>
      <c r="Q476" s="814">
        <f t="shared" si="168"/>
        <v>1876.5583157754083</v>
      </c>
      <c r="R476" s="814">
        <f>+R474</f>
        <v>582.92132021610644</v>
      </c>
      <c r="S476" s="218">
        <f>+S474</f>
        <v>687.68684626060985</v>
      </c>
      <c r="T476" s="392"/>
      <c r="U476" s="195">
        <f>SUM(I476:T476)</f>
        <v>584939.38897891506</v>
      </c>
      <c r="W476" s="646">
        <f t="shared" si="164"/>
        <v>0</v>
      </c>
    </row>
    <row r="477" spans="2:23" ht="18" customHeight="1" thickBot="1" x14ac:dyDescent="0.25">
      <c r="B477" s="645">
        <f t="shared" si="165"/>
        <v>8</v>
      </c>
      <c r="C477" s="611"/>
      <c r="D477" s="619"/>
      <c r="E477" s="821"/>
      <c r="F477" s="813"/>
      <c r="G477" s="821"/>
      <c r="H477" s="821"/>
      <c r="I477" s="821"/>
      <c r="J477" s="813"/>
      <c r="K477" s="813"/>
      <c r="L477" s="813"/>
      <c r="M477" s="813"/>
      <c r="N477" s="813"/>
      <c r="O477" s="813"/>
      <c r="P477" s="813"/>
      <c r="Q477" s="813"/>
      <c r="R477" s="813"/>
      <c r="S477" s="813"/>
      <c r="T477" s="821"/>
      <c r="U477" s="813"/>
      <c r="W477" s="646">
        <f t="shared" si="164"/>
        <v>0</v>
      </c>
    </row>
    <row r="478" spans="2:23" ht="18" customHeight="1" thickBot="1" x14ac:dyDescent="0.3">
      <c r="B478" s="645">
        <f t="shared" si="165"/>
        <v>9</v>
      </c>
      <c r="C478" s="276" t="s">
        <v>555</v>
      </c>
      <c r="D478" s="271"/>
      <c r="E478" s="272" t="s">
        <v>556</v>
      </c>
      <c r="F478" s="814">
        <f>+F476+F455+F435</f>
        <v>1527940.3389789155</v>
      </c>
      <c r="G478" s="272"/>
      <c r="H478" s="392"/>
      <c r="I478" s="568"/>
      <c r="J478" s="291">
        <f t="shared" ref="J478:Q478" ca="1" si="169">+J476+J455+J435</f>
        <v>721678.5736532039</v>
      </c>
      <c r="K478" s="814">
        <f t="shared" ca="1" si="169"/>
        <v>76017.989536187932</v>
      </c>
      <c r="L478" s="814">
        <f t="shared" ca="1" si="169"/>
        <v>515814.03387456998</v>
      </c>
      <c r="M478" s="814">
        <f t="shared" ca="1" si="169"/>
        <v>11443.634695841411</v>
      </c>
      <c r="N478" s="814">
        <f t="shared" ca="1" si="169"/>
        <v>128517.11243663193</v>
      </c>
      <c r="O478" s="814">
        <f ca="1">+O476+O455+O435</f>
        <v>10596.3497301754</v>
      </c>
      <c r="P478" s="814">
        <f t="shared" ca="1" si="169"/>
        <v>59187.879511167048</v>
      </c>
      <c r="Q478" s="814">
        <f t="shared" ca="1" si="169"/>
        <v>2284.9661359153924</v>
      </c>
      <c r="R478" s="814">
        <f ca="1">+R476+R455+R435</f>
        <v>901.98598913020498</v>
      </c>
      <c r="S478" s="218">
        <f ca="1">+S476+S455+S435</f>
        <v>1497.8134160918798</v>
      </c>
      <c r="T478" s="392"/>
      <c r="U478" s="195">
        <f ca="1">SUM(I478:T478)</f>
        <v>1527940.3389789152</v>
      </c>
      <c r="W478" s="646">
        <f t="shared" ca="1" si="164"/>
        <v>0</v>
      </c>
    </row>
    <row r="479" spans="2:23" ht="18" customHeight="1" x14ac:dyDescent="0.2">
      <c r="W479" s="646">
        <f t="shared" si="164"/>
        <v>0</v>
      </c>
    </row>
    <row r="480" spans="2:23" ht="18" customHeight="1" x14ac:dyDescent="0.2">
      <c r="H480" s="653"/>
      <c r="U480" s="653"/>
      <c r="V480" s="653">
        <f>$H$2</f>
        <v>0</v>
      </c>
      <c r="W480" s="646"/>
    </row>
    <row r="481" spans="2:23" ht="18" customHeight="1" thickBot="1" x14ac:dyDescent="0.25">
      <c r="W481" s="646"/>
    </row>
    <row r="482" spans="2:23" ht="18" customHeight="1" x14ac:dyDescent="0.25">
      <c r="B482" s="829" t="str">
        <f>+$B$4</f>
        <v>2025 RATE CASE</v>
      </c>
      <c r="C482" s="844"/>
      <c r="D482" s="874"/>
      <c r="F482" s="654"/>
      <c r="U482" s="653"/>
      <c r="W482" s="646"/>
    </row>
    <row r="483" spans="2:23" ht="18" customHeight="1" x14ac:dyDescent="0.25">
      <c r="B483" s="826" t="str">
        <f>+$B$5</f>
        <v>ONCOR ELECTRIC DELIVERY COMPANY LLC</v>
      </c>
      <c r="C483" s="8"/>
      <c r="D483" s="875"/>
      <c r="F483" s="654"/>
      <c r="U483" s="653"/>
      <c r="W483" s="646"/>
    </row>
    <row r="484" spans="2:23" ht="18" customHeight="1" x14ac:dyDescent="0.25">
      <c r="B484" s="826" t="str">
        <f>+$B$6</f>
        <v>II-I-1-MET:  CLASS REVENUE REQUIREMENT</v>
      </c>
      <c r="C484" s="82"/>
      <c r="D484" s="875"/>
      <c r="F484" s="654"/>
      <c r="U484" s="654"/>
      <c r="W484" s="646"/>
    </row>
    <row r="485" spans="2:23" ht="18" customHeight="1" x14ac:dyDescent="0.25">
      <c r="B485" s="341" t="str">
        <f>+$B$7</f>
        <v>TEST YEAR ENDING 12/31/2024</v>
      </c>
      <c r="C485" s="82"/>
      <c r="D485" s="875"/>
      <c r="F485" s="654"/>
      <c r="U485" s="654"/>
      <c r="W485" s="646"/>
    </row>
    <row r="486" spans="2:23" ht="18" customHeight="1" x14ac:dyDescent="0.25">
      <c r="B486" s="341" t="str">
        <f>+$B$8</f>
        <v>SPONSOR:  MATTHEW A. TROXLE</v>
      </c>
      <c r="C486" s="82"/>
      <c r="D486" s="875"/>
      <c r="F486" s="654"/>
      <c r="U486" s="654"/>
      <c r="W486" s="646"/>
    </row>
    <row r="487" spans="2:23" ht="18" customHeight="1" thickBot="1" x14ac:dyDescent="0.3">
      <c r="B487" s="345"/>
      <c r="C487" s="843"/>
      <c r="D487" s="876"/>
      <c r="F487" s="654"/>
      <c r="U487" s="654"/>
      <c r="W487" s="646"/>
    </row>
    <row r="488" spans="2:23" ht="18" customHeight="1" thickBot="1" x14ac:dyDescent="0.25">
      <c r="B488" s="655"/>
      <c r="C488" s="656"/>
      <c r="D488" s="656"/>
      <c r="E488" s="656"/>
      <c r="F488" s="655"/>
      <c r="G488" s="656"/>
      <c r="H488" s="656"/>
      <c r="I488" s="656"/>
      <c r="J488" s="657"/>
      <c r="K488" s="657"/>
      <c r="L488" s="656"/>
      <c r="M488" s="657"/>
      <c r="N488" s="657"/>
      <c r="O488" s="657"/>
      <c r="P488" s="657"/>
      <c r="Q488" s="656"/>
      <c r="R488" s="658" t="str">
        <f>R$10</f>
        <v xml:space="preserve"> </v>
      </c>
      <c r="S488" s="659"/>
      <c r="T488" s="657"/>
      <c r="U488" s="655"/>
      <c r="W488" s="646"/>
    </row>
    <row r="489" spans="2:23" ht="18" customHeight="1" x14ac:dyDescent="0.25">
      <c r="B489" s="660" t="s">
        <v>2</v>
      </c>
      <c r="C489" s="660" t="s">
        <v>349</v>
      </c>
      <c r="D489" s="226" t="s">
        <v>122</v>
      </c>
      <c r="E489" s="660" t="s">
        <v>350</v>
      </c>
      <c r="F489" s="226" t="str">
        <f>F$11</f>
        <v>MET</v>
      </c>
      <c r="G489" s="661" t="s">
        <v>688</v>
      </c>
      <c r="H489" s="661" t="s">
        <v>355</v>
      </c>
      <c r="I489" s="660"/>
      <c r="J489" s="661" t="s">
        <v>679</v>
      </c>
      <c r="K489" s="661" t="s">
        <v>388</v>
      </c>
      <c r="L489" s="660" t="s">
        <v>388</v>
      </c>
      <c r="M489" s="661" t="s">
        <v>389</v>
      </c>
      <c r="N489" s="661" t="s">
        <v>389</v>
      </c>
      <c r="O489" s="661" t="s">
        <v>389</v>
      </c>
      <c r="P489" s="661" t="s">
        <v>390</v>
      </c>
      <c r="Q489" s="660" t="s">
        <v>391</v>
      </c>
      <c r="R489" s="662" t="str">
        <f>R$11</f>
        <v>Wholesale</v>
      </c>
      <c r="S489" s="655" t="str">
        <f>S$11</f>
        <v>Wholesale</v>
      </c>
      <c r="T489" s="661"/>
      <c r="U489" s="660" t="s">
        <v>10</v>
      </c>
      <c r="W489" s="646"/>
    </row>
    <row r="490" spans="2:23" ht="18" customHeight="1" x14ac:dyDescent="0.2">
      <c r="B490" s="660"/>
      <c r="C490" s="660"/>
      <c r="D490" s="660"/>
      <c r="E490" s="660"/>
      <c r="F490" s="660"/>
      <c r="G490" s="661" t="s">
        <v>689</v>
      </c>
      <c r="H490" s="661" t="s">
        <v>690</v>
      </c>
      <c r="I490" s="660"/>
      <c r="J490" s="661"/>
      <c r="K490" s="661" t="s">
        <v>680</v>
      </c>
      <c r="L490" s="660" t="s">
        <v>681</v>
      </c>
      <c r="M490" s="661" t="s">
        <v>680</v>
      </c>
      <c r="N490" s="661" t="s">
        <v>681</v>
      </c>
      <c r="O490" s="661" t="s">
        <v>393</v>
      </c>
      <c r="P490" s="661"/>
      <c r="Q490" s="660"/>
      <c r="R490" s="663" t="str">
        <f>R$12</f>
        <v>XFMR</v>
      </c>
      <c r="S490" s="660" t="str">
        <f>S$12</f>
        <v>DLS</v>
      </c>
      <c r="T490" s="661"/>
      <c r="U490" s="660"/>
      <c r="W490" s="646"/>
    </row>
    <row r="491" spans="2:23" ht="18" customHeight="1" thickBot="1" x14ac:dyDescent="0.25">
      <c r="B491" s="664"/>
      <c r="C491" s="664"/>
      <c r="D491" s="664"/>
      <c r="E491" s="664"/>
      <c r="F491" s="664" t="s">
        <v>13</v>
      </c>
      <c r="G491" s="664" t="s">
        <v>14</v>
      </c>
      <c r="H491" s="664" t="s">
        <v>15</v>
      </c>
      <c r="I491" s="664"/>
      <c r="J491" s="665" t="str">
        <f t="shared" ref="J491:Q491" si="170">J$13</f>
        <v>(d)</v>
      </c>
      <c r="K491" s="665" t="str">
        <f t="shared" si="170"/>
        <v>(e)</v>
      </c>
      <c r="L491" s="664" t="str">
        <f t="shared" si="170"/>
        <v>(f)</v>
      </c>
      <c r="M491" s="665" t="str">
        <f t="shared" si="170"/>
        <v>(g)</v>
      </c>
      <c r="N491" s="665" t="str">
        <f t="shared" si="170"/>
        <v>(h)</v>
      </c>
      <c r="O491" s="665" t="str">
        <f>O$13</f>
        <v>(i)</v>
      </c>
      <c r="P491" s="665" t="str">
        <f t="shared" si="170"/>
        <v>(j)</v>
      </c>
      <c r="Q491" s="665" t="str">
        <f t="shared" si="170"/>
        <v>(k)</v>
      </c>
      <c r="R491" s="665" t="str">
        <f>R$13</f>
        <v>(l)</v>
      </c>
      <c r="S491" s="664" t="str">
        <f>S$13</f>
        <v>(m)</v>
      </c>
      <c r="T491" s="664"/>
      <c r="U491" s="664" t="s">
        <v>683</v>
      </c>
      <c r="W491" s="646"/>
    </row>
    <row r="492" spans="2:23" ht="18" customHeight="1" x14ac:dyDescent="0.2">
      <c r="C492" s="666"/>
      <c r="D492" s="666"/>
      <c r="E492" s="666"/>
      <c r="F492" s="666"/>
      <c r="G492" s="666"/>
      <c r="H492" s="666"/>
      <c r="I492" s="666"/>
      <c r="J492" s="666"/>
      <c r="K492" s="666"/>
      <c r="L492" s="666"/>
      <c r="M492" s="666"/>
      <c r="N492" s="666"/>
      <c r="O492" s="666"/>
      <c r="P492" s="666"/>
      <c r="Q492" s="666"/>
      <c r="R492" s="666"/>
      <c r="S492" s="666"/>
      <c r="T492" s="666"/>
      <c r="U492" s="611"/>
      <c r="W492" s="646">
        <f>U492-F492</f>
        <v>0</v>
      </c>
    </row>
    <row r="493" spans="2:23" ht="18" customHeight="1" x14ac:dyDescent="0.25">
      <c r="B493" s="645">
        <f t="shared" ref="B493:B501" si="171">B492+1</f>
        <v>1</v>
      </c>
      <c r="C493" s="269" t="s">
        <v>557</v>
      </c>
      <c r="D493" s="34"/>
      <c r="E493" s="806" t="s">
        <v>123</v>
      </c>
      <c r="F493" s="807"/>
      <c r="G493" s="806"/>
      <c r="H493" s="806"/>
      <c r="I493" s="806"/>
      <c r="J493" s="806"/>
      <c r="K493" s="806"/>
      <c r="L493" s="806"/>
      <c r="M493" s="806"/>
      <c r="N493" s="806"/>
      <c r="O493" s="806"/>
      <c r="P493" s="806"/>
      <c r="Q493" s="806"/>
      <c r="R493" s="806"/>
      <c r="S493" s="806"/>
      <c r="T493" s="806"/>
      <c r="U493" s="34"/>
      <c r="W493" s="646">
        <f>U493-F493</f>
        <v>0</v>
      </c>
    </row>
    <row r="494" spans="2:23" ht="18" customHeight="1" x14ac:dyDescent="0.25">
      <c r="B494" s="645">
        <f t="shared" si="171"/>
        <v>2</v>
      </c>
      <c r="C494" s="269"/>
      <c r="D494" s="611" t="s">
        <v>1108</v>
      </c>
      <c r="E494" s="813"/>
      <c r="F494" s="646">
        <f>' WP II-I-1.4'!H494</f>
        <v>0</v>
      </c>
      <c r="G494" s="1007">
        <v>26</v>
      </c>
      <c r="H494" s="620" t="str">
        <f>VLOOKUP(G494,FactorTable,2)</f>
        <v>NCP ALL</v>
      </c>
      <c r="I494" s="813"/>
      <c r="J494" s="813">
        <f t="shared" ref="J494:S498" si="172">$F494*HLOOKUP(J$1354,FactorTable,$G494+1)</f>
        <v>0</v>
      </c>
      <c r="K494" s="813">
        <f t="shared" si="172"/>
        <v>0</v>
      </c>
      <c r="L494" s="813">
        <f t="shared" si="172"/>
        <v>0</v>
      </c>
      <c r="M494" s="813">
        <f t="shared" si="172"/>
        <v>0</v>
      </c>
      <c r="N494" s="813">
        <f t="shared" si="172"/>
        <v>0</v>
      </c>
      <c r="O494" s="813">
        <f t="shared" si="172"/>
        <v>0</v>
      </c>
      <c r="P494" s="813">
        <f t="shared" si="172"/>
        <v>0</v>
      </c>
      <c r="Q494" s="813">
        <f t="shared" si="172"/>
        <v>0</v>
      </c>
      <c r="R494" s="813">
        <f t="shared" si="172"/>
        <v>0</v>
      </c>
      <c r="S494" s="813">
        <f t="shared" si="172"/>
        <v>0</v>
      </c>
      <c r="T494" s="813"/>
      <c r="U494" s="191">
        <f>SUM(I494:T494)</f>
        <v>0</v>
      </c>
      <c r="W494" s="646">
        <f>U494-F494</f>
        <v>0</v>
      </c>
    </row>
    <row r="495" spans="2:23" ht="18" customHeight="1" x14ac:dyDescent="0.25">
      <c r="B495" s="645">
        <f t="shared" si="171"/>
        <v>3</v>
      </c>
      <c r="C495" s="611"/>
      <c r="D495" s="611"/>
      <c r="E495" s="806"/>
      <c r="F495" s="646">
        <f>' WP II-I-1.4'!H495</f>
        <v>0</v>
      </c>
      <c r="G495" s="1007"/>
      <c r="H495" s="620">
        <f>VLOOKUP(G495,FactorTable,2)</f>
        <v>-1</v>
      </c>
      <c r="I495" s="806"/>
      <c r="J495" s="648">
        <f t="shared" si="172"/>
        <v>0</v>
      </c>
      <c r="K495" s="648">
        <f t="shared" si="172"/>
        <v>0</v>
      </c>
      <c r="L495" s="648">
        <f t="shared" si="172"/>
        <v>0</v>
      </c>
      <c r="M495" s="648">
        <f t="shared" si="172"/>
        <v>0</v>
      </c>
      <c r="N495" s="648">
        <f t="shared" si="172"/>
        <v>0</v>
      </c>
      <c r="O495" s="648">
        <f t="shared" si="172"/>
        <v>0</v>
      </c>
      <c r="P495" s="648">
        <f t="shared" si="172"/>
        <v>0</v>
      </c>
      <c r="Q495" s="648">
        <f t="shared" si="172"/>
        <v>0</v>
      </c>
      <c r="R495" s="648">
        <f t="shared" si="172"/>
        <v>0</v>
      </c>
      <c r="S495" s="648">
        <f t="shared" si="172"/>
        <v>0</v>
      </c>
      <c r="T495" s="806"/>
      <c r="U495" s="191">
        <f>SUM(I495:T495)</f>
        <v>0</v>
      </c>
      <c r="W495" s="646">
        <f>U495-F495</f>
        <v>0</v>
      </c>
    </row>
    <row r="496" spans="2:23" ht="18" customHeight="1" x14ac:dyDescent="0.25">
      <c r="B496" s="645">
        <f t="shared" si="171"/>
        <v>4</v>
      </c>
      <c r="C496" s="611"/>
      <c r="D496" s="611" t="s">
        <v>1137</v>
      </c>
      <c r="E496" s="806"/>
      <c r="F496" s="646">
        <f>' WP II-I-1.4'!H496</f>
        <v>-302530.2</v>
      </c>
      <c r="G496" s="1007">
        <v>26</v>
      </c>
      <c r="H496" s="620" t="str">
        <f>VLOOKUP(G496,FactorTable,2)</f>
        <v>NCP ALL</v>
      </c>
      <c r="I496" s="806"/>
      <c r="J496" s="648">
        <f t="shared" si="172"/>
        <v>-134625.00876041738</v>
      </c>
      <c r="K496" s="648">
        <f t="shared" si="172"/>
        <v>-2543.4254880213784</v>
      </c>
      <c r="L496" s="648">
        <f t="shared" si="172"/>
        <v>-86470.211633648272</v>
      </c>
      <c r="M496" s="648">
        <f t="shared" si="172"/>
        <v>-40.462933177914387</v>
      </c>
      <c r="N496" s="648">
        <f t="shared" si="172"/>
        <v>-25434.476975188023</v>
      </c>
      <c r="O496" s="648">
        <f t="shared" si="172"/>
        <v>-10932.238837812787</v>
      </c>
      <c r="P496" s="648">
        <f t="shared" si="172"/>
        <v>-39983.78348653319</v>
      </c>
      <c r="Q496" s="648">
        <f t="shared" si="172"/>
        <v>-768.98557027379991</v>
      </c>
      <c r="R496" s="648">
        <f t="shared" si="172"/>
        <v>-755.67905905374948</v>
      </c>
      <c r="S496" s="648">
        <f t="shared" si="172"/>
        <v>-975.92725587351163</v>
      </c>
      <c r="T496" s="806"/>
      <c r="U496" s="191">
        <f>SUM(I496:T496)</f>
        <v>-302530.20000000007</v>
      </c>
      <c r="W496" s="646"/>
    </row>
    <row r="497" spans="2:23" ht="18" customHeight="1" x14ac:dyDescent="0.25">
      <c r="B497" s="645">
        <f t="shared" si="171"/>
        <v>5</v>
      </c>
      <c r="C497" s="611"/>
      <c r="D497" s="611"/>
      <c r="E497" s="806"/>
      <c r="F497" s="646">
        <f>' WP II-I-1.4'!H497</f>
        <v>0</v>
      </c>
      <c r="G497" s="1007"/>
      <c r="H497" s="620">
        <f>VLOOKUP(G497,FactorTable,2)</f>
        <v>-1</v>
      </c>
      <c r="I497" s="806"/>
      <c r="J497" s="648">
        <f t="shared" si="172"/>
        <v>0</v>
      </c>
      <c r="K497" s="648">
        <f t="shared" si="172"/>
        <v>0</v>
      </c>
      <c r="L497" s="648">
        <f t="shared" si="172"/>
        <v>0</v>
      </c>
      <c r="M497" s="648">
        <f t="shared" si="172"/>
        <v>0</v>
      </c>
      <c r="N497" s="648">
        <f t="shared" si="172"/>
        <v>0</v>
      </c>
      <c r="O497" s="648">
        <f t="shared" si="172"/>
        <v>0</v>
      </c>
      <c r="P497" s="648">
        <f t="shared" si="172"/>
        <v>0</v>
      </c>
      <c r="Q497" s="648">
        <f t="shared" si="172"/>
        <v>0</v>
      </c>
      <c r="R497" s="648">
        <f t="shared" si="172"/>
        <v>0</v>
      </c>
      <c r="S497" s="648">
        <f t="shared" si="172"/>
        <v>0</v>
      </c>
      <c r="T497" s="806"/>
      <c r="U497" s="191">
        <f t="shared" ref="U497:U498" si="173">SUM(I497:T497)</f>
        <v>0</v>
      </c>
      <c r="W497" s="646"/>
    </row>
    <row r="498" spans="2:23" ht="18" customHeight="1" x14ac:dyDescent="0.25">
      <c r="B498" s="645">
        <f t="shared" si="171"/>
        <v>6</v>
      </c>
      <c r="C498" s="611"/>
      <c r="D498" s="611"/>
      <c r="E498" s="806"/>
      <c r="F498" s="646">
        <f>' WP II-I-1.4'!H498</f>
        <v>0</v>
      </c>
      <c r="G498" s="1007"/>
      <c r="H498" s="620">
        <f>VLOOKUP(G498,FactorTable,2)</f>
        <v>-1</v>
      </c>
      <c r="I498" s="806"/>
      <c r="J498" s="651">
        <f t="shared" si="172"/>
        <v>0</v>
      </c>
      <c r="K498" s="651">
        <f t="shared" si="172"/>
        <v>0</v>
      </c>
      <c r="L498" s="651">
        <f t="shared" si="172"/>
        <v>0</v>
      </c>
      <c r="M498" s="651">
        <f t="shared" si="172"/>
        <v>0</v>
      </c>
      <c r="N498" s="651">
        <f t="shared" si="172"/>
        <v>0</v>
      </c>
      <c r="O498" s="651">
        <f t="shared" si="172"/>
        <v>0</v>
      </c>
      <c r="P498" s="651">
        <f t="shared" si="172"/>
        <v>0</v>
      </c>
      <c r="Q498" s="651">
        <f t="shared" si="172"/>
        <v>0</v>
      </c>
      <c r="R498" s="651">
        <f t="shared" si="172"/>
        <v>0</v>
      </c>
      <c r="S498" s="651">
        <f t="shared" si="172"/>
        <v>0</v>
      </c>
      <c r="T498" s="806"/>
      <c r="U498" s="191">
        <f t="shared" si="173"/>
        <v>0</v>
      </c>
      <c r="W498" s="646"/>
    </row>
    <row r="499" spans="2:23" ht="18" customHeight="1" x14ac:dyDescent="0.25">
      <c r="B499" s="645">
        <f t="shared" si="171"/>
        <v>7</v>
      </c>
      <c r="C499" s="34"/>
      <c r="D499" s="42" t="s">
        <v>444</v>
      </c>
      <c r="E499" s="822"/>
      <c r="F499" s="807">
        <f>SUM(F494:F498)</f>
        <v>-302530.2</v>
      </c>
      <c r="G499" s="822"/>
      <c r="H499" s="822"/>
      <c r="I499" s="822"/>
      <c r="J499" s="807">
        <f t="shared" ref="J499:U499" si="174">SUM(J494:J498)</f>
        <v>-134625.00876041738</v>
      </c>
      <c r="K499" s="807">
        <f t="shared" si="174"/>
        <v>-2543.4254880213784</v>
      </c>
      <c r="L499" s="807">
        <f t="shared" si="174"/>
        <v>-86470.211633648272</v>
      </c>
      <c r="M499" s="807">
        <f t="shared" si="174"/>
        <v>-40.462933177914387</v>
      </c>
      <c r="N499" s="807">
        <f t="shared" si="174"/>
        <v>-25434.476975188023</v>
      </c>
      <c r="O499" s="807">
        <f t="shared" si="174"/>
        <v>-10932.238837812787</v>
      </c>
      <c r="P499" s="807">
        <f t="shared" si="174"/>
        <v>-39983.78348653319</v>
      </c>
      <c r="Q499" s="807">
        <f t="shared" si="174"/>
        <v>-768.98557027379991</v>
      </c>
      <c r="R499" s="807">
        <f t="shared" si="174"/>
        <v>-755.67905905374948</v>
      </c>
      <c r="S499" s="807">
        <f t="shared" si="174"/>
        <v>-975.92725587351163</v>
      </c>
      <c r="T499" s="807">
        <f t="shared" si="174"/>
        <v>0</v>
      </c>
      <c r="U499" s="807">
        <f t="shared" si="174"/>
        <v>-302530.20000000007</v>
      </c>
      <c r="W499" s="646">
        <f>U499-F499</f>
        <v>0</v>
      </c>
    </row>
    <row r="500" spans="2:23" ht="18" customHeight="1" thickBot="1" x14ac:dyDescent="0.3">
      <c r="B500" s="645">
        <f t="shared" si="171"/>
        <v>8</v>
      </c>
      <c r="C500" s="34"/>
      <c r="D500" s="42"/>
      <c r="E500" s="806"/>
      <c r="F500" s="807"/>
      <c r="G500" s="806"/>
      <c r="H500" s="806"/>
      <c r="I500" s="806"/>
      <c r="J500" s="807"/>
      <c r="K500" s="807"/>
      <c r="L500" s="807"/>
      <c r="M500" s="807"/>
      <c r="N500" s="807"/>
      <c r="O500" s="807"/>
      <c r="P500" s="807"/>
      <c r="Q500" s="807"/>
      <c r="R500" s="807"/>
      <c r="S500" s="807"/>
      <c r="T500" s="806"/>
      <c r="U500" s="34"/>
      <c r="W500" s="646">
        <f>U500-F500</f>
        <v>0</v>
      </c>
    </row>
    <row r="501" spans="2:23" ht="18" customHeight="1" thickBot="1" x14ac:dyDescent="0.3">
      <c r="B501" s="645">
        <f t="shared" si="171"/>
        <v>9</v>
      </c>
      <c r="C501" s="276" t="s">
        <v>558</v>
      </c>
      <c r="D501" s="271"/>
      <c r="E501" s="272"/>
      <c r="F501" s="814">
        <f>+F499+F478+F435+F413+F388</f>
        <v>-9504438.5310210846</v>
      </c>
      <c r="G501" s="272"/>
      <c r="H501" s="392"/>
      <c r="I501" s="568"/>
      <c r="J501" s="291">
        <f t="shared" ref="J501:Q501" ca="1" si="175">+J499+J478+J435+J413+J388</f>
        <v>-5014393.9048680635</v>
      </c>
      <c r="K501" s="814">
        <f t="shared" ca="1" si="175"/>
        <v>-712324.93996450223</v>
      </c>
      <c r="L501" s="814">
        <f t="shared" ca="1" si="175"/>
        <v>-2660950.5498209563</v>
      </c>
      <c r="M501" s="814">
        <f t="shared" ca="1" si="175"/>
        <v>-118735.47139661654</v>
      </c>
      <c r="N501" s="814">
        <f t="shared" ca="1" si="175"/>
        <v>-899053.61699545709</v>
      </c>
      <c r="O501" s="814">
        <f ca="1">+O499+O478+O435+O413+O388</f>
        <v>-33218.182667566398</v>
      </c>
      <c r="P501" s="814">
        <f t="shared" ca="1" si="175"/>
        <v>-49384.737167856132</v>
      </c>
      <c r="Q501" s="814">
        <f t="shared" ca="1" si="175"/>
        <v>-4195.8960887882367</v>
      </c>
      <c r="R501" s="814">
        <f ca="1">+R499+R478+R435+R413+R388</f>
        <v>-3484.866591878897</v>
      </c>
      <c r="S501" s="218">
        <f ca="1">+S499+S478+S435+S413+S388</f>
        <v>-8696.3654593990468</v>
      </c>
      <c r="T501" s="392"/>
      <c r="U501" s="195">
        <f ca="1">SUM(I501:T501)</f>
        <v>-9504438.5310210828</v>
      </c>
      <c r="W501" s="646">
        <f ca="1">U501-F501</f>
        <v>0</v>
      </c>
    </row>
    <row r="502" spans="2:23" ht="18" customHeight="1" x14ac:dyDescent="0.2">
      <c r="W502" s="646">
        <f>U502-F502</f>
        <v>0</v>
      </c>
    </row>
    <row r="503" spans="2:23" ht="18" customHeight="1" x14ac:dyDescent="0.2">
      <c r="H503" s="653"/>
      <c r="U503" s="653"/>
      <c r="V503" s="653">
        <f>$H$2</f>
        <v>0</v>
      </c>
      <c r="W503" s="646"/>
    </row>
    <row r="504" spans="2:23" ht="18" customHeight="1" thickBot="1" x14ac:dyDescent="0.25">
      <c r="W504" s="646"/>
    </row>
    <row r="505" spans="2:23" ht="18" customHeight="1" x14ac:dyDescent="0.25">
      <c r="B505" s="829" t="str">
        <f>+$B$4</f>
        <v>2025 RATE CASE</v>
      </c>
      <c r="C505" s="844"/>
      <c r="D505" s="874"/>
      <c r="F505" s="654"/>
      <c r="U505" s="653"/>
      <c r="W505" s="646"/>
    </row>
    <row r="506" spans="2:23" ht="18" customHeight="1" x14ac:dyDescent="0.25">
      <c r="B506" s="826" t="str">
        <f>+$B$5</f>
        <v>ONCOR ELECTRIC DELIVERY COMPANY LLC</v>
      </c>
      <c r="C506" s="8"/>
      <c r="D506" s="875"/>
      <c r="F506" s="654"/>
      <c r="U506" s="653"/>
      <c r="W506" s="646"/>
    </row>
    <row r="507" spans="2:23" ht="18" customHeight="1" x14ac:dyDescent="0.25">
      <c r="B507" s="826" t="str">
        <f>+$B$6</f>
        <v>II-I-1-MET:  CLASS REVENUE REQUIREMENT</v>
      </c>
      <c r="C507" s="82"/>
      <c r="D507" s="875"/>
      <c r="F507" s="654"/>
      <c r="U507" s="654"/>
      <c r="W507" s="646"/>
    </row>
    <row r="508" spans="2:23" ht="18" customHeight="1" x14ac:dyDescent="0.25">
      <c r="B508" s="341" t="str">
        <f>+$B$7</f>
        <v>TEST YEAR ENDING 12/31/2024</v>
      </c>
      <c r="C508" s="82"/>
      <c r="D508" s="875"/>
      <c r="F508" s="654"/>
      <c r="U508" s="654"/>
      <c r="W508" s="646"/>
    </row>
    <row r="509" spans="2:23" ht="18" customHeight="1" x14ac:dyDescent="0.25">
      <c r="B509" s="341" t="str">
        <f>+$B$8</f>
        <v>SPONSOR:  MATTHEW A. TROXLE</v>
      </c>
      <c r="C509" s="82"/>
      <c r="D509" s="875"/>
      <c r="F509" s="654"/>
      <c r="U509" s="654"/>
      <c r="W509" s="646"/>
    </row>
    <row r="510" spans="2:23" ht="9" customHeight="1" thickBot="1" x14ac:dyDescent="0.3">
      <c r="B510" s="345"/>
      <c r="C510" s="843"/>
      <c r="D510" s="876"/>
      <c r="F510" s="654"/>
      <c r="U510" s="654"/>
      <c r="W510" s="646"/>
    </row>
    <row r="511" spans="2:23" ht="18" customHeight="1" thickBot="1" x14ac:dyDescent="0.25">
      <c r="B511" s="655"/>
      <c r="C511" s="656"/>
      <c r="D511" s="656"/>
      <c r="E511" s="656"/>
      <c r="F511" s="655"/>
      <c r="G511" s="656"/>
      <c r="H511" s="656"/>
      <c r="I511" s="656"/>
      <c r="J511" s="657"/>
      <c r="K511" s="657"/>
      <c r="L511" s="656"/>
      <c r="M511" s="657"/>
      <c r="N511" s="657"/>
      <c r="O511" s="657"/>
      <c r="P511" s="657"/>
      <c r="Q511" s="656"/>
      <c r="R511" s="658" t="str">
        <f>R$10</f>
        <v xml:space="preserve"> </v>
      </c>
      <c r="S511" s="659"/>
      <c r="T511" s="657"/>
      <c r="U511" s="655"/>
      <c r="W511" s="646"/>
    </row>
    <row r="512" spans="2:23" ht="18" customHeight="1" x14ac:dyDescent="0.25">
      <c r="B512" s="660" t="s">
        <v>2</v>
      </c>
      <c r="C512" s="660" t="s">
        <v>349</v>
      </c>
      <c r="D512" s="226" t="s">
        <v>1351</v>
      </c>
      <c r="E512" s="660" t="s">
        <v>350</v>
      </c>
      <c r="F512" s="226" t="str">
        <f>F$11</f>
        <v>MET</v>
      </c>
      <c r="G512" s="661" t="s">
        <v>688</v>
      </c>
      <c r="H512" s="661" t="s">
        <v>355</v>
      </c>
      <c r="I512" s="660"/>
      <c r="J512" s="661" t="s">
        <v>679</v>
      </c>
      <c r="K512" s="661" t="s">
        <v>388</v>
      </c>
      <c r="L512" s="660" t="s">
        <v>388</v>
      </c>
      <c r="M512" s="661" t="s">
        <v>389</v>
      </c>
      <c r="N512" s="661" t="s">
        <v>389</v>
      </c>
      <c r="O512" s="661" t="s">
        <v>389</v>
      </c>
      <c r="P512" s="661" t="s">
        <v>390</v>
      </c>
      <c r="Q512" s="660" t="s">
        <v>391</v>
      </c>
      <c r="R512" s="662" t="str">
        <f>R$11</f>
        <v>Wholesale</v>
      </c>
      <c r="S512" s="655" t="str">
        <f>S$11</f>
        <v>Wholesale</v>
      </c>
      <c r="T512" s="661"/>
      <c r="U512" s="660" t="s">
        <v>10</v>
      </c>
      <c r="W512" s="646"/>
    </row>
    <row r="513" spans="2:23" ht="18" customHeight="1" x14ac:dyDescent="0.25">
      <c r="B513" s="660"/>
      <c r="C513" s="660"/>
      <c r="D513" s="226" t="s">
        <v>1352</v>
      </c>
      <c r="E513" s="660"/>
      <c r="F513" s="660"/>
      <c r="G513" s="661" t="s">
        <v>689</v>
      </c>
      <c r="H513" s="661" t="s">
        <v>690</v>
      </c>
      <c r="I513" s="660"/>
      <c r="J513" s="661"/>
      <c r="K513" s="661" t="s">
        <v>680</v>
      </c>
      <c r="L513" s="660" t="s">
        <v>681</v>
      </c>
      <c r="M513" s="661" t="s">
        <v>680</v>
      </c>
      <c r="N513" s="661" t="s">
        <v>681</v>
      </c>
      <c r="O513" s="661" t="s">
        <v>393</v>
      </c>
      <c r="P513" s="661"/>
      <c r="Q513" s="660"/>
      <c r="R513" s="663" t="str">
        <f>R$12</f>
        <v>XFMR</v>
      </c>
      <c r="S513" s="660" t="str">
        <f>S$12</f>
        <v>DLS</v>
      </c>
      <c r="T513" s="661"/>
      <c r="U513" s="660"/>
      <c r="W513" s="646"/>
    </row>
    <row r="514" spans="2:23" ht="18" customHeight="1" thickBot="1" x14ac:dyDescent="0.25">
      <c r="B514" s="664"/>
      <c r="C514" s="664"/>
      <c r="D514" s="664"/>
      <c r="E514" s="664"/>
      <c r="F514" s="664" t="s">
        <v>13</v>
      </c>
      <c r="G514" s="664" t="s">
        <v>14</v>
      </c>
      <c r="H514" s="664" t="s">
        <v>15</v>
      </c>
      <c r="I514" s="664"/>
      <c r="J514" s="665" t="str">
        <f t="shared" ref="J514:Q514" si="176">J$13</f>
        <v>(d)</v>
      </c>
      <c r="K514" s="665" t="str">
        <f t="shared" si="176"/>
        <v>(e)</v>
      </c>
      <c r="L514" s="664" t="str">
        <f t="shared" si="176"/>
        <v>(f)</v>
      </c>
      <c r="M514" s="665" t="str">
        <f t="shared" si="176"/>
        <v>(g)</v>
      </c>
      <c r="N514" s="665" t="str">
        <f t="shared" si="176"/>
        <v>(h)</v>
      </c>
      <c r="O514" s="665" t="str">
        <f>O$13</f>
        <v>(i)</v>
      </c>
      <c r="P514" s="665" t="str">
        <f t="shared" si="176"/>
        <v>(j)</v>
      </c>
      <c r="Q514" s="665" t="str">
        <f t="shared" si="176"/>
        <v>(k)</v>
      </c>
      <c r="R514" s="665" t="str">
        <f>R$13</f>
        <v>(l)</v>
      </c>
      <c r="S514" s="664" t="str">
        <f>S$13</f>
        <v>(m)</v>
      </c>
      <c r="T514" s="664"/>
      <c r="U514" s="664" t="s">
        <v>683</v>
      </c>
      <c r="W514" s="646"/>
    </row>
    <row r="515" spans="2:23" ht="9" customHeight="1" x14ac:dyDescent="0.2">
      <c r="C515" s="666"/>
      <c r="D515" s="666"/>
      <c r="E515" s="666"/>
      <c r="F515" s="666"/>
      <c r="G515" s="666"/>
      <c r="H515" s="666"/>
      <c r="I515" s="666"/>
      <c r="J515" s="666"/>
      <c r="K515" s="666"/>
      <c r="L515" s="666"/>
      <c r="M515" s="666"/>
      <c r="N515" s="666"/>
      <c r="O515" s="666"/>
      <c r="P515" s="666"/>
      <c r="Q515" s="666"/>
      <c r="R515" s="666"/>
      <c r="S515" s="666"/>
      <c r="T515" s="666"/>
      <c r="U515" s="611"/>
      <c r="W515" s="646">
        <f t="shared" ref="W515:W523" si="177">U515-F515</f>
        <v>0</v>
      </c>
    </row>
    <row r="516" spans="2:23" ht="18" customHeight="1" x14ac:dyDescent="0.25">
      <c r="B516" s="1571">
        <f t="shared" ref="B516:B575" si="178">B515+1</f>
        <v>1</v>
      </c>
      <c r="C516" s="269" t="s">
        <v>110</v>
      </c>
      <c r="D516" s="611"/>
      <c r="E516" s="611"/>
      <c r="F516" s="611"/>
      <c r="G516" s="611"/>
      <c r="H516" s="611"/>
      <c r="I516" s="611"/>
      <c r="J516" s="611"/>
      <c r="K516" s="611"/>
      <c r="L516" s="611"/>
      <c r="M516" s="611"/>
      <c r="N516" s="611"/>
      <c r="O516" s="611"/>
      <c r="P516" s="611"/>
      <c r="Q516" s="611"/>
      <c r="R516" s="611"/>
      <c r="S516" s="611"/>
      <c r="T516" s="611"/>
      <c r="U516" s="611"/>
      <c r="W516" s="646">
        <f t="shared" si="177"/>
        <v>0</v>
      </c>
    </row>
    <row r="517" spans="2:23" ht="18" customHeight="1" x14ac:dyDescent="0.25">
      <c r="B517" s="1571">
        <f t="shared" si="178"/>
        <v>2</v>
      </c>
      <c r="C517" s="34" t="s">
        <v>560</v>
      </c>
      <c r="D517" s="42"/>
      <c r="E517" s="806" t="s">
        <v>127</v>
      </c>
      <c r="F517" s="823"/>
      <c r="G517" s="806"/>
      <c r="H517" s="806"/>
      <c r="I517" s="806"/>
      <c r="J517" s="806"/>
      <c r="K517" s="806"/>
      <c r="L517" s="806"/>
      <c r="M517" s="806"/>
      <c r="N517" s="806"/>
      <c r="O517" s="806"/>
      <c r="P517" s="806"/>
      <c r="Q517" s="806"/>
      <c r="R517" s="806"/>
      <c r="S517" s="806"/>
      <c r="T517" s="806"/>
      <c r="U517" s="34"/>
      <c r="W517" s="646">
        <f t="shared" si="177"/>
        <v>0</v>
      </c>
    </row>
    <row r="518" spans="2:23" ht="18" customHeight="1" x14ac:dyDescent="0.25">
      <c r="B518" s="1571">
        <f t="shared" si="178"/>
        <v>3</v>
      </c>
      <c r="C518" s="34" t="s">
        <v>561</v>
      </c>
      <c r="D518" s="42"/>
      <c r="E518" s="806"/>
      <c r="F518" s="823"/>
      <c r="G518" s="806"/>
      <c r="H518" s="806"/>
      <c r="I518" s="806"/>
      <c r="J518" s="806"/>
      <c r="K518" s="806"/>
      <c r="L518" s="806"/>
      <c r="M518" s="806"/>
      <c r="N518" s="806"/>
      <c r="O518" s="806"/>
      <c r="P518" s="806"/>
      <c r="Q518" s="806"/>
      <c r="R518" s="806"/>
      <c r="S518" s="806"/>
      <c r="T518" s="806"/>
      <c r="U518" s="34"/>
      <c r="W518" s="646">
        <f t="shared" si="177"/>
        <v>0</v>
      </c>
    </row>
    <row r="519" spans="2:23" ht="18" customHeight="1" x14ac:dyDescent="0.25">
      <c r="B519" s="1571">
        <f t="shared" si="178"/>
        <v>4</v>
      </c>
      <c r="C519" s="1617">
        <v>189</v>
      </c>
      <c r="D519" s="620" t="s">
        <v>1324</v>
      </c>
      <c r="E519" s="813"/>
      <c r="F519" s="668">
        <f>' WP II-I-1.4'!H519</f>
        <v>0</v>
      </c>
      <c r="G519" s="1007">
        <v>64</v>
      </c>
      <c r="H519" s="620" t="str">
        <f t="shared" ref="H519:H555" si="179">VLOOKUP(G519,FactorTable,2)</f>
        <v>PLANT</v>
      </c>
      <c r="I519" s="813"/>
      <c r="J519" s="648">
        <f t="shared" ref="J519:S528" ca="1" si="180">$F519*HLOOKUP(J$1354,FactorTable,$G519+1)</f>
        <v>0</v>
      </c>
      <c r="K519" s="648">
        <f t="shared" ca="1" si="180"/>
        <v>0</v>
      </c>
      <c r="L519" s="648">
        <f t="shared" ca="1" si="180"/>
        <v>0</v>
      </c>
      <c r="M519" s="648">
        <f t="shared" ca="1" si="180"/>
        <v>0</v>
      </c>
      <c r="N519" s="648">
        <f t="shared" ca="1" si="180"/>
        <v>0</v>
      </c>
      <c r="O519" s="648">
        <f t="shared" ca="1" si="180"/>
        <v>0</v>
      </c>
      <c r="P519" s="648">
        <f t="shared" ca="1" si="180"/>
        <v>0</v>
      </c>
      <c r="Q519" s="648">
        <f t="shared" ca="1" si="180"/>
        <v>0</v>
      </c>
      <c r="R519" s="648">
        <f t="shared" ca="1" si="180"/>
        <v>0</v>
      </c>
      <c r="S519" s="648">
        <f t="shared" ca="1" si="180"/>
        <v>0</v>
      </c>
      <c r="T519" s="813"/>
      <c r="U519" s="646">
        <f t="shared" ref="U519:U525" ca="1" si="181">SUM(I519:T519)</f>
        <v>0</v>
      </c>
      <c r="W519" s="646">
        <f t="shared" ca="1" si="177"/>
        <v>0</v>
      </c>
    </row>
    <row r="520" spans="2:23" ht="18" customHeight="1" x14ac:dyDescent="0.25">
      <c r="B520" s="1571">
        <f t="shared" si="178"/>
        <v>5</v>
      </c>
      <c r="C520" s="1617">
        <v>182</v>
      </c>
      <c r="D520" s="620" t="s">
        <v>1242</v>
      </c>
      <c r="E520" s="806"/>
      <c r="F520" s="668">
        <f>' WP II-I-1.4'!H520</f>
        <v>0</v>
      </c>
      <c r="G520" s="1007">
        <v>58</v>
      </c>
      <c r="H520" s="620" t="str">
        <f t="shared" si="179"/>
        <v>PLTDIST_N</v>
      </c>
      <c r="I520" s="806"/>
      <c r="J520" s="648">
        <f t="shared" ca="1" si="180"/>
        <v>0</v>
      </c>
      <c r="K520" s="648">
        <f t="shared" ca="1" si="180"/>
        <v>0</v>
      </c>
      <c r="L520" s="648">
        <f t="shared" ca="1" si="180"/>
        <v>0</v>
      </c>
      <c r="M520" s="648">
        <f t="shared" ca="1" si="180"/>
        <v>0</v>
      </c>
      <c r="N520" s="648">
        <f t="shared" ca="1" si="180"/>
        <v>0</v>
      </c>
      <c r="O520" s="648">
        <f t="shared" ca="1" si="180"/>
        <v>0</v>
      </c>
      <c r="P520" s="648">
        <f t="shared" ca="1" si="180"/>
        <v>0</v>
      </c>
      <c r="Q520" s="648">
        <f t="shared" ca="1" si="180"/>
        <v>0</v>
      </c>
      <c r="R520" s="648">
        <f t="shared" ca="1" si="180"/>
        <v>0</v>
      </c>
      <c r="S520" s="648">
        <f t="shared" ca="1" si="180"/>
        <v>0</v>
      </c>
      <c r="T520" s="806"/>
      <c r="U520" s="646">
        <f t="shared" ca="1" si="181"/>
        <v>0</v>
      </c>
      <c r="W520" s="646">
        <f t="shared" ca="1" si="177"/>
        <v>0</v>
      </c>
    </row>
    <row r="521" spans="2:23" ht="18" customHeight="1" x14ac:dyDescent="0.25">
      <c r="B521" s="1571">
        <f t="shared" si="178"/>
        <v>6</v>
      </c>
      <c r="C521" s="1616">
        <v>182</v>
      </c>
      <c r="D521" s="611" t="s">
        <v>1243</v>
      </c>
      <c r="E521" s="806"/>
      <c r="F521" s="668">
        <f>' WP II-I-1.4'!H521</f>
        <v>0</v>
      </c>
      <c r="G521" s="1007">
        <v>58</v>
      </c>
      <c r="H521" s="620" t="str">
        <f t="shared" si="179"/>
        <v>PLTDIST_N</v>
      </c>
      <c r="I521" s="806"/>
      <c r="J521" s="648">
        <f t="shared" ca="1" si="180"/>
        <v>0</v>
      </c>
      <c r="K521" s="648">
        <f t="shared" ca="1" si="180"/>
        <v>0</v>
      </c>
      <c r="L521" s="648">
        <f t="shared" ca="1" si="180"/>
        <v>0</v>
      </c>
      <c r="M521" s="648">
        <f t="shared" ca="1" si="180"/>
        <v>0</v>
      </c>
      <c r="N521" s="648">
        <f t="shared" ca="1" si="180"/>
        <v>0</v>
      </c>
      <c r="O521" s="648">
        <f t="shared" ca="1" si="180"/>
        <v>0</v>
      </c>
      <c r="P521" s="648">
        <f t="shared" ca="1" si="180"/>
        <v>0</v>
      </c>
      <c r="Q521" s="648">
        <f t="shared" ca="1" si="180"/>
        <v>0</v>
      </c>
      <c r="R521" s="648">
        <f t="shared" ca="1" si="180"/>
        <v>0</v>
      </c>
      <c r="S521" s="648">
        <f t="shared" ca="1" si="180"/>
        <v>0</v>
      </c>
      <c r="T521" s="806"/>
      <c r="U521" s="646">
        <f t="shared" ca="1" si="181"/>
        <v>0</v>
      </c>
      <c r="W521" s="646">
        <f t="shared" ca="1" si="177"/>
        <v>0</v>
      </c>
    </row>
    <row r="522" spans="2:23" ht="18" customHeight="1" x14ac:dyDescent="0.25">
      <c r="B522" s="1571">
        <f t="shared" si="178"/>
        <v>7</v>
      </c>
      <c r="C522" s="1616">
        <v>182</v>
      </c>
      <c r="D522" s="611" t="s">
        <v>1244</v>
      </c>
      <c r="E522" s="806"/>
      <c r="F522" s="668">
        <f>' WP II-I-1.4'!H522</f>
        <v>0</v>
      </c>
      <c r="G522" s="1007">
        <v>64</v>
      </c>
      <c r="H522" s="620" t="str">
        <f t="shared" ref="H522" si="182">VLOOKUP(G522,FactorTable,2)</f>
        <v>PLANT</v>
      </c>
      <c r="I522" s="806"/>
      <c r="J522" s="648">
        <f t="shared" ca="1" si="180"/>
        <v>0</v>
      </c>
      <c r="K522" s="648">
        <f t="shared" ca="1" si="180"/>
        <v>0</v>
      </c>
      <c r="L522" s="648">
        <f t="shared" ca="1" si="180"/>
        <v>0</v>
      </c>
      <c r="M522" s="648">
        <f t="shared" ca="1" si="180"/>
        <v>0</v>
      </c>
      <c r="N522" s="648">
        <f t="shared" ca="1" si="180"/>
        <v>0</v>
      </c>
      <c r="O522" s="648">
        <f t="shared" ca="1" si="180"/>
        <v>0</v>
      </c>
      <c r="P522" s="648">
        <f t="shared" ca="1" si="180"/>
        <v>0</v>
      </c>
      <c r="Q522" s="648">
        <f t="shared" ca="1" si="180"/>
        <v>0</v>
      </c>
      <c r="R522" s="648">
        <f t="shared" ca="1" si="180"/>
        <v>0</v>
      </c>
      <c r="S522" s="648">
        <f t="shared" ca="1" si="180"/>
        <v>0</v>
      </c>
      <c r="T522" s="806"/>
      <c r="U522" s="646">
        <f t="shared" ref="U522" ca="1" si="183">SUM(I522:T522)</f>
        <v>0</v>
      </c>
      <c r="W522" s="646">
        <f t="shared" ref="W522" ca="1" si="184">U522-F522</f>
        <v>0</v>
      </c>
    </row>
    <row r="523" spans="2:23" ht="18" customHeight="1" x14ac:dyDescent="0.25">
      <c r="B523" s="1571">
        <f t="shared" si="178"/>
        <v>8</v>
      </c>
      <c r="C523" s="1616">
        <v>182</v>
      </c>
      <c r="D523" s="611" t="s">
        <v>1245</v>
      </c>
      <c r="E523" s="806"/>
      <c r="F523" s="668">
        <f>' WP II-I-1.4'!H523</f>
        <v>0</v>
      </c>
      <c r="G523" s="1007">
        <v>58</v>
      </c>
      <c r="H523" s="620" t="str">
        <f t="shared" si="179"/>
        <v>PLTDIST_N</v>
      </c>
      <c r="I523" s="806"/>
      <c r="J523" s="648">
        <f t="shared" ca="1" si="180"/>
        <v>0</v>
      </c>
      <c r="K523" s="648">
        <f t="shared" ca="1" si="180"/>
        <v>0</v>
      </c>
      <c r="L523" s="648">
        <f t="shared" ca="1" si="180"/>
        <v>0</v>
      </c>
      <c r="M523" s="648">
        <f t="shared" ca="1" si="180"/>
        <v>0</v>
      </c>
      <c r="N523" s="648">
        <f t="shared" ca="1" si="180"/>
        <v>0</v>
      </c>
      <c r="O523" s="648">
        <f t="shared" ca="1" si="180"/>
        <v>0</v>
      </c>
      <c r="P523" s="648">
        <f t="shared" ca="1" si="180"/>
        <v>0</v>
      </c>
      <c r="Q523" s="648">
        <f t="shared" ca="1" si="180"/>
        <v>0</v>
      </c>
      <c r="R523" s="648">
        <f t="shared" ca="1" si="180"/>
        <v>0</v>
      </c>
      <c r="S523" s="648">
        <f t="shared" ca="1" si="180"/>
        <v>0</v>
      </c>
      <c r="T523" s="806"/>
      <c r="U523" s="646">
        <f t="shared" ca="1" si="181"/>
        <v>0</v>
      </c>
      <c r="W523" s="646">
        <f t="shared" ca="1" si="177"/>
        <v>0</v>
      </c>
    </row>
    <row r="524" spans="2:23" ht="18" customHeight="1" x14ac:dyDescent="0.25">
      <c r="B524" s="645">
        <f t="shared" si="178"/>
        <v>9</v>
      </c>
      <c r="C524" s="1616">
        <v>182</v>
      </c>
      <c r="D524" s="611" t="s">
        <v>1246</v>
      </c>
      <c r="E524" s="806"/>
      <c r="F524" s="668">
        <f>' WP II-I-1.4'!H524</f>
        <v>0</v>
      </c>
      <c r="G524" s="1007">
        <v>64</v>
      </c>
      <c r="H524" s="620" t="str">
        <f t="shared" si="179"/>
        <v>PLANT</v>
      </c>
      <c r="I524" s="806"/>
      <c r="J524" s="648">
        <f t="shared" ca="1" si="180"/>
        <v>0</v>
      </c>
      <c r="K524" s="648">
        <f t="shared" ca="1" si="180"/>
        <v>0</v>
      </c>
      <c r="L524" s="648">
        <f t="shared" ca="1" si="180"/>
        <v>0</v>
      </c>
      <c r="M524" s="648">
        <f t="shared" ca="1" si="180"/>
        <v>0</v>
      </c>
      <c r="N524" s="648">
        <f t="shared" ca="1" si="180"/>
        <v>0</v>
      </c>
      <c r="O524" s="648">
        <f t="shared" ca="1" si="180"/>
        <v>0</v>
      </c>
      <c r="P524" s="648">
        <f t="shared" ca="1" si="180"/>
        <v>0</v>
      </c>
      <c r="Q524" s="648">
        <f t="shared" ca="1" si="180"/>
        <v>0</v>
      </c>
      <c r="R524" s="648">
        <f t="shared" ca="1" si="180"/>
        <v>0</v>
      </c>
      <c r="S524" s="648">
        <f t="shared" ca="1" si="180"/>
        <v>0</v>
      </c>
      <c r="T524" s="806"/>
      <c r="U524" s="646">
        <f t="shared" ca="1" si="181"/>
        <v>0</v>
      </c>
      <c r="W524" s="646">
        <f t="shared" ref="W524:W614" ca="1" si="185">U524-F524</f>
        <v>0</v>
      </c>
    </row>
    <row r="525" spans="2:23" ht="18" customHeight="1" x14ac:dyDescent="0.25">
      <c r="B525" s="645">
        <f t="shared" si="178"/>
        <v>10</v>
      </c>
      <c r="C525" s="1616">
        <v>182</v>
      </c>
      <c r="D525" s="611" t="s">
        <v>1247</v>
      </c>
      <c r="E525" s="806"/>
      <c r="F525" s="668">
        <f>' WP II-I-1.4'!H525</f>
        <v>0</v>
      </c>
      <c r="G525" s="1007">
        <v>69</v>
      </c>
      <c r="H525" s="620" t="str">
        <f t="shared" si="179"/>
        <v>PLANT_xWHL</v>
      </c>
      <c r="I525" s="806"/>
      <c r="J525" s="648">
        <f t="shared" ca="1" si="180"/>
        <v>0</v>
      </c>
      <c r="K525" s="648">
        <f t="shared" ca="1" si="180"/>
        <v>0</v>
      </c>
      <c r="L525" s="648">
        <f t="shared" ca="1" si="180"/>
        <v>0</v>
      </c>
      <c r="M525" s="648">
        <f t="shared" ca="1" si="180"/>
        <v>0</v>
      </c>
      <c r="N525" s="648">
        <f t="shared" ca="1" si="180"/>
        <v>0</v>
      </c>
      <c r="O525" s="648">
        <f t="shared" ca="1" si="180"/>
        <v>0</v>
      </c>
      <c r="P525" s="648">
        <f t="shared" ca="1" si="180"/>
        <v>0</v>
      </c>
      <c r="Q525" s="648">
        <f t="shared" ca="1" si="180"/>
        <v>0</v>
      </c>
      <c r="R525" s="648">
        <f t="shared" ca="1" si="180"/>
        <v>0</v>
      </c>
      <c r="S525" s="648">
        <f t="shared" ca="1" si="180"/>
        <v>0</v>
      </c>
      <c r="T525" s="806"/>
      <c r="U525" s="646">
        <f t="shared" ca="1" si="181"/>
        <v>0</v>
      </c>
      <c r="W525" s="646">
        <f t="shared" ca="1" si="185"/>
        <v>0</v>
      </c>
    </row>
    <row r="526" spans="2:23" ht="18" customHeight="1" x14ac:dyDescent="0.25">
      <c r="B526" s="645">
        <f t="shared" si="178"/>
        <v>11</v>
      </c>
      <c r="C526" s="1616">
        <v>182</v>
      </c>
      <c r="D526" s="611" t="s">
        <v>1248</v>
      </c>
      <c r="E526" s="806"/>
      <c r="F526" s="668">
        <f>' WP II-I-1.4'!H526</f>
        <v>0</v>
      </c>
      <c r="G526" s="1007">
        <v>57</v>
      </c>
      <c r="H526" s="620" t="str">
        <f t="shared" si="179"/>
        <v>PLTDIST_N xWHL</v>
      </c>
      <c r="I526" s="806"/>
      <c r="J526" s="648">
        <f t="shared" ca="1" si="180"/>
        <v>0</v>
      </c>
      <c r="K526" s="648">
        <f t="shared" ca="1" si="180"/>
        <v>0</v>
      </c>
      <c r="L526" s="648">
        <f t="shared" ca="1" si="180"/>
        <v>0</v>
      </c>
      <c r="M526" s="648">
        <f t="shared" ca="1" si="180"/>
        <v>0</v>
      </c>
      <c r="N526" s="648">
        <f t="shared" ca="1" si="180"/>
        <v>0</v>
      </c>
      <c r="O526" s="648">
        <f t="shared" ca="1" si="180"/>
        <v>0</v>
      </c>
      <c r="P526" s="648">
        <f t="shared" ca="1" si="180"/>
        <v>0</v>
      </c>
      <c r="Q526" s="648">
        <f t="shared" ca="1" si="180"/>
        <v>0</v>
      </c>
      <c r="R526" s="648">
        <f t="shared" ca="1" si="180"/>
        <v>0</v>
      </c>
      <c r="S526" s="648">
        <f t="shared" ca="1" si="180"/>
        <v>0</v>
      </c>
      <c r="T526" s="806"/>
      <c r="U526" s="646">
        <f t="shared" ref="U526:U556" ca="1" si="186">SUM(I526:T526)</f>
        <v>0</v>
      </c>
      <c r="W526" s="646">
        <f t="shared" ca="1" si="185"/>
        <v>0</v>
      </c>
    </row>
    <row r="527" spans="2:23" ht="18" customHeight="1" x14ac:dyDescent="0.2">
      <c r="B527" s="645">
        <f t="shared" si="178"/>
        <v>12</v>
      </c>
      <c r="C527" s="1616">
        <v>182</v>
      </c>
      <c r="D527" s="611" t="s">
        <v>1249</v>
      </c>
      <c r="E527" s="813"/>
      <c r="F527" s="668">
        <f>' WP II-I-1.4'!H527</f>
        <v>0</v>
      </c>
      <c r="G527" s="1007">
        <v>57</v>
      </c>
      <c r="H527" s="620" t="str">
        <f t="shared" si="179"/>
        <v>PLTDIST_N xWHL</v>
      </c>
      <c r="I527" s="813"/>
      <c r="J527" s="648">
        <f t="shared" ca="1" si="180"/>
        <v>0</v>
      </c>
      <c r="K527" s="648">
        <f t="shared" ca="1" si="180"/>
        <v>0</v>
      </c>
      <c r="L527" s="648">
        <f t="shared" ca="1" si="180"/>
        <v>0</v>
      </c>
      <c r="M527" s="648">
        <f t="shared" ca="1" si="180"/>
        <v>0</v>
      </c>
      <c r="N527" s="648">
        <f t="shared" ca="1" si="180"/>
        <v>0</v>
      </c>
      <c r="O527" s="648">
        <f t="shared" ca="1" si="180"/>
        <v>0</v>
      </c>
      <c r="P527" s="648">
        <f t="shared" ca="1" si="180"/>
        <v>0</v>
      </c>
      <c r="Q527" s="648">
        <f t="shared" ca="1" si="180"/>
        <v>0</v>
      </c>
      <c r="R527" s="648">
        <f t="shared" ca="1" si="180"/>
        <v>0</v>
      </c>
      <c r="S527" s="648">
        <f t="shared" ca="1" si="180"/>
        <v>0</v>
      </c>
      <c r="T527" s="813"/>
      <c r="U527" s="646">
        <f t="shared" ca="1" si="186"/>
        <v>0</v>
      </c>
      <c r="W527" s="646">
        <f t="shared" ca="1" si="185"/>
        <v>0</v>
      </c>
    </row>
    <row r="528" spans="2:23" ht="18" customHeight="1" x14ac:dyDescent="0.25">
      <c r="B528" s="645">
        <f t="shared" si="178"/>
        <v>13</v>
      </c>
      <c r="C528" s="1616">
        <v>182</v>
      </c>
      <c r="D528" s="611" t="s">
        <v>1250</v>
      </c>
      <c r="E528" s="806"/>
      <c r="F528" s="668">
        <f>' WP II-I-1.4'!H528</f>
        <v>1056229.6200000001</v>
      </c>
      <c r="G528" s="1007">
        <v>69</v>
      </c>
      <c r="H528" s="620" t="str">
        <f t="shared" si="179"/>
        <v>PLANT_xWHL</v>
      </c>
      <c r="I528" s="806"/>
      <c r="J528" s="648">
        <f t="shared" ca="1" si="180"/>
        <v>552058.89235029253</v>
      </c>
      <c r="K528" s="648">
        <f t="shared" ca="1" si="180"/>
        <v>77445.62564168156</v>
      </c>
      <c r="L528" s="648">
        <f t="shared" ca="1" si="180"/>
        <v>304568.50613822869</v>
      </c>
      <c r="M528" s="648">
        <f t="shared" ca="1" si="180"/>
        <v>12826.005346355496</v>
      </c>
      <c r="N528" s="648">
        <f t="shared" ca="1" si="180"/>
        <v>98767.012009317332</v>
      </c>
      <c r="O528" s="648">
        <f t="shared" ca="1" si="180"/>
        <v>3240.7627954434065</v>
      </c>
      <c r="P528" s="648">
        <f t="shared" ca="1" si="180"/>
        <v>6759.8733156488252</v>
      </c>
      <c r="Q528" s="648">
        <f t="shared" ca="1" si="180"/>
        <v>562.94240303223887</v>
      </c>
      <c r="R528" s="648">
        <f t="shared" ca="1" si="180"/>
        <v>0</v>
      </c>
      <c r="S528" s="648">
        <f t="shared" ca="1" si="180"/>
        <v>0</v>
      </c>
      <c r="T528" s="806"/>
      <c r="U528" s="646">
        <f t="shared" ca="1" si="186"/>
        <v>1056229.6200000001</v>
      </c>
      <c r="W528" s="646">
        <f t="shared" ca="1" si="185"/>
        <v>0</v>
      </c>
    </row>
    <row r="529" spans="2:23" ht="18" customHeight="1" x14ac:dyDescent="0.25">
      <c r="B529" s="645">
        <f t="shared" si="178"/>
        <v>14</v>
      </c>
      <c r="C529" s="1616">
        <v>182</v>
      </c>
      <c r="D529" s="611" t="s">
        <v>1251</v>
      </c>
      <c r="E529" s="806"/>
      <c r="F529" s="668">
        <f>' WP II-I-1.4'!H529</f>
        <v>88897.44</v>
      </c>
      <c r="G529" s="1007">
        <v>69</v>
      </c>
      <c r="H529" s="620" t="str">
        <f t="shared" si="179"/>
        <v>PLANT_xWHL</v>
      </c>
      <c r="I529" s="806"/>
      <c r="J529" s="648">
        <f t="shared" ref="J529:S538" ca="1" si="187">$F529*HLOOKUP(J$1354,FactorTable,$G529+1)</f>
        <v>46463.970835410379</v>
      </c>
      <c r="K529" s="648">
        <f t="shared" ca="1" si="187"/>
        <v>6518.2018458674238</v>
      </c>
      <c r="L529" s="648">
        <f t="shared" ca="1" si="187"/>
        <v>25633.971995893105</v>
      </c>
      <c r="M529" s="648">
        <f t="shared" ca="1" si="187"/>
        <v>1079.4992103301522</v>
      </c>
      <c r="N529" s="648">
        <f t="shared" ca="1" si="187"/>
        <v>8312.7137866835874</v>
      </c>
      <c r="O529" s="648">
        <f t="shared" ca="1" si="187"/>
        <v>272.75841418096422</v>
      </c>
      <c r="P529" s="648">
        <f t="shared" ca="1" si="187"/>
        <v>568.94393142041633</v>
      </c>
      <c r="Q529" s="648">
        <f t="shared" ca="1" si="187"/>
        <v>47.379980213974939</v>
      </c>
      <c r="R529" s="648">
        <f t="shared" ca="1" si="187"/>
        <v>0</v>
      </c>
      <c r="S529" s="648">
        <f t="shared" ca="1" si="187"/>
        <v>0</v>
      </c>
      <c r="T529" s="806"/>
      <c r="U529" s="646">
        <f t="shared" ca="1" si="186"/>
        <v>88897.439999999988</v>
      </c>
      <c r="W529" s="646">
        <f t="shared" ca="1" si="185"/>
        <v>0</v>
      </c>
    </row>
    <row r="530" spans="2:23" ht="18" customHeight="1" x14ac:dyDescent="0.25">
      <c r="B530" s="645">
        <f t="shared" si="178"/>
        <v>15</v>
      </c>
      <c r="C530" s="1616">
        <v>182</v>
      </c>
      <c r="D530" s="611" t="s">
        <v>128</v>
      </c>
      <c r="E530" s="806"/>
      <c r="F530" s="668">
        <f>' WP II-I-1.4'!H530</f>
        <v>9012931</v>
      </c>
      <c r="G530" s="1007">
        <v>88</v>
      </c>
      <c r="H530" s="620" t="str">
        <f t="shared" si="179"/>
        <v>PAYROLL</v>
      </c>
      <c r="I530" s="806"/>
      <c r="J530" s="648">
        <f t="shared" ca="1" si="187"/>
        <v>4704663.5911683813</v>
      </c>
      <c r="K530" s="648">
        <f t="shared" ca="1" si="187"/>
        <v>659970.57327581465</v>
      </c>
      <c r="L530" s="648">
        <f t="shared" ca="1" si="187"/>
        <v>2595555.1929718149</v>
      </c>
      <c r="M530" s="648">
        <f t="shared" ca="1" si="187"/>
        <v>109299.07528433783</v>
      </c>
      <c r="N530" s="648">
        <f t="shared" ca="1" si="187"/>
        <v>841695.88006739062</v>
      </c>
      <c r="O530" s="648">
        <f t="shared" ca="1" si="187"/>
        <v>27632.09949290134</v>
      </c>
      <c r="P530" s="648">
        <f t="shared" ca="1" si="187"/>
        <v>57605.423662940018</v>
      </c>
      <c r="Q530" s="648">
        <f t="shared" ca="1" si="187"/>
        <v>5714.9333861452906</v>
      </c>
      <c r="R530" s="648">
        <f t="shared" ca="1" si="187"/>
        <v>3050.7621414813998</v>
      </c>
      <c r="S530" s="648">
        <f t="shared" ca="1" si="187"/>
        <v>7743.4685487938032</v>
      </c>
      <c r="T530" s="806"/>
      <c r="U530" s="646">
        <f t="shared" ca="1" si="186"/>
        <v>9012931.0000000019</v>
      </c>
      <c r="W530" s="646">
        <f t="shared" ca="1" si="185"/>
        <v>0</v>
      </c>
    </row>
    <row r="531" spans="2:23" ht="18" customHeight="1" x14ac:dyDescent="0.25">
      <c r="B531" s="645">
        <f t="shared" si="178"/>
        <v>16</v>
      </c>
      <c r="C531" s="1616">
        <v>182</v>
      </c>
      <c r="D531" s="611" t="s">
        <v>129</v>
      </c>
      <c r="E531" s="806"/>
      <c r="F531" s="668">
        <f>' WP II-I-1.4'!H531</f>
        <v>-7559811.7300000004</v>
      </c>
      <c r="G531" s="1007">
        <v>88</v>
      </c>
      <c r="H531" s="620" t="str">
        <f t="shared" si="179"/>
        <v>PAYROLL</v>
      </c>
      <c r="I531" s="806"/>
      <c r="J531" s="648">
        <f t="shared" ca="1" si="187"/>
        <v>-3946149.2606809768</v>
      </c>
      <c r="K531" s="648">
        <f t="shared" ca="1" si="187"/>
        <v>-553566.12419481843</v>
      </c>
      <c r="L531" s="648">
        <f t="shared" ca="1" si="187"/>
        <v>-2177084.0799392276</v>
      </c>
      <c r="M531" s="648">
        <f t="shared" ca="1" si="187"/>
        <v>-91677.217035467183</v>
      </c>
      <c r="N531" s="648">
        <f t="shared" ca="1" si="187"/>
        <v>-705992.57746743353</v>
      </c>
      <c r="O531" s="648">
        <f t="shared" ca="1" si="187"/>
        <v>-23177.085220219993</v>
      </c>
      <c r="P531" s="648">
        <f t="shared" ca="1" si="187"/>
        <v>-48317.928709175023</v>
      </c>
      <c r="Q531" s="648">
        <f t="shared" ca="1" si="187"/>
        <v>-4793.537246512793</v>
      </c>
      <c r="R531" s="648">
        <f t="shared" ca="1" si="187"/>
        <v>-2558.8998099076766</v>
      </c>
      <c r="S531" s="648">
        <f t="shared" ca="1" si="187"/>
        <v>-6495.0196962627888</v>
      </c>
      <c r="T531" s="806"/>
      <c r="U531" s="646">
        <f t="shared" ca="1" si="186"/>
        <v>-7559811.7300000014</v>
      </c>
      <c r="W531" s="646">
        <f t="shared" ca="1" si="185"/>
        <v>0</v>
      </c>
    </row>
    <row r="532" spans="2:23" ht="18" customHeight="1" x14ac:dyDescent="0.25">
      <c r="B532" s="645">
        <f t="shared" si="178"/>
        <v>17</v>
      </c>
      <c r="C532" s="1616">
        <v>182</v>
      </c>
      <c r="D532" s="611" t="s">
        <v>1171</v>
      </c>
      <c r="E532" s="806"/>
      <c r="F532" s="668">
        <f>' WP II-I-1.4'!H532</f>
        <v>0</v>
      </c>
      <c r="G532" s="1007">
        <v>37</v>
      </c>
      <c r="H532" s="620" t="str">
        <f t="shared" si="179"/>
        <v>OPEB TOTAL</v>
      </c>
      <c r="I532" s="806"/>
      <c r="J532" s="648">
        <f t="shared" ca="1" si="187"/>
        <v>0</v>
      </c>
      <c r="K532" s="648">
        <f t="shared" ca="1" si="187"/>
        <v>0</v>
      </c>
      <c r="L532" s="648">
        <f t="shared" ca="1" si="187"/>
        <v>0</v>
      </c>
      <c r="M532" s="648">
        <f t="shared" ca="1" si="187"/>
        <v>0</v>
      </c>
      <c r="N532" s="648">
        <f t="shared" ca="1" si="187"/>
        <v>0</v>
      </c>
      <c r="O532" s="648">
        <f t="shared" ca="1" si="187"/>
        <v>0</v>
      </c>
      <c r="P532" s="648">
        <f t="shared" ca="1" si="187"/>
        <v>0</v>
      </c>
      <c r="Q532" s="648">
        <f t="shared" ca="1" si="187"/>
        <v>0</v>
      </c>
      <c r="R532" s="648">
        <f t="shared" ca="1" si="187"/>
        <v>0</v>
      </c>
      <c r="S532" s="648">
        <f t="shared" ca="1" si="187"/>
        <v>0</v>
      </c>
      <c r="T532" s="806"/>
      <c r="U532" s="646">
        <f t="shared" ca="1" si="186"/>
        <v>0</v>
      </c>
      <c r="W532" s="646">
        <f t="shared" ca="1" si="185"/>
        <v>0</v>
      </c>
    </row>
    <row r="533" spans="2:23" ht="18" customHeight="1" x14ac:dyDescent="0.25">
      <c r="B533" s="645">
        <f t="shared" si="178"/>
        <v>18</v>
      </c>
      <c r="C533" s="1616">
        <v>182</v>
      </c>
      <c r="D533" s="611" t="s">
        <v>1172</v>
      </c>
      <c r="E533" s="806"/>
      <c r="F533" s="668">
        <f>' WP II-I-1.4'!H533</f>
        <v>0</v>
      </c>
      <c r="G533" s="1007">
        <v>64</v>
      </c>
      <c r="H533" s="620" t="str">
        <f t="shared" si="179"/>
        <v>PLANT</v>
      </c>
      <c r="I533" s="806"/>
      <c r="J533" s="648">
        <f t="shared" ca="1" si="187"/>
        <v>0</v>
      </c>
      <c r="K533" s="648">
        <f t="shared" ca="1" si="187"/>
        <v>0</v>
      </c>
      <c r="L533" s="648">
        <f t="shared" ca="1" si="187"/>
        <v>0</v>
      </c>
      <c r="M533" s="648">
        <f t="shared" ca="1" si="187"/>
        <v>0</v>
      </c>
      <c r="N533" s="648">
        <f t="shared" ca="1" si="187"/>
        <v>0</v>
      </c>
      <c r="O533" s="648">
        <f t="shared" ca="1" si="187"/>
        <v>0</v>
      </c>
      <c r="P533" s="648">
        <f t="shared" ca="1" si="187"/>
        <v>0</v>
      </c>
      <c r="Q533" s="648">
        <f t="shared" ca="1" si="187"/>
        <v>0</v>
      </c>
      <c r="R533" s="648">
        <f t="shared" ca="1" si="187"/>
        <v>0</v>
      </c>
      <c r="S533" s="648">
        <f t="shared" ca="1" si="187"/>
        <v>0</v>
      </c>
      <c r="T533" s="806"/>
      <c r="U533" s="646">
        <f t="shared" ca="1" si="186"/>
        <v>0</v>
      </c>
      <c r="W533" s="646">
        <f t="shared" ca="1" si="185"/>
        <v>0</v>
      </c>
    </row>
    <row r="534" spans="2:23" ht="18" customHeight="1" x14ac:dyDescent="0.25">
      <c r="B534" s="645">
        <f t="shared" si="178"/>
        <v>19</v>
      </c>
      <c r="C534" s="1616">
        <v>182</v>
      </c>
      <c r="D534" s="611" t="s">
        <v>1252</v>
      </c>
      <c r="E534" s="806"/>
      <c r="F534" s="668">
        <f>' WP II-I-1.4'!H534</f>
        <v>0</v>
      </c>
      <c r="G534" s="1007">
        <v>37</v>
      </c>
      <c r="H534" s="620" t="str">
        <f t="shared" si="179"/>
        <v>OPEB TOTAL</v>
      </c>
      <c r="I534" s="806"/>
      <c r="J534" s="648">
        <f t="shared" ca="1" si="187"/>
        <v>0</v>
      </c>
      <c r="K534" s="648">
        <f t="shared" ca="1" si="187"/>
        <v>0</v>
      </c>
      <c r="L534" s="648">
        <f t="shared" ca="1" si="187"/>
        <v>0</v>
      </c>
      <c r="M534" s="648">
        <f t="shared" ca="1" si="187"/>
        <v>0</v>
      </c>
      <c r="N534" s="648">
        <f t="shared" ca="1" si="187"/>
        <v>0</v>
      </c>
      <c r="O534" s="648">
        <f t="shared" ca="1" si="187"/>
        <v>0</v>
      </c>
      <c r="P534" s="648">
        <f t="shared" ca="1" si="187"/>
        <v>0</v>
      </c>
      <c r="Q534" s="648">
        <f t="shared" ca="1" si="187"/>
        <v>0</v>
      </c>
      <c r="R534" s="648">
        <f t="shared" ca="1" si="187"/>
        <v>0</v>
      </c>
      <c r="S534" s="648">
        <f t="shared" ca="1" si="187"/>
        <v>0</v>
      </c>
      <c r="T534" s="806"/>
      <c r="U534" s="646">
        <f t="shared" ca="1" si="186"/>
        <v>0</v>
      </c>
      <c r="W534" s="646">
        <f t="shared" ca="1" si="185"/>
        <v>0</v>
      </c>
    </row>
    <row r="535" spans="2:23" ht="18" customHeight="1" x14ac:dyDescent="0.2">
      <c r="B535" s="645">
        <f t="shared" si="178"/>
        <v>20</v>
      </c>
      <c r="C535" s="1616">
        <v>182</v>
      </c>
      <c r="D535" s="611" t="s">
        <v>1253</v>
      </c>
      <c r="E535" s="813"/>
      <c r="F535" s="668">
        <f>' WP II-I-1.4'!H535</f>
        <v>57624800.789999999</v>
      </c>
      <c r="G535" s="1007">
        <v>51</v>
      </c>
      <c r="H535" s="620" t="str">
        <f t="shared" si="179"/>
        <v>PLT 370</v>
      </c>
      <c r="I535" s="813"/>
      <c r="J535" s="648">
        <f t="shared" si="187"/>
        <v>30082651.16386012</v>
      </c>
      <c r="K535" s="648">
        <f t="shared" si="187"/>
        <v>4220147.1122528743</v>
      </c>
      <c r="L535" s="648">
        <f t="shared" si="187"/>
        <v>16596468.696750393</v>
      </c>
      <c r="M535" s="648">
        <f t="shared" si="187"/>
        <v>698911.38428650447</v>
      </c>
      <c r="N535" s="648">
        <f t="shared" si="187"/>
        <v>5381986.6140074907</v>
      </c>
      <c r="O535" s="648">
        <f t="shared" si="187"/>
        <v>176594.81267494979</v>
      </c>
      <c r="P535" s="648">
        <f t="shared" si="187"/>
        <v>368357.27797228802</v>
      </c>
      <c r="Q535" s="648">
        <f t="shared" si="187"/>
        <v>30675.71262853334</v>
      </c>
      <c r="R535" s="648">
        <f t="shared" si="187"/>
        <v>19501.267657356428</v>
      </c>
      <c r="S535" s="648">
        <f t="shared" si="187"/>
        <v>49506.747909478989</v>
      </c>
      <c r="T535" s="813"/>
      <c r="U535" s="646">
        <f t="shared" si="186"/>
        <v>57624800.789999992</v>
      </c>
      <c r="W535" s="646">
        <f t="shared" si="185"/>
        <v>0</v>
      </c>
    </row>
    <row r="536" spans="2:23" ht="18" customHeight="1" x14ac:dyDescent="0.2">
      <c r="B536" s="645">
        <f t="shared" si="178"/>
        <v>21</v>
      </c>
      <c r="C536" s="1616">
        <v>182</v>
      </c>
      <c r="D536" s="611" t="s">
        <v>1254</v>
      </c>
      <c r="E536" s="813"/>
      <c r="F536" s="668">
        <f>' WP II-I-1.4'!H536</f>
        <v>0</v>
      </c>
      <c r="G536" s="1007">
        <v>64</v>
      </c>
      <c r="H536" s="620" t="str">
        <f t="shared" si="179"/>
        <v>PLANT</v>
      </c>
      <c r="I536" s="813"/>
      <c r="J536" s="648">
        <f t="shared" ca="1" si="187"/>
        <v>0</v>
      </c>
      <c r="K536" s="648">
        <f t="shared" ca="1" si="187"/>
        <v>0</v>
      </c>
      <c r="L536" s="648">
        <f t="shared" ca="1" si="187"/>
        <v>0</v>
      </c>
      <c r="M536" s="648">
        <f t="shared" ca="1" si="187"/>
        <v>0</v>
      </c>
      <c r="N536" s="648">
        <f t="shared" ca="1" si="187"/>
        <v>0</v>
      </c>
      <c r="O536" s="648">
        <f t="shared" ca="1" si="187"/>
        <v>0</v>
      </c>
      <c r="P536" s="648">
        <f t="shared" ca="1" si="187"/>
        <v>0</v>
      </c>
      <c r="Q536" s="648">
        <f t="shared" ca="1" si="187"/>
        <v>0</v>
      </c>
      <c r="R536" s="648">
        <f t="shared" ca="1" si="187"/>
        <v>0</v>
      </c>
      <c r="S536" s="648">
        <f t="shared" ca="1" si="187"/>
        <v>0</v>
      </c>
      <c r="T536" s="813"/>
      <c r="U536" s="646">
        <f t="shared" ca="1" si="186"/>
        <v>0</v>
      </c>
      <c r="W536" s="646">
        <f t="shared" ca="1" si="185"/>
        <v>0</v>
      </c>
    </row>
    <row r="537" spans="2:23" ht="18" customHeight="1" x14ac:dyDescent="0.25">
      <c r="B537" s="645">
        <f t="shared" si="178"/>
        <v>22</v>
      </c>
      <c r="C537" s="1616">
        <v>182</v>
      </c>
      <c r="D537" s="611" t="s">
        <v>1255</v>
      </c>
      <c r="E537" s="806"/>
      <c r="F537" s="668">
        <f>' WP II-I-1.4'!H537</f>
        <v>0</v>
      </c>
      <c r="G537" s="1007">
        <v>64</v>
      </c>
      <c r="H537" s="620" t="str">
        <f t="shared" si="179"/>
        <v>PLANT</v>
      </c>
      <c r="I537" s="806"/>
      <c r="J537" s="648">
        <f t="shared" ca="1" si="187"/>
        <v>0</v>
      </c>
      <c r="K537" s="648">
        <f t="shared" ca="1" si="187"/>
        <v>0</v>
      </c>
      <c r="L537" s="648">
        <f t="shared" ca="1" si="187"/>
        <v>0</v>
      </c>
      <c r="M537" s="648">
        <f t="shared" ca="1" si="187"/>
        <v>0</v>
      </c>
      <c r="N537" s="648">
        <f t="shared" ca="1" si="187"/>
        <v>0</v>
      </c>
      <c r="O537" s="648">
        <f t="shared" ca="1" si="187"/>
        <v>0</v>
      </c>
      <c r="P537" s="648">
        <f t="shared" ca="1" si="187"/>
        <v>0</v>
      </c>
      <c r="Q537" s="648">
        <f t="shared" ca="1" si="187"/>
        <v>0</v>
      </c>
      <c r="R537" s="648">
        <f t="shared" ca="1" si="187"/>
        <v>0</v>
      </c>
      <c r="S537" s="648">
        <f t="shared" ca="1" si="187"/>
        <v>0</v>
      </c>
      <c r="T537" s="806"/>
      <c r="U537" s="646">
        <f t="shared" ca="1" si="186"/>
        <v>0</v>
      </c>
      <c r="W537" s="646">
        <f t="shared" ca="1" si="185"/>
        <v>0</v>
      </c>
    </row>
    <row r="538" spans="2:23" ht="18" customHeight="1" x14ac:dyDescent="0.25">
      <c r="B538" s="645">
        <f t="shared" si="178"/>
        <v>23</v>
      </c>
      <c r="C538" s="1616">
        <v>182</v>
      </c>
      <c r="D538" s="611" t="s">
        <v>1256</v>
      </c>
      <c r="E538" s="806"/>
      <c r="F538" s="668">
        <f>' WP II-I-1.4'!H538</f>
        <v>0</v>
      </c>
      <c r="G538" s="1007">
        <v>64</v>
      </c>
      <c r="H538" s="620" t="str">
        <f t="shared" si="179"/>
        <v>PLANT</v>
      </c>
      <c r="I538" s="806"/>
      <c r="J538" s="648">
        <f t="shared" ca="1" si="187"/>
        <v>0</v>
      </c>
      <c r="K538" s="648">
        <f t="shared" ca="1" si="187"/>
        <v>0</v>
      </c>
      <c r="L538" s="648">
        <f t="shared" ca="1" si="187"/>
        <v>0</v>
      </c>
      <c r="M538" s="648">
        <f t="shared" ca="1" si="187"/>
        <v>0</v>
      </c>
      <c r="N538" s="648">
        <f t="shared" ca="1" si="187"/>
        <v>0</v>
      </c>
      <c r="O538" s="648">
        <f t="shared" ca="1" si="187"/>
        <v>0</v>
      </c>
      <c r="P538" s="648">
        <f t="shared" ca="1" si="187"/>
        <v>0</v>
      </c>
      <c r="Q538" s="648">
        <f t="shared" ca="1" si="187"/>
        <v>0</v>
      </c>
      <c r="R538" s="648">
        <f t="shared" ca="1" si="187"/>
        <v>0</v>
      </c>
      <c r="S538" s="648">
        <f t="shared" ca="1" si="187"/>
        <v>0</v>
      </c>
      <c r="T538" s="806"/>
      <c r="U538" s="646">
        <f t="shared" ca="1" si="186"/>
        <v>0</v>
      </c>
      <c r="W538" s="646">
        <f t="shared" ca="1" si="185"/>
        <v>0</v>
      </c>
    </row>
    <row r="539" spans="2:23" ht="18" customHeight="1" x14ac:dyDescent="0.25">
      <c r="B539" s="645">
        <f t="shared" si="178"/>
        <v>24</v>
      </c>
      <c r="C539" s="1616">
        <v>182</v>
      </c>
      <c r="D539" s="611" t="s">
        <v>1257</v>
      </c>
      <c r="E539" s="806"/>
      <c r="F539" s="668">
        <f>' WP II-I-1.4'!H539</f>
        <v>0</v>
      </c>
      <c r="G539" s="1007">
        <v>64</v>
      </c>
      <c r="H539" s="620" t="str">
        <f t="shared" si="179"/>
        <v>PLANT</v>
      </c>
      <c r="I539" s="806"/>
      <c r="J539" s="648">
        <f t="shared" ref="J539:S548" ca="1" si="188">$F539*HLOOKUP(J$1354,FactorTable,$G539+1)</f>
        <v>0</v>
      </c>
      <c r="K539" s="648">
        <f t="shared" ca="1" si="188"/>
        <v>0</v>
      </c>
      <c r="L539" s="648">
        <f t="shared" ca="1" si="188"/>
        <v>0</v>
      </c>
      <c r="M539" s="648">
        <f t="shared" ca="1" si="188"/>
        <v>0</v>
      </c>
      <c r="N539" s="648">
        <f t="shared" ca="1" si="188"/>
        <v>0</v>
      </c>
      <c r="O539" s="648">
        <f t="shared" ca="1" si="188"/>
        <v>0</v>
      </c>
      <c r="P539" s="648">
        <f t="shared" ca="1" si="188"/>
        <v>0</v>
      </c>
      <c r="Q539" s="648">
        <f t="shared" ca="1" si="188"/>
        <v>0</v>
      </c>
      <c r="R539" s="648">
        <f t="shared" ca="1" si="188"/>
        <v>0</v>
      </c>
      <c r="S539" s="648">
        <f t="shared" ca="1" si="188"/>
        <v>0</v>
      </c>
      <c r="T539" s="806"/>
      <c r="U539" s="646">
        <f t="shared" ref="U539:U553" ca="1" si="189">SUM(I539:T539)</f>
        <v>0</v>
      </c>
      <c r="W539" s="646">
        <f t="shared" ref="W539:W553" ca="1" si="190">U539-F539</f>
        <v>0</v>
      </c>
    </row>
    <row r="540" spans="2:23" ht="18" customHeight="1" x14ac:dyDescent="0.25">
      <c r="B540" s="645">
        <f t="shared" si="178"/>
        <v>25</v>
      </c>
      <c r="C540" s="1616">
        <v>182</v>
      </c>
      <c r="D540" s="611" t="s">
        <v>1258</v>
      </c>
      <c r="E540" s="806"/>
      <c r="F540" s="668">
        <f>' WP II-I-1.4'!H540</f>
        <v>0</v>
      </c>
      <c r="G540" s="1007">
        <v>64</v>
      </c>
      <c r="H540" s="620" t="str">
        <f t="shared" si="179"/>
        <v>PLANT</v>
      </c>
      <c r="I540" s="806"/>
      <c r="J540" s="648">
        <f t="shared" ca="1" si="188"/>
        <v>0</v>
      </c>
      <c r="K540" s="648">
        <f t="shared" ca="1" si="188"/>
        <v>0</v>
      </c>
      <c r="L540" s="648">
        <f t="shared" ca="1" si="188"/>
        <v>0</v>
      </c>
      <c r="M540" s="648">
        <f t="shared" ca="1" si="188"/>
        <v>0</v>
      </c>
      <c r="N540" s="648">
        <f t="shared" ca="1" si="188"/>
        <v>0</v>
      </c>
      <c r="O540" s="648">
        <f t="shared" ca="1" si="188"/>
        <v>0</v>
      </c>
      <c r="P540" s="648">
        <f t="shared" ca="1" si="188"/>
        <v>0</v>
      </c>
      <c r="Q540" s="648">
        <f t="shared" ca="1" si="188"/>
        <v>0</v>
      </c>
      <c r="R540" s="648">
        <f t="shared" ca="1" si="188"/>
        <v>0</v>
      </c>
      <c r="S540" s="648">
        <f t="shared" ca="1" si="188"/>
        <v>0</v>
      </c>
      <c r="T540" s="806"/>
      <c r="U540" s="646">
        <f t="shared" ca="1" si="189"/>
        <v>0</v>
      </c>
      <c r="W540" s="646">
        <f t="shared" ca="1" si="190"/>
        <v>0</v>
      </c>
    </row>
    <row r="541" spans="2:23" ht="18" customHeight="1" x14ac:dyDescent="0.25">
      <c r="B541" s="645">
        <f t="shared" si="178"/>
        <v>26</v>
      </c>
      <c r="C541" s="1616">
        <v>182</v>
      </c>
      <c r="D541" s="611" t="s">
        <v>1259</v>
      </c>
      <c r="E541" s="806"/>
      <c r="F541" s="668">
        <f>' WP II-I-1.4'!H541</f>
        <v>0</v>
      </c>
      <c r="G541" s="1007">
        <v>64</v>
      </c>
      <c r="H541" s="620" t="str">
        <f t="shared" si="179"/>
        <v>PLANT</v>
      </c>
      <c r="I541" s="806"/>
      <c r="J541" s="648">
        <f t="shared" ca="1" si="188"/>
        <v>0</v>
      </c>
      <c r="K541" s="648">
        <f t="shared" ca="1" si="188"/>
        <v>0</v>
      </c>
      <c r="L541" s="648">
        <f t="shared" ca="1" si="188"/>
        <v>0</v>
      </c>
      <c r="M541" s="648">
        <f t="shared" ca="1" si="188"/>
        <v>0</v>
      </c>
      <c r="N541" s="648">
        <f t="shared" ca="1" si="188"/>
        <v>0</v>
      </c>
      <c r="O541" s="648">
        <f t="shared" ca="1" si="188"/>
        <v>0</v>
      </c>
      <c r="P541" s="648">
        <f t="shared" ca="1" si="188"/>
        <v>0</v>
      </c>
      <c r="Q541" s="648">
        <f t="shared" ca="1" si="188"/>
        <v>0</v>
      </c>
      <c r="R541" s="648">
        <f t="shared" ca="1" si="188"/>
        <v>0</v>
      </c>
      <c r="S541" s="648">
        <f t="shared" ca="1" si="188"/>
        <v>0</v>
      </c>
      <c r="T541" s="806"/>
      <c r="U541" s="646">
        <f t="shared" ca="1" si="189"/>
        <v>0</v>
      </c>
      <c r="W541" s="646">
        <f t="shared" ca="1" si="190"/>
        <v>0</v>
      </c>
    </row>
    <row r="542" spans="2:23" ht="18" customHeight="1" x14ac:dyDescent="0.25">
      <c r="B542" s="645">
        <f t="shared" si="178"/>
        <v>27</v>
      </c>
      <c r="C542" s="1616">
        <v>186</v>
      </c>
      <c r="D542" s="611" t="s">
        <v>1260</v>
      </c>
      <c r="E542" s="806"/>
      <c r="F542" s="668">
        <f>' WP II-I-1.4'!H542</f>
        <v>0</v>
      </c>
      <c r="G542" s="1007">
        <v>64</v>
      </c>
      <c r="H542" s="620" t="str">
        <f t="shared" si="179"/>
        <v>PLANT</v>
      </c>
      <c r="I542" s="806"/>
      <c r="J542" s="648">
        <f t="shared" ca="1" si="188"/>
        <v>0</v>
      </c>
      <c r="K542" s="648">
        <f t="shared" ca="1" si="188"/>
        <v>0</v>
      </c>
      <c r="L542" s="648">
        <f t="shared" ca="1" si="188"/>
        <v>0</v>
      </c>
      <c r="M542" s="648">
        <f t="shared" ca="1" si="188"/>
        <v>0</v>
      </c>
      <c r="N542" s="648">
        <f t="shared" ca="1" si="188"/>
        <v>0</v>
      </c>
      <c r="O542" s="648">
        <f t="shared" ca="1" si="188"/>
        <v>0</v>
      </c>
      <c r="P542" s="648">
        <f t="shared" ca="1" si="188"/>
        <v>0</v>
      </c>
      <c r="Q542" s="648">
        <f t="shared" ca="1" si="188"/>
        <v>0</v>
      </c>
      <c r="R542" s="648">
        <f t="shared" ca="1" si="188"/>
        <v>0</v>
      </c>
      <c r="S542" s="648">
        <f t="shared" ca="1" si="188"/>
        <v>0</v>
      </c>
      <c r="T542" s="806"/>
      <c r="U542" s="646">
        <f t="shared" ca="1" si="189"/>
        <v>0</v>
      </c>
      <c r="W542" s="646">
        <f t="shared" ca="1" si="190"/>
        <v>0</v>
      </c>
    </row>
    <row r="543" spans="2:23" ht="18" customHeight="1" x14ac:dyDescent="0.25">
      <c r="B543" s="645">
        <f t="shared" si="178"/>
        <v>28</v>
      </c>
      <c r="C543" s="1616">
        <v>186</v>
      </c>
      <c r="D543" s="611" t="s">
        <v>1261</v>
      </c>
      <c r="E543" s="806"/>
      <c r="F543" s="668">
        <f>' WP II-I-1.4'!H543</f>
        <v>0</v>
      </c>
      <c r="G543" s="1007">
        <v>64</v>
      </c>
      <c r="H543" s="620" t="str">
        <f t="shared" si="179"/>
        <v>PLANT</v>
      </c>
      <c r="I543" s="806"/>
      <c r="J543" s="648">
        <f t="shared" ca="1" si="188"/>
        <v>0</v>
      </c>
      <c r="K543" s="648">
        <f t="shared" ca="1" si="188"/>
        <v>0</v>
      </c>
      <c r="L543" s="648">
        <f t="shared" ca="1" si="188"/>
        <v>0</v>
      </c>
      <c r="M543" s="648">
        <f t="shared" ca="1" si="188"/>
        <v>0</v>
      </c>
      <c r="N543" s="648">
        <f t="shared" ca="1" si="188"/>
        <v>0</v>
      </c>
      <c r="O543" s="648">
        <f t="shared" ca="1" si="188"/>
        <v>0</v>
      </c>
      <c r="P543" s="648">
        <f t="shared" ca="1" si="188"/>
        <v>0</v>
      </c>
      <c r="Q543" s="648">
        <f t="shared" ca="1" si="188"/>
        <v>0</v>
      </c>
      <c r="R543" s="648">
        <f t="shared" ca="1" si="188"/>
        <v>0</v>
      </c>
      <c r="S543" s="648">
        <f t="shared" ca="1" si="188"/>
        <v>0</v>
      </c>
      <c r="T543" s="806"/>
      <c r="U543" s="646">
        <f t="shared" ca="1" si="189"/>
        <v>0</v>
      </c>
      <c r="W543" s="646">
        <f t="shared" ca="1" si="190"/>
        <v>0</v>
      </c>
    </row>
    <row r="544" spans="2:23" ht="18" customHeight="1" x14ac:dyDescent="0.25">
      <c r="B544" s="645">
        <f t="shared" si="178"/>
        <v>29</v>
      </c>
      <c r="C544" s="1616">
        <v>186</v>
      </c>
      <c r="D544" s="611" t="s">
        <v>1120</v>
      </c>
      <c r="E544" s="806"/>
      <c r="F544" s="668">
        <f>' WP II-I-1.4'!H544</f>
        <v>0</v>
      </c>
      <c r="G544" s="1007">
        <v>88</v>
      </c>
      <c r="H544" s="620" t="str">
        <f t="shared" si="179"/>
        <v>PAYROLL</v>
      </c>
      <c r="I544" s="806"/>
      <c r="J544" s="648">
        <f t="shared" ca="1" si="188"/>
        <v>0</v>
      </c>
      <c r="K544" s="648">
        <f t="shared" ca="1" si="188"/>
        <v>0</v>
      </c>
      <c r="L544" s="648">
        <f t="shared" ca="1" si="188"/>
        <v>0</v>
      </c>
      <c r="M544" s="648">
        <f t="shared" ca="1" si="188"/>
        <v>0</v>
      </c>
      <c r="N544" s="648">
        <f t="shared" ca="1" si="188"/>
        <v>0</v>
      </c>
      <c r="O544" s="648">
        <f t="shared" ca="1" si="188"/>
        <v>0</v>
      </c>
      <c r="P544" s="648">
        <f t="shared" ca="1" si="188"/>
        <v>0</v>
      </c>
      <c r="Q544" s="648">
        <f t="shared" ca="1" si="188"/>
        <v>0</v>
      </c>
      <c r="R544" s="648">
        <f t="shared" ca="1" si="188"/>
        <v>0</v>
      </c>
      <c r="S544" s="648">
        <f t="shared" ca="1" si="188"/>
        <v>0</v>
      </c>
      <c r="T544" s="806"/>
      <c r="U544" s="646">
        <f t="shared" ca="1" si="189"/>
        <v>0</v>
      </c>
      <c r="W544" s="646">
        <f t="shared" ca="1" si="190"/>
        <v>0</v>
      </c>
    </row>
    <row r="545" spans="2:23" ht="18" customHeight="1" x14ac:dyDescent="0.25">
      <c r="B545" s="645">
        <f t="shared" si="178"/>
        <v>30</v>
      </c>
      <c r="C545" s="1616">
        <v>186</v>
      </c>
      <c r="D545" s="611" t="s">
        <v>1262</v>
      </c>
      <c r="E545" s="806"/>
      <c r="F545" s="668">
        <f>' WP II-I-1.4'!H545</f>
        <v>0</v>
      </c>
      <c r="G545" s="1007">
        <v>51</v>
      </c>
      <c r="H545" s="620" t="str">
        <f t="shared" si="179"/>
        <v>PLT 370</v>
      </c>
      <c r="I545" s="806"/>
      <c r="J545" s="648">
        <f t="shared" si="188"/>
        <v>0</v>
      </c>
      <c r="K545" s="648">
        <f t="shared" si="188"/>
        <v>0</v>
      </c>
      <c r="L545" s="648">
        <f t="shared" si="188"/>
        <v>0</v>
      </c>
      <c r="M545" s="648">
        <f t="shared" si="188"/>
        <v>0</v>
      </c>
      <c r="N545" s="648">
        <f t="shared" si="188"/>
        <v>0</v>
      </c>
      <c r="O545" s="648">
        <f t="shared" si="188"/>
        <v>0</v>
      </c>
      <c r="P545" s="648">
        <f t="shared" si="188"/>
        <v>0</v>
      </c>
      <c r="Q545" s="648">
        <f t="shared" si="188"/>
        <v>0</v>
      </c>
      <c r="R545" s="648">
        <f t="shared" si="188"/>
        <v>0</v>
      </c>
      <c r="S545" s="648">
        <f t="shared" si="188"/>
        <v>0</v>
      </c>
      <c r="T545" s="806"/>
      <c r="U545" s="646">
        <f t="shared" si="189"/>
        <v>0</v>
      </c>
      <c r="W545" s="646">
        <f t="shared" si="190"/>
        <v>0</v>
      </c>
    </row>
    <row r="546" spans="2:23" ht="18" customHeight="1" x14ac:dyDescent="0.25">
      <c r="B546" s="645">
        <f t="shared" si="178"/>
        <v>31</v>
      </c>
      <c r="C546" s="1616">
        <v>186</v>
      </c>
      <c r="D546" s="611" t="s">
        <v>1263</v>
      </c>
      <c r="E546" s="806"/>
      <c r="F546" s="668">
        <f>' WP II-I-1.4'!H546</f>
        <v>0</v>
      </c>
      <c r="G546" s="1007">
        <v>64</v>
      </c>
      <c r="H546" s="620" t="str">
        <f t="shared" si="179"/>
        <v>PLANT</v>
      </c>
      <c r="I546" s="806"/>
      <c r="J546" s="648">
        <f t="shared" ca="1" si="188"/>
        <v>0</v>
      </c>
      <c r="K546" s="648">
        <f t="shared" ca="1" si="188"/>
        <v>0</v>
      </c>
      <c r="L546" s="648">
        <f t="shared" ca="1" si="188"/>
        <v>0</v>
      </c>
      <c r="M546" s="648">
        <f t="shared" ca="1" si="188"/>
        <v>0</v>
      </c>
      <c r="N546" s="648">
        <f t="shared" ca="1" si="188"/>
        <v>0</v>
      </c>
      <c r="O546" s="648">
        <f t="shared" ca="1" si="188"/>
        <v>0</v>
      </c>
      <c r="P546" s="648">
        <f t="shared" ca="1" si="188"/>
        <v>0</v>
      </c>
      <c r="Q546" s="648">
        <f t="shared" ca="1" si="188"/>
        <v>0</v>
      </c>
      <c r="R546" s="648">
        <f t="shared" ca="1" si="188"/>
        <v>0</v>
      </c>
      <c r="S546" s="648">
        <f t="shared" ca="1" si="188"/>
        <v>0</v>
      </c>
      <c r="T546" s="806"/>
      <c r="U546" s="646">
        <f t="shared" ca="1" si="189"/>
        <v>0</v>
      </c>
      <c r="W546" s="646">
        <f t="shared" ca="1" si="190"/>
        <v>0</v>
      </c>
    </row>
    <row r="547" spans="2:23" ht="18" customHeight="1" x14ac:dyDescent="0.25">
      <c r="B547" s="645">
        <f t="shared" si="178"/>
        <v>32</v>
      </c>
      <c r="C547" s="1616">
        <v>186</v>
      </c>
      <c r="D547" s="611" t="s">
        <v>1264</v>
      </c>
      <c r="E547" s="806"/>
      <c r="F547" s="668">
        <f>' WP II-I-1.4'!H547</f>
        <v>0</v>
      </c>
      <c r="G547" s="1007">
        <v>64</v>
      </c>
      <c r="H547" s="620" t="str">
        <f t="shared" si="179"/>
        <v>PLANT</v>
      </c>
      <c r="I547" s="806"/>
      <c r="J547" s="648">
        <f t="shared" ca="1" si="188"/>
        <v>0</v>
      </c>
      <c r="K547" s="648">
        <f t="shared" ca="1" si="188"/>
        <v>0</v>
      </c>
      <c r="L547" s="648">
        <f t="shared" ca="1" si="188"/>
        <v>0</v>
      </c>
      <c r="M547" s="648">
        <f t="shared" ca="1" si="188"/>
        <v>0</v>
      </c>
      <c r="N547" s="648">
        <f t="shared" ca="1" si="188"/>
        <v>0</v>
      </c>
      <c r="O547" s="648">
        <f t="shared" ca="1" si="188"/>
        <v>0</v>
      </c>
      <c r="P547" s="648">
        <f t="shared" ca="1" si="188"/>
        <v>0</v>
      </c>
      <c r="Q547" s="648">
        <f t="shared" ca="1" si="188"/>
        <v>0</v>
      </c>
      <c r="R547" s="648">
        <f t="shared" ca="1" si="188"/>
        <v>0</v>
      </c>
      <c r="S547" s="648">
        <f t="shared" ca="1" si="188"/>
        <v>0</v>
      </c>
      <c r="T547" s="806"/>
      <c r="U547" s="646">
        <f t="shared" ca="1" si="189"/>
        <v>0</v>
      </c>
      <c r="W547" s="646">
        <f t="shared" ca="1" si="190"/>
        <v>0</v>
      </c>
    </row>
    <row r="548" spans="2:23" ht="18" customHeight="1" x14ac:dyDescent="0.25">
      <c r="B548" s="645">
        <f t="shared" si="178"/>
        <v>33</v>
      </c>
      <c r="C548" s="1616">
        <v>186</v>
      </c>
      <c r="D548" s="611" t="s">
        <v>1265</v>
      </c>
      <c r="E548" s="806"/>
      <c r="F548" s="668">
        <f>' WP II-I-1.4'!H548</f>
        <v>0</v>
      </c>
      <c r="G548" s="1007">
        <v>64</v>
      </c>
      <c r="H548" s="620" t="str">
        <f t="shared" ref="H548:H552" si="191">VLOOKUP(G548,FactorTable,2)</f>
        <v>PLANT</v>
      </c>
      <c r="I548" s="806"/>
      <c r="J548" s="648">
        <f t="shared" ca="1" si="188"/>
        <v>0</v>
      </c>
      <c r="K548" s="648">
        <f t="shared" ca="1" si="188"/>
        <v>0</v>
      </c>
      <c r="L548" s="648">
        <f t="shared" ca="1" si="188"/>
        <v>0</v>
      </c>
      <c r="M548" s="648">
        <f t="shared" ca="1" si="188"/>
        <v>0</v>
      </c>
      <c r="N548" s="648">
        <f t="shared" ca="1" si="188"/>
        <v>0</v>
      </c>
      <c r="O548" s="648">
        <f t="shared" ca="1" si="188"/>
        <v>0</v>
      </c>
      <c r="P548" s="648">
        <f t="shared" ca="1" si="188"/>
        <v>0</v>
      </c>
      <c r="Q548" s="648">
        <f t="shared" ca="1" si="188"/>
        <v>0</v>
      </c>
      <c r="R548" s="648">
        <f t="shared" ca="1" si="188"/>
        <v>0</v>
      </c>
      <c r="S548" s="648">
        <f t="shared" ca="1" si="188"/>
        <v>0</v>
      </c>
      <c r="T548" s="806"/>
      <c r="U548" s="646">
        <f t="shared" ref="U548:U552" ca="1" si="192">SUM(I548:T548)</f>
        <v>0</v>
      </c>
      <c r="W548" s="646">
        <f t="shared" ref="W548:W552" ca="1" si="193">U548-F548</f>
        <v>0</v>
      </c>
    </row>
    <row r="549" spans="2:23" ht="18" customHeight="1" x14ac:dyDescent="0.25">
      <c r="B549" s="645">
        <f t="shared" si="178"/>
        <v>34</v>
      </c>
      <c r="C549" s="1616">
        <v>186</v>
      </c>
      <c r="D549" s="611" t="s">
        <v>1266</v>
      </c>
      <c r="E549" s="806"/>
      <c r="F549" s="668">
        <f>' WP II-I-1.4'!H549</f>
        <v>0</v>
      </c>
      <c r="G549" s="1007">
        <v>64</v>
      </c>
      <c r="H549" s="620" t="str">
        <f t="shared" si="191"/>
        <v>PLANT</v>
      </c>
      <c r="I549" s="806"/>
      <c r="J549" s="648">
        <f t="shared" ref="J549:S555" ca="1" si="194">$F549*HLOOKUP(J$1354,FactorTable,$G549+1)</f>
        <v>0</v>
      </c>
      <c r="K549" s="648">
        <f t="shared" ca="1" si="194"/>
        <v>0</v>
      </c>
      <c r="L549" s="648">
        <f t="shared" ca="1" si="194"/>
        <v>0</v>
      </c>
      <c r="M549" s="648">
        <f t="shared" ca="1" si="194"/>
        <v>0</v>
      </c>
      <c r="N549" s="648">
        <f t="shared" ca="1" si="194"/>
        <v>0</v>
      </c>
      <c r="O549" s="648">
        <f t="shared" ca="1" si="194"/>
        <v>0</v>
      </c>
      <c r="P549" s="648">
        <f t="shared" ca="1" si="194"/>
        <v>0</v>
      </c>
      <c r="Q549" s="648">
        <f t="shared" ca="1" si="194"/>
        <v>0</v>
      </c>
      <c r="R549" s="648">
        <f t="shared" ca="1" si="194"/>
        <v>0</v>
      </c>
      <c r="S549" s="648">
        <f t="shared" ca="1" si="194"/>
        <v>0</v>
      </c>
      <c r="T549" s="806"/>
      <c r="U549" s="646">
        <f t="shared" ca="1" si="192"/>
        <v>0</v>
      </c>
      <c r="W549" s="646">
        <f t="shared" ca="1" si="193"/>
        <v>0</v>
      </c>
    </row>
    <row r="550" spans="2:23" ht="18" customHeight="1" x14ac:dyDescent="0.25">
      <c r="B550" s="645">
        <f t="shared" si="178"/>
        <v>35</v>
      </c>
      <c r="C550" s="1616">
        <v>186</v>
      </c>
      <c r="D550" s="611" t="s">
        <v>1267</v>
      </c>
      <c r="E550" s="806"/>
      <c r="F550" s="668">
        <f>' WP II-I-1.4'!H550</f>
        <v>0</v>
      </c>
      <c r="G550" s="1007">
        <v>64</v>
      </c>
      <c r="H550" s="620" t="str">
        <f t="shared" si="191"/>
        <v>PLANT</v>
      </c>
      <c r="I550" s="806"/>
      <c r="J550" s="648">
        <f t="shared" ca="1" si="194"/>
        <v>0</v>
      </c>
      <c r="K550" s="648">
        <f t="shared" ca="1" si="194"/>
        <v>0</v>
      </c>
      <c r="L550" s="648">
        <f t="shared" ca="1" si="194"/>
        <v>0</v>
      </c>
      <c r="M550" s="648">
        <f t="shared" ca="1" si="194"/>
        <v>0</v>
      </c>
      <c r="N550" s="648">
        <f t="shared" ca="1" si="194"/>
        <v>0</v>
      </c>
      <c r="O550" s="648">
        <f t="shared" ca="1" si="194"/>
        <v>0</v>
      </c>
      <c r="P550" s="648">
        <f t="shared" ca="1" si="194"/>
        <v>0</v>
      </c>
      <c r="Q550" s="648">
        <f t="shared" ca="1" si="194"/>
        <v>0</v>
      </c>
      <c r="R550" s="648">
        <f t="shared" ca="1" si="194"/>
        <v>0</v>
      </c>
      <c r="S550" s="648">
        <f t="shared" ca="1" si="194"/>
        <v>0</v>
      </c>
      <c r="T550" s="806"/>
      <c r="U550" s="646">
        <f t="shared" ca="1" si="192"/>
        <v>0</v>
      </c>
      <c r="W550" s="646">
        <f t="shared" ca="1" si="193"/>
        <v>0</v>
      </c>
    </row>
    <row r="551" spans="2:23" ht="18" customHeight="1" x14ac:dyDescent="0.25">
      <c r="B551" s="645">
        <f t="shared" si="178"/>
        <v>36</v>
      </c>
      <c r="C551" s="1616">
        <v>186</v>
      </c>
      <c r="D551" s="611" t="s">
        <v>1326</v>
      </c>
      <c r="E551" s="806"/>
      <c r="F551" s="668">
        <f>' WP II-I-1.4'!H551</f>
        <v>0</v>
      </c>
      <c r="G551" s="1007">
        <v>64</v>
      </c>
      <c r="H551" s="620" t="str">
        <f t="shared" si="191"/>
        <v>PLANT</v>
      </c>
      <c r="I551" s="806"/>
      <c r="J551" s="648">
        <f t="shared" ca="1" si="194"/>
        <v>0</v>
      </c>
      <c r="K551" s="648">
        <f t="shared" ca="1" si="194"/>
        <v>0</v>
      </c>
      <c r="L551" s="648">
        <f t="shared" ca="1" si="194"/>
        <v>0</v>
      </c>
      <c r="M551" s="648">
        <f t="shared" ca="1" si="194"/>
        <v>0</v>
      </c>
      <c r="N551" s="648">
        <f t="shared" ca="1" si="194"/>
        <v>0</v>
      </c>
      <c r="O551" s="648">
        <f t="shared" ca="1" si="194"/>
        <v>0</v>
      </c>
      <c r="P551" s="648">
        <f t="shared" ca="1" si="194"/>
        <v>0</v>
      </c>
      <c r="Q551" s="648">
        <f t="shared" ca="1" si="194"/>
        <v>0</v>
      </c>
      <c r="R551" s="648">
        <f t="shared" ca="1" si="194"/>
        <v>0</v>
      </c>
      <c r="S551" s="648">
        <f t="shared" ca="1" si="194"/>
        <v>0</v>
      </c>
      <c r="T551" s="806"/>
      <c r="U551" s="646">
        <f t="shared" ca="1" si="192"/>
        <v>0</v>
      </c>
      <c r="W551" s="646">
        <f t="shared" ca="1" si="193"/>
        <v>0</v>
      </c>
    </row>
    <row r="552" spans="2:23" ht="18" customHeight="1" x14ac:dyDescent="0.25">
      <c r="B552" s="645">
        <f t="shared" si="178"/>
        <v>37</v>
      </c>
      <c r="C552" s="1616">
        <v>187</v>
      </c>
      <c r="D552" s="611" t="s">
        <v>1268</v>
      </c>
      <c r="E552" s="806"/>
      <c r="F552" s="668">
        <f>' WP II-I-1.4'!H552</f>
        <v>0</v>
      </c>
      <c r="G552" s="1007">
        <v>64</v>
      </c>
      <c r="H552" s="620" t="str">
        <f t="shared" si="191"/>
        <v>PLANT</v>
      </c>
      <c r="I552" s="806"/>
      <c r="J552" s="648">
        <f t="shared" ca="1" si="194"/>
        <v>0</v>
      </c>
      <c r="K552" s="648">
        <f t="shared" ca="1" si="194"/>
        <v>0</v>
      </c>
      <c r="L552" s="648">
        <f t="shared" ca="1" si="194"/>
        <v>0</v>
      </c>
      <c r="M552" s="648">
        <f t="shared" ca="1" si="194"/>
        <v>0</v>
      </c>
      <c r="N552" s="648">
        <f t="shared" ca="1" si="194"/>
        <v>0</v>
      </c>
      <c r="O552" s="648">
        <f t="shared" ca="1" si="194"/>
        <v>0</v>
      </c>
      <c r="P552" s="648">
        <f t="shared" ca="1" si="194"/>
        <v>0</v>
      </c>
      <c r="Q552" s="648">
        <f t="shared" ca="1" si="194"/>
        <v>0</v>
      </c>
      <c r="R552" s="648">
        <f t="shared" ca="1" si="194"/>
        <v>0</v>
      </c>
      <c r="S552" s="648">
        <f t="shared" ca="1" si="194"/>
        <v>0</v>
      </c>
      <c r="T552" s="806"/>
      <c r="U552" s="646">
        <f t="shared" ca="1" si="192"/>
        <v>0</v>
      </c>
      <c r="W552" s="646">
        <f t="shared" ca="1" si="193"/>
        <v>0</v>
      </c>
    </row>
    <row r="553" spans="2:23" ht="18" customHeight="1" x14ac:dyDescent="0.25">
      <c r="B553" s="645">
        <f t="shared" si="178"/>
        <v>38</v>
      </c>
      <c r="C553" s="1616">
        <v>186</v>
      </c>
      <c r="D553" s="611" t="s">
        <v>1327</v>
      </c>
      <c r="E553" s="806"/>
      <c r="F553" s="668">
        <f>' WP II-I-1.4'!H553</f>
        <v>0</v>
      </c>
      <c r="G553" s="1007">
        <v>64</v>
      </c>
      <c r="H553" s="620" t="str">
        <f t="shared" si="179"/>
        <v>PLANT</v>
      </c>
      <c r="I553" s="806"/>
      <c r="J553" s="648">
        <f t="shared" ca="1" si="194"/>
        <v>0</v>
      </c>
      <c r="K553" s="648">
        <f t="shared" ca="1" si="194"/>
        <v>0</v>
      </c>
      <c r="L553" s="648">
        <f t="shared" ca="1" si="194"/>
        <v>0</v>
      </c>
      <c r="M553" s="648">
        <f t="shared" ca="1" si="194"/>
        <v>0</v>
      </c>
      <c r="N553" s="648">
        <f t="shared" ca="1" si="194"/>
        <v>0</v>
      </c>
      <c r="O553" s="648">
        <f t="shared" ca="1" si="194"/>
        <v>0</v>
      </c>
      <c r="P553" s="648">
        <f t="shared" ca="1" si="194"/>
        <v>0</v>
      </c>
      <c r="Q553" s="648">
        <f t="shared" ca="1" si="194"/>
        <v>0</v>
      </c>
      <c r="R553" s="648">
        <f t="shared" ca="1" si="194"/>
        <v>0</v>
      </c>
      <c r="S553" s="648">
        <f t="shared" ca="1" si="194"/>
        <v>0</v>
      </c>
      <c r="T553" s="806"/>
      <c r="U553" s="646">
        <f t="shared" ca="1" si="189"/>
        <v>0</v>
      </c>
      <c r="W553" s="646">
        <f t="shared" ca="1" si="190"/>
        <v>0</v>
      </c>
    </row>
    <row r="554" spans="2:23" ht="18" customHeight="1" x14ac:dyDescent="0.25">
      <c r="B554" s="645">
        <f t="shared" si="178"/>
        <v>39</v>
      </c>
      <c r="C554" s="1616">
        <v>186</v>
      </c>
      <c r="D554" s="611" t="s">
        <v>1269</v>
      </c>
      <c r="E554" s="806"/>
      <c r="F554" s="668">
        <f>' WP II-I-1.4'!H554</f>
        <v>0</v>
      </c>
      <c r="G554" s="1007">
        <v>64</v>
      </c>
      <c r="H554" s="620" t="str">
        <f t="shared" si="179"/>
        <v>PLANT</v>
      </c>
      <c r="I554" s="806"/>
      <c r="J554" s="648">
        <f t="shared" ca="1" si="194"/>
        <v>0</v>
      </c>
      <c r="K554" s="648">
        <f t="shared" ca="1" si="194"/>
        <v>0</v>
      </c>
      <c r="L554" s="648">
        <f t="shared" ca="1" si="194"/>
        <v>0</v>
      </c>
      <c r="M554" s="648">
        <f t="shared" ca="1" si="194"/>
        <v>0</v>
      </c>
      <c r="N554" s="648">
        <f t="shared" ca="1" si="194"/>
        <v>0</v>
      </c>
      <c r="O554" s="648">
        <f t="shared" ca="1" si="194"/>
        <v>0</v>
      </c>
      <c r="P554" s="648">
        <f t="shared" ca="1" si="194"/>
        <v>0</v>
      </c>
      <c r="Q554" s="648">
        <f t="shared" ca="1" si="194"/>
        <v>0</v>
      </c>
      <c r="R554" s="648">
        <f t="shared" ca="1" si="194"/>
        <v>0</v>
      </c>
      <c r="S554" s="648">
        <f t="shared" ca="1" si="194"/>
        <v>0</v>
      </c>
      <c r="T554" s="806"/>
      <c r="U554" s="646">
        <f t="shared" ca="1" si="186"/>
        <v>0</v>
      </c>
      <c r="W554" s="646">
        <f t="shared" ca="1" si="185"/>
        <v>0</v>
      </c>
    </row>
    <row r="555" spans="2:23" ht="18" customHeight="1" x14ac:dyDescent="0.25">
      <c r="B555" s="645">
        <f t="shared" si="178"/>
        <v>40</v>
      </c>
      <c r="C555" s="1616">
        <v>186</v>
      </c>
      <c r="D555" s="611" t="s">
        <v>1328</v>
      </c>
      <c r="E555" s="806"/>
      <c r="F555" s="668">
        <f>' WP II-I-1.4'!H555</f>
        <v>0</v>
      </c>
      <c r="G555" s="1007">
        <v>64</v>
      </c>
      <c r="H555" s="620" t="str">
        <f t="shared" si="179"/>
        <v>PLANT</v>
      </c>
      <c r="I555" s="806"/>
      <c r="J555" s="651">
        <f t="shared" ca="1" si="194"/>
        <v>0</v>
      </c>
      <c r="K555" s="651">
        <f t="shared" ca="1" si="194"/>
        <v>0</v>
      </c>
      <c r="L555" s="651">
        <f t="shared" ca="1" si="194"/>
        <v>0</v>
      </c>
      <c r="M555" s="651">
        <f t="shared" ca="1" si="194"/>
        <v>0</v>
      </c>
      <c r="N555" s="651">
        <f t="shared" ca="1" si="194"/>
        <v>0</v>
      </c>
      <c r="O555" s="651">
        <f t="shared" ca="1" si="194"/>
        <v>0</v>
      </c>
      <c r="P555" s="651">
        <f t="shared" ca="1" si="194"/>
        <v>0</v>
      </c>
      <c r="Q555" s="651">
        <f t="shared" ca="1" si="194"/>
        <v>0</v>
      </c>
      <c r="R555" s="651">
        <f t="shared" ca="1" si="194"/>
        <v>0</v>
      </c>
      <c r="S555" s="651">
        <f t="shared" ca="1" si="194"/>
        <v>0</v>
      </c>
      <c r="T555" s="806"/>
      <c r="U555" s="646">
        <f t="shared" ca="1" si="186"/>
        <v>0</v>
      </c>
      <c r="W555" s="646">
        <f t="shared" ca="1" si="185"/>
        <v>0</v>
      </c>
    </row>
    <row r="556" spans="2:23" ht="18" customHeight="1" x14ac:dyDescent="0.25">
      <c r="B556" s="645">
        <f t="shared" si="178"/>
        <v>41</v>
      </c>
      <c r="C556" s="34"/>
      <c r="D556" s="42" t="s">
        <v>562</v>
      </c>
      <c r="E556" s="806"/>
      <c r="F556" s="807">
        <f>SUM(F519:F555)</f>
        <v>60223047.119999997</v>
      </c>
      <c r="G556" s="806"/>
      <c r="H556" s="806"/>
      <c r="I556" s="806"/>
      <c r="J556" s="807">
        <f t="shared" ref="J556:S556" ca="1" si="195">SUM(J519:J555)</f>
        <v>31439688.357533228</v>
      </c>
      <c r="K556" s="807">
        <f t="shared" ca="1" si="195"/>
        <v>4410515.3888214193</v>
      </c>
      <c r="L556" s="807">
        <f t="shared" ca="1" si="195"/>
        <v>17345142.287917104</v>
      </c>
      <c r="M556" s="807">
        <f t="shared" ca="1" si="195"/>
        <v>730438.74709206074</v>
      </c>
      <c r="N556" s="807">
        <f t="shared" ca="1" si="195"/>
        <v>5624769.6424034489</v>
      </c>
      <c r="O556" s="807">
        <f t="shared" ca="1" si="195"/>
        <v>184563.3481572555</v>
      </c>
      <c r="P556" s="807">
        <f t="shared" ca="1" si="195"/>
        <v>384973.59017312224</v>
      </c>
      <c r="Q556" s="807">
        <f t="shared" ca="1" si="195"/>
        <v>32207.431151412049</v>
      </c>
      <c r="R556" s="807">
        <f t="shared" ca="1" si="195"/>
        <v>19993.129988930152</v>
      </c>
      <c r="S556" s="807">
        <f t="shared" ca="1" si="195"/>
        <v>50755.196762010004</v>
      </c>
      <c r="T556" s="806"/>
      <c r="U556" s="807">
        <f t="shared" ca="1" si="186"/>
        <v>60223047.11999999</v>
      </c>
      <c r="V556" s="104"/>
      <c r="W556" s="646">
        <f t="shared" ca="1" si="185"/>
        <v>0</v>
      </c>
    </row>
    <row r="557" spans="2:23" ht="18" customHeight="1" x14ac:dyDescent="0.25">
      <c r="B557" s="645">
        <f t="shared" si="178"/>
        <v>42</v>
      </c>
      <c r="C557" s="611"/>
      <c r="D557" s="42"/>
      <c r="E557" s="806"/>
      <c r="F557" s="813"/>
      <c r="G557" s="806"/>
      <c r="H557" s="806"/>
      <c r="I557" s="806"/>
      <c r="J557" s="806"/>
      <c r="K557" s="806"/>
      <c r="L557" s="806"/>
      <c r="M557" s="806"/>
      <c r="N557" s="806"/>
      <c r="O557" s="806"/>
      <c r="P557" s="806"/>
      <c r="Q557" s="806"/>
      <c r="R557" s="806"/>
      <c r="S557" s="806"/>
      <c r="T557" s="806"/>
      <c r="U557" s="646"/>
      <c r="W557" s="646">
        <f t="shared" si="185"/>
        <v>0</v>
      </c>
    </row>
    <row r="558" spans="2:23" ht="18" customHeight="1" x14ac:dyDescent="0.25">
      <c r="B558" s="645">
        <f t="shared" si="178"/>
        <v>43</v>
      </c>
      <c r="C558" s="34" t="s">
        <v>130</v>
      </c>
      <c r="D558" s="611"/>
      <c r="E558" s="806"/>
      <c r="F558" s="802"/>
      <c r="G558" s="806"/>
      <c r="H558" s="806"/>
      <c r="I558" s="806"/>
      <c r="J558" s="806"/>
      <c r="K558" s="806"/>
      <c r="L558" s="806"/>
      <c r="M558" s="806"/>
      <c r="N558" s="806"/>
      <c r="O558" s="806"/>
      <c r="P558" s="806"/>
      <c r="Q558" s="806"/>
      <c r="R558" s="806"/>
      <c r="S558" s="806"/>
      <c r="T558" s="806"/>
      <c r="U558" s="646"/>
      <c r="W558" s="646">
        <f t="shared" si="185"/>
        <v>0</v>
      </c>
    </row>
    <row r="559" spans="2:23" ht="18" customHeight="1" x14ac:dyDescent="0.25">
      <c r="B559" s="645">
        <f t="shared" si="178"/>
        <v>44</v>
      </c>
      <c r="C559" s="611">
        <v>254</v>
      </c>
      <c r="D559" s="611" t="s">
        <v>1173</v>
      </c>
      <c r="E559" s="806"/>
      <c r="F559" s="668">
        <f>' WP II-I-1.4'!H559</f>
        <v>0</v>
      </c>
      <c r="G559" s="1007">
        <v>64</v>
      </c>
      <c r="H559" s="620" t="str">
        <f t="shared" ref="H559:H572" si="196">VLOOKUP(G559,FactorTable,2)</f>
        <v>PLANT</v>
      </c>
      <c r="I559" s="806"/>
      <c r="J559" s="648">
        <f t="shared" ref="J559:S572" ca="1" si="197">$F559*HLOOKUP(J$1354,FactorTable,$G559+1)</f>
        <v>0</v>
      </c>
      <c r="K559" s="648">
        <f t="shared" ca="1" si="197"/>
        <v>0</v>
      </c>
      <c r="L559" s="648">
        <f t="shared" ca="1" si="197"/>
        <v>0</v>
      </c>
      <c r="M559" s="648">
        <f t="shared" ca="1" si="197"/>
        <v>0</v>
      </c>
      <c r="N559" s="648">
        <f t="shared" ca="1" si="197"/>
        <v>0</v>
      </c>
      <c r="O559" s="648">
        <f t="shared" ca="1" si="197"/>
        <v>0</v>
      </c>
      <c r="P559" s="648">
        <f t="shared" ca="1" si="197"/>
        <v>0</v>
      </c>
      <c r="Q559" s="648">
        <f t="shared" ca="1" si="197"/>
        <v>0</v>
      </c>
      <c r="R559" s="648">
        <f t="shared" ca="1" si="197"/>
        <v>0</v>
      </c>
      <c r="S559" s="648">
        <f t="shared" ca="1" si="197"/>
        <v>0</v>
      </c>
      <c r="T559" s="806"/>
      <c r="U559" s="646">
        <f t="shared" ref="U559:U570" ca="1" si="198">SUM(I559:T559)</f>
        <v>0</v>
      </c>
      <c r="W559" s="646">
        <f t="shared" ca="1" si="185"/>
        <v>0</v>
      </c>
    </row>
    <row r="560" spans="2:23" ht="18" customHeight="1" x14ac:dyDescent="0.25">
      <c r="B560" s="645">
        <f t="shared" si="178"/>
        <v>45</v>
      </c>
      <c r="C560" s="611" t="s">
        <v>1121</v>
      </c>
      <c r="D560" s="611" t="s">
        <v>926</v>
      </c>
      <c r="E560" s="813"/>
      <c r="F560" s="668">
        <f>' WP II-I-1.4'!H560</f>
        <v>0</v>
      </c>
      <c r="G560" s="1007">
        <v>69</v>
      </c>
      <c r="H560" s="620" t="str">
        <f t="shared" si="196"/>
        <v>PLANT_xWHL</v>
      </c>
      <c r="I560" s="806"/>
      <c r="J560" s="648">
        <f t="shared" ca="1" si="197"/>
        <v>0</v>
      </c>
      <c r="K560" s="648">
        <f t="shared" ca="1" si="197"/>
        <v>0</v>
      </c>
      <c r="L560" s="648">
        <f t="shared" ca="1" si="197"/>
        <v>0</v>
      </c>
      <c r="M560" s="648">
        <f t="shared" ca="1" si="197"/>
        <v>0</v>
      </c>
      <c r="N560" s="648">
        <f t="shared" ca="1" si="197"/>
        <v>0</v>
      </c>
      <c r="O560" s="648">
        <f t="shared" ca="1" si="197"/>
        <v>0</v>
      </c>
      <c r="P560" s="648">
        <f t="shared" ca="1" si="197"/>
        <v>0</v>
      </c>
      <c r="Q560" s="648">
        <f t="shared" ca="1" si="197"/>
        <v>0</v>
      </c>
      <c r="R560" s="648">
        <f t="shared" ca="1" si="197"/>
        <v>0</v>
      </c>
      <c r="S560" s="648">
        <f t="shared" ca="1" si="197"/>
        <v>0</v>
      </c>
      <c r="T560" s="806"/>
      <c r="U560" s="646">
        <f t="shared" ref="U560:U563" ca="1" si="199">SUM(I560:T560)</f>
        <v>0</v>
      </c>
      <c r="W560" s="646">
        <f t="shared" ref="W560:W563" ca="1" si="200">U560-F560</f>
        <v>0</v>
      </c>
    </row>
    <row r="561" spans="2:23" ht="18" customHeight="1" x14ac:dyDescent="0.25">
      <c r="B561" s="645">
        <f t="shared" si="178"/>
        <v>46</v>
      </c>
      <c r="C561" s="611">
        <v>254</v>
      </c>
      <c r="D561" s="611" t="s">
        <v>1272</v>
      </c>
      <c r="E561" s="806"/>
      <c r="F561" s="668">
        <f>' WP II-I-1.4'!H561</f>
        <v>0</v>
      </c>
      <c r="G561" s="1007">
        <v>66</v>
      </c>
      <c r="H561" s="620" t="str">
        <f t="shared" si="196"/>
        <v>PLT INT_N</v>
      </c>
      <c r="I561" s="806"/>
      <c r="J561" s="648">
        <f t="shared" ca="1" si="197"/>
        <v>0</v>
      </c>
      <c r="K561" s="648">
        <f t="shared" ca="1" si="197"/>
        <v>0</v>
      </c>
      <c r="L561" s="648">
        <f t="shared" ca="1" si="197"/>
        <v>0</v>
      </c>
      <c r="M561" s="648">
        <f t="shared" ca="1" si="197"/>
        <v>0</v>
      </c>
      <c r="N561" s="648">
        <f t="shared" ca="1" si="197"/>
        <v>0</v>
      </c>
      <c r="O561" s="648">
        <f t="shared" ca="1" si="197"/>
        <v>0</v>
      </c>
      <c r="P561" s="648">
        <f t="shared" ca="1" si="197"/>
        <v>0</v>
      </c>
      <c r="Q561" s="648">
        <f t="shared" ca="1" si="197"/>
        <v>0</v>
      </c>
      <c r="R561" s="648">
        <f t="shared" ca="1" si="197"/>
        <v>0</v>
      </c>
      <c r="S561" s="648">
        <f t="shared" ca="1" si="197"/>
        <v>0</v>
      </c>
      <c r="T561" s="806"/>
      <c r="U561" s="646">
        <f t="shared" ca="1" si="199"/>
        <v>0</v>
      </c>
      <c r="W561" s="646">
        <f t="shared" ca="1" si="200"/>
        <v>0</v>
      </c>
    </row>
    <row r="562" spans="2:23" ht="18" customHeight="1" x14ac:dyDescent="0.25">
      <c r="B562" s="645">
        <f t="shared" si="178"/>
        <v>47</v>
      </c>
      <c r="C562" s="619">
        <v>254</v>
      </c>
      <c r="D562" s="611" t="s">
        <v>1273</v>
      </c>
      <c r="E562" s="806"/>
      <c r="F562" s="668">
        <f>' WP II-I-1.4'!H562</f>
        <v>0</v>
      </c>
      <c r="G562" s="1007">
        <v>66</v>
      </c>
      <c r="H562" s="620" t="str">
        <f t="shared" si="196"/>
        <v>PLT INT_N</v>
      </c>
      <c r="I562" s="806"/>
      <c r="J562" s="648">
        <f t="shared" ca="1" si="197"/>
        <v>0</v>
      </c>
      <c r="K562" s="648">
        <f t="shared" ca="1" si="197"/>
        <v>0</v>
      </c>
      <c r="L562" s="648">
        <f t="shared" ca="1" si="197"/>
        <v>0</v>
      </c>
      <c r="M562" s="648">
        <f t="shared" ca="1" si="197"/>
        <v>0</v>
      </c>
      <c r="N562" s="648">
        <f t="shared" ca="1" si="197"/>
        <v>0</v>
      </c>
      <c r="O562" s="648">
        <f t="shared" ca="1" si="197"/>
        <v>0</v>
      </c>
      <c r="P562" s="648">
        <f t="shared" ca="1" si="197"/>
        <v>0</v>
      </c>
      <c r="Q562" s="648">
        <f t="shared" ca="1" si="197"/>
        <v>0</v>
      </c>
      <c r="R562" s="648">
        <f t="shared" ca="1" si="197"/>
        <v>0</v>
      </c>
      <c r="S562" s="648">
        <f t="shared" ca="1" si="197"/>
        <v>0</v>
      </c>
      <c r="T562" s="806"/>
      <c r="U562" s="646">
        <f t="shared" ca="1" si="199"/>
        <v>0</v>
      </c>
      <c r="W562" s="646">
        <f t="shared" ca="1" si="200"/>
        <v>0</v>
      </c>
    </row>
    <row r="563" spans="2:23" ht="18" customHeight="1" x14ac:dyDescent="0.25">
      <c r="B563" s="645">
        <f t="shared" si="178"/>
        <v>48</v>
      </c>
      <c r="C563" s="1597">
        <v>254</v>
      </c>
      <c r="D563" s="1153" t="s">
        <v>1274</v>
      </c>
      <c r="E563" s="806"/>
      <c r="F563" s="668">
        <f>' WP II-I-1.4'!H563</f>
        <v>0</v>
      </c>
      <c r="G563" s="1007">
        <v>64</v>
      </c>
      <c r="H563" s="620" t="str">
        <f t="shared" si="196"/>
        <v>PLANT</v>
      </c>
      <c r="I563" s="806"/>
      <c r="J563" s="648">
        <f t="shared" ca="1" si="197"/>
        <v>0</v>
      </c>
      <c r="K563" s="648">
        <f t="shared" ca="1" si="197"/>
        <v>0</v>
      </c>
      <c r="L563" s="648">
        <f t="shared" ca="1" si="197"/>
        <v>0</v>
      </c>
      <c r="M563" s="648">
        <f t="shared" ca="1" si="197"/>
        <v>0</v>
      </c>
      <c r="N563" s="648">
        <f t="shared" ca="1" si="197"/>
        <v>0</v>
      </c>
      <c r="O563" s="648">
        <f t="shared" ca="1" si="197"/>
        <v>0</v>
      </c>
      <c r="P563" s="648">
        <f t="shared" ca="1" si="197"/>
        <v>0</v>
      </c>
      <c r="Q563" s="648">
        <f t="shared" ca="1" si="197"/>
        <v>0</v>
      </c>
      <c r="R563" s="648">
        <f t="shared" ca="1" si="197"/>
        <v>0</v>
      </c>
      <c r="S563" s="648">
        <f t="shared" ca="1" si="197"/>
        <v>0</v>
      </c>
      <c r="T563" s="806"/>
      <c r="U563" s="646">
        <f t="shared" ca="1" si="199"/>
        <v>0</v>
      </c>
      <c r="W563" s="646">
        <f t="shared" ca="1" si="200"/>
        <v>0</v>
      </c>
    </row>
    <row r="564" spans="2:23" ht="18" customHeight="1" x14ac:dyDescent="0.25">
      <c r="B564" s="645">
        <f t="shared" si="178"/>
        <v>49</v>
      </c>
      <c r="C564" s="619">
        <v>254</v>
      </c>
      <c r="D564" s="611" t="s">
        <v>1174</v>
      </c>
      <c r="E564" s="806"/>
      <c r="F564" s="668">
        <f>' WP II-I-1.4'!H564</f>
        <v>0</v>
      </c>
      <c r="G564" s="1007">
        <v>51</v>
      </c>
      <c r="H564" s="620" t="str">
        <f t="shared" si="196"/>
        <v>PLT 370</v>
      </c>
      <c r="I564" s="813"/>
      <c r="J564" s="648">
        <f t="shared" si="197"/>
        <v>0</v>
      </c>
      <c r="K564" s="648">
        <f t="shared" si="197"/>
        <v>0</v>
      </c>
      <c r="L564" s="648">
        <f t="shared" si="197"/>
        <v>0</v>
      </c>
      <c r="M564" s="648">
        <f t="shared" si="197"/>
        <v>0</v>
      </c>
      <c r="N564" s="648">
        <f t="shared" si="197"/>
        <v>0</v>
      </c>
      <c r="O564" s="648">
        <f t="shared" si="197"/>
        <v>0</v>
      </c>
      <c r="P564" s="648">
        <f t="shared" si="197"/>
        <v>0</v>
      </c>
      <c r="Q564" s="648">
        <f t="shared" si="197"/>
        <v>0</v>
      </c>
      <c r="R564" s="648">
        <f t="shared" si="197"/>
        <v>0</v>
      </c>
      <c r="S564" s="648">
        <f t="shared" si="197"/>
        <v>0</v>
      </c>
      <c r="T564" s="813"/>
      <c r="U564" s="646">
        <f t="shared" si="198"/>
        <v>0</v>
      </c>
      <c r="W564" s="646">
        <f t="shared" si="185"/>
        <v>0</v>
      </c>
    </row>
    <row r="565" spans="2:23" ht="18" customHeight="1" x14ac:dyDescent="0.25">
      <c r="B565" s="645">
        <f t="shared" si="178"/>
        <v>50</v>
      </c>
      <c r="C565" s="611">
        <v>254</v>
      </c>
      <c r="D565" s="611" t="s">
        <v>1175</v>
      </c>
      <c r="E565" s="806"/>
      <c r="F565" s="668">
        <f>' WP II-I-1.4'!H565</f>
        <v>0</v>
      </c>
      <c r="G565" s="1007">
        <v>64</v>
      </c>
      <c r="H565" s="620" t="str">
        <f t="shared" si="196"/>
        <v>PLANT</v>
      </c>
      <c r="I565" s="806"/>
      <c r="J565" s="648">
        <f t="shared" ca="1" si="197"/>
        <v>0</v>
      </c>
      <c r="K565" s="648">
        <f t="shared" ca="1" si="197"/>
        <v>0</v>
      </c>
      <c r="L565" s="648">
        <f t="shared" ca="1" si="197"/>
        <v>0</v>
      </c>
      <c r="M565" s="648">
        <f t="shared" ca="1" si="197"/>
        <v>0</v>
      </c>
      <c r="N565" s="648">
        <f t="shared" ca="1" si="197"/>
        <v>0</v>
      </c>
      <c r="O565" s="648">
        <f t="shared" ca="1" si="197"/>
        <v>0</v>
      </c>
      <c r="P565" s="648">
        <f t="shared" ca="1" si="197"/>
        <v>0</v>
      </c>
      <c r="Q565" s="648">
        <f t="shared" ca="1" si="197"/>
        <v>0</v>
      </c>
      <c r="R565" s="648">
        <f t="shared" ca="1" si="197"/>
        <v>0</v>
      </c>
      <c r="S565" s="648">
        <f t="shared" ca="1" si="197"/>
        <v>0</v>
      </c>
      <c r="T565" s="806"/>
      <c r="U565" s="646">
        <f t="shared" ca="1" si="198"/>
        <v>0</v>
      </c>
      <c r="W565" s="646">
        <f t="shared" ca="1" si="185"/>
        <v>0</v>
      </c>
    </row>
    <row r="566" spans="2:23" ht="18" customHeight="1" x14ac:dyDescent="0.25">
      <c r="B566" s="645">
        <f t="shared" si="178"/>
        <v>51</v>
      </c>
      <c r="C566" s="611">
        <v>254</v>
      </c>
      <c r="D566" s="611" t="s">
        <v>1275</v>
      </c>
      <c r="E566" s="806"/>
      <c r="F566" s="668">
        <f>' WP II-I-1.4'!H566</f>
        <v>0</v>
      </c>
      <c r="G566" s="1007">
        <v>64</v>
      </c>
      <c r="H566" s="620" t="str">
        <f t="shared" si="196"/>
        <v>PLANT</v>
      </c>
      <c r="I566" s="806"/>
      <c r="J566" s="648">
        <f t="shared" ca="1" si="197"/>
        <v>0</v>
      </c>
      <c r="K566" s="648">
        <f t="shared" ca="1" si="197"/>
        <v>0</v>
      </c>
      <c r="L566" s="648">
        <f t="shared" ca="1" si="197"/>
        <v>0</v>
      </c>
      <c r="M566" s="648">
        <f t="shared" ca="1" si="197"/>
        <v>0</v>
      </c>
      <c r="N566" s="648">
        <f t="shared" ca="1" si="197"/>
        <v>0</v>
      </c>
      <c r="O566" s="648">
        <f t="shared" ca="1" si="197"/>
        <v>0</v>
      </c>
      <c r="P566" s="648">
        <f t="shared" ca="1" si="197"/>
        <v>0</v>
      </c>
      <c r="Q566" s="648">
        <f t="shared" ca="1" si="197"/>
        <v>0</v>
      </c>
      <c r="R566" s="648">
        <f t="shared" ca="1" si="197"/>
        <v>0</v>
      </c>
      <c r="S566" s="648">
        <f t="shared" ca="1" si="197"/>
        <v>0</v>
      </c>
      <c r="T566" s="806"/>
      <c r="U566" s="646">
        <f t="shared" ca="1" si="198"/>
        <v>0</v>
      </c>
      <c r="W566" s="646">
        <f t="shared" ca="1" si="185"/>
        <v>0</v>
      </c>
    </row>
    <row r="567" spans="2:23" ht="18" customHeight="1" x14ac:dyDescent="0.25">
      <c r="B567" s="645">
        <f t="shared" si="178"/>
        <v>52</v>
      </c>
      <c r="C567" s="611">
        <v>254</v>
      </c>
      <c r="D567" s="611" t="s">
        <v>1276</v>
      </c>
      <c r="E567" s="806"/>
      <c r="F567" s="668">
        <f>' WP II-I-1.4'!H567</f>
        <v>0</v>
      </c>
      <c r="G567" s="1007">
        <v>64</v>
      </c>
      <c r="H567" s="620" t="str">
        <f t="shared" si="196"/>
        <v>PLANT</v>
      </c>
      <c r="I567" s="806"/>
      <c r="J567" s="648">
        <f t="shared" ca="1" si="197"/>
        <v>0</v>
      </c>
      <c r="K567" s="648">
        <f t="shared" ca="1" si="197"/>
        <v>0</v>
      </c>
      <c r="L567" s="648">
        <f t="shared" ca="1" si="197"/>
        <v>0</v>
      </c>
      <c r="M567" s="648">
        <f t="shared" ca="1" si="197"/>
        <v>0</v>
      </c>
      <c r="N567" s="648">
        <f t="shared" ca="1" si="197"/>
        <v>0</v>
      </c>
      <c r="O567" s="648">
        <f t="shared" ca="1" si="197"/>
        <v>0</v>
      </c>
      <c r="P567" s="648">
        <f t="shared" ca="1" si="197"/>
        <v>0</v>
      </c>
      <c r="Q567" s="648">
        <f t="shared" ca="1" si="197"/>
        <v>0</v>
      </c>
      <c r="R567" s="648">
        <f t="shared" ca="1" si="197"/>
        <v>0</v>
      </c>
      <c r="S567" s="648">
        <f t="shared" ca="1" si="197"/>
        <v>0</v>
      </c>
      <c r="T567" s="806"/>
      <c r="U567" s="646">
        <f t="shared" ref="U567:U568" ca="1" si="201">SUM(I567:T567)</f>
        <v>0</v>
      </c>
      <c r="W567" s="646">
        <f t="shared" ref="W567:W568" ca="1" si="202">U567-F567</f>
        <v>0</v>
      </c>
    </row>
    <row r="568" spans="2:23" ht="18" customHeight="1" x14ac:dyDescent="0.25">
      <c r="B568" s="645">
        <f t="shared" si="178"/>
        <v>53</v>
      </c>
      <c r="C568" s="611">
        <v>254</v>
      </c>
      <c r="D568" s="611" t="s">
        <v>1277</v>
      </c>
      <c r="E568" s="806"/>
      <c r="F568" s="668">
        <f>' WP II-I-1.4'!H568</f>
        <v>0</v>
      </c>
      <c r="G568" s="1007">
        <v>64</v>
      </c>
      <c r="H568" s="620" t="str">
        <f t="shared" si="196"/>
        <v>PLANT</v>
      </c>
      <c r="I568" s="806"/>
      <c r="J568" s="648">
        <f t="shared" ca="1" si="197"/>
        <v>0</v>
      </c>
      <c r="K568" s="648">
        <f t="shared" ca="1" si="197"/>
        <v>0</v>
      </c>
      <c r="L568" s="648">
        <f t="shared" ca="1" si="197"/>
        <v>0</v>
      </c>
      <c r="M568" s="648">
        <f t="shared" ca="1" si="197"/>
        <v>0</v>
      </c>
      <c r="N568" s="648">
        <f t="shared" ca="1" si="197"/>
        <v>0</v>
      </c>
      <c r="O568" s="648">
        <f t="shared" ca="1" si="197"/>
        <v>0</v>
      </c>
      <c r="P568" s="648">
        <f t="shared" ca="1" si="197"/>
        <v>0</v>
      </c>
      <c r="Q568" s="648">
        <f t="shared" ca="1" si="197"/>
        <v>0</v>
      </c>
      <c r="R568" s="648">
        <f t="shared" ca="1" si="197"/>
        <v>0</v>
      </c>
      <c r="S568" s="648">
        <f t="shared" ca="1" si="197"/>
        <v>0</v>
      </c>
      <c r="T568" s="806"/>
      <c r="U568" s="646">
        <f t="shared" ca="1" si="201"/>
        <v>0</v>
      </c>
      <c r="W568" s="646">
        <f t="shared" ca="1" si="202"/>
        <v>0</v>
      </c>
    </row>
    <row r="569" spans="2:23" ht="18" customHeight="1" x14ac:dyDescent="0.25">
      <c r="B569" s="645">
        <f t="shared" si="178"/>
        <v>54</v>
      </c>
      <c r="C569" s="611">
        <v>254</v>
      </c>
      <c r="D569" s="611" t="s">
        <v>1278</v>
      </c>
      <c r="E569" s="806"/>
      <c r="F569" s="668">
        <f>' WP II-I-1.4'!H569</f>
        <v>0</v>
      </c>
      <c r="G569" s="1007">
        <v>64</v>
      </c>
      <c r="H569" s="620" t="str">
        <f t="shared" si="196"/>
        <v>PLANT</v>
      </c>
      <c r="I569" s="806"/>
      <c r="J569" s="648">
        <f t="shared" ca="1" si="197"/>
        <v>0</v>
      </c>
      <c r="K569" s="648">
        <f t="shared" ca="1" si="197"/>
        <v>0</v>
      </c>
      <c r="L569" s="648">
        <f t="shared" ca="1" si="197"/>
        <v>0</v>
      </c>
      <c r="M569" s="648">
        <f t="shared" ca="1" si="197"/>
        <v>0</v>
      </c>
      <c r="N569" s="648">
        <f t="shared" ca="1" si="197"/>
        <v>0</v>
      </c>
      <c r="O569" s="648">
        <f t="shared" ca="1" si="197"/>
        <v>0</v>
      </c>
      <c r="P569" s="648">
        <f t="shared" ca="1" si="197"/>
        <v>0</v>
      </c>
      <c r="Q569" s="648">
        <f t="shared" ca="1" si="197"/>
        <v>0</v>
      </c>
      <c r="R569" s="648">
        <f t="shared" ca="1" si="197"/>
        <v>0</v>
      </c>
      <c r="S569" s="648">
        <f t="shared" ca="1" si="197"/>
        <v>0</v>
      </c>
      <c r="T569" s="806"/>
      <c r="U569" s="646">
        <f t="shared" ca="1" si="198"/>
        <v>0</v>
      </c>
      <c r="W569" s="646">
        <f t="shared" ca="1" si="185"/>
        <v>0</v>
      </c>
    </row>
    <row r="570" spans="2:23" ht="18" customHeight="1" x14ac:dyDescent="0.25">
      <c r="B570" s="645">
        <f t="shared" si="178"/>
        <v>55</v>
      </c>
      <c r="C570" s="611">
        <v>254</v>
      </c>
      <c r="D570" s="611" t="s">
        <v>1279</v>
      </c>
      <c r="E570" s="806"/>
      <c r="F570" s="668">
        <f>' WP II-I-1.4'!H570</f>
        <v>-3564248.35</v>
      </c>
      <c r="G570" s="1007">
        <v>64</v>
      </c>
      <c r="H570" s="620" t="str">
        <f t="shared" si="196"/>
        <v>PLANT</v>
      </c>
      <c r="I570" s="806"/>
      <c r="J570" s="648">
        <f t="shared" ca="1" si="197"/>
        <v>-1860692.5890322721</v>
      </c>
      <c r="K570" s="648">
        <f t="shared" ca="1" si="197"/>
        <v>-261027.40791105424</v>
      </c>
      <c r="L570" s="648">
        <f t="shared" ca="1" si="197"/>
        <v>-1026536.0635916437</v>
      </c>
      <c r="M570" s="648">
        <f t="shared" ca="1" si="197"/>
        <v>-43229.542038984109</v>
      </c>
      <c r="N570" s="648">
        <f t="shared" ca="1" si="197"/>
        <v>-332890.29455572861</v>
      </c>
      <c r="O570" s="648">
        <f t="shared" ca="1" si="197"/>
        <v>-10922.862397200295</v>
      </c>
      <c r="P570" s="648">
        <f t="shared" ca="1" si="197"/>
        <v>-22783.884754896331</v>
      </c>
      <c r="Q570" s="648">
        <f t="shared" ca="1" si="197"/>
        <v>-1897.3750298898708</v>
      </c>
      <c r="R570" s="648">
        <f t="shared" ca="1" si="197"/>
        <v>-1206.2056634945118</v>
      </c>
      <c r="S570" s="648">
        <f t="shared" ca="1" si="197"/>
        <v>-3062.1250248356205</v>
      </c>
      <c r="T570" s="806"/>
      <c r="U570" s="646">
        <f t="shared" ca="1" si="198"/>
        <v>-3564248.3499999992</v>
      </c>
      <c r="W570" s="646">
        <f t="shared" ca="1" si="185"/>
        <v>0</v>
      </c>
    </row>
    <row r="571" spans="2:23" s="589" customFormat="1" ht="18" customHeight="1" x14ac:dyDescent="0.25">
      <c r="B571" s="645">
        <f t="shared" si="178"/>
        <v>56</v>
      </c>
      <c r="C571" s="611">
        <v>254</v>
      </c>
      <c r="D571" s="1006" t="s">
        <v>1176</v>
      </c>
      <c r="E571" s="1007"/>
      <c r="F571" s="668">
        <f>' WP II-I-1.4'!H571</f>
        <v>-6689323.3200000003</v>
      </c>
      <c r="G571" s="1007">
        <v>64</v>
      </c>
      <c r="H571" s="620" t="str">
        <f t="shared" si="196"/>
        <v>PLANT</v>
      </c>
      <c r="I571" s="1007"/>
      <c r="J571" s="648">
        <f t="shared" ca="1" si="197"/>
        <v>-3492117.5813028729</v>
      </c>
      <c r="K571" s="648">
        <f t="shared" ca="1" si="197"/>
        <v>-489891.99276716163</v>
      </c>
      <c r="L571" s="648">
        <f t="shared" ca="1" si="197"/>
        <v>-1926586.1844348151</v>
      </c>
      <c r="M571" s="648">
        <f t="shared" ca="1" si="197"/>
        <v>-81132.501239510078</v>
      </c>
      <c r="N571" s="648">
        <f t="shared" ca="1" si="197"/>
        <v>-624763.0893546755</v>
      </c>
      <c r="O571" s="648">
        <f t="shared" ca="1" si="197"/>
        <v>-20499.850453670839</v>
      </c>
      <c r="P571" s="648">
        <f t="shared" ca="1" si="197"/>
        <v>-42760.424259190724</v>
      </c>
      <c r="Q571" s="648">
        <f t="shared" ca="1" si="197"/>
        <v>-3560.9625895535619</v>
      </c>
      <c r="R571" s="648">
        <f t="shared" ca="1" si="197"/>
        <v>-2263.7871666630385</v>
      </c>
      <c r="S571" s="648">
        <f t="shared" ca="1" si="197"/>
        <v>-5746.946431886121</v>
      </c>
      <c r="T571" s="806"/>
      <c r="U571" s="646">
        <f t="shared" ref="U571" ca="1" si="203">SUM(I571:T571)</f>
        <v>-6689323.3200000003</v>
      </c>
      <c r="V571" s="813">
        <f t="shared" ref="V571:V572" si="204">SUM(V559:V570)</f>
        <v>0</v>
      </c>
      <c r="W571" s="646">
        <f t="shared" ca="1" si="185"/>
        <v>0</v>
      </c>
    </row>
    <row r="572" spans="2:23" s="589" customFormat="1" ht="18" customHeight="1" x14ac:dyDescent="0.25">
      <c r="B572" s="645">
        <f t="shared" si="178"/>
        <v>57</v>
      </c>
      <c r="C572" s="611">
        <v>257</v>
      </c>
      <c r="D572" s="1006" t="s">
        <v>1122</v>
      </c>
      <c r="E572" s="1007"/>
      <c r="F572" s="813">
        <f>' WP II-I-1.4'!H572</f>
        <v>0</v>
      </c>
      <c r="G572" s="1007">
        <v>64</v>
      </c>
      <c r="H572" s="620" t="str">
        <f t="shared" si="196"/>
        <v>PLANT</v>
      </c>
      <c r="I572" s="1007"/>
      <c r="J572" s="651">
        <f t="shared" ca="1" si="197"/>
        <v>0</v>
      </c>
      <c r="K572" s="651">
        <f t="shared" ca="1" si="197"/>
        <v>0</v>
      </c>
      <c r="L572" s="651">
        <f t="shared" ca="1" si="197"/>
        <v>0</v>
      </c>
      <c r="M572" s="651">
        <f t="shared" ca="1" si="197"/>
        <v>0</v>
      </c>
      <c r="N572" s="651">
        <f t="shared" ca="1" si="197"/>
        <v>0</v>
      </c>
      <c r="O572" s="651">
        <f t="shared" ca="1" si="197"/>
        <v>0</v>
      </c>
      <c r="P572" s="651">
        <f t="shared" ca="1" si="197"/>
        <v>0</v>
      </c>
      <c r="Q572" s="651">
        <f t="shared" ca="1" si="197"/>
        <v>0</v>
      </c>
      <c r="R572" s="651">
        <f t="shared" ca="1" si="197"/>
        <v>0</v>
      </c>
      <c r="S572" s="651">
        <f t="shared" ca="1" si="197"/>
        <v>0</v>
      </c>
      <c r="T572" s="806"/>
      <c r="U572" s="646">
        <f t="shared" ref="U572" ca="1" si="205">SUM(I572:T572)</f>
        <v>0</v>
      </c>
      <c r="V572" s="813">
        <f t="shared" si="204"/>
        <v>0</v>
      </c>
      <c r="W572" s="646">
        <f t="shared" ref="W572" ca="1" si="206">U572-F572</f>
        <v>0</v>
      </c>
    </row>
    <row r="573" spans="2:23" s="104" customFormat="1" ht="18" customHeight="1" x14ac:dyDescent="0.25">
      <c r="B573" s="645">
        <f t="shared" si="178"/>
        <v>58</v>
      </c>
      <c r="C573" s="34"/>
      <c r="D573" s="34" t="s">
        <v>562</v>
      </c>
      <c r="E573" s="806"/>
      <c r="F573" s="807">
        <f>SUM(F559:F572)</f>
        <v>-10253571.67</v>
      </c>
      <c r="G573" s="806"/>
      <c r="H573" s="806"/>
      <c r="I573" s="806"/>
      <c r="J573" s="807">
        <f t="shared" ref="J573:U573" ca="1" si="207">SUM(J559:J572)</f>
        <v>-5352810.1703351447</v>
      </c>
      <c r="K573" s="807">
        <f t="shared" ca="1" si="207"/>
        <v>-750919.4006782159</v>
      </c>
      <c r="L573" s="807">
        <f t="shared" ca="1" si="207"/>
        <v>-2953122.2480264585</v>
      </c>
      <c r="M573" s="807">
        <f t="shared" ca="1" si="207"/>
        <v>-124362.04327849418</v>
      </c>
      <c r="N573" s="807">
        <f t="shared" ca="1" si="207"/>
        <v>-957653.38391040405</v>
      </c>
      <c r="O573" s="807">
        <f t="shared" ca="1" si="207"/>
        <v>-31422.712850871132</v>
      </c>
      <c r="P573" s="807">
        <f t="shared" ca="1" si="207"/>
        <v>-65544.309014087048</v>
      </c>
      <c r="Q573" s="807">
        <f t="shared" ca="1" si="207"/>
        <v>-5458.3376194434331</v>
      </c>
      <c r="R573" s="807">
        <f t="shared" ca="1" si="207"/>
        <v>-3469.9928301575501</v>
      </c>
      <c r="S573" s="807">
        <f t="shared" ca="1" si="207"/>
        <v>-8809.0714567217419</v>
      </c>
      <c r="T573" s="807">
        <f t="shared" si="207"/>
        <v>0</v>
      </c>
      <c r="U573" s="807">
        <f t="shared" ca="1" si="207"/>
        <v>-10253571.67</v>
      </c>
      <c r="W573" s="235">
        <f t="shared" ca="1" si="185"/>
        <v>0</v>
      </c>
    </row>
    <row r="574" spans="2:23" ht="18" customHeight="1" thickBot="1" x14ac:dyDescent="0.3">
      <c r="B574" s="645">
        <f t="shared" si="178"/>
        <v>59</v>
      </c>
      <c r="C574" s="611"/>
      <c r="D574" s="34"/>
      <c r="E574" s="806"/>
      <c r="F574" s="813"/>
      <c r="G574" s="806"/>
      <c r="H574" s="806"/>
      <c r="I574" s="806"/>
      <c r="J574" s="813"/>
      <c r="K574" s="813"/>
      <c r="L574" s="813"/>
      <c r="M574" s="813"/>
      <c r="N574" s="813"/>
      <c r="O574" s="813"/>
      <c r="P574" s="813"/>
      <c r="Q574" s="813"/>
      <c r="R574" s="813"/>
      <c r="S574" s="813"/>
      <c r="T574" s="806"/>
      <c r="U574" s="646"/>
      <c r="W574" s="646"/>
    </row>
    <row r="575" spans="2:23" ht="18" customHeight="1" thickBot="1" x14ac:dyDescent="0.3">
      <c r="B575" s="645">
        <f t="shared" si="178"/>
        <v>60</v>
      </c>
      <c r="C575" s="291" t="s">
        <v>564</v>
      </c>
      <c r="D575" s="814"/>
      <c r="E575" s="272" t="s">
        <v>127</v>
      </c>
      <c r="F575" s="814">
        <f>F556+F573</f>
        <v>49969475.449999996</v>
      </c>
      <c r="G575" s="272"/>
      <c r="H575" s="392"/>
      <c r="I575" s="393"/>
      <c r="J575" s="814">
        <f t="shared" ref="J575:U575" ca="1" si="208">J556+J573</f>
        <v>26086878.187198084</v>
      </c>
      <c r="K575" s="814">
        <f t="shared" ca="1" si="208"/>
        <v>3659595.9881432033</v>
      </c>
      <c r="L575" s="814">
        <f t="shared" ca="1" si="208"/>
        <v>14392020.039890645</v>
      </c>
      <c r="M575" s="814">
        <f t="shared" ca="1" si="208"/>
        <v>606076.70381356659</v>
      </c>
      <c r="N575" s="814">
        <f t="shared" ca="1" si="208"/>
        <v>4667116.2584930453</v>
      </c>
      <c r="O575" s="814">
        <f t="shared" ca="1" si="208"/>
        <v>153140.63530638436</v>
      </c>
      <c r="P575" s="814">
        <f t="shared" ca="1" si="208"/>
        <v>319429.28115903516</v>
      </c>
      <c r="Q575" s="814">
        <f t="shared" ca="1" si="208"/>
        <v>26749.093531968618</v>
      </c>
      <c r="R575" s="814">
        <f t="shared" ca="1" si="208"/>
        <v>16523.137158772603</v>
      </c>
      <c r="S575" s="814">
        <f t="shared" ca="1" si="208"/>
        <v>41946.12530528826</v>
      </c>
      <c r="T575" s="814">
        <f t="shared" si="208"/>
        <v>0</v>
      </c>
      <c r="U575" s="814">
        <f t="shared" ca="1" si="208"/>
        <v>49969475.449999988</v>
      </c>
      <c r="V575" s="34"/>
      <c r="W575" s="646">
        <f t="shared" ca="1" si="185"/>
        <v>0</v>
      </c>
    </row>
    <row r="576" spans="2:23" ht="9" customHeight="1" x14ac:dyDescent="0.25">
      <c r="B576" s="645"/>
      <c r="C576" s="611"/>
      <c r="D576" s="42"/>
      <c r="E576" s="806"/>
      <c r="F576" s="813"/>
      <c r="G576" s="806"/>
      <c r="H576" s="806"/>
      <c r="I576" s="806"/>
      <c r="J576" s="806"/>
      <c r="K576" s="806"/>
      <c r="L576" s="806"/>
      <c r="M576" s="806"/>
      <c r="N576" s="806"/>
      <c r="O576" s="806"/>
      <c r="P576" s="806"/>
      <c r="Q576" s="806"/>
      <c r="R576" s="806"/>
      <c r="S576" s="806"/>
      <c r="T576" s="806"/>
      <c r="U576" s="646"/>
      <c r="W576" s="646"/>
    </row>
    <row r="577" spans="2:23" ht="6.6" customHeight="1" x14ac:dyDescent="0.25">
      <c r="B577" s="645"/>
      <c r="C577" s="611"/>
      <c r="D577" s="42"/>
      <c r="E577" s="806"/>
      <c r="F577" s="813"/>
      <c r="G577" s="806"/>
      <c r="H577" s="653"/>
      <c r="I577" s="806"/>
      <c r="J577" s="806"/>
      <c r="K577" s="806"/>
      <c r="L577" s="806"/>
      <c r="M577" s="806"/>
      <c r="N577" s="806"/>
      <c r="O577" s="806"/>
      <c r="P577" s="806"/>
      <c r="Q577" s="806"/>
      <c r="R577" s="806"/>
      <c r="S577" s="806"/>
      <c r="T577" s="806"/>
      <c r="U577" s="653"/>
      <c r="V577" s="653">
        <f>$H$2</f>
        <v>0</v>
      </c>
      <c r="W577" s="646"/>
    </row>
    <row r="578" spans="2:23" ht="6" customHeight="1" thickBot="1" x14ac:dyDescent="0.3">
      <c r="B578" s="645"/>
      <c r="C578" s="611"/>
      <c r="D578" s="42"/>
      <c r="E578" s="806"/>
      <c r="F578" s="813"/>
      <c r="G578" s="806"/>
      <c r="H578" s="806"/>
      <c r="I578" s="806"/>
      <c r="J578" s="806"/>
      <c r="K578" s="806"/>
      <c r="L578" s="806"/>
      <c r="M578" s="806"/>
      <c r="N578" s="806"/>
      <c r="O578" s="806"/>
      <c r="P578" s="806"/>
      <c r="Q578" s="806"/>
      <c r="R578" s="806"/>
      <c r="S578" s="806"/>
      <c r="T578" s="806"/>
      <c r="U578" s="646"/>
      <c r="W578" s="646"/>
    </row>
    <row r="579" spans="2:23" ht="18" customHeight="1" x14ac:dyDescent="0.25">
      <c r="B579" s="829" t="str">
        <f>+$B$4</f>
        <v>2025 RATE CASE</v>
      </c>
      <c r="C579" s="844"/>
      <c r="D579" s="874"/>
      <c r="F579" s="654"/>
      <c r="U579" s="653"/>
      <c r="W579" s="646"/>
    </row>
    <row r="580" spans="2:23" ht="18" customHeight="1" x14ac:dyDescent="0.25">
      <c r="B580" s="826" t="str">
        <f>+$B$5</f>
        <v>ONCOR ELECTRIC DELIVERY COMPANY LLC</v>
      </c>
      <c r="C580" s="8"/>
      <c r="D580" s="875"/>
      <c r="F580" s="654"/>
      <c r="U580" s="653"/>
      <c r="W580" s="646"/>
    </row>
    <row r="581" spans="2:23" ht="18" customHeight="1" x14ac:dyDescent="0.25">
      <c r="B581" s="826" t="str">
        <f>+$B$6</f>
        <v>II-I-1-MET:  CLASS REVENUE REQUIREMENT</v>
      </c>
      <c r="C581" s="82"/>
      <c r="D581" s="875"/>
      <c r="F581" s="654"/>
      <c r="U581" s="654"/>
      <c r="W581" s="646"/>
    </row>
    <row r="582" spans="2:23" ht="18" customHeight="1" x14ac:dyDescent="0.25">
      <c r="B582" s="341" t="str">
        <f>+$B$7</f>
        <v>TEST YEAR ENDING 12/31/2024</v>
      </c>
      <c r="C582" s="82"/>
      <c r="D582" s="875"/>
      <c r="F582" s="654"/>
      <c r="U582" s="654"/>
      <c r="W582" s="646"/>
    </row>
    <row r="583" spans="2:23" ht="18" customHeight="1" x14ac:dyDescent="0.25">
      <c r="B583" s="341" t="str">
        <f>+$B$8</f>
        <v>SPONSOR:  MATTHEW A. TROXLE</v>
      </c>
      <c r="C583" s="82"/>
      <c r="D583" s="875"/>
      <c r="F583" s="654"/>
      <c r="U583" s="654"/>
      <c r="W583" s="646"/>
    </row>
    <row r="584" spans="2:23" ht="18" customHeight="1" thickBot="1" x14ac:dyDescent="0.3">
      <c r="B584" s="345"/>
      <c r="C584" s="843"/>
      <c r="D584" s="876"/>
      <c r="F584" s="654"/>
      <c r="U584" s="654"/>
      <c r="W584" s="646"/>
    </row>
    <row r="585" spans="2:23" ht="18" customHeight="1" thickBot="1" x14ac:dyDescent="0.25">
      <c r="B585" s="655"/>
      <c r="C585" s="656"/>
      <c r="D585" s="656"/>
      <c r="E585" s="656"/>
      <c r="F585" s="655"/>
      <c r="G585" s="656"/>
      <c r="H585" s="656"/>
      <c r="I585" s="656"/>
      <c r="J585" s="657"/>
      <c r="K585" s="657"/>
      <c r="L585" s="656"/>
      <c r="M585" s="657"/>
      <c r="N585" s="657"/>
      <c r="O585" s="657"/>
      <c r="P585" s="657"/>
      <c r="Q585" s="656"/>
      <c r="R585" s="658" t="str">
        <f>R$10</f>
        <v xml:space="preserve"> </v>
      </c>
      <c r="S585" s="659"/>
      <c r="T585" s="657"/>
      <c r="U585" s="655"/>
      <c r="W585" s="646"/>
    </row>
    <row r="586" spans="2:23" ht="18" customHeight="1" x14ac:dyDescent="0.25">
      <c r="B586" s="660" t="s">
        <v>2</v>
      </c>
      <c r="C586" s="660" t="s">
        <v>349</v>
      </c>
      <c r="D586" s="226" t="s">
        <v>565</v>
      </c>
      <c r="E586" s="660" t="s">
        <v>350</v>
      </c>
      <c r="F586" s="226" t="str">
        <f>F$11</f>
        <v>MET</v>
      </c>
      <c r="G586" s="661" t="s">
        <v>688</v>
      </c>
      <c r="H586" s="661" t="s">
        <v>355</v>
      </c>
      <c r="I586" s="660"/>
      <c r="J586" s="661" t="s">
        <v>679</v>
      </c>
      <c r="K586" s="661" t="s">
        <v>388</v>
      </c>
      <c r="L586" s="660" t="s">
        <v>388</v>
      </c>
      <c r="M586" s="661" t="s">
        <v>389</v>
      </c>
      <c r="N586" s="661" t="s">
        <v>389</v>
      </c>
      <c r="O586" s="661" t="s">
        <v>389</v>
      </c>
      <c r="P586" s="661" t="s">
        <v>390</v>
      </c>
      <c r="Q586" s="660" t="s">
        <v>391</v>
      </c>
      <c r="R586" s="662" t="str">
        <f>R$11</f>
        <v>Wholesale</v>
      </c>
      <c r="S586" s="655" t="str">
        <f>S$11</f>
        <v>Wholesale</v>
      </c>
      <c r="T586" s="661"/>
      <c r="U586" s="660" t="s">
        <v>10</v>
      </c>
      <c r="W586" s="646"/>
    </row>
    <row r="587" spans="2:23" ht="18" customHeight="1" x14ac:dyDescent="0.2">
      <c r="B587" s="660"/>
      <c r="C587" s="660"/>
      <c r="D587" s="660"/>
      <c r="E587" s="660"/>
      <c r="F587" s="660"/>
      <c r="G587" s="661" t="s">
        <v>689</v>
      </c>
      <c r="H587" s="661" t="s">
        <v>690</v>
      </c>
      <c r="I587" s="660"/>
      <c r="J587" s="661"/>
      <c r="K587" s="661" t="s">
        <v>680</v>
      </c>
      <c r="L587" s="660" t="s">
        <v>681</v>
      </c>
      <c r="M587" s="661" t="s">
        <v>680</v>
      </c>
      <c r="N587" s="661" t="s">
        <v>681</v>
      </c>
      <c r="O587" s="661" t="s">
        <v>393</v>
      </c>
      <c r="P587" s="661"/>
      <c r="Q587" s="660"/>
      <c r="R587" s="663" t="str">
        <f>R$12</f>
        <v>XFMR</v>
      </c>
      <c r="S587" s="660" t="str">
        <f>S$12</f>
        <v>DLS</v>
      </c>
      <c r="T587" s="661"/>
      <c r="U587" s="660"/>
      <c r="W587" s="646"/>
    </row>
    <row r="588" spans="2:23" ht="18" customHeight="1" thickBot="1" x14ac:dyDescent="0.25">
      <c r="B588" s="664"/>
      <c r="C588" s="664"/>
      <c r="D588" s="664"/>
      <c r="E588" s="664"/>
      <c r="F588" s="664" t="s">
        <v>13</v>
      </c>
      <c r="G588" s="664" t="s">
        <v>14</v>
      </c>
      <c r="H588" s="664" t="s">
        <v>15</v>
      </c>
      <c r="I588" s="664"/>
      <c r="J588" s="665" t="str">
        <f t="shared" ref="J588:Q588" si="209">J$13</f>
        <v>(d)</v>
      </c>
      <c r="K588" s="665" t="str">
        <f t="shared" si="209"/>
        <v>(e)</v>
      </c>
      <c r="L588" s="664" t="str">
        <f t="shared" si="209"/>
        <v>(f)</v>
      </c>
      <c r="M588" s="665" t="str">
        <f t="shared" si="209"/>
        <v>(g)</v>
      </c>
      <c r="N588" s="665" t="str">
        <f t="shared" si="209"/>
        <v>(h)</v>
      </c>
      <c r="O588" s="665" t="str">
        <f>O$13</f>
        <v>(i)</v>
      </c>
      <c r="P588" s="665" t="str">
        <f t="shared" si="209"/>
        <v>(j)</v>
      </c>
      <c r="Q588" s="665" t="str">
        <f t="shared" si="209"/>
        <v>(k)</v>
      </c>
      <c r="R588" s="665" t="str">
        <f>R$13</f>
        <v>(l)</v>
      </c>
      <c r="S588" s="664" t="str">
        <f>S$13</f>
        <v>(m)</v>
      </c>
      <c r="T588" s="664"/>
      <c r="U588" s="664" t="s">
        <v>683</v>
      </c>
      <c r="W588" s="646"/>
    </row>
    <row r="589" spans="2:23" ht="18" customHeight="1" x14ac:dyDescent="0.2">
      <c r="C589" s="666"/>
      <c r="D589" s="666"/>
      <c r="E589" s="666"/>
      <c r="F589" s="666"/>
      <c r="G589" s="666"/>
      <c r="H589" s="666"/>
      <c r="I589" s="666"/>
      <c r="J589" s="666"/>
      <c r="K589" s="666"/>
      <c r="L589" s="666"/>
      <c r="M589" s="666"/>
      <c r="N589" s="666"/>
      <c r="O589" s="666"/>
      <c r="P589" s="666"/>
      <c r="Q589" s="666"/>
      <c r="R589" s="666"/>
      <c r="S589" s="666"/>
      <c r="T589" s="666"/>
      <c r="U589" s="611"/>
      <c r="W589" s="646">
        <f t="shared" si="185"/>
        <v>0</v>
      </c>
    </row>
    <row r="590" spans="2:23" ht="18" customHeight="1" x14ac:dyDescent="0.25">
      <c r="B590" s="645">
        <f>B576+1</f>
        <v>1</v>
      </c>
      <c r="C590" s="34" t="s">
        <v>132</v>
      </c>
      <c r="D590" s="611"/>
      <c r="E590" s="806" t="s">
        <v>127</v>
      </c>
      <c r="F590" s="819"/>
      <c r="G590" s="1007"/>
      <c r="H590" s="1007"/>
      <c r="I590" s="1007"/>
      <c r="J590" s="1007"/>
      <c r="K590" s="1007"/>
      <c r="L590" s="1007"/>
      <c r="M590" s="1007"/>
      <c r="N590" s="1007"/>
      <c r="O590" s="1007"/>
      <c r="P590" s="1007"/>
      <c r="Q590" s="1007"/>
      <c r="R590" s="1007"/>
      <c r="S590" s="1007"/>
      <c r="T590" s="1007"/>
      <c r="U590" s="611"/>
      <c r="V590" s="611"/>
      <c r="W590" s="646">
        <f t="shared" si="185"/>
        <v>0</v>
      </c>
    </row>
    <row r="591" spans="2:23" ht="18" customHeight="1" x14ac:dyDescent="0.2">
      <c r="B591" s="645">
        <f t="shared" ref="B591:B622" si="210">B590+1</f>
        <v>2</v>
      </c>
      <c r="C591" s="611">
        <v>182</v>
      </c>
      <c r="D591" s="611" t="s">
        <v>133</v>
      </c>
      <c r="E591" s="1007"/>
      <c r="F591" s="646">
        <f>' WP II-I-1.4'!H591</f>
        <v>0</v>
      </c>
      <c r="G591" s="1007">
        <v>64</v>
      </c>
      <c r="H591" s="620" t="str">
        <f t="shared" ref="H591:H596" si="211">VLOOKUP(G591,FactorTable,2)</f>
        <v>PLANT</v>
      </c>
      <c r="I591" s="1007"/>
      <c r="J591" s="648">
        <f t="shared" ref="J591:S596" ca="1" si="212">$F591*HLOOKUP(J$1354,FactorTable,$G591+1)</f>
        <v>0</v>
      </c>
      <c r="K591" s="648">
        <f t="shared" ca="1" si="212"/>
        <v>0</v>
      </c>
      <c r="L591" s="648">
        <f t="shared" ca="1" si="212"/>
        <v>0</v>
      </c>
      <c r="M591" s="648">
        <f t="shared" ca="1" si="212"/>
        <v>0</v>
      </c>
      <c r="N591" s="648">
        <f t="shared" ca="1" si="212"/>
        <v>0</v>
      </c>
      <c r="O591" s="648">
        <f t="shared" ca="1" si="212"/>
        <v>0</v>
      </c>
      <c r="P591" s="648">
        <f t="shared" ca="1" si="212"/>
        <v>0</v>
      </c>
      <c r="Q591" s="648">
        <f t="shared" ca="1" si="212"/>
        <v>0</v>
      </c>
      <c r="R591" s="648">
        <f t="shared" ca="1" si="212"/>
        <v>0</v>
      </c>
      <c r="S591" s="648">
        <f t="shared" ca="1" si="212"/>
        <v>0</v>
      </c>
      <c r="T591" s="1007"/>
      <c r="U591" s="646">
        <f t="shared" ref="U591:U597" ca="1" si="213">SUM(I591:T591)</f>
        <v>0</v>
      </c>
      <c r="V591" s="611"/>
      <c r="W591" s="646">
        <f t="shared" ca="1" si="185"/>
        <v>0</v>
      </c>
    </row>
    <row r="592" spans="2:23" ht="18" customHeight="1" x14ac:dyDescent="0.2">
      <c r="B592" s="645">
        <f>B591+1</f>
        <v>3</v>
      </c>
      <c r="C592" s="611">
        <v>182</v>
      </c>
      <c r="D592" s="611" t="s">
        <v>134</v>
      </c>
      <c r="E592" s="1007"/>
      <c r="F592" s="646">
        <f>' WP II-I-1.4'!H592</f>
        <v>0</v>
      </c>
      <c r="G592" s="1007">
        <v>64</v>
      </c>
      <c r="H592" s="620" t="str">
        <f t="shared" si="211"/>
        <v>PLANT</v>
      </c>
      <c r="I592" s="1007"/>
      <c r="J592" s="648">
        <f t="shared" ca="1" si="212"/>
        <v>0</v>
      </c>
      <c r="K592" s="648">
        <f t="shared" ca="1" si="212"/>
        <v>0</v>
      </c>
      <c r="L592" s="648">
        <f t="shared" ca="1" si="212"/>
        <v>0</v>
      </c>
      <c r="M592" s="648">
        <f t="shared" ca="1" si="212"/>
        <v>0</v>
      </c>
      <c r="N592" s="648">
        <f t="shared" ca="1" si="212"/>
        <v>0</v>
      </c>
      <c r="O592" s="648">
        <f t="shared" ca="1" si="212"/>
        <v>0</v>
      </c>
      <c r="P592" s="648">
        <f t="shared" ca="1" si="212"/>
        <v>0</v>
      </c>
      <c r="Q592" s="648">
        <f t="shared" ca="1" si="212"/>
        <v>0</v>
      </c>
      <c r="R592" s="648">
        <f t="shared" ca="1" si="212"/>
        <v>0</v>
      </c>
      <c r="S592" s="648">
        <f t="shared" ca="1" si="212"/>
        <v>0</v>
      </c>
      <c r="T592" s="1007"/>
      <c r="U592" s="646">
        <f t="shared" ca="1" si="213"/>
        <v>0</v>
      </c>
      <c r="V592" s="611"/>
      <c r="W592" s="646">
        <f t="shared" ca="1" si="185"/>
        <v>0</v>
      </c>
    </row>
    <row r="593" spans="2:23" ht="18" customHeight="1" x14ac:dyDescent="0.2">
      <c r="B593" s="645">
        <f t="shared" si="210"/>
        <v>4</v>
      </c>
      <c r="C593" s="611">
        <v>182</v>
      </c>
      <c r="D593" s="611" t="s">
        <v>135</v>
      </c>
      <c r="E593" s="1007"/>
      <c r="F593" s="646">
        <f>' WP II-I-1.4'!H593</f>
        <v>0</v>
      </c>
      <c r="G593" s="1007">
        <v>37</v>
      </c>
      <c r="H593" s="620" t="str">
        <f t="shared" si="211"/>
        <v>OPEB TOTAL</v>
      </c>
      <c r="I593" s="1007"/>
      <c r="J593" s="648">
        <f t="shared" ca="1" si="212"/>
        <v>0</v>
      </c>
      <c r="K593" s="648">
        <f t="shared" ca="1" si="212"/>
        <v>0</v>
      </c>
      <c r="L593" s="648">
        <f t="shared" ca="1" si="212"/>
        <v>0</v>
      </c>
      <c r="M593" s="648">
        <f t="shared" ca="1" si="212"/>
        <v>0</v>
      </c>
      <c r="N593" s="648">
        <f t="shared" ca="1" si="212"/>
        <v>0</v>
      </c>
      <c r="O593" s="648">
        <f t="shared" ca="1" si="212"/>
        <v>0</v>
      </c>
      <c r="P593" s="648">
        <f t="shared" ca="1" si="212"/>
        <v>0</v>
      </c>
      <c r="Q593" s="648">
        <f t="shared" ca="1" si="212"/>
        <v>0</v>
      </c>
      <c r="R593" s="648">
        <f t="shared" ca="1" si="212"/>
        <v>0</v>
      </c>
      <c r="S593" s="648">
        <f t="shared" ca="1" si="212"/>
        <v>0</v>
      </c>
      <c r="T593" s="1007"/>
      <c r="U593" s="646">
        <f t="shared" ca="1" si="213"/>
        <v>0</v>
      </c>
      <c r="V593" s="611"/>
      <c r="W593" s="646">
        <f t="shared" ca="1" si="185"/>
        <v>0</v>
      </c>
    </row>
    <row r="594" spans="2:23" ht="18" customHeight="1" x14ac:dyDescent="0.2">
      <c r="B594" s="645">
        <f t="shared" si="210"/>
        <v>5</v>
      </c>
      <c r="C594" s="611">
        <v>182</v>
      </c>
      <c r="D594" s="611" t="s">
        <v>136</v>
      </c>
      <c r="E594" s="1007"/>
      <c r="F594" s="646">
        <f>' WP II-I-1.4'!H594</f>
        <v>0</v>
      </c>
      <c r="G594" s="1007">
        <v>64</v>
      </c>
      <c r="H594" s="620" t="str">
        <f t="shared" si="211"/>
        <v>PLANT</v>
      </c>
      <c r="I594" s="1007"/>
      <c r="J594" s="648">
        <f t="shared" ca="1" si="212"/>
        <v>0</v>
      </c>
      <c r="K594" s="648">
        <f t="shared" ca="1" si="212"/>
        <v>0</v>
      </c>
      <c r="L594" s="648">
        <f t="shared" ca="1" si="212"/>
        <v>0</v>
      </c>
      <c r="M594" s="648">
        <f t="shared" ca="1" si="212"/>
        <v>0</v>
      </c>
      <c r="N594" s="648">
        <f t="shared" ca="1" si="212"/>
        <v>0</v>
      </c>
      <c r="O594" s="648">
        <f t="shared" ca="1" si="212"/>
        <v>0</v>
      </c>
      <c r="P594" s="648">
        <f t="shared" ca="1" si="212"/>
        <v>0</v>
      </c>
      <c r="Q594" s="648">
        <f t="shared" ca="1" si="212"/>
        <v>0</v>
      </c>
      <c r="R594" s="648">
        <f t="shared" ca="1" si="212"/>
        <v>0</v>
      </c>
      <c r="S594" s="648">
        <f t="shared" ca="1" si="212"/>
        <v>0</v>
      </c>
      <c r="T594" s="1007"/>
      <c r="U594" s="646">
        <f t="shared" ca="1" si="213"/>
        <v>0</v>
      </c>
      <c r="V594" s="611"/>
      <c r="W594" s="646">
        <f t="shared" ca="1" si="185"/>
        <v>0</v>
      </c>
    </row>
    <row r="595" spans="2:23" ht="18" customHeight="1" x14ac:dyDescent="0.2">
      <c r="B595" s="645">
        <f t="shared" si="210"/>
        <v>6</v>
      </c>
      <c r="C595" s="611">
        <v>182</v>
      </c>
      <c r="D595" s="620" t="s">
        <v>1209</v>
      </c>
      <c r="E595" s="1007"/>
      <c r="F595" s="646">
        <f>' WP II-I-1.4'!H595</f>
        <v>7599446.8099999996</v>
      </c>
      <c r="G595" s="1007">
        <v>64</v>
      </c>
      <c r="H595" s="620" t="str">
        <f t="shared" si="211"/>
        <v>PLANT</v>
      </c>
      <c r="I595" s="1007"/>
      <c r="J595" s="648">
        <f t="shared" ca="1" si="212"/>
        <v>3967241.6093317238</v>
      </c>
      <c r="K595" s="648">
        <f t="shared" ca="1" si="212"/>
        <v>556544.80484566395</v>
      </c>
      <c r="L595" s="648">
        <f t="shared" ca="1" si="212"/>
        <v>2188710.058268379</v>
      </c>
      <c r="M595" s="648">
        <f t="shared" ca="1" si="212"/>
        <v>92171.07594253881</v>
      </c>
      <c r="N595" s="648">
        <f t="shared" ca="1" si="212"/>
        <v>709765.94182655436</v>
      </c>
      <c r="O595" s="648">
        <f t="shared" ca="1" si="212"/>
        <v>23288.980915281263</v>
      </c>
      <c r="P595" s="648">
        <f t="shared" ca="1" si="212"/>
        <v>48578.242399973205</v>
      </c>
      <c r="Q595" s="648">
        <f t="shared" ca="1" si="212"/>
        <v>4045.4534034560838</v>
      </c>
      <c r="R595" s="648">
        <f t="shared" ca="1" si="212"/>
        <v>2571.7893035279935</v>
      </c>
      <c r="S595" s="648">
        <f t="shared" ca="1" si="212"/>
        <v>6528.8537629001703</v>
      </c>
      <c r="T595" s="1007"/>
      <c r="U595" s="646">
        <f t="shared" ca="1" si="213"/>
        <v>7599446.8099999987</v>
      </c>
      <c r="V595" s="611"/>
      <c r="W595" s="646">
        <f t="shared" ca="1" si="185"/>
        <v>0</v>
      </c>
    </row>
    <row r="596" spans="2:23" ht="18" customHeight="1" x14ac:dyDescent="0.2">
      <c r="B596" s="645">
        <f t="shared" si="210"/>
        <v>7</v>
      </c>
      <c r="C596" s="611">
        <v>182</v>
      </c>
      <c r="D596" s="620" t="s">
        <v>1355</v>
      </c>
      <c r="E596" s="1007"/>
      <c r="F596" s="646">
        <f>' WP II-I-1.4'!H596</f>
        <v>0</v>
      </c>
      <c r="G596" s="1007">
        <v>64</v>
      </c>
      <c r="H596" s="620" t="str">
        <f t="shared" si="211"/>
        <v>PLANT</v>
      </c>
      <c r="I596" s="1007"/>
      <c r="J596" s="651">
        <f t="shared" ca="1" si="212"/>
        <v>0</v>
      </c>
      <c r="K596" s="651">
        <f t="shared" ca="1" si="212"/>
        <v>0</v>
      </c>
      <c r="L596" s="651">
        <f t="shared" ca="1" si="212"/>
        <v>0</v>
      </c>
      <c r="M596" s="651">
        <f t="shared" ca="1" si="212"/>
        <v>0</v>
      </c>
      <c r="N596" s="651">
        <f t="shared" ca="1" si="212"/>
        <v>0</v>
      </c>
      <c r="O596" s="651">
        <f t="shared" ca="1" si="212"/>
        <v>0</v>
      </c>
      <c r="P596" s="651">
        <f t="shared" ca="1" si="212"/>
        <v>0</v>
      </c>
      <c r="Q596" s="651">
        <f t="shared" ca="1" si="212"/>
        <v>0</v>
      </c>
      <c r="R596" s="651">
        <f t="shared" ca="1" si="212"/>
        <v>0</v>
      </c>
      <c r="S596" s="651">
        <f t="shared" ca="1" si="212"/>
        <v>0</v>
      </c>
      <c r="T596" s="1007"/>
      <c r="U596" s="646">
        <f t="shared" ca="1" si="213"/>
        <v>0</v>
      </c>
      <c r="V596" s="611"/>
      <c r="W596" s="646">
        <f t="shared" ca="1" si="185"/>
        <v>0</v>
      </c>
    </row>
    <row r="597" spans="2:23" ht="18" customHeight="1" x14ac:dyDescent="0.25">
      <c r="B597" s="645">
        <f t="shared" si="210"/>
        <v>8</v>
      </c>
      <c r="C597" s="33"/>
      <c r="D597" s="42" t="s">
        <v>566</v>
      </c>
      <c r="E597" s="806"/>
      <c r="F597" s="804">
        <f>SUM(F591:F596)</f>
        <v>7599446.8099999996</v>
      </c>
      <c r="G597" s="806"/>
      <c r="H597" s="806"/>
      <c r="I597" s="806"/>
      <c r="J597" s="804">
        <f t="shared" ref="J597:S597" ca="1" si="214">SUM(J591:J596)</f>
        <v>3967241.6093317238</v>
      </c>
      <c r="K597" s="804">
        <f t="shared" ca="1" si="214"/>
        <v>556544.80484566395</v>
      </c>
      <c r="L597" s="804">
        <f t="shared" ca="1" si="214"/>
        <v>2188710.058268379</v>
      </c>
      <c r="M597" s="804">
        <f t="shared" ca="1" si="214"/>
        <v>92171.07594253881</v>
      </c>
      <c r="N597" s="804">
        <f t="shared" ca="1" si="214"/>
        <v>709765.94182655436</v>
      </c>
      <c r="O597" s="804">
        <f t="shared" ca="1" si="214"/>
        <v>23288.980915281263</v>
      </c>
      <c r="P597" s="804">
        <f t="shared" ca="1" si="214"/>
        <v>48578.242399973205</v>
      </c>
      <c r="Q597" s="804">
        <f t="shared" ca="1" si="214"/>
        <v>4045.4534034560838</v>
      </c>
      <c r="R597" s="804">
        <f t="shared" ca="1" si="214"/>
        <v>2571.7893035279935</v>
      </c>
      <c r="S597" s="804">
        <f t="shared" ca="1" si="214"/>
        <v>6528.8537629001703</v>
      </c>
      <c r="T597" s="806"/>
      <c r="U597" s="646">
        <f t="shared" ca="1" si="213"/>
        <v>7599446.8099999987</v>
      </c>
      <c r="V597" s="34"/>
      <c r="W597" s="646">
        <f t="shared" ca="1" si="185"/>
        <v>0</v>
      </c>
    </row>
    <row r="598" spans="2:23" ht="11.25" customHeight="1" x14ac:dyDescent="0.25">
      <c r="B598" s="645">
        <f t="shared" si="210"/>
        <v>9</v>
      </c>
      <c r="C598" s="33"/>
      <c r="D598" s="42"/>
      <c r="E598" s="806"/>
      <c r="F598" s="804"/>
      <c r="G598" s="806"/>
      <c r="H598" s="806"/>
      <c r="I598" s="806"/>
      <c r="J598" s="806"/>
      <c r="K598" s="806"/>
      <c r="L598" s="806"/>
      <c r="M598" s="806"/>
      <c r="N598" s="806"/>
      <c r="O598" s="806"/>
      <c r="P598" s="806"/>
      <c r="Q598" s="806"/>
      <c r="R598" s="806"/>
      <c r="S598" s="806"/>
      <c r="T598" s="806"/>
      <c r="U598" s="646"/>
      <c r="V598" s="34"/>
      <c r="W598" s="646">
        <f t="shared" si="185"/>
        <v>0</v>
      </c>
    </row>
    <row r="599" spans="2:23" ht="18" customHeight="1" x14ac:dyDescent="0.25">
      <c r="B599" s="645">
        <f t="shared" si="210"/>
        <v>10</v>
      </c>
      <c r="C599" s="34" t="s">
        <v>137</v>
      </c>
      <c r="D599" s="611"/>
      <c r="E599" s="806" t="s">
        <v>127</v>
      </c>
      <c r="F599" s="813"/>
      <c r="G599" s="1007"/>
      <c r="H599" s="1007"/>
      <c r="I599" s="1007"/>
      <c r="J599" s="1007"/>
      <c r="K599" s="1007"/>
      <c r="L599" s="1007"/>
      <c r="M599" s="1007"/>
      <c r="N599" s="1007"/>
      <c r="O599" s="1007"/>
      <c r="P599" s="1007"/>
      <c r="Q599" s="1007"/>
      <c r="R599" s="1007"/>
      <c r="S599" s="1007"/>
      <c r="T599" s="1007"/>
      <c r="U599" s="813"/>
      <c r="V599" s="611"/>
      <c r="W599" s="646">
        <f t="shared" si="185"/>
        <v>0</v>
      </c>
    </row>
    <row r="600" spans="2:23" ht="18" customHeight="1" x14ac:dyDescent="0.2">
      <c r="B600" s="645">
        <f t="shared" si="210"/>
        <v>11</v>
      </c>
      <c r="C600" s="611">
        <v>254</v>
      </c>
      <c r="D600" s="611" t="s">
        <v>138</v>
      </c>
      <c r="E600" s="1007"/>
      <c r="F600" s="646">
        <f>' WP II-I-1.4'!H600</f>
        <v>0</v>
      </c>
      <c r="G600" s="1007">
        <v>64</v>
      </c>
      <c r="H600" s="620" t="str">
        <f t="shared" ref="H600:H609" si="215">VLOOKUP(G600,FactorTable,2)</f>
        <v>PLANT</v>
      </c>
      <c r="I600" s="1007"/>
      <c r="J600" s="648">
        <f t="shared" ref="J600:S609" ca="1" si="216">$F600*HLOOKUP(J$1354,FactorTable,$G600+1)</f>
        <v>0</v>
      </c>
      <c r="K600" s="648">
        <f t="shared" ca="1" si="216"/>
        <v>0</v>
      </c>
      <c r="L600" s="648">
        <f t="shared" ca="1" si="216"/>
        <v>0</v>
      </c>
      <c r="M600" s="648">
        <f t="shared" ca="1" si="216"/>
        <v>0</v>
      </c>
      <c r="N600" s="648">
        <f t="shared" ca="1" si="216"/>
        <v>0</v>
      </c>
      <c r="O600" s="648">
        <f t="shared" ca="1" si="216"/>
        <v>0</v>
      </c>
      <c r="P600" s="648">
        <f t="shared" ca="1" si="216"/>
        <v>0</v>
      </c>
      <c r="Q600" s="648">
        <f t="shared" ca="1" si="216"/>
        <v>0</v>
      </c>
      <c r="R600" s="648">
        <f t="shared" ca="1" si="216"/>
        <v>0</v>
      </c>
      <c r="S600" s="648">
        <f t="shared" ca="1" si="216"/>
        <v>0</v>
      </c>
      <c r="T600" s="1007"/>
      <c r="U600" s="646">
        <f t="shared" ref="U600:U610" ca="1" si="217">SUM(I600:T600)</f>
        <v>0</v>
      </c>
      <c r="V600" s="611"/>
      <c r="W600" s="646">
        <f t="shared" ca="1" si="185"/>
        <v>0</v>
      </c>
    </row>
    <row r="601" spans="2:23" ht="18" customHeight="1" x14ac:dyDescent="0.2">
      <c r="B601" s="645">
        <f t="shared" si="210"/>
        <v>12</v>
      </c>
      <c r="C601" s="611">
        <v>254</v>
      </c>
      <c r="D601" s="611" t="s">
        <v>1211</v>
      </c>
      <c r="E601" s="1007"/>
      <c r="F601" s="646">
        <f>' WP II-I-1.4'!H601</f>
        <v>-12140445.57</v>
      </c>
      <c r="G601" s="1007">
        <v>64</v>
      </c>
      <c r="H601" s="620" t="str">
        <f t="shared" si="215"/>
        <v>PLANT</v>
      </c>
      <c r="I601" s="1007"/>
      <c r="J601" s="648">
        <f t="shared" ca="1" si="216"/>
        <v>-6337840.3751379102</v>
      </c>
      <c r="K601" s="648">
        <f t="shared" ca="1" si="216"/>
        <v>-889104.44133960013</v>
      </c>
      <c r="L601" s="648">
        <f t="shared" ca="1" si="216"/>
        <v>-3496559.1569051044</v>
      </c>
      <c r="M601" s="648">
        <f t="shared" ca="1" si="216"/>
        <v>-147247.28767576293</v>
      </c>
      <c r="N601" s="648">
        <f t="shared" ca="1" si="216"/>
        <v>-1133881.8468794664</v>
      </c>
      <c r="O601" s="648">
        <f t="shared" ca="1" si="216"/>
        <v>-37205.156145140645</v>
      </c>
      <c r="P601" s="648">
        <f t="shared" ca="1" si="216"/>
        <v>-77605.847173913033</v>
      </c>
      <c r="Q601" s="648">
        <f t="shared" ca="1" si="216"/>
        <v>-6462.7871052406035</v>
      </c>
      <c r="R601" s="648">
        <f t="shared" ca="1" si="216"/>
        <v>-4108.5448503836315</v>
      </c>
      <c r="S601" s="648">
        <f t="shared" ca="1" si="216"/>
        <v>-10430.126787475891</v>
      </c>
      <c r="T601" s="1007"/>
      <c r="U601" s="646">
        <f t="shared" ref="U601:U604" ca="1" si="218">SUM(I601:T601)</f>
        <v>-12140445.569999995</v>
      </c>
      <c r="V601" s="611"/>
      <c r="W601" s="646">
        <f t="shared" ref="W601:W604" ca="1" si="219">U601-F601</f>
        <v>0</v>
      </c>
    </row>
    <row r="602" spans="2:23" ht="18" customHeight="1" x14ac:dyDescent="0.2">
      <c r="B602" s="645">
        <f t="shared" si="210"/>
        <v>13</v>
      </c>
      <c r="C602" s="611">
        <v>254</v>
      </c>
      <c r="D602" s="611" t="s">
        <v>1356</v>
      </c>
      <c r="E602" s="1007"/>
      <c r="F602" s="646">
        <f>' WP II-I-1.4'!H602</f>
        <v>0</v>
      </c>
      <c r="G602" s="1007">
        <v>64</v>
      </c>
      <c r="H602" s="620" t="str">
        <f t="shared" si="215"/>
        <v>PLANT</v>
      </c>
      <c r="I602" s="1007"/>
      <c r="J602" s="648">
        <f t="shared" ca="1" si="216"/>
        <v>0</v>
      </c>
      <c r="K602" s="648">
        <f t="shared" ca="1" si="216"/>
        <v>0</v>
      </c>
      <c r="L602" s="648">
        <f t="shared" ca="1" si="216"/>
        <v>0</v>
      </c>
      <c r="M602" s="648">
        <f t="shared" ca="1" si="216"/>
        <v>0</v>
      </c>
      <c r="N602" s="648">
        <f t="shared" ca="1" si="216"/>
        <v>0</v>
      </c>
      <c r="O602" s="648">
        <f t="shared" ca="1" si="216"/>
        <v>0</v>
      </c>
      <c r="P602" s="648">
        <f t="shared" ca="1" si="216"/>
        <v>0</v>
      </c>
      <c r="Q602" s="648">
        <f t="shared" ca="1" si="216"/>
        <v>0</v>
      </c>
      <c r="R602" s="648">
        <f t="shared" ca="1" si="216"/>
        <v>0</v>
      </c>
      <c r="S602" s="648">
        <f t="shared" ca="1" si="216"/>
        <v>0</v>
      </c>
      <c r="T602" s="1007"/>
      <c r="U602" s="646">
        <f t="shared" ca="1" si="218"/>
        <v>0</v>
      </c>
      <c r="V602" s="611"/>
      <c r="W602" s="646">
        <f t="shared" ca="1" si="219"/>
        <v>0</v>
      </c>
    </row>
    <row r="603" spans="2:23" ht="18" customHeight="1" x14ac:dyDescent="0.2">
      <c r="B603" s="645">
        <f t="shared" si="210"/>
        <v>14</v>
      </c>
      <c r="C603" s="611">
        <v>254</v>
      </c>
      <c r="D603" s="611" t="s">
        <v>1123</v>
      </c>
      <c r="E603" s="1007"/>
      <c r="F603" s="646">
        <f>' WP II-I-1.4'!H603</f>
        <v>-15752308.300000001</v>
      </c>
      <c r="G603" s="1007">
        <v>64</v>
      </c>
      <c r="H603" s="620" t="str">
        <f t="shared" si="215"/>
        <v>PLANT</v>
      </c>
      <c r="I603" s="1007"/>
      <c r="J603" s="648">
        <f t="shared" ca="1" si="216"/>
        <v>-8223389.7404936869</v>
      </c>
      <c r="K603" s="648">
        <f t="shared" ca="1" si="216"/>
        <v>-1153618.8840950956</v>
      </c>
      <c r="L603" s="648">
        <f t="shared" ca="1" si="216"/>
        <v>-4536808.5966186887</v>
      </c>
      <c r="M603" s="648">
        <f t="shared" ca="1" si="216"/>
        <v>-191054.32814912809</v>
      </c>
      <c r="N603" s="648">
        <f t="shared" ca="1" si="216"/>
        <v>-1471219.1842410895</v>
      </c>
      <c r="O603" s="648">
        <f t="shared" ca="1" si="216"/>
        <v>-48273.935793272125</v>
      </c>
      <c r="P603" s="648">
        <f t="shared" ca="1" si="216"/>
        <v>-100694.09920069035</v>
      </c>
      <c r="Q603" s="648">
        <f t="shared" ca="1" si="216"/>
        <v>-8385.5089479236085</v>
      </c>
      <c r="R603" s="648">
        <f t="shared" ca="1" si="216"/>
        <v>-5330.8640753306663</v>
      </c>
      <c r="S603" s="648">
        <f t="shared" ca="1" si="216"/>
        <v>-13533.158385092847</v>
      </c>
      <c r="T603" s="1007"/>
      <c r="U603" s="646">
        <f t="shared" ca="1" si="218"/>
        <v>-15752308.299999997</v>
      </c>
      <c r="V603" s="611"/>
      <c r="W603" s="646">
        <f t="shared" ca="1" si="219"/>
        <v>0</v>
      </c>
    </row>
    <row r="604" spans="2:23" ht="18" customHeight="1" x14ac:dyDescent="0.2">
      <c r="B604" s="645">
        <f t="shared" si="210"/>
        <v>15</v>
      </c>
      <c r="C604" s="611">
        <v>254</v>
      </c>
      <c r="D604" s="611" t="s">
        <v>1334</v>
      </c>
      <c r="E604" s="1007"/>
      <c r="F604" s="646">
        <f>' WP II-I-1.4'!H604</f>
        <v>0</v>
      </c>
      <c r="G604" s="1007">
        <v>64</v>
      </c>
      <c r="H604" s="620" t="str">
        <f t="shared" si="215"/>
        <v>PLANT</v>
      </c>
      <c r="I604" s="1007"/>
      <c r="J604" s="648">
        <f t="shared" ca="1" si="216"/>
        <v>0</v>
      </c>
      <c r="K604" s="648">
        <f t="shared" ca="1" si="216"/>
        <v>0</v>
      </c>
      <c r="L604" s="648">
        <f t="shared" ca="1" si="216"/>
        <v>0</v>
      </c>
      <c r="M604" s="648">
        <f t="shared" ca="1" si="216"/>
        <v>0</v>
      </c>
      <c r="N604" s="648">
        <f t="shared" ca="1" si="216"/>
        <v>0</v>
      </c>
      <c r="O604" s="648">
        <f t="shared" ca="1" si="216"/>
        <v>0</v>
      </c>
      <c r="P604" s="648">
        <f t="shared" ca="1" si="216"/>
        <v>0</v>
      </c>
      <c r="Q604" s="648">
        <f t="shared" ca="1" si="216"/>
        <v>0</v>
      </c>
      <c r="R604" s="648">
        <f t="shared" ca="1" si="216"/>
        <v>0</v>
      </c>
      <c r="S604" s="648">
        <f t="shared" ca="1" si="216"/>
        <v>0</v>
      </c>
      <c r="T604" s="1007"/>
      <c r="U604" s="646">
        <f t="shared" ca="1" si="218"/>
        <v>0</v>
      </c>
      <c r="V604" s="611"/>
      <c r="W604" s="646">
        <f t="shared" ca="1" si="219"/>
        <v>0</v>
      </c>
    </row>
    <row r="605" spans="2:23" ht="18" customHeight="1" x14ac:dyDescent="0.2">
      <c r="B605" s="645">
        <f t="shared" si="210"/>
        <v>16</v>
      </c>
      <c r="C605" s="611">
        <v>254</v>
      </c>
      <c r="D605" s="611" t="s">
        <v>1125</v>
      </c>
      <c r="E605" s="1007"/>
      <c r="F605" s="646">
        <f>' WP II-I-1.4'!H605</f>
        <v>680974.82</v>
      </c>
      <c r="G605" s="1007">
        <v>64</v>
      </c>
      <c r="H605" s="620" t="str">
        <f t="shared" si="215"/>
        <v>PLANT</v>
      </c>
      <c r="I605" s="1007"/>
      <c r="J605" s="648">
        <f t="shared" ca="1" si="216"/>
        <v>355498.46039532725</v>
      </c>
      <c r="K605" s="648">
        <f t="shared" ca="1" si="216"/>
        <v>49871.129804211516</v>
      </c>
      <c r="L605" s="648">
        <f t="shared" ca="1" si="216"/>
        <v>196126.9649259508</v>
      </c>
      <c r="M605" s="648">
        <f t="shared" ca="1" si="216"/>
        <v>8259.309317960302</v>
      </c>
      <c r="N605" s="648">
        <f t="shared" ca="1" si="216"/>
        <v>63601.041833921103</v>
      </c>
      <c r="O605" s="648">
        <f t="shared" ca="1" si="216"/>
        <v>2086.8900044011352</v>
      </c>
      <c r="P605" s="648">
        <f t="shared" ca="1" si="216"/>
        <v>4353.022095069854</v>
      </c>
      <c r="Q605" s="648">
        <f t="shared" ca="1" si="216"/>
        <v>362.50689979326194</v>
      </c>
      <c r="R605" s="648">
        <f t="shared" ca="1" si="216"/>
        <v>230.45411091546288</v>
      </c>
      <c r="S605" s="648">
        <f t="shared" ca="1" si="216"/>
        <v>585.0406124491667</v>
      </c>
      <c r="T605" s="1007"/>
      <c r="U605" s="646">
        <f t="shared" ca="1" si="217"/>
        <v>680974.81999999983</v>
      </c>
      <c r="V605" s="611"/>
      <c r="W605" s="646">
        <f t="shared" ca="1" si="185"/>
        <v>0</v>
      </c>
    </row>
    <row r="606" spans="2:23" ht="18" customHeight="1" x14ac:dyDescent="0.2">
      <c r="B606" s="645">
        <f t="shared" si="210"/>
        <v>17</v>
      </c>
      <c r="C606" s="611">
        <v>254</v>
      </c>
      <c r="D606" s="611" t="s">
        <v>1126</v>
      </c>
      <c r="E606" s="1007"/>
      <c r="F606" s="646">
        <f>' WP II-I-1.4'!H606</f>
        <v>388406.78</v>
      </c>
      <c r="G606" s="1007">
        <v>64</v>
      </c>
      <c r="H606" s="620" t="str">
        <f t="shared" si="215"/>
        <v>PLANT</v>
      </c>
      <c r="I606" s="1007"/>
      <c r="J606" s="648">
        <f t="shared" ca="1" si="216"/>
        <v>202765.22456014834</v>
      </c>
      <c r="K606" s="648">
        <f t="shared" ca="1" si="216"/>
        <v>28444.935661814674</v>
      </c>
      <c r="L606" s="648">
        <f t="shared" ca="1" si="216"/>
        <v>111864.69848923563</v>
      </c>
      <c r="M606" s="648">
        <f t="shared" ca="1" si="216"/>
        <v>4710.8522121463429</v>
      </c>
      <c r="N606" s="648">
        <f t="shared" ca="1" si="216"/>
        <v>36276.048890263803</v>
      </c>
      <c r="O606" s="648">
        <f t="shared" ca="1" si="216"/>
        <v>1190.2969140968103</v>
      </c>
      <c r="P606" s="648">
        <f t="shared" ca="1" si="216"/>
        <v>2482.8279189749428</v>
      </c>
      <c r="Q606" s="648">
        <f t="shared" ca="1" si="216"/>
        <v>206.7626196171006</v>
      </c>
      <c r="R606" s="648">
        <f t="shared" ca="1" si="216"/>
        <v>131.44383100455579</v>
      </c>
      <c r="S606" s="648">
        <f t="shared" ca="1" si="216"/>
        <v>333.68890269776608</v>
      </c>
      <c r="T606" s="1007"/>
      <c r="U606" s="646">
        <f t="shared" ca="1" si="217"/>
        <v>388406.77999999997</v>
      </c>
      <c r="V606" s="611"/>
      <c r="W606" s="646">
        <f t="shared" ca="1" si="185"/>
        <v>0</v>
      </c>
    </row>
    <row r="607" spans="2:23" ht="18" customHeight="1" x14ac:dyDescent="0.2">
      <c r="B607" s="645">
        <f t="shared" si="210"/>
        <v>18</v>
      </c>
      <c r="C607" s="611">
        <v>254</v>
      </c>
      <c r="D607" s="611" t="s">
        <v>1127</v>
      </c>
      <c r="E607" s="1007"/>
      <c r="F607" s="646">
        <f>' WP II-I-1.4'!H607</f>
        <v>0</v>
      </c>
      <c r="G607" s="1007">
        <v>64</v>
      </c>
      <c r="H607" s="620" t="str">
        <f t="shared" si="215"/>
        <v>PLANT</v>
      </c>
      <c r="I607" s="1007"/>
      <c r="J607" s="648">
        <f t="shared" ca="1" si="216"/>
        <v>0</v>
      </c>
      <c r="K607" s="648">
        <f t="shared" ca="1" si="216"/>
        <v>0</v>
      </c>
      <c r="L607" s="648">
        <f t="shared" ca="1" si="216"/>
        <v>0</v>
      </c>
      <c r="M607" s="648">
        <f t="shared" ca="1" si="216"/>
        <v>0</v>
      </c>
      <c r="N607" s="648">
        <f t="shared" ca="1" si="216"/>
        <v>0</v>
      </c>
      <c r="O607" s="648">
        <f t="shared" ca="1" si="216"/>
        <v>0</v>
      </c>
      <c r="P607" s="648">
        <f t="shared" ca="1" si="216"/>
        <v>0</v>
      </c>
      <c r="Q607" s="648">
        <f t="shared" ca="1" si="216"/>
        <v>0</v>
      </c>
      <c r="R607" s="648">
        <f t="shared" ca="1" si="216"/>
        <v>0</v>
      </c>
      <c r="S607" s="648">
        <f t="shared" ca="1" si="216"/>
        <v>0</v>
      </c>
      <c r="T607" s="1007"/>
      <c r="U607" s="646">
        <f t="shared" ca="1" si="217"/>
        <v>0</v>
      </c>
      <c r="V607" s="611"/>
      <c r="W607" s="646">
        <f t="shared" ca="1" si="185"/>
        <v>0</v>
      </c>
    </row>
    <row r="608" spans="2:23" ht="18" customHeight="1" x14ac:dyDescent="0.2">
      <c r="B608" s="645">
        <f t="shared" si="210"/>
        <v>19</v>
      </c>
      <c r="C608" s="611">
        <v>254</v>
      </c>
      <c r="D608" s="611" t="s">
        <v>1213</v>
      </c>
      <c r="E608" s="1007"/>
      <c r="F608" s="646">
        <f>' WP II-I-1.4'!H608</f>
        <v>0</v>
      </c>
      <c r="G608" s="1007">
        <v>37</v>
      </c>
      <c r="H608" s="620" t="str">
        <f t="shared" si="215"/>
        <v>OPEB TOTAL</v>
      </c>
      <c r="I608" s="1007"/>
      <c r="J608" s="648">
        <f t="shared" ca="1" si="216"/>
        <v>0</v>
      </c>
      <c r="K608" s="648">
        <f t="shared" ca="1" si="216"/>
        <v>0</v>
      </c>
      <c r="L608" s="648">
        <f t="shared" ca="1" si="216"/>
        <v>0</v>
      </c>
      <c r="M608" s="648">
        <f t="shared" ca="1" si="216"/>
        <v>0</v>
      </c>
      <c r="N608" s="648">
        <f t="shared" ca="1" si="216"/>
        <v>0</v>
      </c>
      <c r="O608" s="648">
        <f t="shared" ca="1" si="216"/>
        <v>0</v>
      </c>
      <c r="P608" s="648">
        <f t="shared" ca="1" si="216"/>
        <v>0</v>
      </c>
      <c r="Q608" s="648">
        <f t="shared" ca="1" si="216"/>
        <v>0</v>
      </c>
      <c r="R608" s="648">
        <f t="shared" ca="1" si="216"/>
        <v>0</v>
      </c>
      <c r="S608" s="648">
        <f t="shared" ca="1" si="216"/>
        <v>0</v>
      </c>
      <c r="T608" s="1007"/>
      <c r="U608" s="646">
        <f t="shared" ca="1" si="217"/>
        <v>0</v>
      </c>
      <c r="V608" s="611"/>
      <c r="W608" s="646">
        <f t="shared" ca="1" si="185"/>
        <v>0</v>
      </c>
    </row>
    <row r="609" spans="2:23" ht="18" customHeight="1" x14ac:dyDescent="0.2">
      <c r="B609" s="645">
        <f t="shared" si="210"/>
        <v>20</v>
      </c>
      <c r="C609" s="611">
        <v>254</v>
      </c>
      <c r="D609" s="611" t="s">
        <v>139</v>
      </c>
      <c r="E609" s="1007"/>
      <c r="F609" s="646">
        <f>' WP II-I-1.4'!H609</f>
        <v>0</v>
      </c>
      <c r="G609" s="1007">
        <v>37</v>
      </c>
      <c r="H609" s="620" t="str">
        <f t="shared" si="215"/>
        <v>OPEB TOTAL</v>
      </c>
      <c r="I609" s="1007"/>
      <c r="J609" s="651">
        <f t="shared" ca="1" si="216"/>
        <v>0</v>
      </c>
      <c r="K609" s="651">
        <f t="shared" ca="1" si="216"/>
        <v>0</v>
      </c>
      <c r="L609" s="651">
        <f t="shared" ca="1" si="216"/>
        <v>0</v>
      </c>
      <c r="M609" s="651">
        <f t="shared" ca="1" si="216"/>
        <v>0</v>
      </c>
      <c r="N609" s="651">
        <f t="shared" ca="1" si="216"/>
        <v>0</v>
      </c>
      <c r="O609" s="651">
        <f t="shared" ca="1" si="216"/>
        <v>0</v>
      </c>
      <c r="P609" s="651">
        <f t="shared" ca="1" si="216"/>
        <v>0</v>
      </c>
      <c r="Q609" s="651">
        <f t="shared" ca="1" si="216"/>
        <v>0</v>
      </c>
      <c r="R609" s="651">
        <f t="shared" ca="1" si="216"/>
        <v>0</v>
      </c>
      <c r="S609" s="651">
        <f t="shared" ca="1" si="216"/>
        <v>0</v>
      </c>
      <c r="T609" s="1007"/>
      <c r="U609" s="646">
        <f t="shared" ca="1" si="217"/>
        <v>0</v>
      </c>
      <c r="V609" s="611"/>
      <c r="W609" s="646">
        <f t="shared" ca="1" si="185"/>
        <v>0</v>
      </c>
    </row>
    <row r="610" spans="2:23" ht="18" customHeight="1" x14ac:dyDescent="0.25">
      <c r="B610" s="645">
        <f t="shared" si="210"/>
        <v>21</v>
      </c>
      <c r="C610" s="33"/>
      <c r="D610" s="42" t="s">
        <v>567</v>
      </c>
      <c r="E610" s="806"/>
      <c r="F610" s="804">
        <f>SUM(F600:F609)</f>
        <v>-26823372.27</v>
      </c>
      <c r="G610" s="806"/>
      <c r="H610" s="806"/>
      <c r="I610" s="806"/>
      <c r="J610" s="804">
        <f t="shared" ref="J610:Q610" ca="1" si="220">SUM(J600:J609)</f>
        <v>-14002966.430676121</v>
      </c>
      <c r="K610" s="804">
        <f t="shared" ca="1" si="220"/>
        <v>-1964407.2599686696</v>
      </c>
      <c r="L610" s="804">
        <f t="shared" ca="1" si="220"/>
        <v>-7725376.090108607</v>
      </c>
      <c r="M610" s="804">
        <f t="shared" ca="1" si="220"/>
        <v>-325331.4542947844</v>
      </c>
      <c r="N610" s="804">
        <f t="shared" ca="1" si="220"/>
        <v>-2505223.9403963713</v>
      </c>
      <c r="O610" s="804">
        <f ca="1">SUM(O600:O609)</f>
        <v>-82201.905019914833</v>
      </c>
      <c r="P610" s="804">
        <f t="shared" ca="1" si="220"/>
        <v>-171464.09636055859</v>
      </c>
      <c r="Q610" s="804">
        <f t="shared" ca="1" si="220"/>
        <v>-14279.026533753851</v>
      </c>
      <c r="R610" s="804">
        <f ca="1">SUM(R600:R609)</f>
        <v>-9077.51098379428</v>
      </c>
      <c r="S610" s="804">
        <f ca="1">SUM(S600:S609)</f>
        <v>-23044.555657421803</v>
      </c>
      <c r="T610" s="806"/>
      <c r="U610" s="804">
        <f t="shared" ca="1" si="217"/>
        <v>-26823372.269999996</v>
      </c>
      <c r="V610" s="34"/>
      <c r="W610" s="646">
        <f t="shared" ca="1" si="185"/>
        <v>0</v>
      </c>
    </row>
    <row r="611" spans="2:23" ht="11.25" customHeight="1" thickBot="1" x14ac:dyDescent="0.3">
      <c r="B611" s="645">
        <f t="shared" si="210"/>
        <v>22</v>
      </c>
      <c r="C611" s="33"/>
      <c r="D611" s="611"/>
      <c r="E611" s="1007"/>
      <c r="F611" s="819"/>
      <c r="G611" s="1007"/>
      <c r="H611" s="1007"/>
      <c r="I611" s="1007"/>
      <c r="J611" s="819"/>
      <c r="K611" s="819"/>
      <c r="L611" s="819"/>
      <c r="M611" s="819"/>
      <c r="N611" s="819"/>
      <c r="O611" s="819"/>
      <c r="P611" s="819"/>
      <c r="Q611" s="819"/>
      <c r="R611" s="819"/>
      <c r="S611" s="819"/>
      <c r="T611" s="1007"/>
      <c r="U611" s="611"/>
      <c r="V611" s="611"/>
      <c r="W611" s="646">
        <f t="shared" si="185"/>
        <v>0</v>
      </c>
    </row>
    <row r="612" spans="2:23" ht="18" customHeight="1" thickBot="1" x14ac:dyDescent="0.3">
      <c r="B612" s="645">
        <f t="shared" si="210"/>
        <v>23</v>
      </c>
      <c r="C612" s="291" t="s">
        <v>568</v>
      </c>
      <c r="D612" s="814"/>
      <c r="E612" s="272" t="s">
        <v>127</v>
      </c>
      <c r="F612" s="814">
        <f>F597+F610</f>
        <v>-19223925.460000001</v>
      </c>
      <c r="G612" s="272"/>
      <c r="H612" s="392"/>
      <c r="I612" s="568"/>
      <c r="J612" s="291">
        <f t="shared" ref="J612:Q612" ca="1" si="221">J597+J610</f>
        <v>-10035724.821344398</v>
      </c>
      <c r="K612" s="814">
        <f t="shared" ca="1" si="221"/>
        <v>-1407862.4551230057</v>
      </c>
      <c r="L612" s="814">
        <f t="shared" ca="1" si="221"/>
        <v>-5536666.0318402275</v>
      </c>
      <c r="M612" s="814">
        <f t="shared" ca="1" si="221"/>
        <v>-233160.37835224561</v>
      </c>
      <c r="N612" s="814">
        <f t="shared" ca="1" si="221"/>
        <v>-1795457.9985698168</v>
      </c>
      <c r="O612" s="814">
        <f ca="1">O597+O610</f>
        <v>-58912.924104633566</v>
      </c>
      <c r="P612" s="814">
        <f t="shared" ca="1" si="221"/>
        <v>-122885.85396058537</v>
      </c>
      <c r="Q612" s="814">
        <f t="shared" ca="1" si="221"/>
        <v>-10233.573130297767</v>
      </c>
      <c r="R612" s="814">
        <f ca="1">R597+R610</f>
        <v>-6505.7216802662861</v>
      </c>
      <c r="S612" s="218">
        <f ca="1">S597+S610</f>
        <v>-16515.701894521633</v>
      </c>
      <c r="T612" s="392"/>
      <c r="U612" s="218">
        <f ca="1">SUM(I612:T612)</f>
        <v>-19223925.460000001</v>
      </c>
      <c r="V612" s="34"/>
      <c r="W612" s="646">
        <f t="shared" ca="1" si="185"/>
        <v>0</v>
      </c>
    </row>
    <row r="613" spans="2:23" ht="9" customHeight="1" thickBot="1" x14ac:dyDescent="0.3">
      <c r="B613" s="645">
        <f t="shared" si="210"/>
        <v>24</v>
      </c>
      <c r="C613" s="44"/>
      <c r="D613" s="34"/>
      <c r="E613" s="806"/>
      <c r="F613" s="807"/>
      <c r="G613" s="806"/>
      <c r="H613" s="806"/>
      <c r="I613" s="806"/>
      <c r="J613" s="807"/>
      <c r="K613" s="807"/>
      <c r="L613" s="807"/>
      <c r="M613" s="807"/>
      <c r="N613" s="807"/>
      <c r="O613" s="807"/>
      <c r="P613" s="807"/>
      <c r="Q613" s="807"/>
      <c r="R613" s="807"/>
      <c r="S613" s="807"/>
      <c r="T613" s="806"/>
      <c r="U613" s="611"/>
      <c r="V613" s="34"/>
      <c r="W613" s="646">
        <f t="shared" si="185"/>
        <v>0</v>
      </c>
    </row>
    <row r="614" spans="2:23" ht="18" customHeight="1" thickBot="1" x14ac:dyDescent="0.3">
      <c r="B614" s="645">
        <f t="shared" si="210"/>
        <v>25</v>
      </c>
      <c r="C614" s="270" t="s">
        <v>569</v>
      </c>
      <c r="D614" s="271"/>
      <c r="E614" s="271"/>
      <c r="F614" s="295">
        <f>F575+F612</f>
        <v>30745549.989999995</v>
      </c>
      <c r="G614" s="271"/>
      <c r="H614" s="399"/>
      <c r="I614" s="270"/>
      <c r="J614" s="400">
        <f t="shared" ref="J614:S614" ca="1" si="222">J575+J612</f>
        <v>16051153.365853686</v>
      </c>
      <c r="K614" s="295">
        <f t="shared" ca="1" si="222"/>
        <v>2251733.5330201974</v>
      </c>
      <c r="L614" s="295">
        <f t="shared" ca="1" si="222"/>
        <v>8855354.0080504175</v>
      </c>
      <c r="M614" s="295">
        <f t="shared" ca="1" si="222"/>
        <v>372916.32546132099</v>
      </c>
      <c r="N614" s="295">
        <f t="shared" ca="1" si="222"/>
        <v>2871658.2599232285</v>
      </c>
      <c r="O614" s="295">
        <f t="shared" ca="1" si="222"/>
        <v>94227.71120175079</v>
      </c>
      <c r="P614" s="295">
        <f t="shared" ca="1" si="222"/>
        <v>196543.42719844979</v>
      </c>
      <c r="Q614" s="295">
        <f t="shared" ca="1" si="222"/>
        <v>16515.520401670852</v>
      </c>
      <c r="R614" s="295">
        <f t="shared" ca="1" si="222"/>
        <v>10017.415478506317</v>
      </c>
      <c r="S614" s="296">
        <f t="shared" ca="1" si="222"/>
        <v>25430.423410766627</v>
      </c>
      <c r="T614" s="399"/>
      <c r="U614" s="296">
        <f ca="1">SUM(I614:T614)</f>
        <v>30745549.989999991</v>
      </c>
      <c r="V614" s="34"/>
      <c r="W614" s="646">
        <f t="shared" ca="1" si="185"/>
        <v>0</v>
      </c>
    </row>
    <row r="615" spans="2:23" ht="12" customHeight="1" thickBot="1" x14ac:dyDescent="0.3">
      <c r="B615" s="645">
        <f t="shared" si="210"/>
        <v>26</v>
      </c>
      <c r="C615" s="297"/>
      <c r="D615" s="297"/>
      <c r="E615" s="297"/>
      <c r="F615" s="297"/>
      <c r="G615" s="297"/>
      <c r="H615" s="297"/>
      <c r="I615" s="297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297"/>
      <c r="U615" s="297"/>
      <c r="V615" s="34"/>
      <c r="W615" s="646">
        <f t="shared" ref="W615:W664" si="223">U615-F615</f>
        <v>0</v>
      </c>
    </row>
    <row r="616" spans="2:23" ht="18" customHeight="1" thickBot="1" x14ac:dyDescent="0.3">
      <c r="B616" s="645">
        <f t="shared" si="210"/>
        <v>27</v>
      </c>
      <c r="C616" s="276" t="s">
        <v>570</v>
      </c>
      <c r="D616" s="271"/>
      <c r="E616" s="272" t="s">
        <v>571</v>
      </c>
      <c r="F616" s="814">
        <f>F614+F499+F476+F455+F435+F388</f>
        <v>31970960.128978912</v>
      </c>
      <c r="G616" s="272"/>
      <c r="H616" s="392"/>
      <c r="I616" s="568"/>
      <c r="J616" s="291">
        <f t="shared" ref="J616:S616" ca="1" si="224">J614+J499+J476+J455+J435+J388</f>
        <v>16638206.930746473</v>
      </c>
      <c r="K616" s="814">
        <f t="shared" ca="1" si="224"/>
        <v>2325208.0970683638</v>
      </c>
      <c r="L616" s="814">
        <f t="shared" ca="1" si="224"/>
        <v>9284697.8302913401</v>
      </c>
      <c r="M616" s="814">
        <f t="shared" ca="1" si="224"/>
        <v>384319.49722398451</v>
      </c>
      <c r="N616" s="814">
        <f t="shared" ca="1" si="224"/>
        <v>2974740.8953846721</v>
      </c>
      <c r="O616" s="814">
        <f t="shared" ca="1" si="224"/>
        <v>93891.822094113391</v>
      </c>
      <c r="P616" s="814">
        <f t="shared" ca="1" si="224"/>
        <v>215747.52322308364</v>
      </c>
      <c r="Q616" s="814">
        <f t="shared" ca="1" si="224"/>
        <v>18031.500967312448</v>
      </c>
      <c r="R616" s="814">
        <f t="shared" ca="1" si="224"/>
        <v>10163.722408582773</v>
      </c>
      <c r="S616" s="218">
        <f t="shared" ca="1" si="224"/>
        <v>25952.309570984999</v>
      </c>
      <c r="T616" s="392"/>
      <c r="U616" s="218">
        <f ca="1">SUM(I616:T616)</f>
        <v>31970960.128978908</v>
      </c>
      <c r="V616" s="104"/>
      <c r="W616" s="646">
        <f t="shared" ca="1" si="223"/>
        <v>0</v>
      </c>
    </row>
    <row r="617" spans="2:23" ht="12" customHeight="1" thickBot="1" x14ac:dyDescent="0.3">
      <c r="B617" s="645">
        <f t="shared" si="210"/>
        <v>28</v>
      </c>
      <c r="C617" s="34"/>
      <c r="D617" s="34"/>
      <c r="E617" s="824"/>
      <c r="F617" s="807"/>
      <c r="G617" s="824"/>
      <c r="H617" s="824"/>
      <c r="I617" s="824"/>
      <c r="J617" s="807"/>
      <c r="K617" s="807"/>
      <c r="L617" s="807"/>
      <c r="M617" s="807"/>
      <c r="N617" s="807"/>
      <c r="O617" s="807"/>
      <c r="P617" s="807"/>
      <c r="Q617" s="807"/>
      <c r="R617" s="807"/>
      <c r="S617" s="807"/>
      <c r="T617" s="824"/>
      <c r="U617" s="807"/>
      <c r="W617" s="646">
        <f t="shared" si="223"/>
        <v>0</v>
      </c>
    </row>
    <row r="618" spans="2:23" ht="18" customHeight="1" thickBot="1" x14ac:dyDescent="0.3">
      <c r="B618" s="645">
        <f t="shared" si="210"/>
        <v>29</v>
      </c>
      <c r="C618" s="276" t="s">
        <v>572</v>
      </c>
      <c r="D618" s="271"/>
      <c r="E618" s="272" t="s">
        <v>573</v>
      </c>
      <c r="F618" s="814">
        <f>F366+F616+F411</f>
        <v>441137289.90897888</v>
      </c>
      <c r="G618" s="272"/>
      <c r="H618" s="392"/>
      <c r="I618" s="568"/>
      <c r="J618" s="291">
        <f t="shared" ref="J618:S618" ca="1" si="225">J366+J616+J411</f>
        <v>230240818.96623519</v>
      </c>
      <c r="K618" s="814">
        <f t="shared" ca="1" si="225"/>
        <v>32290467.523211606</v>
      </c>
      <c r="L618" s="814">
        <f t="shared" ca="1" si="225"/>
        <v>127128336.17457269</v>
      </c>
      <c r="M618" s="814">
        <f t="shared" ca="1" si="225"/>
        <v>5346957.1468034117</v>
      </c>
      <c r="N618" s="814">
        <f t="shared" ca="1" si="225"/>
        <v>41189670.571300946</v>
      </c>
      <c r="O618" s="814">
        <f t="shared" ca="1" si="225"/>
        <v>1347807.6772433254</v>
      </c>
      <c r="P618" s="814">
        <f t="shared" ca="1" si="225"/>
        <v>2831277.5278288019</v>
      </c>
      <c r="Q618" s="814">
        <f t="shared" ca="1" si="225"/>
        <v>235845.16066817372</v>
      </c>
      <c r="R618" s="814">
        <f t="shared" ca="1" si="225"/>
        <v>148632.95794653261</v>
      </c>
      <c r="S618" s="218">
        <f t="shared" ca="1" si="225"/>
        <v>377476.20316820929</v>
      </c>
      <c r="T618" s="392"/>
      <c r="U618" s="218">
        <f ca="1">SUM(I618:T618)</f>
        <v>441137289.90897894</v>
      </c>
      <c r="V618" s="104"/>
      <c r="W618" s="646">
        <f t="shared" ca="1" si="223"/>
        <v>0</v>
      </c>
    </row>
    <row r="619" spans="2:23" ht="14.25" customHeight="1" x14ac:dyDescent="0.2">
      <c r="B619" s="645">
        <f t="shared" si="210"/>
        <v>30</v>
      </c>
      <c r="C619" s="611"/>
      <c r="D619" s="611"/>
      <c r="E619" s="813"/>
      <c r="F619" s="813"/>
      <c r="G619" s="813"/>
      <c r="H619" s="813"/>
      <c r="I619" s="813"/>
      <c r="J619" s="813"/>
      <c r="K619" s="813"/>
      <c r="L619" s="813"/>
      <c r="M619" s="813"/>
      <c r="N619" s="813"/>
      <c r="O619" s="813"/>
      <c r="P619" s="813"/>
      <c r="Q619" s="813"/>
      <c r="R619" s="813"/>
      <c r="S619" s="813"/>
      <c r="T619" s="813"/>
      <c r="U619" s="611"/>
      <c r="W619" s="646">
        <f t="shared" si="223"/>
        <v>0</v>
      </c>
    </row>
    <row r="620" spans="2:23" ht="18" customHeight="1" x14ac:dyDescent="0.25">
      <c r="B620" s="645">
        <f t="shared" si="210"/>
        <v>31</v>
      </c>
      <c r="C620" s="299" t="s">
        <v>140</v>
      </c>
      <c r="D620" s="1598"/>
      <c r="E620" s="34"/>
      <c r="F620" s="1599">
        <f>' WP II-I-1.4'!H620</f>
        <v>7.4700000000000003E-2</v>
      </c>
      <c r="G620" s="1007">
        <v>1</v>
      </c>
      <c r="H620" s="620" t="str">
        <f>VLOOKUP(G620,FactorTable,2)</f>
        <v>ASSIGNED</v>
      </c>
      <c r="I620" s="34"/>
      <c r="J620" s="1598">
        <f t="shared" ref="J620:S620" si="226">$F620</f>
        <v>7.4700000000000003E-2</v>
      </c>
      <c r="K620" s="1598">
        <f t="shared" si="226"/>
        <v>7.4700000000000003E-2</v>
      </c>
      <c r="L620" s="1598">
        <f t="shared" si="226"/>
        <v>7.4700000000000003E-2</v>
      </c>
      <c r="M620" s="1598">
        <f t="shared" si="226"/>
        <v>7.4700000000000003E-2</v>
      </c>
      <c r="N620" s="1598">
        <f t="shared" si="226"/>
        <v>7.4700000000000003E-2</v>
      </c>
      <c r="O620" s="1598">
        <f t="shared" si="226"/>
        <v>7.4700000000000003E-2</v>
      </c>
      <c r="P620" s="1598">
        <f t="shared" si="226"/>
        <v>7.4700000000000003E-2</v>
      </c>
      <c r="Q620" s="1598">
        <f t="shared" si="226"/>
        <v>7.4700000000000003E-2</v>
      </c>
      <c r="R620" s="1598">
        <f t="shared" si="226"/>
        <v>7.4700000000000003E-2</v>
      </c>
      <c r="S620" s="1598">
        <f t="shared" si="226"/>
        <v>7.4700000000000003E-2</v>
      </c>
      <c r="T620" s="34"/>
      <c r="U620" s="815">
        <f ca="1">U622/U618</f>
        <v>7.4699999999999989E-2</v>
      </c>
      <c r="W620" s="646">
        <f t="shared" ca="1" si="223"/>
        <v>0</v>
      </c>
    </row>
    <row r="621" spans="2:23" ht="9" customHeight="1" thickBot="1" x14ac:dyDescent="0.25">
      <c r="B621" s="645">
        <f t="shared" si="210"/>
        <v>32</v>
      </c>
      <c r="C621" s="647"/>
      <c r="D621" s="813"/>
      <c r="E621" s="813"/>
      <c r="F621" s="571"/>
      <c r="G621" s="813"/>
      <c r="H621" s="813"/>
      <c r="I621" s="813"/>
      <c r="J621" s="813"/>
      <c r="K621" s="813"/>
      <c r="L621" s="813"/>
      <c r="M621" s="813"/>
      <c r="N621" s="813"/>
      <c r="O621" s="813"/>
      <c r="P621" s="813"/>
      <c r="Q621" s="813"/>
      <c r="R621" s="813"/>
      <c r="S621" s="813"/>
      <c r="T621" s="813"/>
      <c r="U621" s="571"/>
      <c r="W621" s="646">
        <f t="shared" si="223"/>
        <v>0</v>
      </c>
    </row>
    <row r="622" spans="2:23" ht="18" customHeight="1" thickBot="1" x14ac:dyDescent="0.3">
      <c r="B622" s="645">
        <f t="shared" si="210"/>
        <v>33</v>
      </c>
      <c r="C622" s="276" t="s">
        <v>574</v>
      </c>
      <c r="D622" s="271"/>
      <c r="E622" s="272"/>
      <c r="F622" s="814">
        <f>+F618*F620</f>
        <v>32952955.556200724</v>
      </c>
      <c r="G622" s="272"/>
      <c r="H622" s="392"/>
      <c r="I622" s="568"/>
      <c r="J622" s="291">
        <f t="shared" ref="J622:Q622" ca="1" si="227">+J618*J620</f>
        <v>17198989.176777769</v>
      </c>
      <c r="K622" s="814">
        <f t="shared" ca="1" si="227"/>
        <v>2412097.9239839069</v>
      </c>
      <c r="L622" s="814">
        <f t="shared" ca="1" si="227"/>
        <v>9496486.7122405805</v>
      </c>
      <c r="M622" s="814">
        <f t="shared" ca="1" si="227"/>
        <v>399417.69886621484</v>
      </c>
      <c r="N622" s="814">
        <f t="shared" ca="1" si="227"/>
        <v>3076868.391676181</v>
      </c>
      <c r="O622" s="814">
        <f ca="1">+O618*O620</f>
        <v>100681.23349007641</v>
      </c>
      <c r="P622" s="814">
        <f t="shared" ca="1" si="227"/>
        <v>211496.43132881151</v>
      </c>
      <c r="Q622" s="814">
        <f t="shared" ca="1" si="227"/>
        <v>17617.633501912576</v>
      </c>
      <c r="R622" s="814">
        <f ca="1">+R618*R620</f>
        <v>11102.881958605987</v>
      </c>
      <c r="S622" s="218">
        <f ca="1">+S618*S620</f>
        <v>28197.472376665235</v>
      </c>
      <c r="T622" s="392"/>
      <c r="U622" s="195">
        <f ca="1">SUM(I622:T622)</f>
        <v>32952955.556200724</v>
      </c>
      <c r="W622" s="646">
        <f t="shared" ca="1" si="223"/>
        <v>0</v>
      </c>
    </row>
    <row r="623" spans="2:23" ht="9.75" customHeight="1" x14ac:dyDescent="0.2">
      <c r="W623" s="646">
        <f t="shared" si="223"/>
        <v>0</v>
      </c>
    </row>
    <row r="624" spans="2:23" ht="18" customHeight="1" x14ac:dyDescent="0.2">
      <c r="H624" s="653"/>
      <c r="U624" s="653"/>
      <c r="V624" s="653">
        <f>$H$2</f>
        <v>0</v>
      </c>
      <c r="W624" s="646"/>
    </row>
    <row r="625" spans="2:23" ht="18" customHeight="1" thickBot="1" x14ac:dyDescent="0.25">
      <c r="W625" s="646"/>
    </row>
    <row r="626" spans="2:23" ht="18" customHeight="1" x14ac:dyDescent="0.25">
      <c r="B626" s="829" t="str">
        <f>+$B$4</f>
        <v>2025 RATE CASE</v>
      </c>
      <c r="C626" s="844"/>
      <c r="D626" s="874"/>
      <c r="F626" s="654"/>
      <c r="U626" s="653" t="s">
        <v>0</v>
      </c>
      <c r="W626" s="646"/>
    </row>
    <row r="627" spans="2:23" ht="18" customHeight="1" x14ac:dyDescent="0.25">
      <c r="B627" s="826" t="str">
        <f>+$B$5</f>
        <v>ONCOR ELECTRIC DELIVERY COMPANY LLC</v>
      </c>
      <c r="C627" s="8"/>
      <c r="D627" s="875"/>
      <c r="F627" s="654"/>
      <c r="U627" s="653"/>
      <c r="W627" s="646"/>
    </row>
    <row r="628" spans="2:23" ht="18" customHeight="1" x14ac:dyDescent="0.25">
      <c r="B628" s="826" t="str">
        <f>+$B$6</f>
        <v>II-I-1-MET:  CLASS REVENUE REQUIREMENT</v>
      </c>
      <c r="C628" s="82"/>
      <c r="D628" s="875"/>
      <c r="F628" s="654"/>
      <c r="U628" s="654"/>
      <c r="W628" s="646"/>
    </row>
    <row r="629" spans="2:23" ht="18" customHeight="1" x14ac:dyDescent="0.25">
      <c r="B629" s="341" t="str">
        <f>+$B$7</f>
        <v>TEST YEAR ENDING 12/31/2024</v>
      </c>
      <c r="C629" s="82"/>
      <c r="D629" s="875"/>
      <c r="F629" s="654"/>
      <c r="U629" s="654"/>
      <c r="W629" s="646"/>
    </row>
    <row r="630" spans="2:23" ht="18" customHeight="1" x14ac:dyDescent="0.25">
      <c r="B630" s="341" t="str">
        <f>+$B$8</f>
        <v>SPONSOR:  MATTHEW A. TROXLE</v>
      </c>
      <c r="C630" s="82"/>
      <c r="D630" s="875"/>
      <c r="F630" s="654"/>
      <c r="U630" s="654"/>
      <c r="W630" s="646"/>
    </row>
    <row r="631" spans="2:23" ht="18" customHeight="1" thickBot="1" x14ac:dyDescent="0.3">
      <c r="B631" s="345"/>
      <c r="C631" s="843"/>
      <c r="D631" s="876"/>
      <c r="F631" s="654"/>
      <c r="U631" s="654"/>
      <c r="W631" s="646"/>
    </row>
    <row r="632" spans="2:23" ht="18" customHeight="1" thickBot="1" x14ac:dyDescent="0.25">
      <c r="B632" s="655"/>
      <c r="C632" s="656"/>
      <c r="D632" s="656"/>
      <c r="E632" s="656"/>
      <c r="F632" s="655"/>
      <c r="G632" s="656"/>
      <c r="H632" s="656"/>
      <c r="I632" s="656"/>
      <c r="J632" s="657"/>
      <c r="K632" s="657"/>
      <c r="L632" s="656"/>
      <c r="M632" s="657"/>
      <c r="N632" s="657"/>
      <c r="O632" s="657"/>
      <c r="P632" s="657"/>
      <c r="Q632" s="656"/>
      <c r="R632" s="658" t="str">
        <f>R$10</f>
        <v xml:space="preserve"> </v>
      </c>
      <c r="S632" s="659"/>
      <c r="T632" s="657"/>
      <c r="U632" s="655"/>
      <c r="W632" s="646"/>
    </row>
    <row r="633" spans="2:23" ht="18" customHeight="1" x14ac:dyDescent="0.25">
      <c r="B633" s="660" t="s">
        <v>2</v>
      </c>
      <c r="C633" s="660" t="s">
        <v>349</v>
      </c>
      <c r="D633" s="226" t="s">
        <v>575</v>
      </c>
      <c r="E633" s="660" t="s">
        <v>350</v>
      </c>
      <c r="F633" s="226" t="str">
        <f>F$11</f>
        <v>MET</v>
      </c>
      <c r="G633" s="661" t="s">
        <v>688</v>
      </c>
      <c r="H633" s="661" t="s">
        <v>355</v>
      </c>
      <c r="I633" s="660"/>
      <c r="J633" s="661" t="s">
        <v>679</v>
      </c>
      <c r="K633" s="661" t="s">
        <v>388</v>
      </c>
      <c r="L633" s="660" t="s">
        <v>388</v>
      </c>
      <c r="M633" s="661" t="s">
        <v>389</v>
      </c>
      <c r="N633" s="661" t="s">
        <v>389</v>
      </c>
      <c r="O633" s="661" t="s">
        <v>389</v>
      </c>
      <c r="P633" s="661" t="s">
        <v>390</v>
      </c>
      <c r="Q633" s="660" t="s">
        <v>391</v>
      </c>
      <c r="R633" s="662" t="str">
        <f>R$11</f>
        <v>Wholesale</v>
      </c>
      <c r="S633" s="655" t="str">
        <f>S$11</f>
        <v>Wholesale</v>
      </c>
      <c r="T633" s="661"/>
      <c r="U633" s="660" t="s">
        <v>10</v>
      </c>
      <c r="W633" s="646"/>
    </row>
    <row r="634" spans="2:23" ht="18" customHeight="1" x14ac:dyDescent="0.2">
      <c r="B634" s="660"/>
      <c r="C634" s="660"/>
      <c r="D634" s="660"/>
      <c r="E634" s="660"/>
      <c r="F634" s="660"/>
      <c r="G634" s="661" t="s">
        <v>689</v>
      </c>
      <c r="H634" s="661" t="s">
        <v>690</v>
      </c>
      <c r="I634" s="660"/>
      <c r="J634" s="661"/>
      <c r="K634" s="661" t="s">
        <v>680</v>
      </c>
      <c r="L634" s="660" t="s">
        <v>681</v>
      </c>
      <c r="M634" s="661" t="s">
        <v>680</v>
      </c>
      <c r="N634" s="661" t="s">
        <v>681</v>
      </c>
      <c r="O634" s="661" t="s">
        <v>393</v>
      </c>
      <c r="P634" s="661"/>
      <c r="Q634" s="660"/>
      <c r="R634" s="663" t="str">
        <f>R$12</f>
        <v>XFMR</v>
      </c>
      <c r="S634" s="660" t="str">
        <f>S$12</f>
        <v>DLS</v>
      </c>
      <c r="T634" s="661"/>
      <c r="U634" s="660"/>
      <c r="W634" s="646"/>
    </row>
    <row r="635" spans="2:23" ht="18" customHeight="1" thickBot="1" x14ac:dyDescent="0.25">
      <c r="B635" s="664"/>
      <c r="C635" s="664"/>
      <c r="D635" s="664"/>
      <c r="E635" s="664"/>
      <c r="F635" s="664" t="s">
        <v>13</v>
      </c>
      <c r="G635" s="664" t="s">
        <v>14</v>
      </c>
      <c r="H635" s="664" t="s">
        <v>15</v>
      </c>
      <c r="I635" s="664"/>
      <c r="J635" s="665" t="str">
        <f t="shared" ref="J635:Q635" si="228">J$13</f>
        <v>(d)</v>
      </c>
      <c r="K635" s="665" t="str">
        <f t="shared" si="228"/>
        <v>(e)</v>
      </c>
      <c r="L635" s="664" t="str">
        <f t="shared" si="228"/>
        <v>(f)</v>
      </c>
      <c r="M635" s="665" t="str">
        <f t="shared" si="228"/>
        <v>(g)</v>
      </c>
      <c r="N635" s="665" t="str">
        <f t="shared" si="228"/>
        <v>(h)</v>
      </c>
      <c r="O635" s="665" t="str">
        <f>O$13</f>
        <v>(i)</v>
      </c>
      <c r="P635" s="665" t="str">
        <f t="shared" si="228"/>
        <v>(j)</v>
      </c>
      <c r="Q635" s="665" t="str">
        <f t="shared" si="228"/>
        <v>(k)</v>
      </c>
      <c r="R635" s="665" t="str">
        <f>R$13</f>
        <v>(l)</v>
      </c>
      <c r="S635" s="664" t="str">
        <f>S$13</f>
        <v>(m)</v>
      </c>
      <c r="T635" s="664"/>
      <c r="U635" s="664" t="s">
        <v>683</v>
      </c>
      <c r="W635" s="646"/>
    </row>
    <row r="636" spans="2:23" ht="18" customHeight="1" x14ac:dyDescent="0.2">
      <c r="B636" s="620"/>
      <c r="C636" s="666"/>
      <c r="D636" s="666"/>
      <c r="E636" s="666"/>
      <c r="F636" s="666"/>
      <c r="G636" s="666"/>
      <c r="H636" s="666"/>
      <c r="I636" s="666"/>
      <c r="J636" s="666"/>
      <c r="K636" s="666"/>
      <c r="L636" s="666"/>
      <c r="M636" s="666"/>
      <c r="N636" s="666"/>
      <c r="O636" s="666"/>
      <c r="P636" s="666"/>
      <c r="Q636" s="666"/>
      <c r="R636" s="666"/>
      <c r="S636" s="666"/>
      <c r="T636" s="666"/>
      <c r="U636" s="611"/>
      <c r="W636" s="646">
        <f t="shared" si="223"/>
        <v>0</v>
      </c>
    </row>
    <row r="637" spans="2:23" ht="18" customHeight="1" x14ac:dyDescent="0.25">
      <c r="B637" s="645">
        <f t="shared" ref="B637:B663" si="229">B636+1</f>
        <v>1</v>
      </c>
      <c r="C637" s="8" t="s">
        <v>575</v>
      </c>
      <c r="D637" s="8"/>
      <c r="E637" s="1571"/>
      <c r="F637" s="8"/>
      <c r="G637" s="1571"/>
      <c r="H637" s="1571"/>
      <c r="I637" s="1571"/>
      <c r="J637" s="1571"/>
      <c r="K637" s="1571"/>
      <c r="L637" s="1571"/>
      <c r="M637" s="1571"/>
      <c r="N637" s="1571"/>
      <c r="O637" s="1571"/>
      <c r="P637" s="1571"/>
      <c r="Q637" s="1571"/>
      <c r="R637" s="1571"/>
      <c r="S637" s="1571"/>
      <c r="T637" s="1571"/>
      <c r="U637" s="8"/>
      <c r="W637" s="646">
        <f t="shared" si="223"/>
        <v>0</v>
      </c>
    </row>
    <row r="638" spans="2:23" ht="18" customHeight="1" x14ac:dyDescent="0.25">
      <c r="B638" s="645">
        <f t="shared" si="229"/>
        <v>2</v>
      </c>
      <c r="C638" s="8"/>
      <c r="D638" s="8"/>
      <c r="E638" s="1571"/>
      <c r="F638" s="8"/>
      <c r="G638" s="1571"/>
      <c r="H638" s="1571"/>
      <c r="I638" s="1571"/>
      <c r="J638" s="1571"/>
      <c r="K638" s="1571"/>
      <c r="L638" s="1571"/>
      <c r="M638" s="1571"/>
      <c r="N638" s="1571"/>
      <c r="O638" s="1571"/>
      <c r="P638" s="1571"/>
      <c r="Q638" s="1571"/>
      <c r="R638" s="1571"/>
      <c r="S638" s="1571"/>
      <c r="T638" s="1571"/>
      <c r="U638" s="8"/>
      <c r="W638" s="646">
        <f t="shared" si="223"/>
        <v>0</v>
      </c>
    </row>
    <row r="639" spans="2:23" ht="18" customHeight="1" x14ac:dyDescent="0.25">
      <c r="B639" s="645">
        <f t="shared" si="229"/>
        <v>3</v>
      </c>
      <c r="C639" s="8"/>
      <c r="D639" s="301" t="s">
        <v>576</v>
      </c>
      <c r="E639" s="1571" t="s">
        <v>143</v>
      </c>
      <c r="F639" s="8"/>
      <c r="G639" s="1571"/>
      <c r="H639" s="1571"/>
      <c r="I639" s="1571"/>
      <c r="J639" s="1571"/>
      <c r="K639" s="1571"/>
      <c r="L639" s="1571"/>
      <c r="M639" s="1571"/>
      <c r="N639" s="1571"/>
      <c r="O639" s="1571"/>
      <c r="P639" s="1571"/>
      <c r="Q639" s="1571"/>
      <c r="R639" s="1571"/>
      <c r="S639" s="1571"/>
      <c r="T639" s="1571"/>
      <c r="U639" s="8"/>
      <c r="W639" s="646">
        <f t="shared" si="223"/>
        <v>0</v>
      </c>
    </row>
    <row r="640" spans="2:23" ht="18" customHeight="1" x14ac:dyDescent="0.2">
      <c r="B640" s="645">
        <f t="shared" si="229"/>
        <v>4</v>
      </c>
      <c r="C640" s="650" t="s">
        <v>144</v>
      </c>
      <c r="D640" s="647" t="s">
        <v>145</v>
      </c>
      <c r="E640" s="645"/>
      <c r="F640" s="646">
        <f>' WP II-I-1.4'!H640</f>
        <v>3703.71</v>
      </c>
      <c r="G640" s="645">
        <v>28</v>
      </c>
      <c r="H640" s="620" t="str">
        <f t="shared" ref="H640:H647" si="230">VLOOKUP(G640,FactorTable,2)</f>
        <v>NCP XHV</v>
      </c>
      <c r="I640" s="645"/>
      <c r="J640" s="648">
        <f t="shared" ref="J640:S647" si="231">$F640*HLOOKUP(J$1354,FactorTable,$G640+1)</f>
        <v>1899.1384373759679</v>
      </c>
      <c r="K640" s="648">
        <f t="shared" si="231"/>
        <v>35.879790474140691</v>
      </c>
      <c r="L640" s="648">
        <f t="shared" si="231"/>
        <v>1219.8246381825297</v>
      </c>
      <c r="M640" s="648">
        <f t="shared" si="231"/>
        <v>0.57080562069940255</v>
      </c>
      <c r="N640" s="648">
        <f t="shared" si="231"/>
        <v>358.80103780788693</v>
      </c>
      <c r="O640" s="648">
        <f t="shared" si="231"/>
        <v>154.21974843034565</v>
      </c>
      <c r="P640" s="648">
        <f t="shared" si="231"/>
        <v>0</v>
      </c>
      <c r="Q640" s="648">
        <f t="shared" si="231"/>
        <v>10.847984841311623</v>
      </c>
      <c r="R640" s="648">
        <f t="shared" si="231"/>
        <v>10.660271524461667</v>
      </c>
      <c r="S640" s="648">
        <f t="shared" si="231"/>
        <v>13.767285742656032</v>
      </c>
      <c r="T640" s="645"/>
      <c r="U640" s="694">
        <f t="shared" ref="U640:U648" si="232">SUM(I640:T640)</f>
        <v>3703.7099999999996</v>
      </c>
      <c r="W640" s="646">
        <f t="shared" si="223"/>
        <v>0</v>
      </c>
    </row>
    <row r="641" spans="2:23" ht="18" customHeight="1" x14ac:dyDescent="0.2">
      <c r="B641" s="645">
        <f t="shared" si="229"/>
        <v>5</v>
      </c>
      <c r="C641" s="647" t="s">
        <v>146</v>
      </c>
      <c r="D641" s="647" t="s">
        <v>147</v>
      </c>
      <c r="E641" s="645"/>
      <c r="F641" s="646">
        <f>' WP II-I-1.4'!H641</f>
        <v>0</v>
      </c>
      <c r="G641" s="645">
        <v>28</v>
      </c>
      <c r="H641" s="620" t="str">
        <f t="shared" si="230"/>
        <v>NCP XHV</v>
      </c>
      <c r="I641" s="645"/>
      <c r="J641" s="648">
        <f t="shared" si="231"/>
        <v>0</v>
      </c>
      <c r="K641" s="648">
        <f t="shared" si="231"/>
        <v>0</v>
      </c>
      <c r="L641" s="648">
        <f t="shared" si="231"/>
        <v>0</v>
      </c>
      <c r="M641" s="648">
        <f t="shared" si="231"/>
        <v>0</v>
      </c>
      <c r="N641" s="648">
        <f t="shared" si="231"/>
        <v>0</v>
      </c>
      <c r="O641" s="648">
        <f t="shared" si="231"/>
        <v>0</v>
      </c>
      <c r="P641" s="648">
        <f t="shared" si="231"/>
        <v>0</v>
      </c>
      <c r="Q641" s="648">
        <f t="shared" si="231"/>
        <v>0</v>
      </c>
      <c r="R641" s="648">
        <f t="shared" si="231"/>
        <v>0</v>
      </c>
      <c r="S641" s="648">
        <f t="shared" si="231"/>
        <v>0</v>
      </c>
      <c r="T641" s="645"/>
      <c r="U641" s="694">
        <f t="shared" si="232"/>
        <v>0</v>
      </c>
      <c r="W641" s="646">
        <f t="shared" si="223"/>
        <v>0</v>
      </c>
    </row>
    <row r="642" spans="2:23" ht="18" customHeight="1" x14ac:dyDescent="0.2">
      <c r="B642" s="645">
        <f t="shared" si="229"/>
        <v>6</v>
      </c>
      <c r="C642" s="647" t="s">
        <v>148</v>
      </c>
      <c r="D642" s="647" t="s">
        <v>149</v>
      </c>
      <c r="E642" s="645"/>
      <c r="F642" s="646">
        <f>' WP II-I-1.4'!H642</f>
        <v>0</v>
      </c>
      <c r="G642" s="645">
        <v>28</v>
      </c>
      <c r="H642" s="620" t="str">
        <f t="shared" si="230"/>
        <v>NCP XHV</v>
      </c>
      <c r="I642" s="645"/>
      <c r="J642" s="648">
        <f t="shared" si="231"/>
        <v>0</v>
      </c>
      <c r="K642" s="648">
        <f t="shared" si="231"/>
        <v>0</v>
      </c>
      <c r="L642" s="648">
        <f t="shared" si="231"/>
        <v>0</v>
      </c>
      <c r="M642" s="648">
        <f t="shared" si="231"/>
        <v>0</v>
      </c>
      <c r="N642" s="648">
        <f t="shared" si="231"/>
        <v>0</v>
      </c>
      <c r="O642" s="648">
        <f t="shared" si="231"/>
        <v>0</v>
      </c>
      <c r="P642" s="648">
        <f t="shared" si="231"/>
        <v>0</v>
      </c>
      <c r="Q642" s="648">
        <f t="shared" si="231"/>
        <v>0</v>
      </c>
      <c r="R642" s="648">
        <f t="shared" si="231"/>
        <v>0</v>
      </c>
      <c r="S642" s="648">
        <f t="shared" si="231"/>
        <v>0</v>
      </c>
      <c r="T642" s="645"/>
      <c r="U642" s="694">
        <f t="shared" si="232"/>
        <v>0</v>
      </c>
      <c r="W642" s="646">
        <f t="shared" si="223"/>
        <v>0</v>
      </c>
    </row>
    <row r="643" spans="2:23" ht="18" customHeight="1" x14ac:dyDescent="0.2">
      <c r="B643" s="645">
        <f t="shared" si="229"/>
        <v>7</v>
      </c>
      <c r="C643" s="647" t="s">
        <v>150</v>
      </c>
      <c r="D643" s="647" t="s">
        <v>151</v>
      </c>
      <c r="E643" s="645"/>
      <c r="F643" s="646">
        <f>' WP II-I-1.4'!H643</f>
        <v>0</v>
      </c>
      <c r="G643" s="645">
        <v>28</v>
      </c>
      <c r="H643" s="620" t="str">
        <f t="shared" si="230"/>
        <v>NCP XHV</v>
      </c>
      <c r="I643" s="645"/>
      <c r="J643" s="648">
        <f t="shared" si="231"/>
        <v>0</v>
      </c>
      <c r="K643" s="648">
        <f t="shared" si="231"/>
        <v>0</v>
      </c>
      <c r="L643" s="648">
        <f t="shared" si="231"/>
        <v>0</v>
      </c>
      <c r="M643" s="648">
        <f t="shared" si="231"/>
        <v>0</v>
      </c>
      <c r="N643" s="648">
        <f t="shared" si="231"/>
        <v>0</v>
      </c>
      <c r="O643" s="648">
        <f t="shared" si="231"/>
        <v>0</v>
      </c>
      <c r="P643" s="648">
        <f t="shared" si="231"/>
        <v>0</v>
      </c>
      <c r="Q643" s="648">
        <f t="shared" si="231"/>
        <v>0</v>
      </c>
      <c r="R643" s="648">
        <f t="shared" si="231"/>
        <v>0</v>
      </c>
      <c r="S643" s="648">
        <f t="shared" si="231"/>
        <v>0</v>
      </c>
      <c r="T643" s="645"/>
      <c r="U643" s="694">
        <f t="shared" si="232"/>
        <v>0</v>
      </c>
      <c r="W643" s="646">
        <f t="shared" si="223"/>
        <v>0</v>
      </c>
    </row>
    <row r="644" spans="2:23" ht="18" customHeight="1" x14ac:dyDescent="0.2">
      <c r="B644" s="645">
        <f t="shared" si="229"/>
        <v>8</v>
      </c>
      <c r="C644" s="647" t="s">
        <v>152</v>
      </c>
      <c r="D644" s="647" t="s">
        <v>153</v>
      </c>
      <c r="E644" s="645"/>
      <c r="F644" s="646">
        <f>' WP II-I-1.4'!H644</f>
        <v>0</v>
      </c>
      <c r="G644" s="645">
        <v>28</v>
      </c>
      <c r="H644" s="620" t="str">
        <f t="shared" si="230"/>
        <v>NCP XHV</v>
      </c>
      <c r="I644" s="645"/>
      <c r="J644" s="648">
        <f t="shared" si="231"/>
        <v>0</v>
      </c>
      <c r="K644" s="648">
        <f t="shared" si="231"/>
        <v>0</v>
      </c>
      <c r="L644" s="648">
        <f t="shared" si="231"/>
        <v>0</v>
      </c>
      <c r="M644" s="648">
        <f t="shared" si="231"/>
        <v>0</v>
      </c>
      <c r="N644" s="648">
        <f t="shared" si="231"/>
        <v>0</v>
      </c>
      <c r="O644" s="648">
        <f t="shared" si="231"/>
        <v>0</v>
      </c>
      <c r="P644" s="648">
        <f t="shared" si="231"/>
        <v>0</v>
      </c>
      <c r="Q644" s="648">
        <f t="shared" si="231"/>
        <v>0</v>
      </c>
      <c r="R644" s="648">
        <f t="shared" si="231"/>
        <v>0</v>
      </c>
      <c r="S644" s="648">
        <f t="shared" si="231"/>
        <v>0</v>
      </c>
      <c r="T644" s="645"/>
      <c r="U644" s="694">
        <f t="shared" si="232"/>
        <v>0</v>
      </c>
      <c r="W644" s="646">
        <f t="shared" si="223"/>
        <v>0</v>
      </c>
    </row>
    <row r="645" spans="2:23" ht="18" customHeight="1" x14ac:dyDescent="0.25">
      <c r="B645" s="645">
        <f t="shared" si="229"/>
        <v>9</v>
      </c>
      <c r="C645" s="647" t="s">
        <v>154</v>
      </c>
      <c r="D645" s="647" t="s">
        <v>155</v>
      </c>
      <c r="E645" s="645"/>
      <c r="F645" s="646">
        <f>' WP II-I-1.4'!H645</f>
        <v>0</v>
      </c>
      <c r="G645" s="645">
        <v>23</v>
      </c>
      <c r="H645" s="620" t="str">
        <f t="shared" si="230"/>
        <v>4CP RTL</v>
      </c>
      <c r="I645" s="645"/>
      <c r="J645" s="648">
        <f t="shared" si="231"/>
        <v>0</v>
      </c>
      <c r="K645" s="648">
        <f t="shared" si="231"/>
        <v>0</v>
      </c>
      <c r="L645" s="648">
        <f t="shared" si="231"/>
        <v>0</v>
      </c>
      <c r="M645" s="648">
        <f t="shared" si="231"/>
        <v>0</v>
      </c>
      <c r="N645" s="648">
        <f t="shared" si="231"/>
        <v>0</v>
      </c>
      <c r="O645" s="648">
        <f t="shared" si="231"/>
        <v>0</v>
      </c>
      <c r="P645" s="648">
        <f t="shared" si="231"/>
        <v>0</v>
      </c>
      <c r="Q645" s="648">
        <f t="shared" si="231"/>
        <v>0</v>
      </c>
      <c r="R645" s="648">
        <f t="shared" si="231"/>
        <v>0</v>
      </c>
      <c r="S645" s="648">
        <f t="shared" si="231"/>
        <v>0</v>
      </c>
      <c r="T645" s="645"/>
      <c r="U645" s="694">
        <f t="shared" si="232"/>
        <v>0</v>
      </c>
      <c r="V645" s="302"/>
      <c r="W645" s="646">
        <f t="shared" si="223"/>
        <v>0</v>
      </c>
    </row>
    <row r="646" spans="2:23" ht="18" customHeight="1" x14ac:dyDescent="0.2">
      <c r="B646" s="645">
        <f t="shared" si="229"/>
        <v>10</v>
      </c>
      <c r="C646" s="647" t="s">
        <v>156</v>
      </c>
      <c r="D646" s="649" t="s">
        <v>157</v>
      </c>
      <c r="E646" s="645"/>
      <c r="F646" s="646">
        <f>' WP II-I-1.4'!H646</f>
        <v>5306.31</v>
      </c>
      <c r="G646" s="645">
        <v>28</v>
      </c>
      <c r="H646" s="620" t="str">
        <f t="shared" si="230"/>
        <v>NCP XHV</v>
      </c>
      <c r="I646" s="645"/>
      <c r="J646" s="648">
        <f t="shared" si="231"/>
        <v>2720.8980405140987</v>
      </c>
      <c r="K646" s="648">
        <f t="shared" si="231"/>
        <v>51.405021178990125</v>
      </c>
      <c r="L646" s="648">
        <f t="shared" si="231"/>
        <v>1747.6443014799593</v>
      </c>
      <c r="M646" s="648">
        <f t="shared" si="231"/>
        <v>0.817793934507142</v>
      </c>
      <c r="N646" s="648">
        <f t="shared" si="231"/>
        <v>514.05470053820864</v>
      </c>
      <c r="O646" s="648">
        <f t="shared" si="231"/>
        <v>220.95082857281685</v>
      </c>
      <c r="P646" s="648">
        <f t="shared" si="231"/>
        <v>0</v>
      </c>
      <c r="Q646" s="648">
        <f t="shared" si="231"/>
        <v>15.541921598424357</v>
      </c>
      <c r="R646" s="648">
        <f t="shared" si="231"/>
        <v>15.272984492027236</v>
      </c>
      <c r="S646" s="648">
        <f t="shared" si="231"/>
        <v>19.724407690967471</v>
      </c>
      <c r="T646" s="645"/>
      <c r="U646" s="694">
        <f t="shared" si="232"/>
        <v>5306.3099999999995</v>
      </c>
      <c r="W646" s="646">
        <f t="shared" si="223"/>
        <v>0</v>
      </c>
    </row>
    <row r="647" spans="2:23" ht="18" customHeight="1" x14ac:dyDescent="0.2">
      <c r="B647" s="645">
        <f t="shared" si="229"/>
        <v>11</v>
      </c>
      <c r="C647" s="647" t="s">
        <v>158</v>
      </c>
      <c r="D647" s="647" t="s">
        <v>159</v>
      </c>
      <c r="E647" s="645"/>
      <c r="F647" s="646">
        <f>' WP II-I-1.4'!H647</f>
        <v>0</v>
      </c>
      <c r="G647" s="645">
        <v>28</v>
      </c>
      <c r="H647" s="620" t="str">
        <f t="shared" si="230"/>
        <v>NCP XHV</v>
      </c>
      <c r="I647" s="645"/>
      <c r="J647" s="651">
        <f t="shared" si="231"/>
        <v>0</v>
      </c>
      <c r="K647" s="651">
        <f t="shared" si="231"/>
        <v>0</v>
      </c>
      <c r="L647" s="651">
        <f t="shared" si="231"/>
        <v>0</v>
      </c>
      <c r="M647" s="651">
        <f t="shared" si="231"/>
        <v>0</v>
      </c>
      <c r="N647" s="651">
        <f t="shared" si="231"/>
        <v>0</v>
      </c>
      <c r="O647" s="651">
        <f t="shared" si="231"/>
        <v>0</v>
      </c>
      <c r="P647" s="651">
        <f t="shared" si="231"/>
        <v>0</v>
      </c>
      <c r="Q647" s="651">
        <f t="shared" si="231"/>
        <v>0</v>
      </c>
      <c r="R647" s="651">
        <f t="shared" si="231"/>
        <v>0</v>
      </c>
      <c r="S647" s="651">
        <f t="shared" si="231"/>
        <v>0</v>
      </c>
      <c r="T647" s="645"/>
      <c r="U647" s="694">
        <f t="shared" si="232"/>
        <v>0</v>
      </c>
      <c r="W647" s="646">
        <f t="shared" si="223"/>
        <v>0</v>
      </c>
    </row>
    <row r="648" spans="2:23" ht="18" customHeight="1" x14ac:dyDescent="0.25">
      <c r="B648" s="645">
        <f t="shared" si="229"/>
        <v>12</v>
      </c>
      <c r="C648" s="8"/>
      <c r="D648" s="233" t="s">
        <v>444</v>
      </c>
      <c r="E648" s="1571"/>
      <c r="F648" s="805">
        <f>SUM(F640:F647)</f>
        <v>9010.02</v>
      </c>
      <c r="G648" s="1571"/>
      <c r="H648" s="1571"/>
      <c r="I648" s="1571"/>
      <c r="J648" s="805">
        <f t="shared" ref="J648:Q648" si="233">SUM(J640:J647)</f>
        <v>4620.0364778900666</v>
      </c>
      <c r="K648" s="805">
        <f t="shared" si="233"/>
        <v>87.284811653130816</v>
      </c>
      <c r="L648" s="805">
        <f t="shared" si="233"/>
        <v>2967.468939662489</v>
      </c>
      <c r="M648" s="805">
        <f t="shared" si="233"/>
        <v>1.3885995552065444</v>
      </c>
      <c r="N648" s="805">
        <f t="shared" si="233"/>
        <v>872.85573834609556</v>
      </c>
      <c r="O648" s="805">
        <f>SUM(O640:O647)</f>
        <v>375.17057700316252</v>
      </c>
      <c r="P648" s="805">
        <f t="shared" si="233"/>
        <v>0</v>
      </c>
      <c r="Q648" s="805">
        <f t="shared" si="233"/>
        <v>26.389906439735981</v>
      </c>
      <c r="R648" s="805">
        <f>SUM(R640:R647)</f>
        <v>25.933256016488905</v>
      </c>
      <c r="S648" s="805">
        <f>SUM(S640:S647)</f>
        <v>33.491693433623503</v>
      </c>
      <c r="T648" s="1571"/>
      <c r="U648" s="235">
        <f t="shared" si="232"/>
        <v>9010.0199999999986</v>
      </c>
      <c r="W648" s="646">
        <f t="shared" si="223"/>
        <v>0</v>
      </c>
    </row>
    <row r="649" spans="2:23" ht="18" customHeight="1" x14ac:dyDescent="0.25">
      <c r="B649" s="645">
        <f t="shared" si="229"/>
        <v>13</v>
      </c>
      <c r="C649" s="8"/>
      <c r="D649" s="1571"/>
      <c r="E649" s="1571"/>
      <c r="F649" s="805"/>
      <c r="G649" s="1571"/>
      <c r="H649" s="1571"/>
      <c r="I649" s="1571"/>
      <c r="J649" s="805"/>
      <c r="K649" s="805"/>
      <c r="L649" s="805"/>
      <c r="M649" s="805"/>
      <c r="N649" s="805"/>
      <c r="O649" s="805"/>
      <c r="P649" s="805"/>
      <c r="Q649" s="805"/>
      <c r="R649" s="805"/>
      <c r="S649" s="805"/>
      <c r="T649" s="1571"/>
      <c r="U649" s="8"/>
      <c r="W649" s="646">
        <f t="shared" si="223"/>
        <v>0</v>
      </c>
    </row>
    <row r="650" spans="2:23" ht="18" customHeight="1" x14ac:dyDescent="0.25">
      <c r="B650" s="645">
        <f t="shared" si="229"/>
        <v>14</v>
      </c>
      <c r="C650" s="8"/>
      <c r="D650" s="233" t="s">
        <v>577</v>
      </c>
      <c r="E650" s="1571"/>
      <c r="F650" s="805">
        <f>F648-F645</f>
        <v>9010.02</v>
      </c>
      <c r="G650" s="1571"/>
      <c r="H650" s="1571"/>
      <c r="I650" s="1571"/>
      <c r="J650" s="805">
        <f t="shared" ref="J650:Q650" si="234">J648-J645</f>
        <v>4620.0364778900666</v>
      </c>
      <c r="K650" s="805">
        <f t="shared" si="234"/>
        <v>87.284811653130816</v>
      </c>
      <c r="L650" s="805">
        <f t="shared" si="234"/>
        <v>2967.468939662489</v>
      </c>
      <c r="M650" s="805">
        <f t="shared" si="234"/>
        <v>1.3885995552065444</v>
      </c>
      <c r="N650" s="805">
        <f t="shared" si="234"/>
        <v>872.85573834609556</v>
      </c>
      <c r="O650" s="805">
        <f>O648-O645</f>
        <v>375.17057700316252</v>
      </c>
      <c r="P650" s="805">
        <f t="shared" si="234"/>
        <v>0</v>
      </c>
      <c r="Q650" s="805">
        <f t="shared" si="234"/>
        <v>26.389906439735981</v>
      </c>
      <c r="R650" s="805">
        <f>R648-R645</f>
        <v>25.933256016488905</v>
      </c>
      <c r="S650" s="805">
        <f>S648-S645</f>
        <v>33.491693433623503</v>
      </c>
      <c r="T650" s="1571"/>
      <c r="U650" s="235">
        <f>SUM(I650:T650)</f>
        <v>9010.0199999999986</v>
      </c>
      <c r="W650" s="646">
        <f t="shared" si="223"/>
        <v>0</v>
      </c>
    </row>
    <row r="651" spans="2:23" ht="18" customHeight="1" x14ac:dyDescent="0.25">
      <c r="B651" s="645">
        <f t="shared" si="229"/>
        <v>15</v>
      </c>
      <c r="C651" s="8"/>
      <c r="D651" s="1571"/>
      <c r="E651" s="1571"/>
      <c r="F651" s="805"/>
      <c r="G651" s="1571"/>
      <c r="H651" s="1571"/>
      <c r="I651" s="1571"/>
      <c r="J651" s="1571"/>
      <c r="K651" s="1571"/>
      <c r="L651" s="1571"/>
      <c r="M651" s="1571"/>
      <c r="N651" s="1571"/>
      <c r="O651" s="1571"/>
      <c r="P651" s="1571"/>
      <c r="Q651" s="1571"/>
      <c r="R651" s="1571"/>
      <c r="S651" s="1571"/>
      <c r="T651" s="1571"/>
      <c r="U651" s="8"/>
      <c r="W651" s="646">
        <f t="shared" si="223"/>
        <v>0</v>
      </c>
    </row>
    <row r="652" spans="2:23" ht="18" customHeight="1" x14ac:dyDescent="0.25">
      <c r="B652" s="645">
        <f t="shared" si="229"/>
        <v>16</v>
      </c>
      <c r="C652" s="8"/>
      <c r="D652" s="301" t="s">
        <v>578</v>
      </c>
      <c r="E652" s="1571" t="s">
        <v>143</v>
      </c>
      <c r="F652" s="805"/>
      <c r="G652" s="1571"/>
      <c r="H652" s="1571"/>
      <c r="I652" s="1571"/>
      <c r="J652" s="1571"/>
      <c r="K652" s="1571"/>
      <c r="L652" s="1571"/>
      <c r="M652" s="1571"/>
      <c r="N652" s="1571"/>
      <c r="O652" s="1571"/>
      <c r="P652" s="1571"/>
      <c r="Q652" s="1571"/>
      <c r="R652" s="1571"/>
      <c r="S652" s="1571"/>
      <c r="T652" s="1571"/>
      <c r="U652" s="8"/>
      <c r="W652" s="646">
        <f t="shared" si="223"/>
        <v>0</v>
      </c>
    </row>
    <row r="653" spans="2:23" ht="18" customHeight="1" x14ac:dyDescent="0.2">
      <c r="B653" s="645">
        <f t="shared" si="229"/>
        <v>17</v>
      </c>
      <c r="C653" s="647" t="s">
        <v>161</v>
      </c>
      <c r="D653" s="647" t="s">
        <v>162</v>
      </c>
      <c r="E653" s="645"/>
      <c r="F653" s="646">
        <f>' WP II-I-1.4'!H653</f>
        <v>0</v>
      </c>
      <c r="G653" s="645">
        <v>28</v>
      </c>
      <c r="H653" s="620" t="str">
        <f t="shared" ref="H653:H658" si="235">VLOOKUP(G653,FactorTable,2)</f>
        <v>NCP XHV</v>
      </c>
      <c r="I653" s="645"/>
      <c r="J653" s="648">
        <f t="shared" ref="J653:S658" si="236">$F653*HLOOKUP(J$1354,FactorTable,$G653+1)</f>
        <v>0</v>
      </c>
      <c r="K653" s="648">
        <f t="shared" si="236"/>
        <v>0</v>
      </c>
      <c r="L653" s="648">
        <f t="shared" si="236"/>
        <v>0</v>
      </c>
      <c r="M653" s="648">
        <f t="shared" si="236"/>
        <v>0</v>
      </c>
      <c r="N653" s="648">
        <f t="shared" si="236"/>
        <v>0</v>
      </c>
      <c r="O653" s="648">
        <f t="shared" si="236"/>
        <v>0</v>
      </c>
      <c r="P653" s="648">
        <f t="shared" si="236"/>
        <v>0</v>
      </c>
      <c r="Q653" s="648">
        <f t="shared" si="236"/>
        <v>0</v>
      </c>
      <c r="R653" s="648">
        <f t="shared" si="236"/>
        <v>0</v>
      </c>
      <c r="S653" s="648">
        <f t="shared" si="236"/>
        <v>0</v>
      </c>
      <c r="T653" s="645"/>
      <c r="U653" s="646">
        <f t="shared" ref="U653:U659" si="237">SUM(I653:T653)</f>
        <v>0</v>
      </c>
      <c r="W653" s="646">
        <f t="shared" si="223"/>
        <v>0</v>
      </c>
    </row>
    <row r="654" spans="2:23" ht="18" customHeight="1" x14ac:dyDescent="0.2">
      <c r="B654" s="645">
        <f t="shared" si="229"/>
        <v>18</v>
      </c>
      <c r="C654" s="647" t="s">
        <v>163</v>
      </c>
      <c r="D654" s="649" t="s">
        <v>164</v>
      </c>
      <c r="E654" s="645"/>
      <c r="F654" s="646">
        <f>' WP II-I-1.4'!H654</f>
        <v>0</v>
      </c>
      <c r="G654" s="645">
        <v>28</v>
      </c>
      <c r="H654" s="620" t="str">
        <f t="shared" si="235"/>
        <v>NCP XHV</v>
      </c>
      <c r="I654" s="645"/>
      <c r="J654" s="648">
        <f t="shared" si="236"/>
        <v>0</v>
      </c>
      <c r="K654" s="648">
        <f t="shared" si="236"/>
        <v>0</v>
      </c>
      <c r="L654" s="648">
        <f t="shared" si="236"/>
        <v>0</v>
      </c>
      <c r="M654" s="648">
        <f t="shared" si="236"/>
        <v>0</v>
      </c>
      <c r="N654" s="648">
        <f t="shared" si="236"/>
        <v>0</v>
      </c>
      <c r="O654" s="648">
        <f t="shared" si="236"/>
        <v>0</v>
      </c>
      <c r="P654" s="648">
        <f t="shared" si="236"/>
        <v>0</v>
      </c>
      <c r="Q654" s="648">
        <f t="shared" si="236"/>
        <v>0</v>
      </c>
      <c r="R654" s="648">
        <f t="shared" si="236"/>
        <v>0</v>
      </c>
      <c r="S654" s="648">
        <f t="shared" si="236"/>
        <v>0</v>
      </c>
      <c r="T654" s="645"/>
      <c r="U654" s="646">
        <f t="shared" si="237"/>
        <v>0</v>
      </c>
      <c r="W654" s="646">
        <f t="shared" si="223"/>
        <v>0</v>
      </c>
    </row>
    <row r="655" spans="2:23" ht="18" customHeight="1" x14ac:dyDescent="0.2">
      <c r="B655" s="645">
        <f t="shared" si="229"/>
        <v>19</v>
      </c>
      <c r="C655" s="647" t="s">
        <v>165</v>
      </c>
      <c r="D655" s="647" t="s">
        <v>166</v>
      </c>
      <c r="E655" s="645"/>
      <c r="F655" s="646">
        <f>' WP II-I-1.4'!H655</f>
        <v>0</v>
      </c>
      <c r="G655" s="645">
        <v>28</v>
      </c>
      <c r="H655" s="620" t="str">
        <f t="shared" si="235"/>
        <v>NCP XHV</v>
      </c>
      <c r="I655" s="645"/>
      <c r="J655" s="648">
        <f t="shared" si="236"/>
        <v>0</v>
      </c>
      <c r="K655" s="648">
        <f t="shared" si="236"/>
        <v>0</v>
      </c>
      <c r="L655" s="648">
        <f t="shared" si="236"/>
        <v>0</v>
      </c>
      <c r="M655" s="648">
        <f t="shared" si="236"/>
        <v>0</v>
      </c>
      <c r="N655" s="648">
        <f t="shared" si="236"/>
        <v>0</v>
      </c>
      <c r="O655" s="648">
        <f t="shared" si="236"/>
        <v>0</v>
      </c>
      <c r="P655" s="648">
        <f t="shared" si="236"/>
        <v>0</v>
      </c>
      <c r="Q655" s="648">
        <f t="shared" si="236"/>
        <v>0</v>
      </c>
      <c r="R655" s="648">
        <f t="shared" si="236"/>
        <v>0</v>
      </c>
      <c r="S655" s="648">
        <f t="shared" si="236"/>
        <v>0</v>
      </c>
      <c r="T655" s="645"/>
      <c r="U655" s="646">
        <f t="shared" si="237"/>
        <v>0</v>
      </c>
      <c r="W655" s="646">
        <f t="shared" si="223"/>
        <v>0</v>
      </c>
    </row>
    <row r="656" spans="2:23" ht="18" customHeight="1" x14ac:dyDescent="0.2">
      <c r="B656" s="645">
        <f t="shared" si="229"/>
        <v>20</v>
      </c>
      <c r="C656" s="647" t="s">
        <v>167</v>
      </c>
      <c r="D656" s="647" t="s">
        <v>168</v>
      </c>
      <c r="E656" s="645"/>
      <c r="F656" s="646">
        <f>' WP II-I-1.4'!H656</f>
        <v>0</v>
      </c>
      <c r="G656" s="645">
        <v>28</v>
      </c>
      <c r="H656" s="620" t="str">
        <f t="shared" si="235"/>
        <v>NCP XHV</v>
      </c>
      <c r="I656" s="645"/>
      <c r="J656" s="648">
        <f t="shared" si="236"/>
        <v>0</v>
      </c>
      <c r="K656" s="648">
        <f t="shared" si="236"/>
        <v>0</v>
      </c>
      <c r="L656" s="648">
        <f t="shared" si="236"/>
        <v>0</v>
      </c>
      <c r="M656" s="648">
        <f t="shared" si="236"/>
        <v>0</v>
      </c>
      <c r="N656" s="648">
        <f t="shared" si="236"/>
        <v>0</v>
      </c>
      <c r="O656" s="648">
        <f t="shared" si="236"/>
        <v>0</v>
      </c>
      <c r="P656" s="648">
        <f t="shared" si="236"/>
        <v>0</v>
      </c>
      <c r="Q656" s="648">
        <f t="shared" si="236"/>
        <v>0</v>
      </c>
      <c r="R656" s="648">
        <f t="shared" si="236"/>
        <v>0</v>
      </c>
      <c r="S656" s="648">
        <f t="shared" si="236"/>
        <v>0</v>
      </c>
      <c r="T656" s="645"/>
      <c r="U656" s="646">
        <f t="shared" si="237"/>
        <v>0</v>
      </c>
      <c r="W656" s="646">
        <f t="shared" si="223"/>
        <v>0</v>
      </c>
    </row>
    <row r="657" spans="2:23" ht="18" customHeight="1" x14ac:dyDescent="0.2">
      <c r="B657" s="645">
        <f t="shared" si="229"/>
        <v>21</v>
      </c>
      <c r="C657" s="647" t="s">
        <v>169</v>
      </c>
      <c r="D657" s="649" t="s">
        <v>170</v>
      </c>
      <c r="E657" s="645"/>
      <c r="F657" s="646">
        <f>' WP II-I-1.4'!H657</f>
        <v>0</v>
      </c>
      <c r="G657" s="645">
        <v>28</v>
      </c>
      <c r="H657" s="620" t="str">
        <f t="shared" si="235"/>
        <v>NCP XHV</v>
      </c>
      <c r="I657" s="645"/>
      <c r="J657" s="648">
        <f t="shared" si="236"/>
        <v>0</v>
      </c>
      <c r="K657" s="648">
        <f t="shared" si="236"/>
        <v>0</v>
      </c>
      <c r="L657" s="648">
        <f t="shared" si="236"/>
        <v>0</v>
      </c>
      <c r="M657" s="648">
        <f t="shared" si="236"/>
        <v>0</v>
      </c>
      <c r="N657" s="648">
        <f t="shared" si="236"/>
        <v>0</v>
      </c>
      <c r="O657" s="648">
        <f t="shared" si="236"/>
        <v>0</v>
      </c>
      <c r="P657" s="648">
        <f t="shared" si="236"/>
        <v>0</v>
      </c>
      <c r="Q657" s="648">
        <f t="shared" si="236"/>
        <v>0</v>
      </c>
      <c r="R657" s="648">
        <f t="shared" si="236"/>
        <v>0</v>
      </c>
      <c r="S657" s="648">
        <f t="shared" si="236"/>
        <v>0</v>
      </c>
      <c r="T657" s="645"/>
      <c r="U657" s="646">
        <f t="shared" si="237"/>
        <v>0</v>
      </c>
      <c r="W657" s="646">
        <f t="shared" si="223"/>
        <v>0</v>
      </c>
    </row>
    <row r="658" spans="2:23" ht="18" customHeight="1" x14ac:dyDescent="0.2">
      <c r="B658" s="645">
        <f t="shared" si="229"/>
        <v>22</v>
      </c>
      <c r="C658" s="647" t="s">
        <v>171</v>
      </c>
      <c r="D658" s="649" t="s">
        <v>172</v>
      </c>
      <c r="E658" s="645"/>
      <c r="F658" s="646">
        <f>' WP II-I-1.4'!H658</f>
        <v>0</v>
      </c>
      <c r="G658" s="645">
        <v>28</v>
      </c>
      <c r="H658" s="620" t="str">
        <f t="shared" si="235"/>
        <v>NCP XHV</v>
      </c>
      <c r="I658" s="645"/>
      <c r="J658" s="651">
        <f t="shared" si="236"/>
        <v>0</v>
      </c>
      <c r="K658" s="651">
        <f t="shared" si="236"/>
        <v>0</v>
      </c>
      <c r="L658" s="651">
        <f t="shared" si="236"/>
        <v>0</v>
      </c>
      <c r="M658" s="651">
        <f t="shared" si="236"/>
        <v>0</v>
      </c>
      <c r="N658" s="651">
        <f t="shared" si="236"/>
        <v>0</v>
      </c>
      <c r="O658" s="651">
        <f t="shared" si="236"/>
        <v>0</v>
      </c>
      <c r="P658" s="651">
        <f t="shared" si="236"/>
        <v>0</v>
      </c>
      <c r="Q658" s="651">
        <f t="shared" si="236"/>
        <v>0</v>
      </c>
      <c r="R658" s="651">
        <f t="shared" si="236"/>
        <v>0</v>
      </c>
      <c r="S658" s="651">
        <f t="shared" si="236"/>
        <v>0</v>
      </c>
      <c r="T658" s="645"/>
      <c r="U658" s="646">
        <f t="shared" si="237"/>
        <v>0</v>
      </c>
      <c r="W658" s="646">
        <f t="shared" si="223"/>
        <v>0</v>
      </c>
    </row>
    <row r="659" spans="2:23" ht="18" customHeight="1" x14ac:dyDescent="0.25">
      <c r="B659" s="645">
        <f t="shared" si="229"/>
        <v>23</v>
      </c>
      <c r="C659" s="8"/>
      <c r="D659" s="233" t="s">
        <v>444</v>
      </c>
      <c r="E659" s="1571"/>
      <c r="F659" s="805">
        <f>SUM(F653:F658)</f>
        <v>0</v>
      </c>
      <c r="G659" s="1571"/>
      <c r="H659" s="1571"/>
      <c r="I659" s="1571"/>
      <c r="J659" s="805">
        <f t="shared" ref="J659:Q659" si="238">SUM(J653:J658)</f>
        <v>0</v>
      </c>
      <c r="K659" s="805">
        <f t="shared" si="238"/>
        <v>0</v>
      </c>
      <c r="L659" s="805">
        <f t="shared" si="238"/>
        <v>0</v>
      </c>
      <c r="M659" s="805">
        <f t="shared" si="238"/>
        <v>0</v>
      </c>
      <c r="N659" s="805">
        <f t="shared" si="238"/>
        <v>0</v>
      </c>
      <c r="O659" s="805">
        <f>SUM(O653:O658)</f>
        <v>0</v>
      </c>
      <c r="P659" s="805">
        <f t="shared" si="238"/>
        <v>0</v>
      </c>
      <c r="Q659" s="805">
        <f t="shared" si="238"/>
        <v>0</v>
      </c>
      <c r="R659" s="805">
        <f>SUM(R653:R658)</f>
        <v>0</v>
      </c>
      <c r="S659" s="805">
        <f>SUM(S653:S658)</f>
        <v>0</v>
      </c>
      <c r="T659" s="1571"/>
      <c r="U659" s="235">
        <f t="shared" si="237"/>
        <v>0</v>
      </c>
      <c r="W659" s="646">
        <f t="shared" si="223"/>
        <v>0</v>
      </c>
    </row>
    <row r="660" spans="2:23" ht="18" customHeight="1" thickBot="1" x14ac:dyDescent="0.3">
      <c r="B660" s="645">
        <f t="shared" si="229"/>
        <v>24</v>
      </c>
      <c r="C660" s="8"/>
      <c r="D660" s="233"/>
      <c r="E660" s="1571"/>
      <c r="F660" s="805"/>
      <c r="G660" s="1571"/>
      <c r="H660" s="1571"/>
      <c r="I660" s="1571"/>
      <c r="J660" s="805"/>
      <c r="K660" s="805"/>
      <c r="L660" s="805"/>
      <c r="M660" s="805"/>
      <c r="N660" s="805"/>
      <c r="O660" s="805"/>
      <c r="P660" s="805"/>
      <c r="Q660" s="805"/>
      <c r="R660" s="805"/>
      <c r="S660" s="805"/>
      <c r="T660" s="1571"/>
      <c r="U660" s="8"/>
      <c r="W660" s="646">
        <f t="shared" si="223"/>
        <v>0</v>
      </c>
    </row>
    <row r="661" spans="2:23" ht="18" customHeight="1" thickBot="1" x14ac:dyDescent="0.3">
      <c r="B661" s="645">
        <f t="shared" si="229"/>
        <v>25</v>
      </c>
      <c r="C661" s="779" t="s">
        <v>579</v>
      </c>
      <c r="D661" s="920"/>
      <c r="E661" s="916"/>
      <c r="F661" s="917">
        <f>+F659+F648</f>
        <v>9010.02</v>
      </c>
      <c r="G661" s="916"/>
      <c r="H661" s="916"/>
      <c r="I661" s="919"/>
      <c r="J661" s="917">
        <f t="shared" ref="J661:Q661" si="239">+J659+J648</f>
        <v>4620.0364778900666</v>
      </c>
      <c r="K661" s="917">
        <f t="shared" si="239"/>
        <v>87.284811653130816</v>
      </c>
      <c r="L661" s="917">
        <f t="shared" si="239"/>
        <v>2967.468939662489</v>
      </c>
      <c r="M661" s="917">
        <f t="shared" si="239"/>
        <v>1.3885995552065444</v>
      </c>
      <c r="N661" s="917">
        <f t="shared" si="239"/>
        <v>872.85573834609556</v>
      </c>
      <c r="O661" s="917">
        <f>+O659+O648</f>
        <v>375.17057700316252</v>
      </c>
      <c r="P661" s="917">
        <f t="shared" si="239"/>
        <v>0</v>
      </c>
      <c r="Q661" s="917">
        <f t="shared" si="239"/>
        <v>26.389906439735981</v>
      </c>
      <c r="R661" s="917">
        <f>+R659+R648</f>
        <v>25.933256016488905</v>
      </c>
      <c r="S661" s="917">
        <f>+S659+S648</f>
        <v>33.491693433623503</v>
      </c>
      <c r="T661" s="919"/>
      <c r="U661" s="918">
        <f>SUM(I661:T661)</f>
        <v>9010.0199999999986</v>
      </c>
      <c r="W661" s="646">
        <f t="shared" si="223"/>
        <v>0</v>
      </c>
    </row>
    <row r="662" spans="2:23" ht="18" customHeight="1" thickBot="1" x14ac:dyDescent="0.3">
      <c r="B662" s="645">
        <f t="shared" si="229"/>
        <v>26</v>
      </c>
      <c r="C662" s="8"/>
      <c r="D662" s="8"/>
      <c r="E662" s="1571"/>
      <c r="F662" s="805"/>
      <c r="G662" s="1571"/>
      <c r="H662" s="1571"/>
      <c r="I662" s="1571"/>
      <c r="J662" s="805"/>
      <c r="K662" s="805"/>
      <c r="L662" s="805"/>
      <c r="M662" s="805"/>
      <c r="N662" s="805"/>
      <c r="O662" s="805"/>
      <c r="P662" s="805"/>
      <c r="Q662" s="805"/>
      <c r="R662" s="805"/>
      <c r="S662" s="805"/>
      <c r="T662" s="1571"/>
      <c r="U662" s="8"/>
      <c r="W662" s="646">
        <f t="shared" si="223"/>
        <v>0</v>
      </c>
    </row>
    <row r="663" spans="2:23" ht="18" customHeight="1" thickBot="1" x14ac:dyDescent="0.3">
      <c r="B663" s="645">
        <f t="shared" si="229"/>
        <v>27</v>
      </c>
      <c r="C663" s="779" t="s">
        <v>580</v>
      </c>
      <c r="D663" s="920"/>
      <c r="E663" s="916"/>
      <c r="F663" s="917">
        <f>F661-F645</f>
        <v>9010.02</v>
      </c>
      <c r="G663" s="916"/>
      <c r="H663" s="916"/>
      <c r="I663" s="919"/>
      <c r="J663" s="917">
        <f t="shared" ref="J663:Q663" si="240">J661-J645</f>
        <v>4620.0364778900666</v>
      </c>
      <c r="K663" s="917">
        <f t="shared" si="240"/>
        <v>87.284811653130816</v>
      </c>
      <c r="L663" s="917">
        <f t="shared" si="240"/>
        <v>2967.468939662489</v>
      </c>
      <c r="M663" s="917">
        <f t="shared" si="240"/>
        <v>1.3885995552065444</v>
      </c>
      <c r="N663" s="917">
        <f t="shared" si="240"/>
        <v>872.85573834609556</v>
      </c>
      <c r="O663" s="917">
        <f>O661-O645</f>
        <v>375.17057700316252</v>
      </c>
      <c r="P663" s="917">
        <f t="shared" si="240"/>
        <v>0</v>
      </c>
      <c r="Q663" s="917">
        <f t="shared" si="240"/>
        <v>26.389906439735981</v>
      </c>
      <c r="R663" s="917">
        <f>R661-R645</f>
        <v>25.933256016488905</v>
      </c>
      <c r="S663" s="917">
        <f>S661-S645</f>
        <v>33.491693433623503</v>
      </c>
      <c r="T663" s="919"/>
      <c r="U663" s="918">
        <f>SUM(I663:T663)</f>
        <v>9010.0199999999986</v>
      </c>
      <c r="W663" s="646">
        <f t="shared" si="223"/>
        <v>0</v>
      </c>
    </row>
    <row r="664" spans="2:23" ht="18" customHeight="1" x14ac:dyDescent="0.25">
      <c r="B664" s="645"/>
      <c r="C664" s="8"/>
      <c r="D664" s="8"/>
      <c r="E664" s="1571"/>
      <c r="F664" s="805"/>
      <c r="G664" s="1571"/>
      <c r="H664" s="1571"/>
      <c r="I664" s="1571"/>
      <c r="J664" s="1571"/>
      <c r="K664" s="1571"/>
      <c r="L664" s="1571"/>
      <c r="M664" s="1571"/>
      <c r="N664" s="1571"/>
      <c r="O664" s="1571"/>
      <c r="P664" s="1571"/>
      <c r="Q664" s="1571"/>
      <c r="R664" s="1571"/>
      <c r="S664" s="1571"/>
      <c r="T664" s="1571"/>
      <c r="U664" s="8"/>
      <c r="W664" s="646">
        <f t="shared" si="223"/>
        <v>0</v>
      </c>
    </row>
    <row r="665" spans="2:23" ht="18" customHeight="1" x14ac:dyDescent="0.25">
      <c r="B665" s="645"/>
      <c r="C665" s="8"/>
      <c r="D665" s="8"/>
      <c r="E665" s="1571"/>
      <c r="F665" s="805"/>
      <c r="G665" s="1571"/>
      <c r="H665" s="653"/>
      <c r="I665" s="1571"/>
      <c r="J665" s="1571"/>
      <c r="K665" s="1571"/>
      <c r="L665" s="1571"/>
      <c r="M665" s="1571"/>
      <c r="N665" s="1571"/>
      <c r="O665" s="1571"/>
      <c r="P665" s="1571"/>
      <c r="Q665" s="1571"/>
      <c r="R665" s="1571"/>
      <c r="S665" s="1571"/>
      <c r="T665" s="1571"/>
      <c r="U665" s="653"/>
      <c r="V665" s="653">
        <f>$H$2</f>
        <v>0</v>
      </c>
    </row>
    <row r="666" spans="2:23" ht="18" customHeight="1" thickBot="1" x14ac:dyDescent="0.3">
      <c r="B666" s="645"/>
      <c r="C666" s="8"/>
      <c r="D666" s="8"/>
      <c r="E666" s="1571"/>
      <c r="F666" s="805"/>
      <c r="G666" s="1571"/>
      <c r="H666" s="1571"/>
      <c r="I666" s="1571"/>
      <c r="J666" s="1571"/>
      <c r="K666" s="1571"/>
      <c r="L666" s="1571"/>
      <c r="M666" s="1571"/>
      <c r="N666" s="1571"/>
      <c r="O666" s="1571"/>
      <c r="P666" s="1571"/>
      <c r="Q666" s="1571"/>
      <c r="R666" s="1571"/>
      <c r="S666" s="1571"/>
      <c r="T666" s="1571"/>
      <c r="U666" s="8"/>
    </row>
    <row r="667" spans="2:23" ht="18" customHeight="1" x14ac:dyDescent="0.25">
      <c r="B667" s="829" t="str">
        <f>+$B$4</f>
        <v>2025 RATE CASE</v>
      </c>
      <c r="C667" s="844"/>
      <c r="D667" s="874"/>
      <c r="F667" s="654"/>
      <c r="U667" s="653"/>
    </row>
    <row r="668" spans="2:23" ht="18" customHeight="1" x14ac:dyDescent="0.25">
      <c r="B668" s="826" t="str">
        <f>+$B$5</f>
        <v>ONCOR ELECTRIC DELIVERY COMPANY LLC</v>
      </c>
      <c r="C668" s="8"/>
      <c r="D668" s="875"/>
      <c r="F668" s="654"/>
      <c r="U668" s="653"/>
    </row>
    <row r="669" spans="2:23" ht="18" customHeight="1" x14ac:dyDescent="0.25">
      <c r="B669" s="826" t="str">
        <f>+$B$6</f>
        <v>II-I-1-MET:  CLASS REVENUE REQUIREMENT</v>
      </c>
      <c r="C669" s="82"/>
      <c r="D669" s="875"/>
      <c r="F669" s="654"/>
      <c r="U669" s="654"/>
    </row>
    <row r="670" spans="2:23" ht="18" customHeight="1" x14ac:dyDescent="0.25">
      <c r="B670" s="341" t="str">
        <f>+$B$7</f>
        <v>TEST YEAR ENDING 12/31/2024</v>
      </c>
      <c r="C670" s="82"/>
      <c r="D670" s="875"/>
      <c r="F670" s="654"/>
      <c r="U670" s="654"/>
    </row>
    <row r="671" spans="2:23" ht="18" customHeight="1" x14ac:dyDescent="0.25">
      <c r="B671" s="341" t="str">
        <f>+$B$8</f>
        <v>SPONSOR:  MATTHEW A. TROXLE</v>
      </c>
      <c r="C671" s="82"/>
      <c r="D671" s="875"/>
      <c r="F671" s="654"/>
      <c r="U671" s="654"/>
    </row>
    <row r="672" spans="2:23" ht="18" customHeight="1" thickBot="1" x14ac:dyDescent="0.3">
      <c r="B672" s="345"/>
      <c r="C672" s="843"/>
      <c r="D672" s="876"/>
      <c r="F672" s="654"/>
      <c r="U672" s="654"/>
    </row>
    <row r="673" spans="2:23" ht="18" customHeight="1" thickBot="1" x14ac:dyDescent="0.25">
      <c r="B673" s="655"/>
      <c r="C673" s="656"/>
      <c r="D673" s="656"/>
      <c r="E673" s="656"/>
      <c r="F673" s="655"/>
      <c r="G673" s="656"/>
      <c r="H673" s="656"/>
      <c r="I673" s="656"/>
      <c r="J673" s="657"/>
      <c r="K673" s="657"/>
      <c r="L673" s="656"/>
      <c r="M673" s="657"/>
      <c r="N673" s="657"/>
      <c r="O673" s="657"/>
      <c r="P673" s="657"/>
      <c r="Q673" s="656"/>
      <c r="R673" s="658" t="str">
        <f>R$10</f>
        <v xml:space="preserve"> </v>
      </c>
      <c r="S673" s="659"/>
      <c r="T673" s="657"/>
      <c r="U673" s="655"/>
    </row>
    <row r="674" spans="2:23" ht="18" customHeight="1" x14ac:dyDescent="0.25">
      <c r="B674" s="660" t="s">
        <v>2</v>
      </c>
      <c r="C674" s="660" t="s">
        <v>349</v>
      </c>
      <c r="D674" s="226" t="s">
        <v>581</v>
      </c>
      <c r="E674" s="660" t="s">
        <v>350</v>
      </c>
      <c r="F674" s="226" t="str">
        <f>F$11</f>
        <v>MET</v>
      </c>
      <c r="G674" s="661" t="s">
        <v>688</v>
      </c>
      <c r="H674" s="661" t="s">
        <v>355</v>
      </c>
      <c r="I674" s="660"/>
      <c r="J674" s="661" t="s">
        <v>679</v>
      </c>
      <c r="K674" s="661" t="s">
        <v>388</v>
      </c>
      <c r="L674" s="660" t="s">
        <v>388</v>
      </c>
      <c r="M674" s="661" t="s">
        <v>389</v>
      </c>
      <c r="N674" s="661" t="s">
        <v>389</v>
      </c>
      <c r="O674" s="661" t="s">
        <v>389</v>
      </c>
      <c r="P674" s="661" t="s">
        <v>390</v>
      </c>
      <c r="Q674" s="660" t="s">
        <v>391</v>
      </c>
      <c r="R674" s="662" t="str">
        <f>R$11</f>
        <v>Wholesale</v>
      </c>
      <c r="S674" s="655" t="str">
        <f>S$11</f>
        <v>Wholesale</v>
      </c>
      <c r="T674" s="661"/>
      <c r="U674" s="660" t="s">
        <v>10</v>
      </c>
    </row>
    <row r="675" spans="2:23" ht="18" customHeight="1" x14ac:dyDescent="0.2">
      <c r="B675" s="660"/>
      <c r="C675" s="660"/>
      <c r="D675" s="660"/>
      <c r="E675" s="660"/>
      <c r="F675" s="660"/>
      <c r="G675" s="661" t="s">
        <v>689</v>
      </c>
      <c r="H675" s="661" t="s">
        <v>690</v>
      </c>
      <c r="I675" s="660"/>
      <c r="J675" s="661"/>
      <c r="K675" s="661" t="s">
        <v>680</v>
      </c>
      <c r="L675" s="660" t="s">
        <v>681</v>
      </c>
      <c r="M675" s="661" t="s">
        <v>680</v>
      </c>
      <c r="N675" s="661" t="s">
        <v>681</v>
      </c>
      <c r="O675" s="661" t="s">
        <v>393</v>
      </c>
      <c r="P675" s="661"/>
      <c r="Q675" s="660"/>
      <c r="R675" s="663" t="str">
        <f>R$12</f>
        <v>XFMR</v>
      </c>
      <c r="S675" s="660" t="str">
        <f>S$12</f>
        <v>DLS</v>
      </c>
      <c r="T675" s="661"/>
      <c r="U675" s="660"/>
    </row>
    <row r="676" spans="2:23" ht="18" customHeight="1" thickBot="1" x14ac:dyDescent="0.25">
      <c r="B676" s="664"/>
      <c r="C676" s="664"/>
      <c r="D676" s="664"/>
      <c r="E676" s="664"/>
      <c r="F676" s="664" t="s">
        <v>13</v>
      </c>
      <c r="G676" s="664" t="s">
        <v>14</v>
      </c>
      <c r="H676" s="664" t="s">
        <v>15</v>
      </c>
      <c r="I676" s="664"/>
      <c r="J676" s="665" t="str">
        <f t="shared" ref="J676:Q676" si="241">J$13</f>
        <v>(d)</v>
      </c>
      <c r="K676" s="665" t="str">
        <f t="shared" si="241"/>
        <v>(e)</v>
      </c>
      <c r="L676" s="664" t="str">
        <f t="shared" si="241"/>
        <v>(f)</v>
      </c>
      <c r="M676" s="665" t="str">
        <f t="shared" si="241"/>
        <v>(g)</v>
      </c>
      <c r="N676" s="665" t="str">
        <f t="shared" si="241"/>
        <v>(h)</v>
      </c>
      <c r="O676" s="665" t="str">
        <f>O$13</f>
        <v>(i)</v>
      </c>
      <c r="P676" s="665" t="str">
        <f t="shared" si="241"/>
        <v>(j)</v>
      </c>
      <c r="Q676" s="665" t="str">
        <f t="shared" si="241"/>
        <v>(k)</v>
      </c>
      <c r="R676" s="665" t="str">
        <f>R$13</f>
        <v>(l)</v>
      </c>
      <c r="S676" s="664" t="str">
        <f>S$13</f>
        <v>(m)</v>
      </c>
      <c r="T676" s="664"/>
      <c r="U676" s="664" t="s">
        <v>683</v>
      </c>
    </row>
    <row r="677" spans="2:23" ht="18" customHeight="1" x14ac:dyDescent="0.2">
      <c r="B677" s="620"/>
      <c r="C677" s="666"/>
      <c r="D677" s="666"/>
      <c r="E677" s="666"/>
      <c r="F677" s="666"/>
      <c r="G677" s="666"/>
      <c r="H677" s="666"/>
      <c r="I677" s="666"/>
      <c r="J677" s="666"/>
      <c r="K677" s="666"/>
      <c r="L677" s="666"/>
      <c r="M677" s="666"/>
      <c r="N677" s="666"/>
      <c r="O677" s="666"/>
      <c r="P677" s="666"/>
      <c r="Q677" s="666"/>
      <c r="R677" s="666"/>
      <c r="S677" s="666"/>
      <c r="T677" s="666"/>
      <c r="U677" s="611"/>
    </row>
    <row r="678" spans="2:23" ht="18" customHeight="1" x14ac:dyDescent="0.25">
      <c r="B678" s="645">
        <f t="shared" ref="B678:B709" si="242">B677+1</f>
        <v>1</v>
      </c>
      <c r="C678" s="8" t="s">
        <v>581</v>
      </c>
      <c r="D678" s="8"/>
      <c r="E678" s="1571"/>
      <c r="F678" s="8"/>
      <c r="G678" s="1571"/>
      <c r="H678" s="1571"/>
      <c r="I678" s="1571"/>
      <c r="J678" s="1571"/>
      <c r="K678" s="1571"/>
      <c r="L678" s="1571"/>
      <c r="M678" s="1571"/>
      <c r="N678" s="1571"/>
      <c r="O678" s="1571"/>
      <c r="P678" s="1571"/>
      <c r="Q678" s="1571"/>
      <c r="R678" s="1571"/>
      <c r="S678" s="1571"/>
      <c r="T678" s="1571"/>
      <c r="U678" s="8"/>
    </row>
    <row r="679" spans="2:23" ht="18" customHeight="1" x14ac:dyDescent="0.25">
      <c r="B679" s="645">
        <f t="shared" si="242"/>
        <v>2</v>
      </c>
      <c r="C679" s="8"/>
      <c r="D679" s="301" t="s">
        <v>576</v>
      </c>
      <c r="E679" s="1571" t="s">
        <v>143</v>
      </c>
      <c r="F679" s="8"/>
      <c r="G679" s="1571"/>
      <c r="H679" s="1571"/>
      <c r="I679" s="1571"/>
      <c r="J679" s="1571"/>
      <c r="K679" s="1571"/>
      <c r="L679" s="1571"/>
      <c r="M679" s="1571"/>
      <c r="N679" s="1571"/>
      <c r="O679" s="1571"/>
      <c r="P679" s="1571"/>
      <c r="Q679" s="1571"/>
      <c r="R679" s="1571"/>
      <c r="S679" s="1571"/>
      <c r="T679" s="1571"/>
      <c r="U679" s="8"/>
    </row>
    <row r="680" spans="2:23" ht="18" customHeight="1" x14ac:dyDescent="0.2">
      <c r="B680" s="645">
        <f t="shared" si="242"/>
        <v>3</v>
      </c>
      <c r="C680" s="647" t="s">
        <v>174</v>
      </c>
      <c r="D680" s="650" t="s">
        <v>145</v>
      </c>
      <c r="F680" s="646">
        <f>' WP II-I-1.4'!H680</f>
        <v>651135.68000000005</v>
      </c>
      <c r="G680" s="1593">
        <v>71</v>
      </c>
      <c r="H680" s="620" t="str">
        <f t="shared" ref="H680:H689" si="243">VLOOKUP(G680,FactorTable,2)</f>
        <v>DIST OPS</v>
      </c>
      <c r="I680" s="571"/>
      <c r="J680" s="648">
        <f t="shared" ref="J680:S689" si="244">$F680*HLOOKUP(J$1354,FactorTable,$G680+1)</f>
        <v>339921.1321036283</v>
      </c>
      <c r="K680" s="648">
        <f t="shared" si="244"/>
        <v>47685.863065294456</v>
      </c>
      <c r="L680" s="648">
        <f t="shared" si="244"/>
        <v>187533.02019800842</v>
      </c>
      <c r="M680" s="648">
        <f t="shared" si="244"/>
        <v>7897.4006543742953</v>
      </c>
      <c r="N680" s="648">
        <f t="shared" si="244"/>
        <v>60814.154072890204</v>
      </c>
      <c r="O680" s="648">
        <f t="shared" si="244"/>
        <v>1995.4460902107019</v>
      </c>
      <c r="P680" s="648">
        <f t="shared" si="244"/>
        <v>4162.2801881695632</v>
      </c>
      <c r="Q680" s="648">
        <f t="shared" si="244"/>
        <v>346.62247379657526</v>
      </c>
      <c r="R680" s="648">
        <f t="shared" si="244"/>
        <v>220.35600996191803</v>
      </c>
      <c r="S680" s="648">
        <f t="shared" si="244"/>
        <v>559.40514366552452</v>
      </c>
      <c r="T680" s="571"/>
      <c r="U680" s="646">
        <f t="shared" ref="U680:U690" si="245">SUM(I680:T680)</f>
        <v>651135.67999999993</v>
      </c>
    </row>
    <row r="681" spans="2:23" ht="18" customHeight="1" x14ac:dyDescent="0.2">
      <c r="B681" s="645">
        <f t="shared" si="242"/>
        <v>4</v>
      </c>
      <c r="C681" s="647" t="s">
        <v>175</v>
      </c>
      <c r="D681" s="647" t="s">
        <v>176</v>
      </c>
      <c r="E681" s="803"/>
      <c r="F681" s="668">
        <f>' WP II-I-1.4'!H681</f>
        <v>0</v>
      </c>
      <c r="G681" s="1592">
        <v>28</v>
      </c>
      <c r="H681" s="620" t="str">
        <f t="shared" si="243"/>
        <v>NCP XHV</v>
      </c>
      <c r="I681" s="803"/>
      <c r="J681" s="648">
        <f t="shared" si="244"/>
        <v>0</v>
      </c>
      <c r="K681" s="648">
        <f t="shared" si="244"/>
        <v>0</v>
      </c>
      <c r="L681" s="648">
        <f t="shared" si="244"/>
        <v>0</v>
      </c>
      <c r="M681" s="648">
        <f t="shared" si="244"/>
        <v>0</v>
      </c>
      <c r="N681" s="648">
        <f t="shared" si="244"/>
        <v>0</v>
      </c>
      <c r="O681" s="648">
        <f t="shared" si="244"/>
        <v>0</v>
      </c>
      <c r="P681" s="648">
        <f t="shared" si="244"/>
        <v>0</v>
      </c>
      <c r="Q681" s="648">
        <f t="shared" si="244"/>
        <v>0</v>
      </c>
      <c r="R681" s="648">
        <f t="shared" si="244"/>
        <v>0</v>
      </c>
      <c r="S681" s="648">
        <f t="shared" si="244"/>
        <v>0</v>
      </c>
      <c r="T681" s="803"/>
      <c r="U681" s="646">
        <f t="shared" si="245"/>
        <v>0</v>
      </c>
      <c r="W681" s="646">
        <f t="shared" ref="W681:W692" si="246">U681-F681</f>
        <v>0</v>
      </c>
    </row>
    <row r="682" spans="2:23" ht="18" customHeight="1" x14ac:dyDescent="0.2">
      <c r="B682" s="645">
        <f t="shared" si="242"/>
        <v>5</v>
      </c>
      <c r="C682" s="647" t="s">
        <v>177</v>
      </c>
      <c r="D682" s="647" t="s">
        <v>149</v>
      </c>
      <c r="E682" s="803"/>
      <c r="F682" s="668">
        <f>' WP II-I-1.4'!H682</f>
        <v>0</v>
      </c>
      <c r="G682" s="1592">
        <v>44</v>
      </c>
      <c r="H682" s="620" t="str">
        <f t="shared" si="243"/>
        <v>PLT 362</v>
      </c>
      <c r="I682" s="803"/>
      <c r="J682" s="648">
        <f t="shared" si="244"/>
        <v>0</v>
      </c>
      <c r="K682" s="648">
        <f t="shared" si="244"/>
        <v>0</v>
      </c>
      <c r="L682" s="648">
        <f t="shared" si="244"/>
        <v>0</v>
      </c>
      <c r="M682" s="648">
        <f t="shared" si="244"/>
        <v>0</v>
      </c>
      <c r="N682" s="648">
        <f t="shared" si="244"/>
        <v>0</v>
      </c>
      <c r="O682" s="648">
        <f t="shared" si="244"/>
        <v>0</v>
      </c>
      <c r="P682" s="648">
        <f t="shared" si="244"/>
        <v>0</v>
      </c>
      <c r="Q682" s="648">
        <f t="shared" si="244"/>
        <v>0</v>
      </c>
      <c r="R682" s="648">
        <f t="shared" si="244"/>
        <v>0</v>
      </c>
      <c r="S682" s="648">
        <f t="shared" si="244"/>
        <v>0</v>
      </c>
      <c r="T682" s="803"/>
      <c r="U682" s="646">
        <f t="shared" si="245"/>
        <v>0</v>
      </c>
      <c r="W682" s="646">
        <f t="shared" si="246"/>
        <v>0</v>
      </c>
    </row>
    <row r="683" spans="2:23" ht="18" customHeight="1" x14ac:dyDescent="0.2">
      <c r="B683" s="645">
        <f t="shared" si="242"/>
        <v>6</v>
      </c>
      <c r="C683" s="647" t="s">
        <v>178</v>
      </c>
      <c r="D683" s="647" t="s">
        <v>151</v>
      </c>
      <c r="E683" s="803"/>
      <c r="F683" s="668">
        <f>' WP II-I-1.4'!H683</f>
        <v>13591.19</v>
      </c>
      <c r="G683" s="1592">
        <v>51</v>
      </c>
      <c r="H683" s="620" t="str">
        <f t="shared" si="243"/>
        <v>PLT 370</v>
      </c>
      <c r="I683" s="803"/>
      <c r="J683" s="648">
        <f t="shared" si="244"/>
        <v>7095.1920365284104</v>
      </c>
      <c r="K683" s="648">
        <f t="shared" si="244"/>
        <v>995.3495794216027</v>
      </c>
      <c r="L683" s="648">
        <f t="shared" si="244"/>
        <v>3914.3867969037883</v>
      </c>
      <c r="M683" s="648">
        <f t="shared" si="244"/>
        <v>164.8428677717759</v>
      </c>
      <c r="N683" s="648">
        <f t="shared" si="244"/>
        <v>1269.3771023174843</v>
      </c>
      <c r="O683" s="648">
        <f t="shared" si="244"/>
        <v>41.65105335160068</v>
      </c>
      <c r="P683" s="648">
        <f t="shared" si="244"/>
        <v>86.879497788614941</v>
      </c>
      <c r="Q683" s="648">
        <f t="shared" si="244"/>
        <v>7.235069501396814</v>
      </c>
      <c r="R683" s="648">
        <f t="shared" si="244"/>
        <v>4.5995028241031441</v>
      </c>
      <c r="S683" s="648">
        <f t="shared" si="244"/>
        <v>11.676493591221172</v>
      </c>
      <c r="T683" s="803"/>
      <c r="U683" s="646">
        <f t="shared" si="245"/>
        <v>13591.190000000002</v>
      </c>
      <c r="W683" s="646">
        <f t="shared" si="246"/>
        <v>0</v>
      </c>
    </row>
    <row r="684" spans="2:23" ht="18" customHeight="1" x14ac:dyDescent="0.2">
      <c r="B684" s="645">
        <f t="shared" si="242"/>
        <v>7</v>
      </c>
      <c r="C684" s="647" t="s">
        <v>179</v>
      </c>
      <c r="D684" s="647" t="s">
        <v>153</v>
      </c>
      <c r="E684" s="803"/>
      <c r="F684" s="668">
        <f>' WP II-I-1.4'!H684</f>
        <v>18527.89</v>
      </c>
      <c r="G684" s="1592">
        <v>51</v>
      </c>
      <c r="H684" s="620" t="str">
        <f t="shared" si="243"/>
        <v>PLT 370</v>
      </c>
      <c r="I684" s="803"/>
      <c r="J684" s="648">
        <f t="shared" si="244"/>
        <v>9672.3640521304151</v>
      </c>
      <c r="K684" s="648">
        <f t="shared" si="244"/>
        <v>1356.8883607005507</v>
      </c>
      <c r="L684" s="648">
        <f t="shared" si="244"/>
        <v>5336.2014651024465</v>
      </c>
      <c r="M684" s="648">
        <f t="shared" si="244"/>
        <v>224.71840371299413</v>
      </c>
      <c r="N684" s="648">
        <f t="shared" si="244"/>
        <v>1730.4503373330144</v>
      </c>
      <c r="O684" s="648">
        <f t="shared" si="244"/>
        <v>56.779879825283047</v>
      </c>
      <c r="P684" s="648">
        <f t="shared" si="244"/>
        <v>118.43655914476221</v>
      </c>
      <c r="Q684" s="648">
        <f t="shared" si="244"/>
        <v>9.8630489209727052</v>
      </c>
      <c r="R684" s="648">
        <f t="shared" si="244"/>
        <v>6.2701707782521181</v>
      </c>
      <c r="S684" s="648">
        <f t="shared" si="244"/>
        <v>15.917722351306312</v>
      </c>
      <c r="T684" s="803"/>
      <c r="U684" s="646">
        <f t="shared" si="245"/>
        <v>18527.889999999996</v>
      </c>
      <c r="W684" s="646">
        <f t="shared" si="246"/>
        <v>0</v>
      </c>
    </row>
    <row r="685" spans="2:23" ht="18" customHeight="1" x14ac:dyDescent="0.2">
      <c r="B685" s="645">
        <f t="shared" si="242"/>
        <v>8</v>
      </c>
      <c r="C685" s="647" t="s">
        <v>180</v>
      </c>
      <c r="D685" s="647" t="s">
        <v>181</v>
      </c>
      <c r="E685" s="803"/>
      <c r="F685" s="668">
        <f>' WP II-I-1.4'!H685</f>
        <v>0</v>
      </c>
      <c r="G685" s="1592">
        <v>33</v>
      </c>
      <c r="H685" s="620" t="str">
        <f t="shared" si="243"/>
        <v>NCP LGT</v>
      </c>
      <c r="I685" s="803"/>
      <c r="J685" s="648">
        <f t="shared" si="244"/>
        <v>0</v>
      </c>
      <c r="K685" s="648">
        <f t="shared" si="244"/>
        <v>0</v>
      </c>
      <c r="L685" s="648">
        <f t="shared" si="244"/>
        <v>0</v>
      </c>
      <c r="M685" s="648">
        <f t="shared" si="244"/>
        <v>0</v>
      </c>
      <c r="N685" s="648">
        <f t="shared" si="244"/>
        <v>0</v>
      </c>
      <c r="O685" s="648">
        <f t="shared" si="244"/>
        <v>0</v>
      </c>
      <c r="P685" s="648">
        <f t="shared" si="244"/>
        <v>0</v>
      </c>
      <c r="Q685" s="648">
        <f t="shared" si="244"/>
        <v>0</v>
      </c>
      <c r="R685" s="648">
        <f t="shared" si="244"/>
        <v>0</v>
      </c>
      <c r="S685" s="648">
        <f t="shared" si="244"/>
        <v>0</v>
      </c>
      <c r="T685" s="803"/>
      <c r="U685" s="646">
        <f t="shared" si="245"/>
        <v>0</v>
      </c>
      <c r="W685" s="646">
        <f t="shared" si="246"/>
        <v>0</v>
      </c>
    </row>
    <row r="686" spans="2:23" ht="18" customHeight="1" x14ac:dyDescent="0.2">
      <c r="B686" s="645">
        <f t="shared" si="242"/>
        <v>9</v>
      </c>
      <c r="C686" s="647" t="s">
        <v>182</v>
      </c>
      <c r="D686" s="647" t="s">
        <v>183</v>
      </c>
      <c r="E686" s="803"/>
      <c r="F686" s="668">
        <f>' WP II-I-1.4'!H686</f>
        <v>35005008.409999996</v>
      </c>
      <c r="G686" s="1592">
        <v>6</v>
      </c>
      <c r="H686" s="620" t="str">
        <f t="shared" si="243"/>
        <v>CUS W ALL</v>
      </c>
      <c r="I686" s="803"/>
      <c r="J686" s="648">
        <f t="shared" si="244"/>
        <v>18274136.18007268</v>
      </c>
      <c r="K686" s="648">
        <f t="shared" si="244"/>
        <v>2563588.6481274385</v>
      </c>
      <c r="L686" s="648">
        <f t="shared" si="244"/>
        <v>10081761.9903489</v>
      </c>
      <c r="M686" s="648">
        <f t="shared" si="244"/>
        <v>424563.70433196303</v>
      </c>
      <c r="N686" s="648">
        <f t="shared" si="244"/>
        <v>3269364.6503422409</v>
      </c>
      <c r="O686" s="648">
        <f t="shared" si="244"/>
        <v>107275.04161579232</v>
      </c>
      <c r="P686" s="648">
        <f t="shared" si="244"/>
        <v>223763.89048692881</v>
      </c>
      <c r="Q686" s="648">
        <f t="shared" si="244"/>
        <v>18634.399838669753</v>
      </c>
      <c r="R686" s="648">
        <f t="shared" si="244"/>
        <v>11846.32361401388</v>
      </c>
      <c r="S686" s="648">
        <f t="shared" si="244"/>
        <v>30073.58122136533</v>
      </c>
      <c r="T686" s="803"/>
      <c r="U686" s="646">
        <f t="shared" si="245"/>
        <v>35005008.409999989</v>
      </c>
      <c r="W686" s="646">
        <f t="shared" si="246"/>
        <v>0</v>
      </c>
    </row>
    <row r="687" spans="2:23" ht="18" customHeight="1" x14ac:dyDescent="0.2">
      <c r="B687" s="645">
        <f t="shared" si="242"/>
        <v>10</v>
      </c>
      <c r="C687" s="647" t="s">
        <v>184</v>
      </c>
      <c r="D687" s="647" t="s">
        <v>185</v>
      </c>
      <c r="E687" s="803"/>
      <c r="F687" s="668">
        <f>' WP II-I-1.4'!H687</f>
        <v>0</v>
      </c>
      <c r="G687" s="1592">
        <v>8</v>
      </c>
      <c r="H687" s="620" t="str">
        <f t="shared" si="243"/>
        <v>CUS W RTL</v>
      </c>
      <c r="I687" s="803"/>
      <c r="J687" s="648">
        <f t="shared" si="244"/>
        <v>0</v>
      </c>
      <c r="K687" s="648">
        <f t="shared" si="244"/>
        <v>0</v>
      </c>
      <c r="L687" s="648">
        <f t="shared" si="244"/>
        <v>0</v>
      </c>
      <c r="M687" s="648">
        <f t="shared" si="244"/>
        <v>0</v>
      </c>
      <c r="N687" s="648">
        <f t="shared" si="244"/>
        <v>0</v>
      </c>
      <c r="O687" s="648">
        <f t="shared" si="244"/>
        <v>0</v>
      </c>
      <c r="P687" s="648">
        <f t="shared" si="244"/>
        <v>0</v>
      </c>
      <c r="Q687" s="648">
        <f t="shared" si="244"/>
        <v>0</v>
      </c>
      <c r="R687" s="648">
        <f t="shared" si="244"/>
        <v>0</v>
      </c>
      <c r="S687" s="648">
        <f t="shared" si="244"/>
        <v>0</v>
      </c>
      <c r="T687" s="803"/>
      <c r="U687" s="646">
        <f t="shared" si="245"/>
        <v>0</v>
      </c>
      <c r="W687" s="646">
        <f t="shared" si="246"/>
        <v>0</v>
      </c>
    </row>
    <row r="688" spans="2:23" ht="18" customHeight="1" x14ac:dyDescent="0.2">
      <c r="B688" s="645">
        <f t="shared" si="242"/>
        <v>11</v>
      </c>
      <c r="C688" s="647" t="s">
        <v>186</v>
      </c>
      <c r="D688" s="647" t="s">
        <v>187</v>
      </c>
      <c r="E688" s="803"/>
      <c r="F688" s="668">
        <f>' WP II-I-1.4'!H688</f>
        <v>2054606.74</v>
      </c>
      <c r="G688" s="1592">
        <v>71</v>
      </c>
      <c r="H688" s="620" t="str">
        <f t="shared" si="243"/>
        <v>DIST OPS</v>
      </c>
      <c r="I688" s="803"/>
      <c r="J688" s="648">
        <f t="shared" si="244"/>
        <v>1072594.0392155212</v>
      </c>
      <c r="K688" s="648">
        <f t="shared" si="244"/>
        <v>150468.94013958971</v>
      </c>
      <c r="L688" s="648">
        <f t="shared" si="244"/>
        <v>591745.49806790531</v>
      </c>
      <c r="M688" s="648">
        <f t="shared" si="244"/>
        <v>24919.61830897953</v>
      </c>
      <c r="N688" s="648">
        <f t="shared" si="244"/>
        <v>191894.21603429664</v>
      </c>
      <c r="O688" s="648">
        <f t="shared" si="244"/>
        <v>6296.4710922515496</v>
      </c>
      <c r="P688" s="648">
        <f t="shared" si="244"/>
        <v>13133.743382610597</v>
      </c>
      <c r="Q688" s="648">
        <f t="shared" si="244"/>
        <v>1093.7395888026238</v>
      </c>
      <c r="R688" s="648">
        <f t="shared" si="244"/>
        <v>695.31582613820808</v>
      </c>
      <c r="S688" s="648">
        <f t="shared" si="244"/>
        <v>1765.1583439043841</v>
      </c>
      <c r="T688" s="803"/>
      <c r="U688" s="646">
        <f t="shared" si="245"/>
        <v>2054606.7399999998</v>
      </c>
      <c r="W688" s="646">
        <f t="shared" si="246"/>
        <v>0</v>
      </c>
    </row>
    <row r="689" spans="2:23" ht="18" customHeight="1" x14ac:dyDescent="0.2">
      <c r="B689" s="645">
        <f t="shared" si="242"/>
        <v>12</v>
      </c>
      <c r="C689" s="647" t="s">
        <v>188</v>
      </c>
      <c r="D689" s="647" t="s">
        <v>189</v>
      </c>
      <c r="E689" s="803"/>
      <c r="F689" s="668">
        <f>' WP II-I-1.4'!H689</f>
        <v>0</v>
      </c>
      <c r="G689" s="1592">
        <v>30</v>
      </c>
      <c r="H689" s="620" t="str">
        <f t="shared" si="243"/>
        <v>NCP XSS</v>
      </c>
      <c r="I689" s="803"/>
      <c r="J689" s="651">
        <f t="shared" si="244"/>
        <v>0</v>
      </c>
      <c r="K689" s="651">
        <f t="shared" si="244"/>
        <v>0</v>
      </c>
      <c r="L689" s="651">
        <f t="shared" si="244"/>
        <v>0</v>
      </c>
      <c r="M689" s="651">
        <f t="shared" si="244"/>
        <v>0</v>
      </c>
      <c r="N689" s="651">
        <f t="shared" si="244"/>
        <v>0</v>
      </c>
      <c r="O689" s="651">
        <f t="shared" si="244"/>
        <v>0</v>
      </c>
      <c r="P689" s="651">
        <f t="shared" si="244"/>
        <v>0</v>
      </c>
      <c r="Q689" s="651">
        <f t="shared" si="244"/>
        <v>0</v>
      </c>
      <c r="R689" s="651">
        <f t="shared" si="244"/>
        <v>0</v>
      </c>
      <c r="S689" s="651">
        <f t="shared" si="244"/>
        <v>0</v>
      </c>
      <c r="T689" s="803"/>
      <c r="U689" s="646">
        <f t="shared" si="245"/>
        <v>0</v>
      </c>
      <c r="W689" s="646">
        <f t="shared" si="246"/>
        <v>0</v>
      </c>
    </row>
    <row r="690" spans="2:23" ht="18" customHeight="1" x14ac:dyDescent="0.25">
      <c r="B690" s="645">
        <f t="shared" si="242"/>
        <v>13</v>
      </c>
      <c r="C690" s="8"/>
      <c r="D690" s="233" t="s">
        <v>582</v>
      </c>
      <c r="E690" s="1571"/>
      <c r="F690" s="805">
        <f>SUM(F680:F689)</f>
        <v>37742869.909999996</v>
      </c>
      <c r="G690" s="1571"/>
      <c r="H690" s="1571"/>
      <c r="I690" s="1571"/>
      <c r="J690" s="805">
        <f t="shared" ref="J690:Q690" si="247">SUM(J680:J689)</f>
        <v>19703418.907480486</v>
      </c>
      <c r="K690" s="805">
        <f t="shared" si="247"/>
        <v>2764095.6892724452</v>
      </c>
      <c r="L690" s="805">
        <f t="shared" si="247"/>
        <v>10870291.096876821</v>
      </c>
      <c r="M690" s="805">
        <f t="shared" si="247"/>
        <v>457770.28456680162</v>
      </c>
      <c r="N690" s="805">
        <f t="shared" si="247"/>
        <v>3525072.8478890778</v>
      </c>
      <c r="O690" s="805">
        <f>SUM(O680:O689)</f>
        <v>115665.38973143145</v>
      </c>
      <c r="P690" s="805">
        <f t="shared" si="247"/>
        <v>241265.23011464233</v>
      </c>
      <c r="Q690" s="805">
        <f t="shared" si="247"/>
        <v>20091.860019691321</v>
      </c>
      <c r="R690" s="805">
        <f>SUM(R680:R689)</f>
        <v>12772.865123716361</v>
      </c>
      <c r="S690" s="805">
        <f>SUM(S680:S689)</f>
        <v>32425.738924877765</v>
      </c>
      <c r="T690" s="1571"/>
      <c r="U690" s="235">
        <f t="shared" si="245"/>
        <v>37742869.909999989</v>
      </c>
      <c r="W690" s="646">
        <f t="shared" si="246"/>
        <v>0</v>
      </c>
    </row>
    <row r="691" spans="2:23" ht="18" customHeight="1" x14ac:dyDescent="0.25">
      <c r="B691" s="645">
        <f t="shared" si="242"/>
        <v>14</v>
      </c>
      <c r="C691" s="8"/>
      <c r="D691" s="233"/>
      <c r="E691" s="1571"/>
      <c r="F691" s="805"/>
      <c r="G691" s="1571"/>
      <c r="H691" s="1571"/>
      <c r="I691" s="1571"/>
      <c r="J691" s="805"/>
      <c r="K691" s="805"/>
      <c r="L691" s="805"/>
      <c r="M691" s="805"/>
      <c r="N691" s="805"/>
      <c r="O691" s="805"/>
      <c r="P691" s="805"/>
      <c r="Q691" s="805"/>
      <c r="R691" s="805"/>
      <c r="S691" s="805"/>
      <c r="T691" s="1571"/>
      <c r="U691" s="235"/>
      <c r="W691" s="646">
        <f t="shared" si="246"/>
        <v>0</v>
      </c>
    </row>
    <row r="692" spans="2:23" ht="18" customHeight="1" x14ac:dyDescent="0.25">
      <c r="B692" s="645">
        <f t="shared" si="242"/>
        <v>15</v>
      </c>
      <c r="C692" s="8"/>
      <c r="D692" s="233" t="s">
        <v>583</v>
      </c>
      <c r="E692" s="1571"/>
      <c r="F692" s="805">
        <f>SUM(F681:F687)+F689</f>
        <v>35037127.489999995</v>
      </c>
      <c r="G692" s="1571"/>
      <c r="H692" s="1571"/>
      <c r="I692" s="1571"/>
      <c r="J692" s="805">
        <f t="shared" ref="J692:Q692" si="248">SUM(J681:J687)+J689</f>
        <v>18290903.73616134</v>
      </c>
      <c r="K692" s="805">
        <f t="shared" si="248"/>
        <v>2565940.8860675609</v>
      </c>
      <c r="L692" s="805">
        <f t="shared" si="248"/>
        <v>10091012.578610906</v>
      </c>
      <c r="M692" s="805">
        <f t="shared" si="248"/>
        <v>424953.2656034478</v>
      </c>
      <c r="N692" s="805">
        <f t="shared" si="248"/>
        <v>3272364.4777818914</v>
      </c>
      <c r="O692" s="805">
        <f>SUM(O681:O687)+O689</f>
        <v>107373.47254896921</v>
      </c>
      <c r="P692" s="805">
        <f t="shared" si="248"/>
        <v>223969.20654386218</v>
      </c>
      <c r="Q692" s="805">
        <f t="shared" si="248"/>
        <v>18651.497957092124</v>
      </c>
      <c r="R692" s="805">
        <f>SUM(R681:R687)+R689</f>
        <v>11857.193287616235</v>
      </c>
      <c r="S692" s="805">
        <f>SUM(S681:S687)+S689</f>
        <v>30101.175437307858</v>
      </c>
      <c r="T692" s="1571"/>
      <c r="U692" s="235">
        <f>SUM(I692:T692)</f>
        <v>35037127.490000002</v>
      </c>
      <c r="W692" s="646">
        <f t="shared" si="246"/>
        <v>0</v>
      </c>
    </row>
    <row r="693" spans="2:23" ht="9.6" customHeight="1" x14ac:dyDescent="0.2">
      <c r="B693" s="645">
        <f t="shared" si="242"/>
        <v>16</v>
      </c>
      <c r="C693" s="647"/>
      <c r="D693" s="1590"/>
      <c r="E693" s="645"/>
      <c r="F693" s="803"/>
      <c r="G693" s="645"/>
      <c r="H693" s="645"/>
      <c r="I693" s="645"/>
      <c r="J693" s="645"/>
      <c r="K693" s="645"/>
      <c r="L693" s="645"/>
      <c r="M693" s="645"/>
      <c r="N693" s="645"/>
      <c r="O693" s="645"/>
      <c r="P693" s="645"/>
      <c r="Q693" s="645"/>
      <c r="R693" s="645"/>
      <c r="S693" s="645"/>
      <c r="T693" s="645"/>
      <c r="U693" s="647"/>
    </row>
    <row r="694" spans="2:23" ht="12.6" customHeight="1" x14ac:dyDescent="0.25">
      <c r="B694" s="645">
        <f t="shared" si="242"/>
        <v>17</v>
      </c>
      <c r="C694" s="301"/>
      <c r="D694" s="8"/>
      <c r="E694" s="1571"/>
      <c r="F694" s="805"/>
      <c r="G694" s="1571"/>
      <c r="H694" s="1571"/>
      <c r="I694" s="1571"/>
      <c r="J694" s="1571"/>
      <c r="K694" s="1571"/>
      <c r="L694" s="1571"/>
      <c r="M694" s="1571"/>
      <c r="N694" s="1571"/>
      <c r="O694" s="1571"/>
      <c r="P694" s="1571"/>
      <c r="Q694" s="1571"/>
      <c r="R694" s="1571"/>
      <c r="S694" s="1571"/>
      <c r="T694" s="1571"/>
      <c r="U694" s="8"/>
    </row>
    <row r="695" spans="2:23" ht="18" customHeight="1" x14ac:dyDescent="0.25">
      <c r="B695" s="645">
        <f t="shared" si="242"/>
        <v>18</v>
      </c>
      <c r="C695" s="8"/>
      <c r="D695" s="301" t="s">
        <v>578</v>
      </c>
      <c r="E695" s="1571" t="s">
        <v>143</v>
      </c>
      <c r="F695" s="805"/>
      <c r="G695" s="1571"/>
      <c r="H695" s="1571"/>
      <c r="I695" s="1571"/>
      <c r="J695" s="1571"/>
      <c r="K695" s="1571"/>
      <c r="L695" s="1571"/>
      <c r="M695" s="1571"/>
      <c r="N695" s="1571"/>
      <c r="O695" s="1571"/>
      <c r="P695" s="1571"/>
      <c r="Q695" s="1571"/>
      <c r="R695" s="1571"/>
      <c r="S695" s="1571"/>
      <c r="T695" s="1571"/>
      <c r="U695" s="8"/>
    </row>
    <row r="696" spans="2:23" ht="18" customHeight="1" x14ac:dyDescent="0.2">
      <c r="B696" s="645">
        <f t="shared" si="242"/>
        <v>19</v>
      </c>
      <c r="C696" s="647" t="s">
        <v>191</v>
      </c>
      <c r="D696" s="647" t="s">
        <v>162</v>
      </c>
      <c r="E696" s="645"/>
      <c r="F696" s="646">
        <f>' WP II-I-1.4'!H696</f>
        <v>675219.36000000022</v>
      </c>
      <c r="G696" s="645">
        <v>72</v>
      </c>
      <c r="H696" s="620" t="str">
        <f t="shared" ref="H696:H704" si="249">VLOOKUP(G696,FactorTable,2)</f>
        <v>DIST MAINT</v>
      </c>
      <c r="I696" s="645"/>
      <c r="J696" s="648">
        <f t="shared" ref="J696:S704" ca="1" si="250">$F696*HLOOKUP(J$1354,FactorTable,$G696+1)</f>
        <v>352163.02303884376</v>
      </c>
      <c r="K696" s="648">
        <f t="shared" ca="1" si="250"/>
        <v>49403.217709250479</v>
      </c>
      <c r="L696" s="648">
        <f t="shared" ca="1" si="250"/>
        <v>194286.81854472525</v>
      </c>
      <c r="M696" s="648">
        <f t="shared" ca="1" si="250"/>
        <v>8181.8169743725375</v>
      </c>
      <c r="N696" s="648">
        <f t="shared" ca="1" si="250"/>
        <v>63004.309880122441</v>
      </c>
      <c r="O696" s="648">
        <f t="shared" ca="1" si="250"/>
        <v>2067.3099171292779</v>
      </c>
      <c r="P696" s="648">
        <f t="shared" ca="1" si="250"/>
        <v>4312.180195238986</v>
      </c>
      <c r="Q696" s="648">
        <f t="shared" ca="1" si="250"/>
        <v>992.84033437718085</v>
      </c>
      <c r="R696" s="648">
        <f t="shared" ca="1" si="250"/>
        <v>228.29189268912285</v>
      </c>
      <c r="S696" s="648">
        <f t="shared" ca="1" si="250"/>
        <v>579.55151325123245</v>
      </c>
      <c r="T696" s="645"/>
      <c r="U696" s="646">
        <f t="shared" ref="U696:U705" ca="1" si="251">SUM(I696:T696)</f>
        <v>675219.3600000001</v>
      </c>
      <c r="W696" s="646">
        <f ca="1">U696-F696</f>
        <v>0</v>
      </c>
    </row>
    <row r="697" spans="2:23" ht="18" customHeight="1" x14ac:dyDescent="0.2">
      <c r="B697" s="645">
        <f t="shared" si="242"/>
        <v>20</v>
      </c>
      <c r="C697" s="647" t="s">
        <v>192</v>
      </c>
      <c r="D697" s="649" t="s">
        <v>164</v>
      </c>
      <c r="E697" s="645"/>
      <c r="F697" s="646">
        <f>' WP II-I-1.4'!H697</f>
        <v>0</v>
      </c>
      <c r="G697" s="645">
        <v>43</v>
      </c>
      <c r="H697" s="620" t="str">
        <f t="shared" si="249"/>
        <v>PLT 361</v>
      </c>
      <c r="I697" s="645"/>
      <c r="J697" s="648">
        <f t="shared" ca="1" si="250"/>
        <v>0</v>
      </c>
      <c r="K697" s="648">
        <f t="shared" ca="1" si="250"/>
        <v>0</v>
      </c>
      <c r="L697" s="648">
        <f t="shared" ca="1" si="250"/>
        <v>0</v>
      </c>
      <c r="M697" s="648">
        <f t="shared" ca="1" si="250"/>
        <v>0</v>
      </c>
      <c r="N697" s="648">
        <f t="shared" ca="1" si="250"/>
        <v>0</v>
      </c>
      <c r="O697" s="648">
        <f t="shared" ca="1" si="250"/>
        <v>0</v>
      </c>
      <c r="P697" s="648">
        <f t="shared" ca="1" si="250"/>
        <v>0</v>
      </c>
      <c r="Q697" s="648">
        <f t="shared" ca="1" si="250"/>
        <v>0</v>
      </c>
      <c r="R697" s="648">
        <f t="shared" ca="1" si="250"/>
        <v>0</v>
      </c>
      <c r="S697" s="648">
        <f t="shared" ca="1" si="250"/>
        <v>0</v>
      </c>
      <c r="T697" s="645"/>
      <c r="U697" s="646">
        <f t="shared" ca="1" si="251"/>
        <v>0</v>
      </c>
      <c r="W697" s="646">
        <f t="shared" ref="W697:W704" ca="1" si="252">U697-F697</f>
        <v>0</v>
      </c>
    </row>
    <row r="698" spans="2:23" ht="18" customHeight="1" x14ac:dyDescent="0.2">
      <c r="B698" s="645">
        <f t="shared" si="242"/>
        <v>21</v>
      </c>
      <c r="C698" s="647" t="s">
        <v>193</v>
      </c>
      <c r="D698" s="647" t="s">
        <v>166</v>
      </c>
      <c r="E698" s="645"/>
      <c r="F698" s="646">
        <f>' WP II-I-1.4'!H698</f>
        <v>0</v>
      </c>
      <c r="G698" s="645">
        <v>44</v>
      </c>
      <c r="H698" s="620" t="str">
        <f t="shared" si="249"/>
        <v>PLT 362</v>
      </c>
      <c r="I698" s="645"/>
      <c r="J698" s="648">
        <f t="shared" si="250"/>
        <v>0</v>
      </c>
      <c r="K698" s="648">
        <f t="shared" si="250"/>
        <v>0</v>
      </c>
      <c r="L698" s="648">
        <f t="shared" si="250"/>
        <v>0</v>
      </c>
      <c r="M698" s="648">
        <f t="shared" si="250"/>
        <v>0</v>
      </c>
      <c r="N698" s="648">
        <f t="shared" si="250"/>
        <v>0</v>
      </c>
      <c r="O698" s="648">
        <f t="shared" si="250"/>
        <v>0</v>
      </c>
      <c r="P698" s="648">
        <f t="shared" si="250"/>
        <v>0</v>
      </c>
      <c r="Q698" s="648">
        <f t="shared" si="250"/>
        <v>0</v>
      </c>
      <c r="R698" s="648">
        <f t="shared" si="250"/>
        <v>0</v>
      </c>
      <c r="S698" s="648">
        <f t="shared" si="250"/>
        <v>0</v>
      </c>
      <c r="T698" s="645"/>
      <c r="U698" s="646">
        <f t="shared" si="251"/>
        <v>0</v>
      </c>
      <c r="W698" s="646">
        <f t="shared" si="252"/>
        <v>0</v>
      </c>
    </row>
    <row r="699" spans="2:23" ht="18" customHeight="1" x14ac:dyDescent="0.2">
      <c r="B699" s="645">
        <f t="shared" si="242"/>
        <v>22</v>
      </c>
      <c r="C699" s="647" t="s">
        <v>194</v>
      </c>
      <c r="D699" s="649" t="s">
        <v>168</v>
      </c>
      <c r="E699" s="645"/>
      <c r="F699" s="646">
        <f>' WP II-I-1.4'!H699</f>
        <v>89014.65</v>
      </c>
      <c r="G699" s="645">
        <v>51</v>
      </c>
      <c r="H699" s="620" t="str">
        <f t="shared" si="249"/>
        <v>PLT 370</v>
      </c>
      <c r="I699" s="645"/>
      <c r="J699" s="648">
        <f t="shared" si="250"/>
        <v>46469.517077927951</v>
      </c>
      <c r="K699" s="648">
        <f t="shared" si="250"/>
        <v>6518.9799009403268</v>
      </c>
      <c r="L699" s="648">
        <f t="shared" si="250"/>
        <v>25637.03183393152</v>
      </c>
      <c r="M699" s="648">
        <f t="shared" si="250"/>
        <v>1079.6280663945474</v>
      </c>
      <c r="N699" s="648">
        <f t="shared" si="250"/>
        <v>8313.7060464024889</v>
      </c>
      <c r="O699" s="648">
        <f t="shared" si="250"/>
        <v>272.79097240374546</v>
      </c>
      <c r="P699" s="648">
        <f t="shared" si="250"/>
        <v>569.01184427775138</v>
      </c>
      <c r="Q699" s="648">
        <f t="shared" si="250"/>
        <v>47.385635797344591</v>
      </c>
      <c r="R699" s="648">
        <f t="shared" si="250"/>
        <v>30.124156461763313</v>
      </c>
      <c r="S699" s="648">
        <f t="shared" si="250"/>
        <v>76.474465462538276</v>
      </c>
      <c r="T699" s="645"/>
      <c r="U699" s="646">
        <f t="shared" si="251"/>
        <v>89014.64999999998</v>
      </c>
      <c r="W699" s="646">
        <f t="shared" si="252"/>
        <v>0</v>
      </c>
    </row>
    <row r="700" spans="2:23" ht="18" customHeight="1" x14ac:dyDescent="0.2">
      <c r="B700" s="645">
        <f t="shared" si="242"/>
        <v>23</v>
      </c>
      <c r="C700" s="647" t="s">
        <v>195</v>
      </c>
      <c r="D700" s="647" t="s">
        <v>170</v>
      </c>
      <c r="E700" s="645"/>
      <c r="F700" s="646">
        <f>' WP II-I-1.4'!H700</f>
        <v>56409.110000000008</v>
      </c>
      <c r="G700" s="645">
        <v>51</v>
      </c>
      <c r="H700" s="620" t="str">
        <f t="shared" si="249"/>
        <v>PLT 370</v>
      </c>
      <c r="I700" s="645"/>
      <c r="J700" s="648">
        <f t="shared" si="250"/>
        <v>29448.007721152833</v>
      </c>
      <c r="K700" s="648">
        <f t="shared" si="250"/>
        <v>4131.1161063929594</v>
      </c>
      <c r="L700" s="648">
        <f t="shared" si="250"/>
        <v>16246.338650927069</v>
      </c>
      <c r="M700" s="648">
        <f t="shared" si="250"/>
        <v>684.16668892522011</v>
      </c>
      <c r="N700" s="648">
        <f t="shared" si="250"/>
        <v>5268.4446760076362</v>
      </c>
      <c r="O700" s="648">
        <f t="shared" si="250"/>
        <v>172.86925207625762</v>
      </c>
      <c r="P700" s="648">
        <f t="shared" si="250"/>
        <v>360.58616997501599</v>
      </c>
      <c r="Q700" s="648">
        <f t="shared" si="250"/>
        <v>30.028557570156703</v>
      </c>
      <c r="R700" s="648">
        <f t="shared" si="250"/>
        <v>19.089856057500846</v>
      </c>
      <c r="S700" s="648">
        <f t="shared" si="250"/>
        <v>48.462320915349594</v>
      </c>
      <c r="T700" s="645"/>
      <c r="U700" s="646">
        <f t="shared" si="251"/>
        <v>56409.110000000008</v>
      </c>
      <c r="W700" s="646">
        <f t="shared" si="252"/>
        <v>0</v>
      </c>
    </row>
    <row r="701" spans="2:23" ht="18" customHeight="1" x14ac:dyDescent="0.2">
      <c r="B701" s="645">
        <f t="shared" si="242"/>
        <v>24</v>
      </c>
      <c r="C701" s="647" t="s">
        <v>196</v>
      </c>
      <c r="D701" s="647" t="s">
        <v>197</v>
      </c>
      <c r="E701" s="645"/>
      <c r="F701" s="646">
        <f>' WP II-I-1.4'!H701</f>
        <v>15.35</v>
      </c>
      <c r="G701" s="645">
        <v>51</v>
      </c>
      <c r="H701" s="620" t="str">
        <f t="shared" si="249"/>
        <v>PLT 370</v>
      </c>
      <c r="I701" s="645"/>
      <c r="J701" s="648">
        <f t="shared" si="250"/>
        <v>8.01336731814588</v>
      </c>
      <c r="K701" s="648">
        <f t="shared" si="250"/>
        <v>1.1241558718641709</v>
      </c>
      <c r="L701" s="648">
        <f t="shared" si="250"/>
        <v>4.4209401334594798</v>
      </c>
      <c r="M701" s="648">
        <f t="shared" si="250"/>
        <v>0.1861748691834019</v>
      </c>
      <c r="N701" s="648">
        <f t="shared" si="250"/>
        <v>1.4336447743408327</v>
      </c>
      <c r="O701" s="648">
        <f t="shared" si="250"/>
        <v>4.7041036800094062E-2</v>
      </c>
      <c r="P701" s="648">
        <f t="shared" si="250"/>
        <v>9.812240804927598E-2</v>
      </c>
      <c r="Q701" s="648">
        <f t="shared" si="250"/>
        <v>8.1713460592075515E-3</v>
      </c>
      <c r="R701" s="648">
        <f t="shared" si="250"/>
        <v>5.1947157202557881E-3</v>
      </c>
      <c r="S701" s="648">
        <f t="shared" si="250"/>
        <v>1.3187526377399256E-2</v>
      </c>
      <c r="T701" s="645"/>
      <c r="U701" s="646">
        <f t="shared" si="251"/>
        <v>15.349999999999996</v>
      </c>
      <c r="W701" s="646">
        <f t="shared" si="252"/>
        <v>0</v>
      </c>
    </row>
    <row r="702" spans="2:23" ht="18" customHeight="1" x14ac:dyDescent="0.2">
      <c r="B702" s="645">
        <f t="shared" si="242"/>
        <v>25</v>
      </c>
      <c r="C702" s="647" t="s">
        <v>198</v>
      </c>
      <c r="D702" s="647" t="s">
        <v>199</v>
      </c>
      <c r="E702" s="645"/>
      <c r="F702" s="646">
        <f>' WP II-I-1.4'!H702</f>
        <v>21695.01</v>
      </c>
      <c r="G702" s="645">
        <v>33</v>
      </c>
      <c r="H702" s="620" t="str">
        <f t="shared" si="249"/>
        <v>NCP LGT</v>
      </c>
      <c r="I702" s="645"/>
      <c r="J702" s="648">
        <f t="shared" si="250"/>
        <v>0</v>
      </c>
      <c r="K702" s="648">
        <f t="shared" si="250"/>
        <v>0</v>
      </c>
      <c r="L702" s="648">
        <f t="shared" si="250"/>
        <v>0</v>
      </c>
      <c r="M702" s="648">
        <f t="shared" si="250"/>
        <v>0</v>
      </c>
      <c r="N702" s="648">
        <f t="shared" si="250"/>
        <v>0</v>
      </c>
      <c r="O702" s="648">
        <f t="shared" si="250"/>
        <v>0</v>
      </c>
      <c r="P702" s="648">
        <f t="shared" si="250"/>
        <v>0</v>
      </c>
      <c r="Q702" s="648">
        <f t="shared" si="250"/>
        <v>21695.01</v>
      </c>
      <c r="R702" s="648">
        <f t="shared" si="250"/>
        <v>0</v>
      </c>
      <c r="S702" s="648">
        <f t="shared" si="250"/>
        <v>0</v>
      </c>
      <c r="T702" s="645"/>
      <c r="U702" s="646">
        <f t="shared" si="251"/>
        <v>21695.01</v>
      </c>
      <c r="W702" s="646">
        <f t="shared" si="252"/>
        <v>0</v>
      </c>
    </row>
    <row r="703" spans="2:23" ht="18" customHeight="1" x14ac:dyDescent="0.2">
      <c r="B703" s="645">
        <f t="shared" si="242"/>
        <v>26</v>
      </c>
      <c r="C703" s="647" t="s">
        <v>200</v>
      </c>
      <c r="D703" s="647" t="s">
        <v>201</v>
      </c>
      <c r="E703" s="645"/>
      <c r="F703" s="646">
        <f>' WP II-I-1.4'!H703</f>
        <v>22948047.090000018</v>
      </c>
      <c r="G703" s="645">
        <v>6</v>
      </c>
      <c r="H703" s="620" t="str">
        <f t="shared" si="249"/>
        <v>CUS W ALL</v>
      </c>
      <c r="I703" s="645"/>
      <c r="J703" s="648">
        <f t="shared" si="250"/>
        <v>11979878.212786892</v>
      </c>
      <c r="K703" s="648">
        <f t="shared" si="250"/>
        <v>1680598.1683413044</v>
      </c>
      <c r="L703" s="648">
        <f t="shared" si="250"/>
        <v>6609247.0595895182</v>
      </c>
      <c r="M703" s="648">
        <f t="shared" si="250"/>
        <v>278328.9684036026</v>
      </c>
      <c r="N703" s="648">
        <f t="shared" si="250"/>
        <v>2143279.9864433799</v>
      </c>
      <c r="O703" s="648">
        <f t="shared" si="250"/>
        <v>70325.728185731743</v>
      </c>
      <c r="P703" s="648">
        <f t="shared" si="250"/>
        <v>146691.70296410308</v>
      </c>
      <c r="Q703" s="648">
        <f t="shared" si="250"/>
        <v>12216.054342370096</v>
      </c>
      <c r="R703" s="648">
        <f t="shared" si="250"/>
        <v>7766.0313333936929</v>
      </c>
      <c r="S703" s="648">
        <f t="shared" si="250"/>
        <v>19715.177609718274</v>
      </c>
      <c r="T703" s="645"/>
      <c r="U703" s="646">
        <f t="shared" si="251"/>
        <v>22948047.090000018</v>
      </c>
      <c r="W703" s="646">
        <f t="shared" si="252"/>
        <v>0</v>
      </c>
    </row>
    <row r="704" spans="2:23" ht="18" customHeight="1" x14ac:dyDescent="0.2">
      <c r="B704" s="645">
        <f t="shared" si="242"/>
        <v>27</v>
      </c>
      <c r="C704" s="647" t="s">
        <v>202</v>
      </c>
      <c r="D704" s="647" t="s">
        <v>203</v>
      </c>
      <c r="E704" s="645"/>
      <c r="F704" s="646">
        <f>' WP II-I-1.4'!H704</f>
        <v>9612.5400000000009</v>
      </c>
      <c r="G704" s="645">
        <v>72</v>
      </c>
      <c r="H704" s="620" t="str">
        <f t="shared" si="249"/>
        <v>DIST MAINT</v>
      </c>
      <c r="I704" s="645"/>
      <c r="J704" s="651">
        <f t="shared" ca="1" si="250"/>
        <v>5013.4539173785042</v>
      </c>
      <c r="K704" s="651">
        <f t="shared" ca="1" si="250"/>
        <v>703.31278172900511</v>
      </c>
      <c r="L704" s="651">
        <f t="shared" ca="1" si="250"/>
        <v>2765.9008692136922</v>
      </c>
      <c r="M704" s="651">
        <f t="shared" ca="1" si="250"/>
        <v>116.47776648293227</v>
      </c>
      <c r="N704" s="651">
        <f t="shared" ca="1" si="250"/>
        <v>896.94029047844845</v>
      </c>
      <c r="O704" s="651">
        <f t="shared" ca="1" si="250"/>
        <v>29.430582782463265</v>
      </c>
      <c r="P704" s="651">
        <f t="shared" ca="1" si="250"/>
        <v>61.388945681211744</v>
      </c>
      <c r="Q704" s="651">
        <f t="shared" ca="1" si="250"/>
        <v>14.134247317514747</v>
      </c>
      <c r="R704" s="651">
        <f t="shared" ca="1" si="250"/>
        <v>3.2500030066523866</v>
      </c>
      <c r="S704" s="651">
        <f t="shared" ca="1" si="250"/>
        <v>8.2505959295776119</v>
      </c>
      <c r="T704" s="645"/>
      <c r="U704" s="646">
        <f t="shared" ca="1" si="251"/>
        <v>9612.5400000000045</v>
      </c>
      <c r="W704" s="646">
        <f t="shared" ca="1" si="252"/>
        <v>0</v>
      </c>
    </row>
    <row r="705" spans="2:23" ht="18" customHeight="1" x14ac:dyDescent="0.25">
      <c r="B705" s="645">
        <f t="shared" si="242"/>
        <v>28</v>
      </c>
      <c r="C705" s="8"/>
      <c r="D705" s="233" t="s">
        <v>584</v>
      </c>
      <c r="E705" s="1571"/>
      <c r="F705" s="805">
        <f>SUM(F696:F704)</f>
        <v>23800013.110000018</v>
      </c>
      <c r="G705" s="1571"/>
      <c r="H705" s="1571"/>
      <c r="I705" s="1571"/>
      <c r="J705" s="805">
        <f t="shared" ref="J705:Q705" ca="1" si="253">SUM(J696:J704)</f>
        <v>12412980.227909513</v>
      </c>
      <c r="K705" s="805">
        <f t="shared" ca="1" si="253"/>
        <v>1741355.9189954891</v>
      </c>
      <c r="L705" s="805">
        <f t="shared" ca="1" si="253"/>
        <v>6848187.5704284497</v>
      </c>
      <c r="M705" s="805">
        <f t="shared" ca="1" si="253"/>
        <v>288391.24407464702</v>
      </c>
      <c r="N705" s="805">
        <f t="shared" ca="1" si="253"/>
        <v>2220764.8209811654</v>
      </c>
      <c r="O705" s="805">
        <f ca="1">SUM(O696:O704)</f>
        <v>72868.175951160287</v>
      </c>
      <c r="P705" s="805">
        <f t="shared" ca="1" si="253"/>
        <v>151994.96824168411</v>
      </c>
      <c r="Q705" s="805">
        <f t="shared" ca="1" si="253"/>
        <v>34995.461288778351</v>
      </c>
      <c r="R705" s="805">
        <f ca="1">SUM(R696:R704)</f>
        <v>8046.792436324452</v>
      </c>
      <c r="S705" s="805">
        <f ca="1">SUM(S696:S704)</f>
        <v>20427.929692803347</v>
      </c>
      <c r="T705" s="1571"/>
      <c r="U705" s="235">
        <f t="shared" ca="1" si="251"/>
        <v>23800013.110000014</v>
      </c>
      <c r="W705" s="646">
        <f ca="1">U705-F705</f>
        <v>0</v>
      </c>
    </row>
    <row r="706" spans="2:23" ht="18" customHeight="1" x14ac:dyDescent="0.2">
      <c r="B706" s="645">
        <f t="shared" si="242"/>
        <v>29</v>
      </c>
      <c r="C706" s="647"/>
      <c r="D706" s="647"/>
      <c r="E706" s="645"/>
      <c r="F706" s="803"/>
      <c r="G706" s="645"/>
      <c r="H706" s="645"/>
      <c r="I706" s="645"/>
      <c r="J706" s="803"/>
      <c r="K706" s="803"/>
      <c r="L706" s="803"/>
      <c r="M706" s="803"/>
      <c r="N706" s="803"/>
      <c r="O706" s="803"/>
      <c r="P706" s="803"/>
      <c r="Q706" s="803"/>
      <c r="R706" s="803"/>
      <c r="S706" s="803"/>
      <c r="T706" s="645"/>
      <c r="U706" s="647"/>
    </row>
    <row r="707" spans="2:23" ht="18" customHeight="1" x14ac:dyDescent="0.25">
      <c r="B707" s="645">
        <f t="shared" si="242"/>
        <v>30</v>
      </c>
      <c r="C707" s="8"/>
      <c r="D707" s="233" t="s">
        <v>585</v>
      </c>
      <c r="E707" s="1571"/>
      <c r="F707" s="805">
        <f>SUM(F697:F703)</f>
        <v>23115181.21000002</v>
      </c>
      <c r="G707" s="1571"/>
      <c r="H707" s="1571"/>
      <c r="I707" s="1571"/>
      <c r="J707" s="805">
        <f t="shared" ref="J707:Q707" ca="1" si="254">SUM(J697:J703)</f>
        <v>12055803.750953291</v>
      </c>
      <c r="K707" s="805">
        <f t="shared" ca="1" si="254"/>
        <v>1691249.3885045096</v>
      </c>
      <c r="L707" s="805">
        <f t="shared" ca="1" si="254"/>
        <v>6651134.8510145107</v>
      </c>
      <c r="M707" s="805">
        <f t="shared" ca="1" si="254"/>
        <v>280092.94933379156</v>
      </c>
      <c r="N707" s="805">
        <f t="shared" ca="1" si="254"/>
        <v>2156863.5708105643</v>
      </c>
      <c r="O707" s="805">
        <f ca="1">SUM(O697:O703)</f>
        <v>70771.435451248544</v>
      </c>
      <c r="P707" s="805">
        <f t="shared" ca="1" si="254"/>
        <v>147621.3991007639</v>
      </c>
      <c r="Q707" s="805">
        <f t="shared" ca="1" si="254"/>
        <v>33988.486707083655</v>
      </c>
      <c r="R707" s="805">
        <f ca="1">SUM(R697:R703)</f>
        <v>7815.2505406286773</v>
      </c>
      <c r="S707" s="805">
        <f ca="1">SUM(S697:S703)</f>
        <v>19840.12758362254</v>
      </c>
      <c r="T707" s="1571"/>
      <c r="U707" s="235">
        <f ca="1">SUM(I707:T707)</f>
        <v>23115181.210000012</v>
      </c>
      <c r="W707" s="646">
        <f ca="1">U707-F707</f>
        <v>0</v>
      </c>
    </row>
    <row r="708" spans="2:23" ht="18" customHeight="1" thickBot="1" x14ac:dyDescent="0.25">
      <c r="B708" s="645">
        <f t="shared" si="242"/>
        <v>31</v>
      </c>
      <c r="C708" s="647"/>
      <c r="D708" s="647"/>
      <c r="E708" s="645"/>
      <c r="F708" s="803"/>
      <c r="G708" s="645"/>
      <c r="H708" s="645"/>
      <c r="I708" s="645"/>
      <c r="J708" s="803"/>
      <c r="K708" s="803"/>
      <c r="L708" s="803"/>
      <c r="M708" s="803"/>
      <c r="N708" s="803"/>
      <c r="O708" s="803"/>
      <c r="P708" s="803"/>
      <c r="Q708" s="803"/>
      <c r="R708" s="803"/>
      <c r="S708" s="803"/>
      <c r="T708" s="645"/>
      <c r="U708" s="647"/>
    </row>
    <row r="709" spans="2:23" ht="18" customHeight="1" thickBot="1" x14ac:dyDescent="0.3">
      <c r="B709" s="645">
        <f t="shared" si="242"/>
        <v>32</v>
      </c>
      <c r="C709" s="779" t="s">
        <v>586</v>
      </c>
      <c r="D709" s="920"/>
      <c r="E709" s="916" t="s">
        <v>143</v>
      </c>
      <c r="F709" s="917">
        <f>+F705+F690</f>
        <v>61542883.020000011</v>
      </c>
      <c r="G709" s="916"/>
      <c r="H709" s="916"/>
      <c r="I709" s="919"/>
      <c r="J709" s="917">
        <f t="shared" ref="J709:Q709" ca="1" si="255">+J705+J690</f>
        <v>32116399.135389999</v>
      </c>
      <c r="K709" s="917">
        <f t="shared" ca="1" si="255"/>
        <v>4505451.6082679341</v>
      </c>
      <c r="L709" s="917">
        <f t="shared" ca="1" si="255"/>
        <v>17718478.667305268</v>
      </c>
      <c r="M709" s="917">
        <f t="shared" ca="1" si="255"/>
        <v>746161.52864144859</v>
      </c>
      <c r="N709" s="917">
        <f t="shared" ca="1" si="255"/>
        <v>5745837.6688702432</v>
      </c>
      <c r="O709" s="917">
        <f ca="1">+O705+O690</f>
        <v>188533.56568259175</v>
      </c>
      <c r="P709" s="917">
        <f t="shared" ca="1" si="255"/>
        <v>393260.19835632644</v>
      </c>
      <c r="Q709" s="917">
        <f t="shared" ca="1" si="255"/>
        <v>55087.321308469676</v>
      </c>
      <c r="R709" s="917">
        <f ca="1">+R705+R690</f>
        <v>20819.657560040814</v>
      </c>
      <c r="S709" s="917">
        <f ca="1">+S705+S690</f>
        <v>52853.668617681113</v>
      </c>
      <c r="T709" s="919"/>
      <c r="U709" s="918">
        <f ca="1">SUM(I709:T709)</f>
        <v>61542883.019999996</v>
      </c>
      <c r="W709" s="646">
        <f ca="1">U709-F709</f>
        <v>0</v>
      </c>
    </row>
    <row r="710" spans="2:23" ht="14.25" customHeight="1" x14ac:dyDescent="0.25">
      <c r="B710" s="645"/>
      <c r="C710" s="647"/>
      <c r="D710" s="8"/>
      <c r="E710" s="1571"/>
      <c r="F710" s="805"/>
      <c r="G710" s="1571"/>
      <c r="H710" s="1571"/>
      <c r="I710" s="1571"/>
      <c r="J710" s="1571"/>
      <c r="K710" s="1571"/>
      <c r="L710" s="1571"/>
      <c r="M710" s="1571"/>
      <c r="N710" s="1571"/>
      <c r="O710" s="1571"/>
      <c r="P710" s="1571"/>
      <c r="Q710" s="1571"/>
      <c r="R710" s="1571"/>
      <c r="S710" s="1571"/>
      <c r="T710" s="1571"/>
      <c r="U710" s="647"/>
    </row>
    <row r="711" spans="2:23" ht="8.25" customHeight="1" thickBot="1" x14ac:dyDescent="0.3">
      <c r="B711" s="645"/>
      <c r="C711" s="647"/>
      <c r="D711" s="8"/>
      <c r="E711" s="1571"/>
      <c r="F711" s="805"/>
      <c r="G711" s="1571"/>
      <c r="H711" s="653"/>
      <c r="I711" s="1571"/>
      <c r="J711" s="1571"/>
      <c r="K711" s="1571"/>
      <c r="L711" s="1571"/>
      <c r="M711" s="1571"/>
      <c r="N711" s="1571"/>
      <c r="O711" s="1571"/>
      <c r="P711" s="1571"/>
      <c r="Q711" s="1571"/>
      <c r="R711" s="1571"/>
      <c r="S711" s="1571"/>
      <c r="T711" s="1571"/>
      <c r="U711" s="653"/>
      <c r="V711" s="653">
        <f>$H$2</f>
        <v>0</v>
      </c>
    </row>
    <row r="712" spans="2:23" ht="18" customHeight="1" x14ac:dyDescent="0.25">
      <c r="B712" s="829" t="str">
        <f>+$B$4</f>
        <v>2025 RATE CASE</v>
      </c>
      <c r="C712" s="844"/>
      <c r="D712" s="874"/>
      <c r="F712" s="654"/>
      <c r="U712" s="653"/>
    </row>
    <row r="713" spans="2:23" ht="18" customHeight="1" x14ac:dyDescent="0.25">
      <c r="B713" s="826" t="str">
        <f>+$B$5</f>
        <v>ONCOR ELECTRIC DELIVERY COMPANY LLC</v>
      </c>
      <c r="C713" s="8"/>
      <c r="D713" s="875"/>
      <c r="F713" s="654"/>
      <c r="U713" s="653"/>
    </row>
    <row r="714" spans="2:23" ht="18" customHeight="1" x14ac:dyDescent="0.25">
      <c r="B714" s="826" t="str">
        <f>+$B$6</f>
        <v>II-I-1-MET:  CLASS REVENUE REQUIREMENT</v>
      </c>
      <c r="C714" s="82"/>
      <c r="D714" s="875"/>
      <c r="F714" s="654"/>
      <c r="U714" s="654"/>
    </row>
    <row r="715" spans="2:23" ht="18" customHeight="1" x14ac:dyDescent="0.25">
      <c r="B715" s="341" t="str">
        <f>+$B$7</f>
        <v>TEST YEAR ENDING 12/31/2024</v>
      </c>
      <c r="C715" s="82"/>
      <c r="D715" s="875"/>
      <c r="F715" s="654"/>
      <c r="U715" s="654"/>
    </row>
    <row r="716" spans="2:23" ht="18" customHeight="1" x14ac:dyDescent="0.25">
      <c r="B716" s="341" t="str">
        <f>+$B$8</f>
        <v>SPONSOR:  MATTHEW A. TROXLE</v>
      </c>
      <c r="C716" s="82"/>
      <c r="D716" s="875"/>
      <c r="F716" s="654"/>
      <c r="U716" s="654"/>
    </row>
    <row r="717" spans="2:23" ht="18" customHeight="1" thickBot="1" x14ac:dyDescent="0.3">
      <c r="B717" s="345"/>
      <c r="C717" s="843"/>
      <c r="D717" s="876"/>
      <c r="F717" s="654"/>
      <c r="U717" s="654"/>
    </row>
    <row r="718" spans="2:23" ht="18" customHeight="1" thickBot="1" x14ac:dyDescent="0.25">
      <c r="B718" s="655"/>
      <c r="C718" s="656"/>
      <c r="D718" s="656"/>
      <c r="E718" s="656"/>
      <c r="F718" s="655"/>
      <c r="G718" s="656"/>
      <c r="H718" s="656"/>
      <c r="I718" s="656"/>
      <c r="J718" s="657"/>
      <c r="K718" s="657"/>
      <c r="L718" s="656"/>
      <c r="M718" s="657"/>
      <c r="N718" s="657"/>
      <c r="O718" s="657"/>
      <c r="P718" s="657"/>
      <c r="Q718" s="656"/>
      <c r="R718" s="658" t="str">
        <f>R$10</f>
        <v xml:space="preserve"> </v>
      </c>
      <c r="S718" s="659"/>
      <c r="T718" s="657"/>
      <c r="U718" s="655"/>
    </row>
    <row r="719" spans="2:23" ht="18" customHeight="1" x14ac:dyDescent="0.25">
      <c r="B719" s="660" t="s">
        <v>2</v>
      </c>
      <c r="C719" s="660" t="s">
        <v>349</v>
      </c>
      <c r="D719" s="226" t="s">
        <v>587</v>
      </c>
      <c r="E719" s="660" t="s">
        <v>350</v>
      </c>
      <c r="F719" s="226" t="str">
        <f>F$11</f>
        <v>MET</v>
      </c>
      <c r="G719" s="661" t="s">
        <v>688</v>
      </c>
      <c r="H719" s="661" t="s">
        <v>355</v>
      </c>
      <c r="I719" s="660"/>
      <c r="J719" s="661" t="s">
        <v>679</v>
      </c>
      <c r="K719" s="661" t="s">
        <v>388</v>
      </c>
      <c r="L719" s="660" t="s">
        <v>388</v>
      </c>
      <c r="M719" s="661" t="s">
        <v>389</v>
      </c>
      <c r="N719" s="661" t="s">
        <v>389</v>
      </c>
      <c r="O719" s="661" t="s">
        <v>389</v>
      </c>
      <c r="P719" s="661" t="s">
        <v>390</v>
      </c>
      <c r="Q719" s="660" t="s">
        <v>391</v>
      </c>
      <c r="R719" s="662" t="str">
        <f>R$11</f>
        <v>Wholesale</v>
      </c>
      <c r="S719" s="655" t="str">
        <f>S$11</f>
        <v>Wholesale</v>
      </c>
      <c r="T719" s="661"/>
      <c r="U719" s="660" t="s">
        <v>10</v>
      </c>
    </row>
    <row r="720" spans="2:23" ht="18" customHeight="1" x14ac:dyDescent="0.2">
      <c r="B720" s="660"/>
      <c r="C720" s="660"/>
      <c r="D720" s="660"/>
      <c r="E720" s="660"/>
      <c r="F720" s="660"/>
      <c r="G720" s="661" t="s">
        <v>689</v>
      </c>
      <c r="H720" s="661" t="s">
        <v>690</v>
      </c>
      <c r="I720" s="660"/>
      <c r="J720" s="661"/>
      <c r="K720" s="661" t="s">
        <v>680</v>
      </c>
      <c r="L720" s="660" t="s">
        <v>681</v>
      </c>
      <c r="M720" s="661" t="s">
        <v>680</v>
      </c>
      <c r="N720" s="661" t="s">
        <v>681</v>
      </c>
      <c r="O720" s="661" t="s">
        <v>393</v>
      </c>
      <c r="P720" s="661"/>
      <c r="Q720" s="660"/>
      <c r="R720" s="663" t="str">
        <f>R$12</f>
        <v>XFMR</v>
      </c>
      <c r="S720" s="660" t="str">
        <f>S$12</f>
        <v>DLS</v>
      </c>
      <c r="T720" s="661"/>
      <c r="U720" s="660"/>
    </row>
    <row r="721" spans="2:23" ht="18" customHeight="1" thickBot="1" x14ac:dyDescent="0.25">
      <c r="B721" s="664"/>
      <c r="C721" s="664"/>
      <c r="D721" s="664"/>
      <c r="E721" s="664"/>
      <c r="F721" s="664" t="s">
        <v>13</v>
      </c>
      <c r="G721" s="664" t="s">
        <v>14</v>
      </c>
      <c r="H721" s="664" t="s">
        <v>15</v>
      </c>
      <c r="I721" s="664"/>
      <c r="J721" s="665" t="str">
        <f t="shared" ref="J721:Q721" si="256">J$13</f>
        <v>(d)</v>
      </c>
      <c r="K721" s="665" t="str">
        <f t="shared" si="256"/>
        <v>(e)</v>
      </c>
      <c r="L721" s="664" t="str">
        <f t="shared" si="256"/>
        <v>(f)</v>
      </c>
      <c r="M721" s="665" t="str">
        <f t="shared" si="256"/>
        <v>(g)</v>
      </c>
      <c r="N721" s="665" t="str">
        <f t="shared" si="256"/>
        <v>(h)</v>
      </c>
      <c r="O721" s="665" t="str">
        <f>O$13</f>
        <v>(i)</v>
      </c>
      <c r="P721" s="665" t="str">
        <f t="shared" si="256"/>
        <v>(j)</v>
      </c>
      <c r="Q721" s="665" t="str">
        <f t="shared" si="256"/>
        <v>(k)</v>
      </c>
      <c r="R721" s="665" t="str">
        <f>R$13</f>
        <v>(l)</v>
      </c>
      <c r="S721" s="664" t="str">
        <f>S$13</f>
        <v>(m)</v>
      </c>
      <c r="T721" s="664"/>
      <c r="U721" s="664" t="s">
        <v>683</v>
      </c>
    </row>
    <row r="722" spans="2:23" ht="18" customHeight="1" x14ac:dyDescent="0.2">
      <c r="B722" s="620"/>
      <c r="C722" s="666"/>
      <c r="D722" s="666"/>
      <c r="E722" s="666"/>
      <c r="F722" s="666"/>
      <c r="G722" s="666"/>
      <c r="H722" s="666"/>
      <c r="I722" s="666"/>
      <c r="J722" s="666"/>
      <c r="K722" s="666"/>
      <c r="L722" s="666"/>
      <c r="M722" s="666"/>
      <c r="N722" s="666"/>
      <c r="O722" s="666"/>
      <c r="P722" s="666"/>
      <c r="Q722" s="666"/>
      <c r="R722" s="666"/>
      <c r="S722" s="666"/>
      <c r="T722" s="666"/>
      <c r="U722" s="611"/>
    </row>
    <row r="723" spans="2:23" ht="18" customHeight="1" x14ac:dyDescent="0.25">
      <c r="B723" s="645">
        <f>B710+1</f>
        <v>1</v>
      </c>
      <c r="C723" s="8"/>
      <c r="D723" s="301" t="s">
        <v>588</v>
      </c>
      <c r="E723" s="1571" t="s">
        <v>143</v>
      </c>
      <c r="F723" s="8"/>
      <c r="G723" s="1571"/>
      <c r="H723" s="1571"/>
      <c r="I723" s="1571"/>
      <c r="J723" s="1571"/>
      <c r="K723" s="1571"/>
      <c r="L723" s="1571"/>
      <c r="M723" s="1571"/>
      <c r="N723" s="1571"/>
      <c r="O723" s="1571"/>
      <c r="P723" s="1571"/>
      <c r="Q723" s="1571"/>
      <c r="R723" s="1571"/>
      <c r="S723" s="1571"/>
      <c r="T723" s="1571"/>
      <c r="U723" s="8"/>
    </row>
    <row r="724" spans="2:23" ht="18" customHeight="1" x14ac:dyDescent="0.2">
      <c r="B724" s="645">
        <f t="shared" ref="B724:B754" si="257">B723+1</f>
        <v>2</v>
      </c>
      <c r="C724" s="647" t="s">
        <v>205</v>
      </c>
      <c r="D724" s="647" t="s">
        <v>206</v>
      </c>
      <c r="E724" s="645"/>
      <c r="F724" s="646">
        <f>' WP II-I-1.4'!H724</f>
        <v>0</v>
      </c>
      <c r="G724" s="645">
        <v>73</v>
      </c>
      <c r="H724" s="620" t="str">
        <f>VLOOKUP(G724,FactorTable,2)</f>
        <v>CUS ACCT</v>
      </c>
      <c r="I724" s="645"/>
      <c r="J724" s="648">
        <f t="shared" ref="J724:S728" si="258">$F724*HLOOKUP(J$1354,FactorTable,$G724+1)</f>
        <v>0</v>
      </c>
      <c r="K724" s="648">
        <f t="shared" si="258"/>
        <v>0</v>
      </c>
      <c r="L724" s="648">
        <f t="shared" si="258"/>
        <v>0</v>
      </c>
      <c r="M724" s="648">
        <f t="shared" si="258"/>
        <v>0</v>
      </c>
      <c r="N724" s="648">
        <f t="shared" si="258"/>
        <v>0</v>
      </c>
      <c r="O724" s="648">
        <f t="shared" si="258"/>
        <v>0</v>
      </c>
      <c r="P724" s="648">
        <f t="shared" si="258"/>
        <v>0</v>
      </c>
      <c r="Q724" s="648">
        <f t="shared" si="258"/>
        <v>0</v>
      </c>
      <c r="R724" s="648">
        <f t="shared" si="258"/>
        <v>0</v>
      </c>
      <c r="S724" s="648">
        <f t="shared" si="258"/>
        <v>0</v>
      </c>
      <c r="T724" s="645"/>
      <c r="U724" s="646">
        <f t="shared" ref="U724:U729" si="259">SUM(I724:T724)</f>
        <v>0</v>
      </c>
      <c r="W724" s="646">
        <f>U724-F724</f>
        <v>0</v>
      </c>
    </row>
    <row r="725" spans="2:23" ht="18" customHeight="1" x14ac:dyDescent="0.2">
      <c r="B725" s="645">
        <f t="shared" si="257"/>
        <v>3</v>
      </c>
      <c r="C725" s="647" t="s">
        <v>207</v>
      </c>
      <c r="D725" s="647" t="s">
        <v>208</v>
      </c>
      <c r="E725" s="645"/>
      <c r="F725" s="646">
        <f>' WP II-I-1.4'!H725</f>
        <v>62522.26</v>
      </c>
      <c r="G725" s="645">
        <v>6</v>
      </c>
      <c r="H725" s="620" t="str">
        <f>VLOOKUP(G725,FactorTable,2)</f>
        <v>CUS W ALL</v>
      </c>
      <c r="I725" s="645"/>
      <c r="J725" s="648">
        <f t="shared" si="258"/>
        <v>32639.337781147846</v>
      </c>
      <c r="K725" s="648">
        <f t="shared" si="258"/>
        <v>4578.812097799243</v>
      </c>
      <c r="L725" s="648">
        <f t="shared" si="258"/>
        <v>18006.98165919142</v>
      </c>
      <c r="M725" s="648">
        <f t="shared" si="258"/>
        <v>758.31098218570958</v>
      </c>
      <c r="N725" s="648">
        <f t="shared" si="258"/>
        <v>5839.3948748520443</v>
      </c>
      <c r="O725" s="648">
        <f t="shared" si="258"/>
        <v>191.60338328892828</v>
      </c>
      <c r="P725" s="648">
        <f t="shared" si="258"/>
        <v>399.66349888488116</v>
      </c>
      <c r="Q725" s="648">
        <f t="shared" si="258"/>
        <v>33.282802792426708</v>
      </c>
      <c r="R725" s="648">
        <f t="shared" si="258"/>
        <v>21.15865582331724</v>
      </c>
      <c r="S725" s="648">
        <f t="shared" si="258"/>
        <v>53.714264034176843</v>
      </c>
      <c r="T725" s="645"/>
      <c r="U725" s="646">
        <f t="shared" si="259"/>
        <v>62522.259999999987</v>
      </c>
      <c r="W725" s="646">
        <f>U725-F725</f>
        <v>0</v>
      </c>
    </row>
    <row r="726" spans="2:23" ht="18" customHeight="1" x14ac:dyDescent="0.2">
      <c r="B726" s="645">
        <f t="shared" si="257"/>
        <v>4</v>
      </c>
      <c r="C726" s="647" t="s">
        <v>209</v>
      </c>
      <c r="D726" s="647" t="s">
        <v>210</v>
      </c>
      <c r="E726" s="645"/>
      <c r="F726" s="646">
        <f>' WP II-I-1.4'!H726</f>
        <v>9746905.9800000004</v>
      </c>
      <c r="G726" s="645">
        <v>6</v>
      </c>
      <c r="H726" s="620" t="str">
        <f>VLOOKUP(G726,FactorTable,2)</f>
        <v>CUS W ALL</v>
      </c>
      <c r="I726" s="645"/>
      <c r="J726" s="648">
        <f t="shared" si="258"/>
        <v>5088308.6536268825</v>
      </c>
      <c r="K726" s="648">
        <f t="shared" si="258"/>
        <v>713813.78435993497</v>
      </c>
      <c r="L726" s="648">
        <f t="shared" si="258"/>
        <v>2807197.9038461372</v>
      </c>
      <c r="M726" s="648">
        <f t="shared" si="258"/>
        <v>118216.86943123242</v>
      </c>
      <c r="N726" s="648">
        <f t="shared" si="258"/>
        <v>910332.30125201389</v>
      </c>
      <c r="O726" s="648">
        <f t="shared" si="258"/>
        <v>29870.004097214132</v>
      </c>
      <c r="P726" s="648">
        <f t="shared" si="258"/>
        <v>62305.530018728881</v>
      </c>
      <c r="Q726" s="648">
        <f t="shared" si="258"/>
        <v>5188.6216136247249</v>
      </c>
      <c r="R726" s="648">
        <f t="shared" si="258"/>
        <v>3298.5280598150584</v>
      </c>
      <c r="S726" s="648">
        <f t="shared" si="258"/>
        <v>8373.7836944156716</v>
      </c>
      <c r="T726" s="645"/>
      <c r="U726" s="646">
        <f t="shared" si="259"/>
        <v>9746905.9800000004</v>
      </c>
      <c r="W726" s="646">
        <f t="shared" ref="W726:W787" si="260">U726-F726</f>
        <v>0</v>
      </c>
    </row>
    <row r="727" spans="2:23" ht="18" customHeight="1" x14ac:dyDescent="0.2">
      <c r="B727" s="645">
        <f t="shared" si="257"/>
        <v>5</v>
      </c>
      <c r="C727" s="647" t="s">
        <v>211</v>
      </c>
      <c r="D727" s="647" t="s">
        <v>212</v>
      </c>
      <c r="E727" s="645"/>
      <c r="F727" s="646">
        <f>' WP II-I-1.4'!H727</f>
        <v>0</v>
      </c>
      <c r="G727" s="645">
        <v>15</v>
      </c>
      <c r="H727" s="620" t="str">
        <f>VLOOKUP(G727,FactorTable,2)</f>
        <v>REVENUE RTL</v>
      </c>
      <c r="I727" s="645"/>
      <c r="J727" s="648">
        <f t="shared" si="258"/>
        <v>0</v>
      </c>
      <c r="K727" s="648">
        <f t="shared" si="258"/>
        <v>0</v>
      </c>
      <c r="L727" s="648">
        <f t="shared" si="258"/>
        <v>0</v>
      </c>
      <c r="M727" s="648">
        <f t="shared" si="258"/>
        <v>0</v>
      </c>
      <c r="N727" s="648">
        <f t="shared" si="258"/>
        <v>0</v>
      </c>
      <c r="O727" s="648">
        <f t="shared" si="258"/>
        <v>0</v>
      </c>
      <c r="P727" s="648">
        <f t="shared" si="258"/>
        <v>0</v>
      </c>
      <c r="Q727" s="648">
        <f t="shared" si="258"/>
        <v>0</v>
      </c>
      <c r="R727" s="648">
        <f t="shared" si="258"/>
        <v>0</v>
      </c>
      <c r="S727" s="648">
        <f t="shared" si="258"/>
        <v>0</v>
      </c>
      <c r="T727" s="645"/>
      <c r="U727" s="646">
        <f t="shared" si="259"/>
        <v>0</v>
      </c>
      <c r="W727" s="646">
        <f t="shared" si="260"/>
        <v>0</v>
      </c>
    </row>
    <row r="728" spans="2:23" ht="18" customHeight="1" x14ac:dyDescent="0.2">
      <c r="B728" s="645">
        <f t="shared" si="257"/>
        <v>6</v>
      </c>
      <c r="C728" s="647" t="s">
        <v>213</v>
      </c>
      <c r="D728" s="649" t="s">
        <v>214</v>
      </c>
      <c r="E728" s="645"/>
      <c r="F728" s="1591">
        <f>' WP II-I-1.4'!H728</f>
        <v>0</v>
      </c>
      <c r="G728" s="645">
        <v>73</v>
      </c>
      <c r="H728" s="620" t="str">
        <f>VLOOKUP(G728,FactorTable,2)</f>
        <v>CUS ACCT</v>
      </c>
      <c r="I728" s="645"/>
      <c r="J728" s="651">
        <f t="shared" si="258"/>
        <v>0</v>
      </c>
      <c r="K728" s="651">
        <f t="shared" si="258"/>
        <v>0</v>
      </c>
      <c r="L728" s="651">
        <f t="shared" si="258"/>
        <v>0</v>
      </c>
      <c r="M728" s="651">
        <f t="shared" si="258"/>
        <v>0</v>
      </c>
      <c r="N728" s="651">
        <f t="shared" si="258"/>
        <v>0</v>
      </c>
      <c r="O728" s="651">
        <f t="shared" si="258"/>
        <v>0</v>
      </c>
      <c r="P728" s="651">
        <f t="shared" si="258"/>
        <v>0</v>
      </c>
      <c r="Q728" s="651">
        <f t="shared" si="258"/>
        <v>0</v>
      </c>
      <c r="R728" s="651">
        <f t="shared" si="258"/>
        <v>0</v>
      </c>
      <c r="S728" s="651">
        <f t="shared" si="258"/>
        <v>0</v>
      </c>
      <c r="T728" s="645"/>
      <c r="U728" s="646">
        <f t="shared" si="259"/>
        <v>0</v>
      </c>
      <c r="W728" s="646">
        <f t="shared" si="260"/>
        <v>0</v>
      </c>
    </row>
    <row r="729" spans="2:23" ht="18" customHeight="1" x14ac:dyDescent="0.25">
      <c r="B729" s="645">
        <f t="shared" si="257"/>
        <v>7</v>
      </c>
      <c r="C729" s="8"/>
      <c r="D729" s="233" t="s">
        <v>589</v>
      </c>
      <c r="E729" s="1571"/>
      <c r="F729" s="805">
        <f>SUM(F724:F728)</f>
        <v>9809428.2400000002</v>
      </c>
      <c r="G729" s="1571"/>
      <c r="H729" s="1571"/>
      <c r="I729" s="1571"/>
      <c r="J729" s="805">
        <f t="shared" ref="J729:Q729" si="261">SUM(J724:J728)</f>
        <v>5120947.9914080305</v>
      </c>
      <c r="K729" s="805">
        <f t="shared" si="261"/>
        <v>718392.59645773424</v>
      </c>
      <c r="L729" s="805">
        <f t="shared" si="261"/>
        <v>2825204.8855053284</v>
      </c>
      <c r="M729" s="805">
        <f t="shared" si="261"/>
        <v>118975.18041341813</v>
      </c>
      <c r="N729" s="805">
        <f t="shared" si="261"/>
        <v>916171.69612686592</v>
      </c>
      <c r="O729" s="805">
        <f>SUM(O724:O728)</f>
        <v>30061.607480503062</v>
      </c>
      <c r="P729" s="805">
        <f t="shared" si="261"/>
        <v>62705.193517613763</v>
      </c>
      <c r="Q729" s="805">
        <f t="shared" si="261"/>
        <v>5221.9044164171519</v>
      </c>
      <c r="R729" s="805">
        <f>SUM(R724:R728)</f>
        <v>3319.6867156383755</v>
      </c>
      <c r="S729" s="805">
        <f>SUM(S724:S728)</f>
        <v>8427.4979584498487</v>
      </c>
      <c r="T729" s="1571"/>
      <c r="U729" s="235">
        <f t="shared" si="259"/>
        <v>9809428.2399999984</v>
      </c>
      <c r="W729" s="646">
        <f t="shared" si="260"/>
        <v>0</v>
      </c>
    </row>
    <row r="730" spans="2:23" ht="18" customHeight="1" x14ac:dyDescent="0.2">
      <c r="B730" s="645">
        <f t="shared" si="257"/>
        <v>8</v>
      </c>
      <c r="C730" s="647"/>
      <c r="D730" s="647"/>
      <c r="E730" s="645"/>
      <c r="F730" s="803"/>
      <c r="G730" s="645"/>
      <c r="H730" s="645"/>
      <c r="I730" s="645"/>
      <c r="J730" s="803"/>
      <c r="K730" s="803"/>
      <c r="L730" s="803"/>
      <c r="M730" s="803"/>
      <c r="N730" s="803"/>
      <c r="O730" s="803"/>
      <c r="P730" s="803"/>
      <c r="Q730" s="803"/>
      <c r="R730" s="803"/>
      <c r="S730" s="803"/>
      <c r="T730" s="645"/>
      <c r="U730" s="647"/>
      <c r="W730" s="646">
        <f t="shared" si="260"/>
        <v>0</v>
      </c>
    </row>
    <row r="731" spans="2:23" ht="18" customHeight="1" x14ac:dyDescent="0.25">
      <c r="B731" s="645">
        <f t="shared" si="257"/>
        <v>9</v>
      </c>
      <c r="C731" s="8"/>
      <c r="D731" s="233" t="s">
        <v>598</v>
      </c>
      <c r="E731" s="1571"/>
      <c r="F731" s="805">
        <f>SUM(F725:F726)</f>
        <v>9809428.2400000002</v>
      </c>
      <c r="G731" s="1571"/>
      <c r="H731" s="1571"/>
      <c r="I731" s="1571"/>
      <c r="J731" s="805">
        <f t="shared" ref="J731:Q731" si="262">SUM(J725:J726)</f>
        <v>5120947.9914080305</v>
      </c>
      <c r="K731" s="805">
        <f t="shared" si="262"/>
        <v>718392.59645773424</v>
      </c>
      <c r="L731" s="805">
        <f t="shared" si="262"/>
        <v>2825204.8855053284</v>
      </c>
      <c r="M731" s="805">
        <f t="shared" si="262"/>
        <v>118975.18041341813</v>
      </c>
      <c r="N731" s="805">
        <f t="shared" si="262"/>
        <v>916171.69612686592</v>
      </c>
      <c r="O731" s="805">
        <f>SUM(O725:O726)</f>
        <v>30061.607480503062</v>
      </c>
      <c r="P731" s="805">
        <f t="shared" si="262"/>
        <v>62705.193517613763</v>
      </c>
      <c r="Q731" s="805">
        <f t="shared" si="262"/>
        <v>5221.9044164171519</v>
      </c>
      <c r="R731" s="805">
        <f>SUM(R725:R726)</f>
        <v>3319.6867156383755</v>
      </c>
      <c r="S731" s="805">
        <f>SUM(S725:S726)</f>
        <v>8427.4979584498487</v>
      </c>
      <c r="T731" s="1571"/>
      <c r="U731" s="235">
        <f>SUM(I731:T731)</f>
        <v>9809428.2399999984</v>
      </c>
      <c r="W731" s="646">
        <f t="shared" si="260"/>
        <v>0</v>
      </c>
    </row>
    <row r="732" spans="2:23" ht="18" customHeight="1" x14ac:dyDescent="0.2">
      <c r="B732" s="645">
        <f t="shared" si="257"/>
        <v>10</v>
      </c>
      <c r="C732" s="647"/>
      <c r="D732" s="647"/>
      <c r="E732" s="645"/>
      <c r="F732" s="803"/>
      <c r="G732" s="645"/>
      <c r="H732" s="645"/>
      <c r="I732" s="645"/>
      <c r="J732" s="645"/>
      <c r="K732" s="645"/>
      <c r="L732" s="645"/>
      <c r="M732" s="645"/>
      <c r="N732" s="645"/>
      <c r="O732" s="645"/>
      <c r="P732" s="645"/>
      <c r="Q732" s="645"/>
      <c r="R732" s="645"/>
      <c r="S732" s="645"/>
      <c r="T732" s="645"/>
      <c r="U732" s="647"/>
      <c r="W732" s="646">
        <f t="shared" si="260"/>
        <v>0</v>
      </c>
    </row>
    <row r="733" spans="2:23" ht="18" customHeight="1" x14ac:dyDescent="0.25">
      <c r="B733" s="645">
        <f t="shared" si="257"/>
        <v>11</v>
      </c>
      <c r="C733" s="8"/>
      <c r="D733" s="301" t="s">
        <v>599</v>
      </c>
      <c r="E733" s="1571" t="s">
        <v>143</v>
      </c>
      <c r="F733" s="805"/>
      <c r="G733" s="1571"/>
      <c r="H733" s="1571"/>
      <c r="I733" s="1571"/>
      <c r="J733" s="1571"/>
      <c r="K733" s="1571"/>
      <c r="L733" s="1571"/>
      <c r="M733" s="1571"/>
      <c r="N733" s="1571"/>
      <c r="O733" s="1571"/>
      <c r="P733" s="1571"/>
      <c r="Q733" s="1571"/>
      <c r="R733" s="1571"/>
      <c r="S733" s="1571"/>
      <c r="T733" s="1571"/>
      <c r="U733" s="8"/>
      <c r="W733" s="646">
        <f t="shared" si="260"/>
        <v>0</v>
      </c>
    </row>
    <row r="734" spans="2:23" ht="18" customHeight="1" x14ac:dyDescent="0.2">
      <c r="B734" s="645">
        <f t="shared" si="257"/>
        <v>12</v>
      </c>
      <c r="C734" s="647" t="s">
        <v>216</v>
      </c>
      <c r="D734" s="647" t="s">
        <v>217</v>
      </c>
      <c r="E734" s="645"/>
      <c r="F734" s="646">
        <f>' WP II-I-1.4'!H734</f>
        <v>0</v>
      </c>
      <c r="G734" s="645">
        <v>9</v>
      </c>
      <c r="H734" s="620" t="str">
        <f>VLOOKUP(G734,FactorTable,2)</f>
        <v>CUS U ALL</v>
      </c>
      <c r="I734" s="645"/>
      <c r="J734" s="648">
        <f t="shared" ref="J734:S738" si="263">$F734*HLOOKUP(J$1354,FactorTable,$G734+1)</f>
        <v>0</v>
      </c>
      <c r="K734" s="648">
        <f t="shared" si="263"/>
        <v>0</v>
      </c>
      <c r="L734" s="648">
        <f t="shared" si="263"/>
        <v>0</v>
      </c>
      <c r="M734" s="648">
        <f t="shared" si="263"/>
        <v>0</v>
      </c>
      <c r="N734" s="648">
        <f t="shared" si="263"/>
        <v>0</v>
      </c>
      <c r="O734" s="648">
        <f t="shared" si="263"/>
        <v>0</v>
      </c>
      <c r="P734" s="648">
        <f t="shared" si="263"/>
        <v>0</v>
      </c>
      <c r="Q734" s="648">
        <f t="shared" si="263"/>
        <v>0</v>
      </c>
      <c r="R734" s="648">
        <f t="shared" si="263"/>
        <v>0</v>
      </c>
      <c r="S734" s="648">
        <f t="shared" si="263"/>
        <v>0</v>
      </c>
      <c r="T734" s="645"/>
      <c r="U734" s="646">
        <f t="shared" ref="U734:U739" si="264">SUM(I734:T734)</f>
        <v>0</v>
      </c>
      <c r="W734" s="646">
        <f t="shared" si="260"/>
        <v>0</v>
      </c>
    </row>
    <row r="735" spans="2:23" ht="18" customHeight="1" x14ac:dyDescent="0.2">
      <c r="B735" s="645">
        <f t="shared" si="257"/>
        <v>13</v>
      </c>
      <c r="C735" s="647" t="s">
        <v>218</v>
      </c>
      <c r="D735" s="647" t="s">
        <v>206</v>
      </c>
      <c r="E735" s="645"/>
      <c r="F735" s="646">
        <f>' WP II-I-1.4'!H735</f>
        <v>0</v>
      </c>
      <c r="G735" s="645">
        <v>74</v>
      </c>
      <c r="H735" s="620" t="str">
        <f>VLOOKUP(G735,FactorTable,2)</f>
        <v>CUS SVC INFO</v>
      </c>
      <c r="I735" s="645"/>
      <c r="J735" s="648">
        <f t="shared" si="263"/>
        <v>0</v>
      </c>
      <c r="K735" s="648">
        <f t="shared" si="263"/>
        <v>0</v>
      </c>
      <c r="L735" s="648">
        <f t="shared" si="263"/>
        <v>0</v>
      </c>
      <c r="M735" s="648">
        <f t="shared" si="263"/>
        <v>0</v>
      </c>
      <c r="N735" s="648">
        <f t="shared" si="263"/>
        <v>0</v>
      </c>
      <c r="O735" s="648">
        <f t="shared" si="263"/>
        <v>0</v>
      </c>
      <c r="P735" s="648">
        <f t="shared" si="263"/>
        <v>0</v>
      </c>
      <c r="Q735" s="648">
        <f t="shared" si="263"/>
        <v>0</v>
      </c>
      <c r="R735" s="648">
        <f t="shared" si="263"/>
        <v>0</v>
      </c>
      <c r="S735" s="648">
        <f t="shared" si="263"/>
        <v>0</v>
      </c>
      <c r="T735" s="645"/>
      <c r="U735" s="646">
        <f t="shared" si="264"/>
        <v>0</v>
      </c>
      <c r="W735" s="646">
        <f t="shared" si="260"/>
        <v>0</v>
      </c>
    </row>
    <row r="736" spans="2:23" ht="18" customHeight="1" x14ac:dyDescent="0.25">
      <c r="B736" s="645">
        <f t="shared" si="257"/>
        <v>14</v>
      </c>
      <c r="C736" s="647" t="s">
        <v>219</v>
      </c>
      <c r="D736" s="647" t="s">
        <v>220</v>
      </c>
      <c r="E736" s="1571"/>
      <c r="F736" s="646">
        <f>' WP II-I-1.4'!H736</f>
        <v>0</v>
      </c>
      <c r="G736" s="645">
        <v>9</v>
      </c>
      <c r="H736" s="620" t="str">
        <f>VLOOKUP(G736,FactorTable,2)</f>
        <v>CUS U ALL</v>
      </c>
      <c r="I736" s="1571"/>
      <c r="J736" s="648">
        <f t="shared" si="263"/>
        <v>0</v>
      </c>
      <c r="K736" s="648">
        <f t="shared" si="263"/>
        <v>0</v>
      </c>
      <c r="L736" s="648">
        <f t="shared" si="263"/>
        <v>0</v>
      </c>
      <c r="M736" s="648">
        <f t="shared" si="263"/>
        <v>0</v>
      </c>
      <c r="N736" s="648">
        <f t="shared" si="263"/>
        <v>0</v>
      </c>
      <c r="O736" s="648">
        <f t="shared" si="263"/>
        <v>0</v>
      </c>
      <c r="P736" s="648">
        <f t="shared" si="263"/>
        <v>0</v>
      </c>
      <c r="Q736" s="648">
        <f t="shared" si="263"/>
        <v>0</v>
      </c>
      <c r="R736" s="648">
        <f t="shared" si="263"/>
        <v>0</v>
      </c>
      <c r="S736" s="648">
        <f t="shared" si="263"/>
        <v>0</v>
      </c>
      <c r="T736" s="1571"/>
      <c r="U736" s="646">
        <f t="shared" si="264"/>
        <v>0</v>
      </c>
      <c r="W736" s="646">
        <f t="shared" si="260"/>
        <v>0</v>
      </c>
    </row>
    <row r="737" spans="2:23" ht="18" customHeight="1" x14ac:dyDescent="0.2">
      <c r="B737" s="645">
        <f t="shared" si="257"/>
        <v>15</v>
      </c>
      <c r="C737" s="647" t="s">
        <v>221</v>
      </c>
      <c r="D737" s="647" t="s">
        <v>222</v>
      </c>
      <c r="E737" s="645"/>
      <c r="F737" s="646">
        <f>' WP II-I-1.4'!H737</f>
        <v>0</v>
      </c>
      <c r="G737" s="645">
        <v>10</v>
      </c>
      <c r="H737" s="620" t="str">
        <f>VLOOKUP(G737,FactorTable,2)</f>
        <v>CUS U RTL</v>
      </c>
      <c r="I737" s="645"/>
      <c r="J737" s="648">
        <f t="shared" si="263"/>
        <v>0</v>
      </c>
      <c r="K737" s="648">
        <f t="shared" si="263"/>
        <v>0</v>
      </c>
      <c r="L737" s="648">
        <f t="shared" si="263"/>
        <v>0</v>
      </c>
      <c r="M737" s="648">
        <f t="shared" si="263"/>
        <v>0</v>
      </c>
      <c r="N737" s="648">
        <f t="shared" si="263"/>
        <v>0</v>
      </c>
      <c r="O737" s="648">
        <f t="shared" si="263"/>
        <v>0</v>
      </c>
      <c r="P737" s="648">
        <f t="shared" si="263"/>
        <v>0</v>
      </c>
      <c r="Q737" s="648">
        <f t="shared" si="263"/>
        <v>0</v>
      </c>
      <c r="R737" s="648">
        <f t="shared" si="263"/>
        <v>0</v>
      </c>
      <c r="S737" s="648">
        <f t="shared" si="263"/>
        <v>0</v>
      </c>
      <c r="T737" s="645"/>
      <c r="U737" s="646">
        <f t="shared" si="264"/>
        <v>0</v>
      </c>
      <c r="W737" s="646">
        <f t="shared" si="260"/>
        <v>0</v>
      </c>
    </row>
    <row r="738" spans="2:23" ht="18" customHeight="1" x14ac:dyDescent="0.2">
      <c r="B738" s="645">
        <f t="shared" si="257"/>
        <v>16</v>
      </c>
      <c r="C738" s="647" t="s">
        <v>223</v>
      </c>
      <c r="D738" s="647" t="s">
        <v>224</v>
      </c>
      <c r="E738" s="645"/>
      <c r="F738" s="1600">
        <f>' WP II-I-1.4'!H738</f>
        <v>268</v>
      </c>
      <c r="G738" s="645">
        <v>9</v>
      </c>
      <c r="H738" s="620" t="str">
        <f>VLOOKUP(G738,FactorTable,2)</f>
        <v>CUS U ALL</v>
      </c>
      <c r="I738" s="645"/>
      <c r="J738" s="651">
        <f t="shared" si="263"/>
        <v>229.33152045628742</v>
      </c>
      <c r="K738" s="651">
        <f t="shared" si="263"/>
        <v>19.022512581345278</v>
      </c>
      <c r="L738" s="651">
        <f t="shared" si="263"/>
        <v>15.542574639675857</v>
      </c>
      <c r="M738" s="651">
        <f t="shared" si="263"/>
        <v>0.20766356613940484</v>
      </c>
      <c r="N738" s="651">
        <f t="shared" si="263"/>
        <v>0.46487493051557999</v>
      </c>
      <c r="O738" s="651">
        <f t="shared" si="263"/>
        <v>1.0797180631809565E-2</v>
      </c>
      <c r="P738" s="651">
        <f t="shared" si="263"/>
        <v>2.2521726471259218E-2</v>
      </c>
      <c r="Q738" s="651">
        <f t="shared" si="263"/>
        <v>3.3928980928952011</v>
      </c>
      <c r="R738" s="651">
        <f t="shared" si="263"/>
        <v>1.1923266955372526E-3</v>
      </c>
      <c r="S738" s="651">
        <f t="shared" si="263"/>
        <v>3.4444993426631745E-3</v>
      </c>
      <c r="T738" s="645"/>
      <c r="U738" s="646">
        <f t="shared" si="264"/>
        <v>268.00000000000006</v>
      </c>
      <c r="W738" s="646">
        <f t="shared" si="260"/>
        <v>0</v>
      </c>
    </row>
    <row r="739" spans="2:23" ht="18" customHeight="1" x14ac:dyDescent="0.25">
      <c r="B739" s="645">
        <f t="shared" si="257"/>
        <v>17</v>
      </c>
      <c r="C739" s="8"/>
      <c r="D739" s="233" t="s">
        <v>600</v>
      </c>
      <c r="E739" s="1571"/>
      <c r="F739" s="805">
        <f>SUM(F734:F738)</f>
        <v>268</v>
      </c>
      <c r="G739" s="1571"/>
      <c r="H739" s="1571"/>
      <c r="I739" s="1571"/>
      <c r="J739" s="805">
        <f t="shared" ref="J739:Q739" si="265">SUM(J734:J738)</f>
        <v>229.33152045628742</v>
      </c>
      <c r="K739" s="805">
        <f t="shared" si="265"/>
        <v>19.022512581345278</v>
      </c>
      <c r="L739" s="805">
        <f t="shared" si="265"/>
        <v>15.542574639675857</v>
      </c>
      <c r="M739" s="805">
        <f t="shared" si="265"/>
        <v>0.20766356613940484</v>
      </c>
      <c r="N739" s="805">
        <f t="shared" si="265"/>
        <v>0.46487493051557999</v>
      </c>
      <c r="O739" s="805">
        <f>SUM(O734:O738)</f>
        <v>1.0797180631809565E-2</v>
      </c>
      <c r="P739" s="805">
        <f t="shared" si="265"/>
        <v>2.2521726471259218E-2</v>
      </c>
      <c r="Q739" s="805">
        <f t="shared" si="265"/>
        <v>3.3928980928952011</v>
      </c>
      <c r="R739" s="805">
        <f>SUM(R734:R738)</f>
        <v>1.1923266955372526E-3</v>
      </c>
      <c r="S739" s="805">
        <f>SUM(S734:S738)</f>
        <v>3.4444993426631745E-3</v>
      </c>
      <c r="T739" s="1571"/>
      <c r="U739" s="235">
        <f t="shared" si="264"/>
        <v>268.00000000000006</v>
      </c>
      <c r="W739" s="646">
        <f t="shared" si="260"/>
        <v>0</v>
      </c>
    </row>
    <row r="740" spans="2:23" ht="18" customHeight="1" x14ac:dyDescent="0.25">
      <c r="B740" s="645">
        <f t="shared" si="257"/>
        <v>18</v>
      </c>
      <c r="C740" s="8"/>
      <c r="D740" s="233"/>
      <c r="E740" s="1571"/>
      <c r="F740" s="805"/>
      <c r="G740" s="1571"/>
      <c r="H740" s="1571"/>
      <c r="I740" s="1571"/>
      <c r="J740" s="805"/>
      <c r="K740" s="805"/>
      <c r="L740" s="805"/>
      <c r="M740" s="805"/>
      <c r="N740" s="805"/>
      <c r="O740" s="805"/>
      <c r="P740" s="805"/>
      <c r="Q740" s="805"/>
      <c r="R740" s="805"/>
      <c r="S740" s="805"/>
      <c r="T740" s="1571"/>
      <c r="U740" s="235"/>
      <c r="W740" s="646">
        <f t="shared" si="260"/>
        <v>0</v>
      </c>
    </row>
    <row r="741" spans="2:23" ht="18" customHeight="1" x14ac:dyDescent="0.25">
      <c r="B741" s="645">
        <f t="shared" si="257"/>
        <v>19</v>
      </c>
      <c r="C741" s="8"/>
      <c r="D741" s="233" t="s">
        <v>601</v>
      </c>
      <c r="E741" s="1571"/>
      <c r="F741" s="805">
        <f>F734+F736+F737</f>
        <v>0</v>
      </c>
      <c r="G741" s="1571"/>
      <c r="H741" s="1571"/>
      <c r="I741" s="1571"/>
      <c r="J741" s="805">
        <f t="shared" ref="J741:Q741" si="266">J734+J736+J737</f>
        <v>0</v>
      </c>
      <c r="K741" s="805">
        <f t="shared" si="266"/>
        <v>0</v>
      </c>
      <c r="L741" s="805">
        <f t="shared" si="266"/>
        <v>0</v>
      </c>
      <c r="M741" s="805">
        <f t="shared" si="266"/>
        <v>0</v>
      </c>
      <c r="N741" s="805">
        <f t="shared" si="266"/>
        <v>0</v>
      </c>
      <c r="O741" s="805">
        <f>O734+O736+O737</f>
        <v>0</v>
      </c>
      <c r="P741" s="805">
        <f t="shared" si="266"/>
        <v>0</v>
      </c>
      <c r="Q741" s="805">
        <f t="shared" si="266"/>
        <v>0</v>
      </c>
      <c r="R741" s="805">
        <f>R734+R736+R737</f>
        <v>0</v>
      </c>
      <c r="S741" s="805">
        <f>S734+S736+S737</f>
        <v>0</v>
      </c>
      <c r="T741" s="1571"/>
      <c r="U741" s="235">
        <f>SUM(I741:T741)</f>
        <v>0</v>
      </c>
      <c r="W741" s="646">
        <f t="shared" si="260"/>
        <v>0</v>
      </c>
    </row>
    <row r="742" spans="2:23" ht="11.1" customHeight="1" x14ac:dyDescent="0.2">
      <c r="B742" s="645">
        <f t="shared" si="257"/>
        <v>20</v>
      </c>
      <c r="C742" s="647"/>
      <c r="D742" s="647"/>
      <c r="E742" s="645"/>
      <c r="F742" s="803"/>
      <c r="G742" s="645"/>
      <c r="H742" s="645"/>
      <c r="I742" s="645"/>
      <c r="J742" s="645"/>
      <c r="K742" s="645"/>
      <c r="L742" s="645"/>
      <c r="M742" s="645"/>
      <c r="N742" s="645"/>
      <c r="O742" s="645"/>
      <c r="P742" s="645"/>
      <c r="Q742" s="645"/>
      <c r="R742" s="645"/>
      <c r="S742" s="645"/>
      <c r="T742" s="645"/>
      <c r="U742" s="647"/>
      <c r="W742" s="646">
        <f t="shared" si="260"/>
        <v>0</v>
      </c>
    </row>
    <row r="743" spans="2:23" ht="18" customHeight="1" x14ac:dyDescent="0.25">
      <c r="B743" s="645">
        <f t="shared" si="257"/>
        <v>21</v>
      </c>
      <c r="C743" s="8"/>
      <c r="D743" s="303" t="s">
        <v>225</v>
      </c>
      <c r="E743" s="1571" t="s">
        <v>143</v>
      </c>
      <c r="F743" s="805"/>
      <c r="G743" s="1571"/>
      <c r="H743" s="1571"/>
      <c r="I743" s="1571"/>
      <c r="J743" s="1571"/>
      <c r="K743" s="1571"/>
      <c r="L743" s="1571"/>
      <c r="M743" s="1571"/>
      <c r="N743" s="1571"/>
      <c r="O743" s="1571"/>
      <c r="P743" s="1571"/>
      <c r="Q743" s="1571"/>
      <c r="R743" s="1571"/>
      <c r="S743" s="1571"/>
      <c r="T743" s="1571"/>
      <c r="U743" s="8"/>
      <c r="W743" s="646">
        <f t="shared" si="260"/>
        <v>0</v>
      </c>
    </row>
    <row r="744" spans="2:23" ht="18" customHeight="1" x14ac:dyDescent="0.2">
      <c r="B744" s="645">
        <f t="shared" si="257"/>
        <v>22</v>
      </c>
      <c r="C744" s="647" t="s">
        <v>226</v>
      </c>
      <c r="D744" s="652" t="s">
        <v>206</v>
      </c>
      <c r="E744" s="645"/>
      <c r="F744" s="646">
        <f>' WP II-I-1.4'!H744</f>
        <v>0</v>
      </c>
      <c r="G744" s="645">
        <v>10</v>
      </c>
      <c r="H744" s="620" t="str">
        <f>VLOOKUP(G744,FactorTable,2)</f>
        <v>CUS U RTL</v>
      </c>
      <c r="I744" s="645"/>
      <c r="J744" s="648">
        <f t="shared" ref="J744:S748" si="267">$F744*HLOOKUP(J$1354,FactorTable,$G744+1)</f>
        <v>0</v>
      </c>
      <c r="K744" s="648">
        <f t="shared" si="267"/>
        <v>0</v>
      </c>
      <c r="L744" s="648">
        <f t="shared" si="267"/>
        <v>0</v>
      </c>
      <c r="M744" s="648">
        <f t="shared" si="267"/>
        <v>0</v>
      </c>
      <c r="N744" s="648">
        <f t="shared" si="267"/>
        <v>0</v>
      </c>
      <c r="O744" s="648">
        <f t="shared" si="267"/>
        <v>0</v>
      </c>
      <c r="P744" s="648">
        <f t="shared" si="267"/>
        <v>0</v>
      </c>
      <c r="Q744" s="648">
        <f t="shared" si="267"/>
        <v>0</v>
      </c>
      <c r="R744" s="648">
        <f t="shared" si="267"/>
        <v>0</v>
      </c>
      <c r="S744" s="648">
        <f t="shared" si="267"/>
        <v>0</v>
      </c>
      <c r="T744" s="645"/>
      <c r="U744" s="646">
        <f t="shared" ref="U744:U749" si="268">SUM(I744:T744)</f>
        <v>0</v>
      </c>
      <c r="W744" s="646">
        <f t="shared" si="260"/>
        <v>0</v>
      </c>
    </row>
    <row r="745" spans="2:23" ht="18" customHeight="1" x14ac:dyDescent="0.2">
      <c r="B745" s="645">
        <f t="shared" si="257"/>
        <v>23</v>
      </c>
      <c r="C745" s="647" t="s">
        <v>227</v>
      </c>
      <c r="D745" s="652" t="s">
        <v>228</v>
      </c>
      <c r="E745" s="645"/>
      <c r="F745" s="646">
        <f>' WP II-I-1.4'!H745</f>
        <v>0</v>
      </c>
      <c r="G745" s="645">
        <v>10</v>
      </c>
      <c r="H745" s="620" t="str">
        <f>VLOOKUP(G745,FactorTable,2)</f>
        <v>CUS U RTL</v>
      </c>
      <c r="I745" s="645"/>
      <c r="J745" s="648">
        <f t="shared" si="267"/>
        <v>0</v>
      </c>
      <c r="K745" s="648">
        <f t="shared" si="267"/>
        <v>0</v>
      </c>
      <c r="L745" s="648">
        <f t="shared" si="267"/>
        <v>0</v>
      </c>
      <c r="M745" s="648">
        <f t="shared" si="267"/>
        <v>0</v>
      </c>
      <c r="N745" s="648">
        <f t="shared" si="267"/>
        <v>0</v>
      </c>
      <c r="O745" s="648">
        <f t="shared" si="267"/>
        <v>0</v>
      </c>
      <c r="P745" s="648">
        <f t="shared" si="267"/>
        <v>0</v>
      </c>
      <c r="Q745" s="648">
        <f t="shared" si="267"/>
        <v>0</v>
      </c>
      <c r="R745" s="648">
        <f t="shared" si="267"/>
        <v>0</v>
      </c>
      <c r="S745" s="648">
        <f t="shared" si="267"/>
        <v>0</v>
      </c>
      <c r="T745" s="645"/>
      <c r="U745" s="646">
        <f t="shared" si="268"/>
        <v>0</v>
      </c>
      <c r="W745" s="646">
        <f t="shared" si="260"/>
        <v>0</v>
      </c>
    </row>
    <row r="746" spans="2:23" ht="18" customHeight="1" x14ac:dyDescent="0.2">
      <c r="B746" s="645">
        <f t="shared" si="257"/>
        <v>24</v>
      </c>
      <c r="C746" s="647" t="s">
        <v>229</v>
      </c>
      <c r="D746" s="652" t="s">
        <v>230</v>
      </c>
      <c r="E746" s="645"/>
      <c r="F746" s="646">
        <f>' WP II-I-1.4'!H746</f>
        <v>0</v>
      </c>
      <c r="G746" s="645">
        <v>10</v>
      </c>
      <c r="H746" s="620" t="str">
        <f>VLOOKUP(G746,FactorTable,2)</f>
        <v>CUS U RTL</v>
      </c>
      <c r="I746" s="645"/>
      <c r="J746" s="648">
        <f t="shared" si="267"/>
        <v>0</v>
      </c>
      <c r="K746" s="648">
        <f t="shared" si="267"/>
        <v>0</v>
      </c>
      <c r="L746" s="648">
        <f t="shared" si="267"/>
        <v>0</v>
      </c>
      <c r="M746" s="648">
        <f t="shared" si="267"/>
        <v>0</v>
      </c>
      <c r="N746" s="648">
        <f t="shared" si="267"/>
        <v>0</v>
      </c>
      <c r="O746" s="648">
        <f t="shared" si="267"/>
        <v>0</v>
      </c>
      <c r="P746" s="648">
        <f t="shared" si="267"/>
        <v>0</v>
      </c>
      <c r="Q746" s="648">
        <f t="shared" si="267"/>
        <v>0</v>
      </c>
      <c r="R746" s="648">
        <f t="shared" si="267"/>
        <v>0</v>
      </c>
      <c r="S746" s="648">
        <f t="shared" si="267"/>
        <v>0</v>
      </c>
      <c r="T746" s="645"/>
      <c r="U746" s="646">
        <f t="shared" si="268"/>
        <v>0</v>
      </c>
      <c r="W746" s="646">
        <f t="shared" si="260"/>
        <v>0</v>
      </c>
    </row>
    <row r="747" spans="2:23" ht="18" customHeight="1" x14ac:dyDescent="0.2">
      <c r="B747" s="645">
        <f t="shared" si="257"/>
        <v>25</v>
      </c>
      <c r="C747" s="647" t="s">
        <v>231</v>
      </c>
      <c r="D747" s="652" t="s">
        <v>232</v>
      </c>
      <c r="E747" s="645"/>
      <c r="F747" s="646">
        <f>' WP II-I-1.4'!H747</f>
        <v>0</v>
      </c>
      <c r="G747" s="645">
        <v>10</v>
      </c>
      <c r="H747" s="620" t="str">
        <f>VLOOKUP(G747,FactorTable,2)</f>
        <v>CUS U RTL</v>
      </c>
      <c r="I747" s="645"/>
      <c r="J747" s="648">
        <f t="shared" si="267"/>
        <v>0</v>
      </c>
      <c r="K747" s="648">
        <f t="shared" si="267"/>
        <v>0</v>
      </c>
      <c r="L747" s="648">
        <f t="shared" si="267"/>
        <v>0</v>
      </c>
      <c r="M747" s="648">
        <f t="shared" si="267"/>
        <v>0</v>
      </c>
      <c r="N747" s="648">
        <f t="shared" si="267"/>
        <v>0</v>
      </c>
      <c r="O747" s="648">
        <f t="shared" si="267"/>
        <v>0</v>
      </c>
      <c r="P747" s="648">
        <f t="shared" si="267"/>
        <v>0</v>
      </c>
      <c r="Q747" s="648">
        <f t="shared" si="267"/>
        <v>0</v>
      </c>
      <c r="R747" s="648">
        <f t="shared" si="267"/>
        <v>0</v>
      </c>
      <c r="S747" s="648">
        <f t="shared" si="267"/>
        <v>0</v>
      </c>
      <c r="T747" s="645"/>
      <c r="U747" s="646">
        <f t="shared" si="268"/>
        <v>0</v>
      </c>
      <c r="W747" s="646">
        <f t="shared" si="260"/>
        <v>0</v>
      </c>
    </row>
    <row r="748" spans="2:23" ht="18" customHeight="1" x14ac:dyDescent="0.2">
      <c r="B748" s="645">
        <f t="shared" si="257"/>
        <v>26</v>
      </c>
      <c r="C748" s="647" t="s">
        <v>233</v>
      </c>
      <c r="D748" s="652" t="s">
        <v>234</v>
      </c>
      <c r="E748" s="645"/>
      <c r="F748" s="646">
        <f>' WP II-I-1.4'!H748</f>
        <v>0</v>
      </c>
      <c r="G748" s="645">
        <v>10</v>
      </c>
      <c r="H748" s="620" t="str">
        <f>VLOOKUP(G748,FactorTable,2)</f>
        <v>CUS U RTL</v>
      </c>
      <c r="I748" s="645"/>
      <c r="J748" s="648">
        <f t="shared" si="267"/>
        <v>0</v>
      </c>
      <c r="K748" s="648">
        <f t="shared" si="267"/>
        <v>0</v>
      </c>
      <c r="L748" s="648">
        <f t="shared" si="267"/>
        <v>0</v>
      </c>
      <c r="M748" s="648">
        <f t="shared" si="267"/>
        <v>0</v>
      </c>
      <c r="N748" s="648">
        <f t="shared" si="267"/>
        <v>0</v>
      </c>
      <c r="O748" s="648">
        <f t="shared" si="267"/>
        <v>0</v>
      </c>
      <c r="P748" s="648">
        <f t="shared" si="267"/>
        <v>0</v>
      </c>
      <c r="Q748" s="648">
        <f t="shared" si="267"/>
        <v>0</v>
      </c>
      <c r="R748" s="648">
        <f t="shared" si="267"/>
        <v>0</v>
      </c>
      <c r="S748" s="648">
        <f t="shared" si="267"/>
        <v>0</v>
      </c>
      <c r="T748" s="645"/>
      <c r="U748" s="646">
        <f t="shared" si="268"/>
        <v>0</v>
      </c>
      <c r="W748" s="646">
        <f t="shared" si="260"/>
        <v>0</v>
      </c>
    </row>
    <row r="749" spans="2:23" ht="18" customHeight="1" x14ac:dyDescent="0.25">
      <c r="B749" s="645">
        <f t="shared" si="257"/>
        <v>27</v>
      </c>
      <c r="C749" s="8"/>
      <c r="D749" s="233" t="s">
        <v>602</v>
      </c>
      <c r="E749" s="1571"/>
      <c r="F749" s="805">
        <f>SUM(F744:F748)</f>
        <v>0</v>
      </c>
      <c r="G749" s="1571"/>
      <c r="H749" s="1571"/>
      <c r="I749" s="1571"/>
      <c r="J749" s="805">
        <f t="shared" ref="J749:Q749" si="269">SUM(J744:J748)</f>
        <v>0</v>
      </c>
      <c r="K749" s="805">
        <f t="shared" si="269"/>
        <v>0</v>
      </c>
      <c r="L749" s="805">
        <f t="shared" si="269"/>
        <v>0</v>
      </c>
      <c r="M749" s="805">
        <f t="shared" si="269"/>
        <v>0</v>
      </c>
      <c r="N749" s="805">
        <f t="shared" si="269"/>
        <v>0</v>
      </c>
      <c r="O749" s="805">
        <f>SUM(O744:O748)</f>
        <v>0</v>
      </c>
      <c r="P749" s="805">
        <f t="shared" si="269"/>
        <v>0</v>
      </c>
      <c r="Q749" s="805">
        <f t="shared" si="269"/>
        <v>0</v>
      </c>
      <c r="R749" s="805">
        <f>SUM(R744:R748)</f>
        <v>0</v>
      </c>
      <c r="S749" s="805">
        <f>SUM(S744:S748)</f>
        <v>0</v>
      </c>
      <c r="T749" s="1571"/>
      <c r="U749" s="235">
        <f t="shared" si="268"/>
        <v>0</v>
      </c>
      <c r="W749" s="646">
        <f t="shared" si="260"/>
        <v>0</v>
      </c>
    </row>
    <row r="750" spans="2:23" ht="18" customHeight="1" x14ac:dyDescent="0.25">
      <c r="B750" s="645">
        <f t="shared" si="257"/>
        <v>28</v>
      </c>
      <c r="C750" s="8"/>
      <c r="D750" s="304"/>
      <c r="E750" s="1571"/>
      <c r="F750" s="805"/>
      <c r="G750" s="1571"/>
      <c r="H750" s="1571"/>
      <c r="I750" s="1571"/>
      <c r="J750" s="805"/>
      <c r="K750" s="805"/>
      <c r="L750" s="805"/>
      <c r="M750" s="805"/>
      <c r="N750" s="805"/>
      <c r="O750" s="805"/>
      <c r="P750" s="805"/>
      <c r="Q750" s="805"/>
      <c r="R750" s="805"/>
      <c r="S750" s="805"/>
      <c r="T750" s="1571"/>
      <c r="U750" s="8"/>
      <c r="W750" s="646">
        <f t="shared" si="260"/>
        <v>0</v>
      </c>
    </row>
    <row r="751" spans="2:23" ht="18" customHeight="1" x14ac:dyDescent="0.25">
      <c r="B751" s="645">
        <f t="shared" si="257"/>
        <v>29</v>
      </c>
      <c r="C751" s="8"/>
      <c r="D751" s="233" t="s">
        <v>603</v>
      </c>
      <c r="E751" s="1571"/>
      <c r="F751" s="805">
        <f>SUM(F745:F748)</f>
        <v>0</v>
      </c>
      <c r="G751" s="1571"/>
      <c r="H751" s="1571"/>
      <c r="I751" s="1571"/>
      <c r="J751" s="805">
        <f t="shared" ref="J751:Q751" si="270">SUM(J745:J748)</f>
        <v>0</v>
      </c>
      <c r="K751" s="805">
        <f t="shared" si="270"/>
        <v>0</v>
      </c>
      <c r="L751" s="805">
        <f t="shared" si="270"/>
        <v>0</v>
      </c>
      <c r="M751" s="805">
        <f t="shared" si="270"/>
        <v>0</v>
      </c>
      <c r="N751" s="805">
        <f t="shared" si="270"/>
        <v>0</v>
      </c>
      <c r="O751" s="805">
        <f>SUM(O745:O748)</f>
        <v>0</v>
      </c>
      <c r="P751" s="805">
        <f t="shared" si="270"/>
        <v>0</v>
      </c>
      <c r="Q751" s="805">
        <f t="shared" si="270"/>
        <v>0</v>
      </c>
      <c r="R751" s="805">
        <f>SUM(R745:R748)</f>
        <v>0</v>
      </c>
      <c r="S751" s="805">
        <f>SUM(S745:S748)</f>
        <v>0</v>
      </c>
      <c r="T751" s="1571"/>
      <c r="U751" s="235">
        <f>SUM(I751:T751)</f>
        <v>0</v>
      </c>
      <c r="W751" s="646">
        <f t="shared" si="260"/>
        <v>0</v>
      </c>
    </row>
    <row r="752" spans="2:23" ht="18" customHeight="1" thickBot="1" x14ac:dyDescent="0.3">
      <c r="B752" s="645">
        <f t="shared" si="257"/>
        <v>30</v>
      </c>
      <c r="C752" s="8"/>
      <c r="D752" s="304"/>
      <c r="E752" s="1571"/>
      <c r="F752" s="805"/>
      <c r="G752" s="1571"/>
      <c r="H752" s="1571"/>
      <c r="I752" s="1571"/>
      <c r="J752" s="805"/>
      <c r="K752" s="805"/>
      <c r="L752" s="805"/>
      <c r="M752" s="805"/>
      <c r="N752" s="805"/>
      <c r="O752" s="805"/>
      <c r="P752" s="805"/>
      <c r="Q752" s="805"/>
      <c r="R752" s="805"/>
      <c r="S752" s="805"/>
      <c r="T752" s="1571"/>
      <c r="U752" s="8"/>
      <c r="W752" s="646">
        <f t="shared" si="260"/>
        <v>0</v>
      </c>
    </row>
    <row r="753" spans="2:23" ht="18" customHeight="1" x14ac:dyDescent="0.25">
      <c r="B753" s="645">
        <f t="shared" si="257"/>
        <v>31</v>
      </c>
      <c r="C753" s="255" t="s">
        <v>604</v>
      </c>
      <c r="D753" s="240"/>
      <c r="E753" s="241" t="s">
        <v>143</v>
      </c>
      <c r="F753" s="817">
        <f>+F749+F739+F729+F709+F661</f>
        <v>71361589.280000001</v>
      </c>
      <c r="G753" s="241"/>
      <c r="H753" s="372"/>
      <c r="I753" s="769"/>
      <c r="J753" s="374">
        <f t="shared" ref="J753:Q753" ca="1" si="271">+J749+J739+J729+J709+J661</f>
        <v>37242196.49479638</v>
      </c>
      <c r="K753" s="817">
        <f t="shared" ca="1" si="271"/>
        <v>5223950.5120499032</v>
      </c>
      <c r="L753" s="817">
        <f t="shared" ca="1" si="271"/>
        <v>20546666.564324901</v>
      </c>
      <c r="M753" s="817">
        <f t="shared" ca="1" si="271"/>
        <v>865138.30531798815</v>
      </c>
      <c r="N753" s="817">
        <f t="shared" ca="1" si="271"/>
        <v>6662882.6856103865</v>
      </c>
      <c r="O753" s="817">
        <f ca="1">+O749+O739+O729+O709+O661</f>
        <v>218970.35453727859</v>
      </c>
      <c r="P753" s="817">
        <f t="shared" ca="1" si="271"/>
        <v>455965.41439566668</v>
      </c>
      <c r="Q753" s="817">
        <f t="shared" ca="1" si="271"/>
        <v>60339.008529419458</v>
      </c>
      <c r="R753" s="817">
        <f ca="1">+R749+R739+R729+R709+R661</f>
        <v>24165.278724022373</v>
      </c>
      <c r="S753" s="566">
        <f ca="1">+S749+S739+S729+S709+S661</f>
        <v>61314.661714063928</v>
      </c>
      <c r="T753" s="372"/>
      <c r="U753" s="243">
        <f ca="1">SUM(I753:T753)</f>
        <v>71361589.280000016</v>
      </c>
      <c r="W753" s="646">
        <f t="shared" ca="1" si="260"/>
        <v>0</v>
      </c>
    </row>
    <row r="754" spans="2:23" ht="18" customHeight="1" thickBot="1" x14ac:dyDescent="0.3">
      <c r="B754" s="645">
        <f t="shared" si="257"/>
        <v>32</v>
      </c>
      <c r="C754" s="262" t="s">
        <v>605</v>
      </c>
      <c r="D754" s="246"/>
      <c r="E754" s="247" t="s">
        <v>143</v>
      </c>
      <c r="F754" s="248">
        <f>F753-F645</f>
        <v>71361589.280000001</v>
      </c>
      <c r="G754" s="247"/>
      <c r="H754" s="375"/>
      <c r="I754" s="964"/>
      <c r="J754" s="377">
        <f t="shared" ref="J754:Q754" ca="1" si="272">J753-J645</f>
        <v>37242196.49479638</v>
      </c>
      <c r="K754" s="248">
        <f t="shared" ca="1" si="272"/>
        <v>5223950.5120499032</v>
      </c>
      <c r="L754" s="248">
        <f t="shared" ca="1" si="272"/>
        <v>20546666.564324901</v>
      </c>
      <c r="M754" s="248">
        <f t="shared" ca="1" si="272"/>
        <v>865138.30531798815</v>
      </c>
      <c r="N754" s="248">
        <f t="shared" ca="1" si="272"/>
        <v>6662882.6856103865</v>
      </c>
      <c r="O754" s="248">
        <f ca="1">O753-O645</f>
        <v>218970.35453727859</v>
      </c>
      <c r="P754" s="248">
        <f t="shared" ca="1" si="272"/>
        <v>455965.41439566668</v>
      </c>
      <c r="Q754" s="248">
        <f t="shared" ca="1" si="272"/>
        <v>60339.008529419458</v>
      </c>
      <c r="R754" s="248">
        <f ca="1">R753-R645</f>
        <v>24165.278724022373</v>
      </c>
      <c r="S754" s="378">
        <f ca="1">S753-S645</f>
        <v>61314.661714063928</v>
      </c>
      <c r="T754" s="375"/>
      <c r="U754" s="249">
        <f ca="1">SUM(I754:T754)</f>
        <v>71361589.280000016</v>
      </c>
      <c r="W754" s="646">
        <f t="shared" ca="1" si="260"/>
        <v>0</v>
      </c>
    </row>
    <row r="755" spans="2:23" ht="18" customHeight="1" x14ac:dyDescent="0.25">
      <c r="B755" s="645"/>
      <c r="C755" s="8"/>
      <c r="D755" s="8"/>
      <c r="E755" s="1571"/>
      <c r="F755" s="805"/>
      <c r="G755" s="1571"/>
      <c r="H755" s="653"/>
      <c r="I755" s="1571"/>
      <c r="J755" s="1571"/>
      <c r="K755" s="1571"/>
      <c r="L755" s="1571"/>
      <c r="M755" s="1571"/>
      <c r="N755" s="1571"/>
      <c r="O755" s="1571"/>
      <c r="P755" s="1571"/>
      <c r="Q755" s="1571"/>
      <c r="R755" s="1571"/>
      <c r="S755" s="1571"/>
      <c r="T755" s="1571"/>
      <c r="U755" s="653"/>
      <c r="V755" s="653">
        <f>$H$2</f>
        <v>0</v>
      </c>
      <c r="W755" s="646"/>
    </row>
    <row r="756" spans="2:23" ht="18" customHeight="1" thickBot="1" x14ac:dyDescent="0.3">
      <c r="B756" s="645"/>
      <c r="C756" s="8"/>
      <c r="D756" s="8"/>
      <c r="E756" s="1571"/>
      <c r="F756" s="805"/>
      <c r="G756" s="1571"/>
      <c r="H756" s="1571"/>
      <c r="I756" s="1571"/>
      <c r="J756" s="1571"/>
      <c r="K756" s="1571"/>
      <c r="L756" s="1571"/>
      <c r="M756" s="1571"/>
      <c r="N756" s="1571"/>
      <c r="O756" s="1571"/>
      <c r="P756" s="1571"/>
      <c r="Q756" s="1571"/>
      <c r="R756" s="1571"/>
      <c r="S756" s="1571"/>
      <c r="T756" s="1571"/>
      <c r="U756" s="191"/>
      <c r="W756" s="646"/>
    </row>
    <row r="757" spans="2:23" ht="18" customHeight="1" x14ac:dyDescent="0.25">
      <c r="B757" s="829" t="str">
        <f>+$B$4</f>
        <v>2025 RATE CASE</v>
      </c>
      <c r="C757" s="844"/>
      <c r="D757" s="874"/>
      <c r="F757" s="654"/>
      <c r="U757" s="653"/>
      <c r="W757" s="646"/>
    </row>
    <row r="758" spans="2:23" ht="18" customHeight="1" x14ac:dyDescent="0.25">
      <c r="B758" s="826" t="str">
        <f>+$B$5</f>
        <v>ONCOR ELECTRIC DELIVERY COMPANY LLC</v>
      </c>
      <c r="C758" s="8"/>
      <c r="D758" s="875"/>
      <c r="F758" s="1601"/>
      <c r="U758" s="653"/>
      <c r="W758" s="646"/>
    </row>
    <row r="759" spans="2:23" ht="18" customHeight="1" x14ac:dyDescent="0.25">
      <c r="B759" s="826" t="str">
        <f>+$B$6</f>
        <v>II-I-1-MET:  CLASS REVENUE REQUIREMENT</v>
      </c>
      <c r="C759" s="82"/>
      <c r="D759" s="875"/>
      <c r="F759" s="1601"/>
      <c r="U759" s="654"/>
      <c r="W759" s="646"/>
    </row>
    <row r="760" spans="2:23" ht="18" customHeight="1" x14ac:dyDescent="0.25">
      <c r="B760" s="341" t="str">
        <f>+$B$7</f>
        <v>TEST YEAR ENDING 12/31/2024</v>
      </c>
      <c r="C760" s="82"/>
      <c r="D760" s="875"/>
      <c r="F760" s="1601"/>
      <c r="U760" s="654"/>
      <c r="W760" s="646"/>
    </row>
    <row r="761" spans="2:23" ht="18" customHeight="1" x14ac:dyDescent="0.25">
      <c r="B761" s="341" t="str">
        <f>+$B$8</f>
        <v>SPONSOR:  MATTHEW A. TROXLE</v>
      </c>
      <c r="C761" s="82"/>
      <c r="D761" s="875"/>
      <c r="F761" s="1601"/>
      <c r="U761" s="654"/>
      <c r="W761" s="646"/>
    </row>
    <row r="762" spans="2:23" ht="18" customHeight="1" thickBot="1" x14ac:dyDescent="0.3">
      <c r="B762" s="345"/>
      <c r="C762" s="843"/>
      <c r="D762" s="876"/>
      <c r="F762" s="1601"/>
      <c r="U762" s="654"/>
      <c r="W762" s="646"/>
    </row>
    <row r="763" spans="2:23" ht="18" customHeight="1" thickBot="1" x14ac:dyDescent="0.25">
      <c r="B763" s="655"/>
      <c r="C763" s="656"/>
      <c r="D763" s="656"/>
      <c r="E763" s="656"/>
      <c r="F763" s="655"/>
      <c r="G763" s="656"/>
      <c r="H763" s="656"/>
      <c r="I763" s="656"/>
      <c r="J763" s="657"/>
      <c r="K763" s="657"/>
      <c r="L763" s="656"/>
      <c r="M763" s="657"/>
      <c r="N763" s="657"/>
      <c r="O763" s="657"/>
      <c r="P763" s="657"/>
      <c r="Q763" s="656"/>
      <c r="R763" s="658" t="str">
        <f>R$10</f>
        <v xml:space="preserve"> </v>
      </c>
      <c r="S763" s="659"/>
      <c r="T763" s="657"/>
      <c r="U763" s="655"/>
      <c r="W763" s="646"/>
    </row>
    <row r="764" spans="2:23" ht="18" customHeight="1" x14ac:dyDescent="0.25">
      <c r="B764" s="660" t="s">
        <v>2</v>
      </c>
      <c r="C764" s="660" t="s">
        <v>349</v>
      </c>
      <c r="D764" s="226" t="s">
        <v>1109</v>
      </c>
      <c r="E764" s="660" t="s">
        <v>350</v>
      </c>
      <c r="F764" s="226" t="str">
        <f>F$11</f>
        <v>MET</v>
      </c>
      <c r="G764" s="661" t="s">
        <v>688</v>
      </c>
      <c r="H764" s="661" t="s">
        <v>355</v>
      </c>
      <c r="I764" s="660"/>
      <c r="J764" s="661" t="s">
        <v>679</v>
      </c>
      <c r="K764" s="661" t="s">
        <v>388</v>
      </c>
      <c r="L764" s="660" t="s">
        <v>388</v>
      </c>
      <c r="M764" s="661" t="s">
        <v>389</v>
      </c>
      <c r="N764" s="661" t="s">
        <v>389</v>
      </c>
      <c r="O764" s="661" t="s">
        <v>389</v>
      </c>
      <c r="P764" s="661" t="s">
        <v>390</v>
      </c>
      <c r="Q764" s="660" t="s">
        <v>391</v>
      </c>
      <c r="R764" s="662" t="str">
        <f>R$11</f>
        <v>Wholesale</v>
      </c>
      <c r="S764" s="655" t="str">
        <f>S$11</f>
        <v>Wholesale</v>
      </c>
      <c r="T764" s="661"/>
      <c r="U764" s="660" t="s">
        <v>10</v>
      </c>
      <c r="W764" s="646"/>
    </row>
    <row r="765" spans="2:23" ht="18" customHeight="1" x14ac:dyDescent="0.2">
      <c r="B765" s="660"/>
      <c r="C765" s="660"/>
      <c r="D765" s="660"/>
      <c r="E765" s="660"/>
      <c r="F765" s="660"/>
      <c r="G765" s="661" t="s">
        <v>689</v>
      </c>
      <c r="H765" s="661" t="s">
        <v>690</v>
      </c>
      <c r="I765" s="660"/>
      <c r="J765" s="661"/>
      <c r="K765" s="661" t="s">
        <v>680</v>
      </c>
      <c r="L765" s="660" t="s">
        <v>681</v>
      </c>
      <c r="M765" s="661" t="s">
        <v>680</v>
      </c>
      <c r="N765" s="661" t="s">
        <v>681</v>
      </c>
      <c r="O765" s="661" t="s">
        <v>393</v>
      </c>
      <c r="P765" s="661"/>
      <c r="Q765" s="660"/>
      <c r="R765" s="663" t="str">
        <f>R$12</f>
        <v>XFMR</v>
      </c>
      <c r="S765" s="660" t="str">
        <f>S$12</f>
        <v>DLS</v>
      </c>
      <c r="T765" s="661"/>
      <c r="U765" s="660"/>
      <c r="W765" s="646"/>
    </row>
    <row r="766" spans="2:23" ht="18" customHeight="1" thickBot="1" x14ac:dyDescent="0.25">
      <c r="B766" s="664"/>
      <c r="C766" s="664"/>
      <c r="D766" s="664"/>
      <c r="E766" s="664"/>
      <c r="F766" s="664" t="s">
        <v>13</v>
      </c>
      <c r="G766" s="664" t="s">
        <v>14</v>
      </c>
      <c r="H766" s="664" t="s">
        <v>15</v>
      </c>
      <c r="I766" s="664"/>
      <c r="J766" s="665" t="str">
        <f t="shared" ref="J766:Q766" si="273">J$13</f>
        <v>(d)</v>
      </c>
      <c r="K766" s="665" t="str">
        <f t="shared" si="273"/>
        <v>(e)</v>
      </c>
      <c r="L766" s="664" t="str">
        <f t="shared" si="273"/>
        <v>(f)</v>
      </c>
      <c r="M766" s="665" t="str">
        <f t="shared" si="273"/>
        <v>(g)</v>
      </c>
      <c r="N766" s="665" t="str">
        <f t="shared" si="273"/>
        <v>(h)</v>
      </c>
      <c r="O766" s="665" t="str">
        <f>O$13</f>
        <v>(i)</v>
      </c>
      <c r="P766" s="665" t="str">
        <f t="shared" si="273"/>
        <v>(j)</v>
      </c>
      <c r="Q766" s="665" t="str">
        <f t="shared" si="273"/>
        <v>(k)</v>
      </c>
      <c r="R766" s="665" t="str">
        <f>R$13</f>
        <v>(l)</v>
      </c>
      <c r="S766" s="664" t="str">
        <f>S$13</f>
        <v>(m)</v>
      </c>
      <c r="T766" s="664"/>
      <c r="U766" s="664" t="s">
        <v>683</v>
      </c>
      <c r="W766" s="646"/>
    </row>
    <row r="767" spans="2:23" ht="18" customHeight="1" x14ac:dyDescent="0.2">
      <c r="C767" s="666"/>
      <c r="D767" s="666"/>
      <c r="E767" s="666"/>
      <c r="F767" s="666"/>
      <c r="G767" s="666"/>
      <c r="H767" s="666"/>
      <c r="I767" s="666"/>
      <c r="J767" s="666"/>
      <c r="K767" s="666"/>
      <c r="L767" s="666"/>
      <c r="M767" s="666"/>
      <c r="N767" s="666"/>
      <c r="O767" s="666"/>
      <c r="P767" s="666"/>
      <c r="Q767" s="666"/>
      <c r="R767" s="666"/>
      <c r="S767" s="666"/>
      <c r="T767" s="666"/>
      <c r="U767" s="611"/>
      <c r="W767" s="646"/>
    </row>
    <row r="768" spans="2:23" ht="18" customHeight="1" x14ac:dyDescent="0.25">
      <c r="B768" s="645">
        <f t="shared" ref="B768:B787" si="274">B767+1</f>
        <v>1</v>
      </c>
      <c r="C768" s="8" t="s">
        <v>1109</v>
      </c>
      <c r="D768" s="8"/>
      <c r="E768" s="1571" t="s">
        <v>236</v>
      </c>
      <c r="F768" s="8"/>
      <c r="G768" s="1571"/>
      <c r="H768" s="1571"/>
      <c r="I768" s="1571"/>
      <c r="J768" s="1571"/>
      <c r="K768" s="1571"/>
      <c r="L768" s="1571"/>
      <c r="M768" s="1571"/>
      <c r="N768" s="1571"/>
      <c r="O768" s="1571"/>
      <c r="P768" s="1571"/>
      <c r="Q768" s="1571"/>
      <c r="R768" s="1571"/>
      <c r="S768" s="1571"/>
      <c r="T768" s="1571"/>
      <c r="U768" s="8"/>
    </row>
    <row r="769" spans="2:23" ht="18" customHeight="1" x14ac:dyDescent="0.2">
      <c r="B769" s="645">
        <f t="shared" si="274"/>
        <v>2</v>
      </c>
      <c r="C769" s="647" t="s">
        <v>237</v>
      </c>
      <c r="D769" s="647" t="s">
        <v>238</v>
      </c>
      <c r="E769" s="645"/>
      <c r="F769" s="646">
        <f>' WP II-I-1.4'!H769</f>
        <v>18757103.199999999</v>
      </c>
      <c r="G769" s="645">
        <v>77</v>
      </c>
      <c r="H769" s="620" t="str">
        <f t="shared" ref="H769:H781" si="275">VLOOKUP(G769,FactorTable,2)</f>
        <v>O&amp;M x565</v>
      </c>
      <c r="I769" s="645"/>
      <c r="J769" s="648">
        <f t="shared" ref="J769:S781" ca="1" si="276">$F769*HLOOKUP(J$1354,FactorTable,$G769+1)</f>
        <v>9788959.7204269804</v>
      </c>
      <c r="K769" s="648">
        <f t="shared" ca="1" si="276"/>
        <v>1373094.1232509059</v>
      </c>
      <c r="L769" s="648">
        <f t="shared" ca="1" si="276"/>
        <v>5400607.6525406595</v>
      </c>
      <c r="M769" s="648">
        <f t="shared" ca="1" si="276"/>
        <v>227398.08122057296</v>
      </c>
      <c r="N769" s="648">
        <f t="shared" ca="1" si="276"/>
        <v>1751311.5865892489</v>
      </c>
      <c r="O769" s="648">
        <f t="shared" ca="1" si="276"/>
        <v>57555.46617215588</v>
      </c>
      <c r="P769" s="648">
        <f t="shared" ca="1" si="276"/>
        <v>119848.65275201005</v>
      </c>
      <c r="Q769" s="648">
        <f t="shared" ca="1" si="276"/>
        <v>15859.862727149182</v>
      </c>
      <c r="R769" s="648">
        <f t="shared" ca="1" si="276"/>
        <v>6351.7451258654455</v>
      </c>
      <c r="S769" s="648">
        <f t="shared" ca="1" si="276"/>
        <v>16116.309194449401</v>
      </c>
      <c r="T769" s="645"/>
      <c r="U769" s="646">
        <f t="shared" ref="U769:U781" ca="1" si="277">SUM(I769:T769)</f>
        <v>18757103.199999996</v>
      </c>
      <c r="W769" s="646">
        <f t="shared" ca="1" si="260"/>
        <v>0</v>
      </c>
    </row>
    <row r="770" spans="2:23" ht="18" customHeight="1" x14ac:dyDescent="0.2">
      <c r="B770" s="645">
        <f t="shared" si="274"/>
        <v>3</v>
      </c>
      <c r="C770" s="647" t="s">
        <v>239</v>
      </c>
      <c r="D770" s="647" t="s">
        <v>240</v>
      </c>
      <c r="E770" s="645"/>
      <c r="F770" s="646">
        <f>' WP II-I-1.4'!H770</f>
        <v>1847804.75</v>
      </c>
      <c r="G770" s="645">
        <v>77</v>
      </c>
      <c r="H770" s="620" t="str">
        <f t="shared" si="275"/>
        <v>O&amp;M x565</v>
      </c>
      <c r="I770" s="645"/>
      <c r="J770" s="648">
        <f t="shared" ca="1" si="276"/>
        <v>964332.60915063089</v>
      </c>
      <c r="K770" s="648">
        <f t="shared" ca="1" si="276"/>
        <v>135266.61425737155</v>
      </c>
      <c r="L770" s="648">
        <f t="shared" ca="1" si="276"/>
        <v>532026.10055752005</v>
      </c>
      <c r="M770" s="648">
        <f t="shared" ca="1" si="276"/>
        <v>22401.50038841075</v>
      </c>
      <c r="N770" s="648">
        <f t="shared" ca="1" si="276"/>
        <v>172525.67381671444</v>
      </c>
      <c r="O770" s="648">
        <f t="shared" ca="1" si="276"/>
        <v>5669.919424518278</v>
      </c>
      <c r="P770" s="648">
        <f t="shared" ca="1" si="276"/>
        <v>11806.562424642669</v>
      </c>
      <c r="Q770" s="648">
        <f t="shared" ca="1" si="276"/>
        <v>1562.3910243013545</v>
      </c>
      <c r="R770" s="648">
        <f t="shared" ca="1" si="276"/>
        <v>625.72480884806976</v>
      </c>
      <c r="S770" s="648">
        <f t="shared" ca="1" si="276"/>
        <v>1587.6541470418672</v>
      </c>
      <c r="T770" s="645"/>
      <c r="U770" s="646">
        <f t="shared" ca="1" si="277"/>
        <v>1847804.7499999998</v>
      </c>
      <c r="W770" s="646">
        <f t="shared" ca="1" si="260"/>
        <v>0</v>
      </c>
    </row>
    <row r="771" spans="2:23" ht="18" customHeight="1" x14ac:dyDescent="0.2">
      <c r="B771" s="645">
        <f t="shared" si="274"/>
        <v>4</v>
      </c>
      <c r="C771" s="647" t="s">
        <v>241</v>
      </c>
      <c r="D771" s="647" t="s">
        <v>242</v>
      </c>
      <c r="E771" s="645"/>
      <c r="F771" s="646">
        <f>' WP II-I-1.4'!H771</f>
        <v>0</v>
      </c>
      <c r="G771" s="645">
        <v>77</v>
      </c>
      <c r="H771" s="620" t="str">
        <f t="shared" si="275"/>
        <v>O&amp;M x565</v>
      </c>
      <c r="I771" s="645"/>
      <c r="J771" s="648">
        <f t="shared" ca="1" si="276"/>
        <v>0</v>
      </c>
      <c r="K771" s="648">
        <f t="shared" ca="1" si="276"/>
        <v>0</v>
      </c>
      <c r="L771" s="648">
        <f t="shared" ca="1" si="276"/>
        <v>0</v>
      </c>
      <c r="M771" s="648">
        <f t="shared" ca="1" si="276"/>
        <v>0</v>
      </c>
      <c r="N771" s="648">
        <f t="shared" ca="1" si="276"/>
        <v>0</v>
      </c>
      <c r="O771" s="648">
        <f t="shared" ca="1" si="276"/>
        <v>0</v>
      </c>
      <c r="P771" s="648">
        <f t="shared" ca="1" si="276"/>
        <v>0</v>
      </c>
      <c r="Q771" s="648">
        <f t="shared" ca="1" si="276"/>
        <v>0</v>
      </c>
      <c r="R771" s="648">
        <f t="shared" ca="1" si="276"/>
        <v>0</v>
      </c>
      <c r="S771" s="648">
        <f t="shared" ca="1" si="276"/>
        <v>0</v>
      </c>
      <c r="T771" s="645"/>
      <c r="U771" s="646">
        <f t="shared" ca="1" si="277"/>
        <v>0</v>
      </c>
      <c r="W771" s="646">
        <f t="shared" ca="1" si="260"/>
        <v>0</v>
      </c>
    </row>
    <row r="772" spans="2:23" ht="18" customHeight="1" x14ac:dyDescent="0.2">
      <c r="B772" s="645">
        <f t="shared" si="274"/>
        <v>5</v>
      </c>
      <c r="C772" s="647" t="s">
        <v>243</v>
      </c>
      <c r="D772" s="649" t="s">
        <v>244</v>
      </c>
      <c r="E772" s="645"/>
      <c r="F772" s="646">
        <f>' WP II-I-1.4'!H772</f>
        <v>9942399.8599999994</v>
      </c>
      <c r="G772" s="645">
        <v>77</v>
      </c>
      <c r="H772" s="620" t="str">
        <f t="shared" si="275"/>
        <v>O&amp;M x565</v>
      </c>
      <c r="I772" s="645"/>
      <c r="J772" s="648">
        <f t="shared" ca="1" si="276"/>
        <v>5188741.0713781677</v>
      </c>
      <c r="K772" s="648">
        <f t="shared" ca="1" si="276"/>
        <v>727822.9838164259</v>
      </c>
      <c r="L772" s="648">
        <f t="shared" ca="1" si="276"/>
        <v>2862648.8960478283</v>
      </c>
      <c r="M772" s="648">
        <f t="shared" ca="1" si="276"/>
        <v>120534.7449861924</v>
      </c>
      <c r="N772" s="648">
        <f t="shared" ca="1" si="276"/>
        <v>928301.12878631102</v>
      </c>
      <c r="O772" s="648">
        <f t="shared" ca="1" si="276"/>
        <v>30507.880279310793</v>
      </c>
      <c r="P772" s="648">
        <f t="shared" ca="1" si="276"/>
        <v>63527.039097528308</v>
      </c>
      <c r="Q772" s="648">
        <f t="shared" ca="1" si="276"/>
        <v>8406.6870708493643</v>
      </c>
      <c r="R772" s="648">
        <f t="shared" ca="1" si="276"/>
        <v>3366.809318944318</v>
      </c>
      <c r="S772" s="648">
        <f t="shared" ca="1" si="276"/>
        <v>8542.6192184414922</v>
      </c>
      <c r="T772" s="645"/>
      <c r="U772" s="646">
        <f t="shared" ca="1" si="277"/>
        <v>9942399.8600000013</v>
      </c>
      <c r="W772" s="646">
        <f t="shared" ca="1" si="260"/>
        <v>0</v>
      </c>
    </row>
    <row r="773" spans="2:23" ht="18" customHeight="1" x14ac:dyDescent="0.2">
      <c r="B773" s="645">
        <f t="shared" si="274"/>
        <v>6</v>
      </c>
      <c r="C773" s="647" t="s">
        <v>245</v>
      </c>
      <c r="D773" s="647" t="s">
        <v>246</v>
      </c>
      <c r="E773" s="645"/>
      <c r="F773" s="646">
        <f>' WP II-I-1.4'!H773</f>
        <v>0</v>
      </c>
      <c r="G773" s="645">
        <v>64</v>
      </c>
      <c r="H773" s="620" t="str">
        <f t="shared" si="275"/>
        <v>PLANT</v>
      </c>
      <c r="I773" s="645"/>
      <c r="J773" s="648">
        <f t="shared" ca="1" si="276"/>
        <v>0</v>
      </c>
      <c r="K773" s="648">
        <f t="shared" ca="1" si="276"/>
        <v>0</v>
      </c>
      <c r="L773" s="648">
        <f t="shared" ca="1" si="276"/>
        <v>0</v>
      </c>
      <c r="M773" s="648">
        <f t="shared" ca="1" si="276"/>
        <v>0</v>
      </c>
      <c r="N773" s="648">
        <f t="shared" ca="1" si="276"/>
        <v>0</v>
      </c>
      <c r="O773" s="648">
        <f t="shared" ca="1" si="276"/>
        <v>0</v>
      </c>
      <c r="P773" s="648">
        <f t="shared" ca="1" si="276"/>
        <v>0</v>
      </c>
      <c r="Q773" s="648">
        <f t="shared" ca="1" si="276"/>
        <v>0</v>
      </c>
      <c r="R773" s="648">
        <f t="shared" ca="1" si="276"/>
        <v>0</v>
      </c>
      <c r="S773" s="648">
        <f t="shared" ca="1" si="276"/>
        <v>0</v>
      </c>
      <c r="T773" s="645"/>
      <c r="U773" s="646">
        <f t="shared" ca="1" si="277"/>
        <v>0</v>
      </c>
      <c r="W773" s="646">
        <f t="shared" ca="1" si="260"/>
        <v>0</v>
      </c>
    </row>
    <row r="774" spans="2:23" ht="18" customHeight="1" x14ac:dyDescent="0.2">
      <c r="B774" s="645">
        <f t="shared" si="274"/>
        <v>7</v>
      </c>
      <c r="C774" s="647" t="s">
        <v>247</v>
      </c>
      <c r="D774" s="647" t="s">
        <v>248</v>
      </c>
      <c r="E774" s="645"/>
      <c r="F774" s="646">
        <f>' WP II-I-1.4'!H774</f>
        <v>0</v>
      </c>
      <c r="G774" s="645">
        <v>77</v>
      </c>
      <c r="H774" s="620" t="str">
        <f t="shared" si="275"/>
        <v>O&amp;M x565</v>
      </c>
      <c r="I774" s="645"/>
      <c r="J774" s="648">
        <f t="shared" ca="1" si="276"/>
        <v>0</v>
      </c>
      <c r="K774" s="648">
        <f t="shared" ca="1" si="276"/>
        <v>0</v>
      </c>
      <c r="L774" s="648">
        <f t="shared" ca="1" si="276"/>
        <v>0</v>
      </c>
      <c r="M774" s="648">
        <f t="shared" ca="1" si="276"/>
        <v>0</v>
      </c>
      <c r="N774" s="648">
        <f t="shared" ca="1" si="276"/>
        <v>0</v>
      </c>
      <c r="O774" s="648">
        <f t="shared" ca="1" si="276"/>
        <v>0</v>
      </c>
      <c r="P774" s="648">
        <f t="shared" ca="1" si="276"/>
        <v>0</v>
      </c>
      <c r="Q774" s="648">
        <f t="shared" ca="1" si="276"/>
        <v>0</v>
      </c>
      <c r="R774" s="648">
        <f t="shared" ca="1" si="276"/>
        <v>0</v>
      </c>
      <c r="S774" s="648">
        <f t="shared" ca="1" si="276"/>
        <v>0</v>
      </c>
      <c r="T774" s="645"/>
      <c r="U774" s="646">
        <f t="shared" ca="1" si="277"/>
        <v>0</v>
      </c>
      <c r="W774" s="646">
        <f t="shared" ca="1" si="260"/>
        <v>0</v>
      </c>
    </row>
    <row r="775" spans="2:23" ht="18" customHeight="1" x14ac:dyDescent="0.2">
      <c r="B775" s="645">
        <f t="shared" si="274"/>
        <v>8</v>
      </c>
      <c r="C775" s="647" t="s">
        <v>249</v>
      </c>
      <c r="D775" s="647" t="s">
        <v>250</v>
      </c>
      <c r="E775" s="645"/>
      <c r="F775" s="646">
        <f>' WP II-I-1.4'!H775</f>
        <v>15432223.109999999</v>
      </c>
      <c r="G775" s="645">
        <v>88</v>
      </c>
      <c r="H775" s="620" t="str">
        <f t="shared" si="275"/>
        <v>PAYROLL</v>
      </c>
      <c r="I775" s="645"/>
      <c r="J775" s="648">
        <f t="shared" ca="1" si="276"/>
        <v>8055472.5423288252</v>
      </c>
      <c r="K775" s="648">
        <f t="shared" ca="1" si="276"/>
        <v>1130022.312700161</v>
      </c>
      <c r="L775" s="648">
        <f t="shared" ca="1" si="276"/>
        <v>4444190.9998268206</v>
      </c>
      <c r="M775" s="648">
        <f t="shared" ca="1" si="276"/>
        <v>187145.30439704776</v>
      </c>
      <c r="N775" s="648">
        <f t="shared" ca="1" si="276"/>
        <v>1441178.0820210178</v>
      </c>
      <c r="O775" s="648">
        <f t="shared" ca="1" si="276"/>
        <v>47312.547313650946</v>
      </c>
      <c r="P775" s="648">
        <f t="shared" ca="1" si="276"/>
        <v>98633.812941934622</v>
      </c>
      <c r="Q775" s="648">
        <f t="shared" ca="1" si="276"/>
        <v>9785.2881680534229</v>
      </c>
      <c r="R775" s="648">
        <f t="shared" ca="1" si="276"/>
        <v>5223.6106126722088</v>
      </c>
      <c r="S775" s="648">
        <f t="shared" ca="1" si="276"/>
        <v>13258.609689817207</v>
      </c>
      <c r="T775" s="645"/>
      <c r="U775" s="646">
        <f t="shared" ca="1" si="277"/>
        <v>15432223.110000003</v>
      </c>
      <c r="W775" s="646">
        <f t="shared" ca="1" si="260"/>
        <v>0</v>
      </c>
    </row>
    <row r="776" spans="2:23" ht="18" customHeight="1" x14ac:dyDescent="0.2">
      <c r="B776" s="645">
        <f t="shared" si="274"/>
        <v>9</v>
      </c>
      <c r="C776" s="647" t="s">
        <v>251</v>
      </c>
      <c r="D776" s="647" t="s">
        <v>252</v>
      </c>
      <c r="E776" s="645"/>
      <c r="F776" s="646">
        <f>' WP II-I-1.4'!H776</f>
        <v>0</v>
      </c>
      <c r="G776" s="645">
        <v>14</v>
      </c>
      <c r="H776" s="620" t="str">
        <f t="shared" si="275"/>
        <v>REVENUE</v>
      </c>
      <c r="I776" s="645"/>
      <c r="J776" s="648">
        <f t="shared" si="276"/>
        <v>0</v>
      </c>
      <c r="K776" s="648">
        <f t="shared" si="276"/>
        <v>0</v>
      </c>
      <c r="L776" s="648">
        <f t="shared" si="276"/>
        <v>0</v>
      </c>
      <c r="M776" s="648">
        <f t="shared" si="276"/>
        <v>0</v>
      </c>
      <c r="N776" s="648">
        <f t="shared" si="276"/>
        <v>0</v>
      </c>
      <c r="O776" s="648">
        <f t="shared" si="276"/>
        <v>0</v>
      </c>
      <c r="P776" s="648">
        <f t="shared" si="276"/>
        <v>0</v>
      </c>
      <c r="Q776" s="648">
        <f t="shared" si="276"/>
        <v>0</v>
      </c>
      <c r="R776" s="648">
        <f t="shared" si="276"/>
        <v>0</v>
      </c>
      <c r="S776" s="648">
        <f t="shared" si="276"/>
        <v>0</v>
      </c>
      <c r="T776" s="645"/>
      <c r="U776" s="646">
        <f t="shared" si="277"/>
        <v>0</v>
      </c>
      <c r="W776" s="646">
        <f t="shared" si="260"/>
        <v>0</v>
      </c>
    </row>
    <row r="777" spans="2:23" ht="18" customHeight="1" x14ac:dyDescent="0.2">
      <c r="B777" s="645">
        <f t="shared" si="274"/>
        <v>10</v>
      </c>
      <c r="C777" s="650" t="s">
        <v>253</v>
      </c>
      <c r="D777" s="647" t="s">
        <v>254</v>
      </c>
      <c r="E777" s="645"/>
      <c r="F777" s="646">
        <f>' WP II-I-1.4'!H777</f>
        <v>41937.22</v>
      </c>
      <c r="G777" s="645">
        <v>10</v>
      </c>
      <c r="H777" s="620" t="str">
        <f t="shared" si="275"/>
        <v>CUS U RTL</v>
      </c>
      <c r="I777" s="645"/>
      <c r="J777" s="648">
        <f t="shared" si="276"/>
        <v>35886.913536137836</v>
      </c>
      <c r="K777" s="648">
        <f t="shared" si="276"/>
        <v>2976.7354391083495</v>
      </c>
      <c r="L777" s="648">
        <f t="shared" si="276"/>
        <v>2432.1777970740527</v>
      </c>
      <c r="M777" s="648">
        <f t="shared" si="276"/>
        <v>32.496206486675945</v>
      </c>
      <c r="N777" s="648">
        <f t="shared" si="276"/>
        <v>72.745893819295617</v>
      </c>
      <c r="O777" s="648">
        <f t="shared" si="276"/>
        <v>1.6895954249850649</v>
      </c>
      <c r="P777" s="648">
        <f t="shared" si="276"/>
        <v>3.5243094754289697</v>
      </c>
      <c r="Q777" s="648">
        <f t="shared" si="276"/>
        <v>530.93722247337428</v>
      </c>
      <c r="R777" s="648">
        <f t="shared" si="276"/>
        <v>0</v>
      </c>
      <c r="S777" s="648">
        <f t="shared" si="276"/>
        <v>0</v>
      </c>
      <c r="T777" s="645"/>
      <c r="U777" s="646">
        <f t="shared" si="277"/>
        <v>41937.219999999994</v>
      </c>
      <c r="W777" s="646">
        <f t="shared" si="260"/>
        <v>0</v>
      </c>
    </row>
    <row r="778" spans="2:23" ht="18" customHeight="1" x14ac:dyDescent="0.2">
      <c r="B778" s="645">
        <f t="shared" si="274"/>
        <v>11</v>
      </c>
      <c r="C778" s="647" t="s">
        <v>255</v>
      </c>
      <c r="D778" s="647" t="s">
        <v>256</v>
      </c>
      <c r="E778" s="645"/>
      <c r="F778" s="646">
        <f>' WP II-I-1.4'!H778</f>
        <v>2248815.19</v>
      </c>
      <c r="G778" s="645">
        <v>77</v>
      </c>
      <c r="H778" s="620" t="str">
        <f t="shared" si="275"/>
        <v>O&amp;M x565</v>
      </c>
      <c r="I778" s="645"/>
      <c r="J778" s="648">
        <f t="shared" ca="1" si="276"/>
        <v>1173611.9953530109</v>
      </c>
      <c r="K778" s="648">
        <f t="shared" ca="1" si="276"/>
        <v>164622.16413387167</v>
      </c>
      <c r="L778" s="648">
        <f t="shared" ca="1" si="276"/>
        <v>647486.36262041132</v>
      </c>
      <c r="M778" s="648">
        <f t="shared" ca="1" si="276"/>
        <v>27263.072222456944</v>
      </c>
      <c r="N778" s="648">
        <f t="shared" ca="1" si="276"/>
        <v>209967.18183780657</v>
      </c>
      <c r="O778" s="648">
        <f t="shared" ca="1" si="276"/>
        <v>6900.4048874388718</v>
      </c>
      <c r="P778" s="648">
        <f t="shared" ca="1" si="276"/>
        <v>14368.821663771381</v>
      </c>
      <c r="Q778" s="648">
        <f t="shared" ca="1" si="276"/>
        <v>1901.4610002320564</v>
      </c>
      <c r="R778" s="648">
        <f t="shared" ca="1" si="276"/>
        <v>761.51955713794212</v>
      </c>
      <c r="S778" s="648">
        <f t="shared" ca="1" si="276"/>
        <v>1932.2067238620555</v>
      </c>
      <c r="T778" s="645"/>
      <c r="U778" s="646">
        <f t="shared" ca="1" si="277"/>
        <v>2248815.1899999995</v>
      </c>
      <c r="W778" s="646">
        <f t="shared" ca="1" si="260"/>
        <v>0</v>
      </c>
    </row>
    <row r="779" spans="2:23" ht="18" customHeight="1" x14ac:dyDescent="0.2">
      <c r="B779" s="645">
        <f t="shared" si="274"/>
        <v>12</v>
      </c>
      <c r="C779" s="647" t="s">
        <v>257</v>
      </c>
      <c r="D779" s="647" t="s">
        <v>189</v>
      </c>
      <c r="E779" s="645"/>
      <c r="F779" s="646">
        <f>' WP II-I-1.4'!H779</f>
        <v>305921.09000000003</v>
      </c>
      <c r="G779" s="645">
        <v>77</v>
      </c>
      <c r="H779" s="620" t="str">
        <f t="shared" si="275"/>
        <v>O&amp;M x565</v>
      </c>
      <c r="I779" s="645"/>
      <c r="J779" s="648">
        <f t="shared" ca="1" si="276"/>
        <v>159654.14252447669</v>
      </c>
      <c r="K779" s="648">
        <f t="shared" ca="1" si="276"/>
        <v>22394.633455847892</v>
      </c>
      <c r="L779" s="648">
        <f t="shared" ca="1" si="276"/>
        <v>88081.819570496373</v>
      </c>
      <c r="M779" s="648">
        <f t="shared" ca="1" si="276"/>
        <v>3708.7746508163491</v>
      </c>
      <c r="N779" s="648">
        <f t="shared" ca="1" si="276"/>
        <v>28563.213828189229</v>
      </c>
      <c r="O779" s="648">
        <f t="shared" ca="1" si="276"/>
        <v>938.70736643620194</v>
      </c>
      <c r="P779" s="648">
        <f t="shared" ca="1" si="276"/>
        <v>1954.6851181650704</v>
      </c>
      <c r="Q779" s="648">
        <f t="shared" ca="1" si="276"/>
        <v>258.66821976753056</v>
      </c>
      <c r="R779" s="648">
        <f t="shared" ca="1" si="276"/>
        <v>103.59450345759917</v>
      </c>
      <c r="S779" s="648">
        <f t="shared" ca="1" si="276"/>
        <v>262.85076234708691</v>
      </c>
      <c r="T779" s="645"/>
      <c r="U779" s="646">
        <f t="shared" ca="1" si="277"/>
        <v>305921.08999999997</v>
      </c>
      <c r="W779" s="646">
        <f t="shared" ca="1" si="260"/>
        <v>0</v>
      </c>
    </row>
    <row r="780" spans="2:23" ht="18" customHeight="1" x14ac:dyDescent="0.2">
      <c r="B780" s="645">
        <f t="shared" si="274"/>
        <v>13</v>
      </c>
      <c r="C780" s="647" t="s">
        <v>258</v>
      </c>
      <c r="D780" s="647" t="s">
        <v>259</v>
      </c>
      <c r="E780" s="645"/>
      <c r="F780" s="646">
        <f>' WP II-I-1.4'!H780</f>
        <v>15820.32</v>
      </c>
      <c r="G780" s="645">
        <v>62</v>
      </c>
      <c r="H780" s="620" t="str">
        <f t="shared" si="275"/>
        <v>PLTGEN</v>
      </c>
      <c r="I780" s="645"/>
      <c r="J780" s="648">
        <f t="shared" ca="1" si="276"/>
        <v>8258.894804599975</v>
      </c>
      <c r="K780" s="648">
        <f t="shared" ca="1" si="276"/>
        <v>1158.5997148384479</v>
      </c>
      <c r="L780" s="648">
        <f t="shared" ca="1" si="276"/>
        <v>4556.39658711216</v>
      </c>
      <c r="M780" s="648">
        <f t="shared" ca="1" si="276"/>
        <v>191.87921866055746</v>
      </c>
      <c r="N780" s="648">
        <f t="shared" ca="1" si="276"/>
        <v>1477.5712766384206</v>
      </c>
      <c r="O780" s="648">
        <f t="shared" ca="1" si="276"/>
        <v>48.482361909398307</v>
      </c>
      <c r="P780" s="648">
        <f t="shared" ca="1" si="276"/>
        <v>101.12885306254863</v>
      </c>
      <c r="Q780" s="648">
        <f t="shared" ca="1" si="276"/>
        <v>8.421713973120676</v>
      </c>
      <c r="R780" s="648">
        <f t="shared" ca="1" si="276"/>
        <v>5.3538804562525755</v>
      </c>
      <c r="S780" s="648">
        <f t="shared" ca="1" si="276"/>
        <v>13.591588749113807</v>
      </c>
      <c r="T780" s="645"/>
      <c r="U780" s="646">
        <f t="shared" ca="1" si="277"/>
        <v>15820.319999999994</v>
      </c>
      <c r="W780" s="646">
        <f t="shared" ca="1" si="260"/>
        <v>0</v>
      </c>
    </row>
    <row r="781" spans="2:23" ht="18" customHeight="1" x14ac:dyDescent="0.2">
      <c r="B781" s="645">
        <f t="shared" si="274"/>
        <v>14</v>
      </c>
      <c r="C781" s="647" t="s">
        <v>260</v>
      </c>
      <c r="D781" s="647" t="s">
        <v>259</v>
      </c>
      <c r="E781" s="645"/>
      <c r="F781" s="646">
        <f>' WP II-I-1.4'!H781</f>
        <v>464165.05</v>
      </c>
      <c r="G781" s="645">
        <v>62</v>
      </c>
      <c r="H781" s="620" t="str">
        <f t="shared" si="275"/>
        <v>PLTGEN</v>
      </c>
      <c r="I781" s="645"/>
      <c r="J781" s="648">
        <f t="shared" ca="1" si="276"/>
        <v>242314.33497690866</v>
      </c>
      <c r="K781" s="648">
        <f t="shared" ca="1" si="276"/>
        <v>33993.085763623865</v>
      </c>
      <c r="L781" s="648">
        <f t="shared" ca="1" si="276"/>
        <v>133683.77186281601</v>
      </c>
      <c r="M781" s="648">
        <f t="shared" ca="1" si="276"/>
        <v>5629.698206075388</v>
      </c>
      <c r="N781" s="648">
        <f t="shared" ca="1" si="276"/>
        <v>43351.648101899096</v>
      </c>
      <c r="O781" s="648">
        <f t="shared" ca="1" si="276"/>
        <v>1422.4628793724753</v>
      </c>
      <c r="P781" s="648">
        <f t="shared" ca="1" si="276"/>
        <v>2967.1004845806237</v>
      </c>
      <c r="Q781" s="648">
        <f t="shared" ca="1" si="276"/>
        <v>247.0914170774837</v>
      </c>
      <c r="R781" s="648">
        <f t="shared" ca="1" si="276"/>
        <v>157.08179036015071</v>
      </c>
      <c r="S781" s="648">
        <f t="shared" ca="1" si="276"/>
        <v>398.77451728611356</v>
      </c>
      <c r="T781" s="645"/>
      <c r="U781" s="646">
        <f t="shared" ca="1" si="277"/>
        <v>464165.04999999981</v>
      </c>
      <c r="W781" s="646">
        <f t="shared" ca="1" si="260"/>
        <v>0</v>
      </c>
    </row>
    <row r="782" spans="2:23" ht="18" customHeight="1" thickBot="1" x14ac:dyDescent="0.25">
      <c r="B782" s="645">
        <f t="shared" si="274"/>
        <v>15</v>
      </c>
      <c r="C782" s="647"/>
      <c r="D782" s="647"/>
      <c r="E782" s="645"/>
      <c r="F782" s="802"/>
      <c r="G782" s="645"/>
      <c r="H782" s="645"/>
      <c r="I782" s="645"/>
      <c r="J782" s="645"/>
      <c r="K782" s="645"/>
      <c r="L782" s="645"/>
      <c r="M782" s="645"/>
      <c r="N782" s="645"/>
      <c r="O782" s="645"/>
      <c r="P782" s="645"/>
      <c r="Q782" s="645"/>
      <c r="R782" s="645"/>
      <c r="S782" s="645"/>
      <c r="T782" s="645"/>
      <c r="U782" s="692"/>
    </row>
    <row r="783" spans="2:23" ht="18" customHeight="1" x14ac:dyDescent="0.25">
      <c r="B783" s="645">
        <f t="shared" si="274"/>
        <v>16</v>
      </c>
      <c r="C783" s="255" t="s">
        <v>606</v>
      </c>
      <c r="D783" s="773"/>
      <c r="E783" s="241"/>
      <c r="F783" s="817">
        <f>SUM(F769:F781)</f>
        <v>49056189.789999999</v>
      </c>
      <c r="G783" s="241"/>
      <c r="H783" s="241"/>
      <c r="I783" s="373"/>
      <c r="J783" s="1602">
        <f t="shared" ref="J783:Q783" ca="1" si="278">SUM(J769:J781)</f>
        <v>25617232.224479739</v>
      </c>
      <c r="K783" s="1603">
        <f t="shared" ca="1" si="278"/>
        <v>3591351.2525321543</v>
      </c>
      <c r="L783" s="1603">
        <f t="shared" ca="1" si="278"/>
        <v>14115714.177410739</v>
      </c>
      <c r="M783" s="1603">
        <f t="shared" ca="1" si="278"/>
        <v>594305.55149671971</v>
      </c>
      <c r="N783" s="1603">
        <f t="shared" ca="1" si="278"/>
        <v>4576748.8321516449</v>
      </c>
      <c r="O783" s="1603">
        <f ca="1">SUM(O769:O781)</f>
        <v>150357.56028021782</v>
      </c>
      <c r="P783" s="1603">
        <f t="shared" ca="1" si="278"/>
        <v>313211.32764517074</v>
      </c>
      <c r="Q783" s="1603">
        <f t="shared" ca="1" si="278"/>
        <v>38560.80856387689</v>
      </c>
      <c r="R783" s="1603">
        <f ca="1">SUM(R769:R781)</f>
        <v>16595.439597741984</v>
      </c>
      <c r="S783" s="1603">
        <f ca="1">SUM(S769:S781)</f>
        <v>42112.615841994331</v>
      </c>
      <c r="T783" s="373"/>
      <c r="U783" s="243">
        <f ca="1">SUM(I783:T783)</f>
        <v>49056189.789999992</v>
      </c>
      <c r="W783" s="646">
        <f t="shared" ca="1" si="260"/>
        <v>0</v>
      </c>
    </row>
    <row r="784" spans="2:23" ht="18" customHeight="1" x14ac:dyDescent="0.25">
      <c r="B784" s="645">
        <f t="shared" si="274"/>
        <v>17</v>
      </c>
      <c r="C784" s="1604" t="s">
        <v>1147</v>
      </c>
      <c r="D784" s="1605"/>
      <c r="E784" s="775"/>
      <c r="F784" s="1606">
        <f>SUM(F769:F782)</f>
        <v>49056189.789999999</v>
      </c>
      <c r="G784" s="775"/>
      <c r="H784" s="775"/>
      <c r="I784" s="778"/>
      <c r="J784" s="1607">
        <f t="shared" ref="J784:S784" ca="1" si="279">SUM(J769:J782)</f>
        <v>25617232.224479739</v>
      </c>
      <c r="K784" s="1606">
        <f t="shared" ca="1" si="279"/>
        <v>3591351.2525321543</v>
      </c>
      <c r="L784" s="1606">
        <f t="shared" ca="1" si="279"/>
        <v>14115714.177410739</v>
      </c>
      <c r="M784" s="1606">
        <f t="shared" ca="1" si="279"/>
        <v>594305.55149671971</v>
      </c>
      <c r="N784" s="1606">
        <f t="shared" ca="1" si="279"/>
        <v>4576748.8321516449</v>
      </c>
      <c r="O784" s="1606">
        <f t="shared" ca="1" si="279"/>
        <v>150357.56028021782</v>
      </c>
      <c r="P784" s="1606">
        <f t="shared" ca="1" si="279"/>
        <v>313211.32764517074</v>
      </c>
      <c r="Q784" s="1606">
        <f t="shared" ca="1" si="279"/>
        <v>38560.80856387689</v>
      </c>
      <c r="R784" s="1606">
        <f t="shared" ca="1" si="279"/>
        <v>16595.439597741984</v>
      </c>
      <c r="S784" s="1606">
        <f t="shared" ca="1" si="279"/>
        <v>42112.615841994331</v>
      </c>
      <c r="T784" s="778"/>
      <c r="U784" s="1608">
        <f ca="1">SUM(I784:T784)</f>
        <v>49056189.789999992</v>
      </c>
      <c r="W784" s="646">
        <f t="shared" ca="1" si="260"/>
        <v>0</v>
      </c>
    </row>
    <row r="785" spans="2:23" ht="18" customHeight="1" thickBot="1" x14ac:dyDescent="0.3">
      <c r="B785" s="645">
        <f t="shared" si="274"/>
        <v>18</v>
      </c>
      <c r="C785" s="262" t="s">
        <v>607</v>
      </c>
      <c r="D785" s="774"/>
      <c r="E785" s="247"/>
      <c r="F785" s="248">
        <f>+F783+F753</f>
        <v>120417779.06999999</v>
      </c>
      <c r="G785" s="247"/>
      <c r="H785" s="247"/>
      <c r="I785" s="376"/>
      <c r="J785" s="248">
        <f t="shared" ref="J785:Q785" ca="1" si="280">+J783+J753</f>
        <v>62859428.719276115</v>
      </c>
      <c r="K785" s="248">
        <f t="shared" ca="1" si="280"/>
        <v>8815301.7645820566</v>
      </c>
      <c r="L785" s="248">
        <f t="shared" ca="1" si="280"/>
        <v>34662380.741735637</v>
      </c>
      <c r="M785" s="248">
        <f t="shared" ca="1" si="280"/>
        <v>1459443.8568147079</v>
      </c>
      <c r="N785" s="248">
        <f t="shared" ca="1" si="280"/>
        <v>11239631.517762031</v>
      </c>
      <c r="O785" s="248">
        <f ca="1">+O783+O753</f>
        <v>369327.91481749644</v>
      </c>
      <c r="P785" s="248">
        <f t="shared" ca="1" si="280"/>
        <v>769176.74204083742</v>
      </c>
      <c r="Q785" s="248">
        <f t="shared" ca="1" si="280"/>
        <v>98899.817093296355</v>
      </c>
      <c r="R785" s="248">
        <f ca="1">+R783+R753</f>
        <v>40760.718321764361</v>
      </c>
      <c r="S785" s="248">
        <f ca="1">+S783+S753</f>
        <v>103427.27755605825</v>
      </c>
      <c r="T785" s="376"/>
      <c r="U785" s="249">
        <f ca="1">SUM(I785:T785)</f>
        <v>120417779.07000002</v>
      </c>
      <c r="W785" s="646">
        <f t="shared" ca="1" si="260"/>
        <v>0</v>
      </c>
    </row>
    <row r="786" spans="2:23" ht="18" customHeight="1" thickBot="1" x14ac:dyDescent="0.3">
      <c r="B786" s="645">
        <f t="shared" si="274"/>
        <v>19</v>
      </c>
      <c r="C786" s="8"/>
      <c r="D786" s="8"/>
      <c r="E786" s="1571"/>
      <c r="F786" s="805"/>
      <c r="G786" s="1571"/>
      <c r="H786" s="1571"/>
      <c r="I786" s="1571"/>
      <c r="J786" s="805"/>
      <c r="K786" s="805"/>
      <c r="L786" s="805"/>
      <c r="M786" s="805"/>
      <c r="N786" s="805"/>
      <c r="O786" s="805"/>
      <c r="P786" s="805"/>
      <c r="Q786" s="805"/>
      <c r="R786" s="805"/>
      <c r="S786" s="805"/>
      <c r="T786" s="1571"/>
      <c r="U786" s="8"/>
      <c r="W786" s="646">
        <f t="shared" si="260"/>
        <v>0</v>
      </c>
    </row>
    <row r="787" spans="2:23" ht="18" customHeight="1" thickBot="1" x14ac:dyDescent="0.3">
      <c r="B787" s="645">
        <f t="shared" si="274"/>
        <v>20</v>
      </c>
      <c r="C787" s="223" t="s">
        <v>1149</v>
      </c>
      <c r="D787" s="307"/>
      <c r="E787" s="252"/>
      <c r="F787" s="812">
        <f>F785-F645</f>
        <v>120417779.06999999</v>
      </c>
      <c r="G787" s="252"/>
      <c r="H787" s="379"/>
      <c r="I787" s="380"/>
      <c r="J787" s="812">
        <f t="shared" ref="J787:S787" ca="1" si="281">J785-J645</f>
        <v>62859428.719276115</v>
      </c>
      <c r="K787" s="812">
        <f t="shared" ca="1" si="281"/>
        <v>8815301.7645820566</v>
      </c>
      <c r="L787" s="812">
        <f t="shared" ca="1" si="281"/>
        <v>34662380.741735637</v>
      </c>
      <c r="M787" s="812">
        <f t="shared" ca="1" si="281"/>
        <v>1459443.8568147079</v>
      </c>
      <c r="N787" s="812">
        <f t="shared" ca="1" si="281"/>
        <v>11239631.517762031</v>
      </c>
      <c r="O787" s="812">
        <f t="shared" ca="1" si="281"/>
        <v>369327.91481749644</v>
      </c>
      <c r="P787" s="812">
        <f t="shared" ca="1" si="281"/>
        <v>769176.74204083742</v>
      </c>
      <c r="Q787" s="812">
        <f t="shared" ca="1" si="281"/>
        <v>98899.817093296355</v>
      </c>
      <c r="R787" s="812">
        <f t="shared" ca="1" si="281"/>
        <v>40760.718321764361</v>
      </c>
      <c r="S787" s="812">
        <f t="shared" ca="1" si="281"/>
        <v>103427.27755605825</v>
      </c>
      <c r="T787" s="380"/>
      <c r="U787" s="195">
        <f ca="1">SUM(I787:T787)</f>
        <v>120417779.07000002</v>
      </c>
      <c r="W787" s="646">
        <f t="shared" ca="1" si="260"/>
        <v>0</v>
      </c>
    </row>
    <row r="789" spans="2:23" ht="18" customHeight="1" x14ac:dyDescent="0.2">
      <c r="H789" s="653"/>
      <c r="U789" s="653"/>
      <c r="V789" s="653">
        <f>$H$2</f>
        <v>0</v>
      </c>
    </row>
    <row r="790" spans="2:23" ht="18" customHeight="1" thickBot="1" x14ac:dyDescent="0.25"/>
    <row r="791" spans="2:23" ht="18" customHeight="1" x14ac:dyDescent="0.25">
      <c r="B791" s="829" t="str">
        <f>+$B$4</f>
        <v>2025 RATE CASE</v>
      </c>
      <c r="C791" s="844"/>
      <c r="D791" s="877"/>
      <c r="F791" s="571"/>
      <c r="U791" s="653"/>
    </row>
    <row r="792" spans="2:23" ht="18" customHeight="1" x14ac:dyDescent="0.25">
      <c r="B792" s="826" t="str">
        <f>+$B$5</f>
        <v>ONCOR ELECTRIC DELIVERY COMPANY LLC</v>
      </c>
      <c r="C792" s="8"/>
      <c r="D792" s="878"/>
      <c r="F792" s="571"/>
      <c r="U792" s="653"/>
    </row>
    <row r="793" spans="2:23" ht="18" customHeight="1" x14ac:dyDescent="0.25">
      <c r="B793" s="826" t="str">
        <f>+$B$6</f>
        <v>II-I-1-MET:  CLASS REVENUE REQUIREMENT</v>
      </c>
      <c r="C793" s="82"/>
      <c r="D793" s="878"/>
      <c r="F793" s="571"/>
      <c r="U793" s="571"/>
    </row>
    <row r="794" spans="2:23" ht="18" customHeight="1" x14ac:dyDescent="0.25">
      <c r="B794" s="341" t="str">
        <f>+$B$7</f>
        <v>TEST YEAR ENDING 12/31/2024</v>
      </c>
      <c r="C794" s="82"/>
      <c r="D794" s="878"/>
      <c r="F794" s="571"/>
      <c r="U794" s="571"/>
    </row>
    <row r="795" spans="2:23" ht="18" customHeight="1" x14ac:dyDescent="0.25">
      <c r="B795" s="341" t="str">
        <f>+$B$8</f>
        <v>SPONSOR:  MATTHEW A. TROXLE</v>
      </c>
      <c r="C795" s="82"/>
      <c r="D795" s="878"/>
      <c r="F795" s="571"/>
      <c r="U795" s="571"/>
    </row>
    <row r="796" spans="2:23" ht="18" customHeight="1" thickBot="1" x14ac:dyDescent="0.3">
      <c r="B796" s="345"/>
      <c r="C796" s="843"/>
      <c r="D796" s="879"/>
      <c r="F796" s="571"/>
      <c r="U796" s="571"/>
    </row>
    <row r="797" spans="2:23" ht="18" customHeight="1" thickBot="1" x14ac:dyDescent="0.25">
      <c r="B797" s="655"/>
      <c r="C797" s="656"/>
      <c r="D797" s="656"/>
      <c r="E797" s="656"/>
      <c r="F797" s="655"/>
      <c r="G797" s="656"/>
      <c r="H797" s="656"/>
      <c r="I797" s="656"/>
      <c r="J797" s="657"/>
      <c r="K797" s="657"/>
      <c r="L797" s="656"/>
      <c r="M797" s="657"/>
      <c r="N797" s="657"/>
      <c r="O797" s="657"/>
      <c r="P797" s="657"/>
      <c r="Q797" s="656"/>
      <c r="R797" s="658" t="str">
        <f>R$10</f>
        <v xml:space="preserve"> </v>
      </c>
      <c r="S797" s="659"/>
      <c r="T797" s="657"/>
      <c r="U797" s="655"/>
      <c r="W797" s="646">
        <f t="shared" ref="W797:W860" si="282">U797-F797</f>
        <v>0</v>
      </c>
    </row>
    <row r="798" spans="2:23" ht="18" customHeight="1" x14ac:dyDescent="0.25">
      <c r="B798" s="660" t="s">
        <v>2</v>
      </c>
      <c r="C798" s="660" t="s">
        <v>349</v>
      </c>
      <c r="D798" s="226" t="s">
        <v>608</v>
      </c>
      <c r="E798" s="660" t="s">
        <v>350</v>
      </c>
      <c r="F798" s="226" t="str">
        <f>F$11</f>
        <v>MET</v>
      </c>
      <c r="G798" s="661" t="s">
        <v>688</v>
      </c>
      <c r="H798" s="661" t="s">
        <v>355</v>
      </c>
      <c r="I798" s="660"/>
      <c r="J798" s="661" t="s">
        <v>679</v>
      </c>
      <c r="K798" s="661" t="s">
        <v>388</v>
      </c>
      <c r="L798" s="660" t="s">
        <v>388</v>
      </c>
      <c r="M798" s="661" t="s">
        <v>389</v>
      </c>
      <c r="N798" s="661" t="s">
        <v>389</v>
      </c>
      <c r="O798" s="661" t="s">
        <v>389</v>
      </c>
      <c r="P798" s="661" t="s">
        <v>390</v>
      </c>
      <c r="Q798" s="660" t="s">
        <v>391</v>
      </c>
      <c r="R798" s="662" t="str">
        <f>R$11</f>
        <v>Wholesale</v>
      </c>
      <c r="S798" s="655" t="str">
        <f>S$11</f>
        <v>Wholesale</v>
      </c>
      <c r="T798" s="661"/>
      <c r="U798" s="660" t="s">
        <v>10</v>
      </c>
      <c r="W798" s="646"/>
    </row>
    <row r="799" spans="2:23" ht="18" customHeight="1" x14ac:dyDescent="0.2">
      <c r="B799" s="660"/>
      <c r="C799" s="660"/>
      <c r="D799" s="660"/>
      <c r="E799" s="660"/>
      <c r="F799" s="660"/>
      <c r="G799" s="661" t="s">
        <v>689</v>
      </c>
      <c r="H799" s="661" t="s">
        <v>690</v>
      </c>
      <c r="I799" s="660"/>
      <c r="J799" s="661"/>
      <c r="K799" s="661" t="s">
        <v>680</v>
      </c>
      <c r="L799" s="660" t="s">
        <v>681</v>
      </c>
      <c r="M799" s="661" t="s">
        <v>680</v>
      </c>
      <c r="N799" s="661" t="s">
        <v>681</v>
      </c>
      <c r="O799" s="661" t="s">
        <v>393</v>
      </c>
      <c r="P799" s="661"/>
      <c r="Q799" s="660"/>
      <c r="R799" s="663" t="str">
        <f>R$12</f>
        <v>XFMR</v>
      </c>
      <c r="S799" s="660" t="str">
        <f>S$12</f>
        <v>DLS</v>
      </c>
      <c r="T799" s="661"/>
      <c r="U799" s="660"/>
      <c r="W799" s="646"/>
    </row>
    <row r="800" spans="2:23" ht="18" customHeight="1" thickBot="1" x14ac:dyDescent="0.25">
      <c r="B800" s="664"/>
      <c r="C800" s="664"/>
      <c r="D800" s="664"/>
      <c r="E800" s="664"/>
      <c r="F800" s="664" t="s">
        <v>13</v>
      </c>
      <c r="G800" s="664" t="s">
        <v>14</v>
      </c>
      <c r="H800" s="664" t="s">
        <v>15</v>
      </c>
      <c r="I800" s="664"/>
      <c r="J800" s="665" t="str">
        <f t="shared" ref="J800:Q800" si="283">J$13</f>
        <v>(d)</v>
      </c>
      <c r="K800" s="665" t="str">
        <f t="shared" si="283"/>
        <v>(e)</v>
      </c>
      <c r="L800" s="664" t="str">
        <f t="shared" si="283"/>
        <v>(f)</v>
      </c>
      <c r="M800" s="665" t="str">
        <f t="shared" si="283"/>
        <v>(g)</v>
      </c>
      <c r="N800" s="665" t="str">
        <f t="shared" si="283"/>
        <v>(h)</v>
      </c>
      <c r="O800" s="665" t="str">
        <f>O$13</f>
        <v>(i)</v>
      </c>
      <c r="P800" s="665" t="str">
        <f t="shared" si="283"/>
        <v>(j)</v>
      </c>
      <c r="Q800" s="665" t="str">
        <f t="shared" si="283"/>
        <v>(k)</v>
      </c>
      <c r="R800" s="665" t="str">
        <f>R$13</f>
        <v>(l)</v>
      </c>
      <c r="S800" s="664" t="str">
        <f>S$13</f>
        <v>(m)</v>
      </c>
      <c r="T800" s="664"/>
      <c r="U800" s="664" t="s">
        <v>683</v>
      </c>
      <c r="W800" s="646"/>
    </row>
    <row r="801" spans="2:23" ht="18" customHeight="1" x14ac:dyDescent="0.2">
      <c r="C801" s="672"/>
      <c r="D801" s="672"/>
      <c r="E801" s="673"/>
      <c r="F801" s="674"/>
      <c r="G801" s="673"/>
      <c r="H801" s="673"/>
      <c r="I801" s="673"/>
      <c r="J801" s="673"/>
      <c r="K801" s="673"/>
      <c r="L801" s="673"/>
      <c r="M801" s="673"/>
      <c r="N801" s="673"/>
      <c r="O801" s="673"/>
      <c r="P801" s="673"/>
      <c r="Q801" s="673"/>
      <c r="R801" s="673"/>
      <c r="S801" s="673"/>
      <c r="T801" s="673"/>
      <c r="U801" s="647"/>
      <c r="W801" s="646"/>
    </row>
    <row r="802" spans="2:23" ht="18" customHeight="1" x14ac:dyDescent="0.25">
      <c r="B802" s="645">
        <f t="shared" ref="B802:B826" si="284">B801+1</f>
        <v>1</v>
      </c>
      <c r="C802" s="8" t="s">
        <v>608</v>
      </c>
      <c r="D802" s="647"/>
      <c r="E802" s="1571"/>
      <c r="F802" s="803"/>
      <c r="G802" s="1571"/>
      <c r="H802" s="1571"/>
      <c r="I802" s="1571"/>
      <c r="J802" s="1571"/>
      <c r="K802" s="1571"/>
      <c r="L802" s="1571"/>
      <c r="M802" s="1571"/>
      <c r="N802" s="1571"/>
      <c r="O802" s="1571"/>
      <c r="P802" s="1571"/>
      <c r="Q802" s="1571"/>
      <c r="R802" s="1571"/>
      <c r="S802" s="1571"/>
      <c r="T802" s="1571"/>
      <c r="U802" s="647"/>
      <c r="W802" s="646">
        <f t="shared" si="282"/>
        <v>0</v>
      </c>
    </row>
    <row r="803" spans="2:23" ht="18" customHeight="1" x14ac:dyDescent="0.25">
      <c r="B803" s="645">
        <f t="shared" si="284"/>
        <v>2</v>
      </c>
      <c r="C803" s="8"/>
      <c r="D803" s="301" t="s">
        <v>609</v>
      </c>
      <c r="E803" s="1571" t="s">
        <v>262</v>
      </c>
      <c r="F803" s="805"/>
      <c r="G803" s="1571"/>
      <c r="H803" s="1571"/>
      <c r="I803" s="1571"/>
      <c r="J803" s="1571"/>
      <c r="K803" s="1571"/>
      <c r="L803" s="1571"/>
      <c r="M803" s="1571"/>
      <c r="N803" s="1571"/>
      <c r="O803" s="1571"/>
      <c r="P803" s="1571"/>
      <c r="Q803" s="1571"/>
      <c r="R803" s="1571"/>
      <c r="S803" s="1571"/>
      <c r="T803" s="1571"/>
      <c r="U803" s="8"/>
      <c r="W803" s="646">
        <f t="shared" si="282"/>
        <v>0</v>
      </c>
    </row>
    <row r="804" spans="2:23" ht="18" customHeight="1" x14ac:dyDescent="0.2">
      <c r="B804" s="645">
        <f t="shared" si="284"/>
        <v>3</v>
      </c>
      <c r="C804" s="647" t="s">
        <v>144</v>
      </c>
      <c r="D804" s="647" t="s">
        <v>145</v>
      </c>
      <c r="E804" s="645"/>
      <c r="F804" s="646">
        <f>' WP II-I-1.4'!H804</f>
        <v>0</v>
      </c>
      <c r="G804" s="645">
        <v>28</v>
      </c>
      <c r="H804" s="620" t="str">
        <f t="shared" ref="H804:H811" si="285">VLOOKUP(G804,FactorTable,2)</f>
        <v>NCP XHV</v>
      </c>
      <c r="I804" s="645"/>
      <c r="J804" s="648">
        <f t="shared" ref="J804:S811" si="286">$F804*HLOOKUP(J$1354,FactorTable,$G804+1)</f>
        <v>0</v>
      </c>
      <c r="K804" s="648">
        <f t="shared" si="286"/>
        <v>0</v>
      </c>
      <c r="L804" s="648">
        <f t="shared" si="286"/>
        <v>0</v>
      </c>
      <c r="M804" s="648">
        <f t="shared" si="286"/>
        <v>0</v>
      </c>
      <c r="N804" s="648">
        <f t="shared" si="286"/>
        <v>0</v>
      </c>
      <c r="O804" s="648">
        <f t="shared" si="286"/>
        <v>0</v>
      </c>
      <c r="P804" s="648">
        <f t="shared" si="286"/>
        <v>0</v>
      </c>
      <c r="Q804" s="648">
        <f t="shared" si="286"/>
        <v>0</v>
      </c>
      <c r="R804" s="648">
        <f t="shared" si="286"/>
        <v>0</v>
      </c>
      <c r="S804" s="648">
        <f t="shared" si="286"/>
        <v>0</v>
      </c>
      <c r="T804" s="645"/>
      <c r="U804" s="646">
        <f t="shared" ref="U804:U812" si="287">SUM(I804:T804)</f>
        <v>0</v>
      </c>
      <c r="W804" s="646">
        <f t="shared" si="282"/>
        <v>0</v>
      </c>
    </row>
    <row r="805" spans="2:23" ht="18" customHeight="1" x14ac:dyDescent="0.2">
      <c r="B805" s="645">
        <f t="shared" si="284"/>
        <v>4</v>
      </c>
      <c r="C805" s="647" t="s">
        <v>146</v>
      </c>
      <c r="D805" s="647" t="s">
        <v>147</v>
      </c>
      <c r="E805" s="645"/>
      <c r="F805" s="668">
        <f>' WP II-I-1.4'!H805</f>
        <v>0</v>
      </c>
      <c r="G805" s="645">
        <v>28</v>
      </c>
      <c r="H805" s="620" t="str">
        <f t="shared" si="285"/>
        <v>NCP XHV</v>
      </c>
      <c r="I805" s="645"/>
      <c r="J805" s="648">
        <f t="shared" si="286"/>
        <v>0</v>
      </c>
      <c r="K805" s="648">
        <f t="shared" si="286"/>
        <v>0</v>
      </c>
      <c r="L805" s="648">
        <f t="shared" si="286"/>
        <v>0</v>
      </c>
      <c r="M805" s="648">
        <f t="shared" si="286"/>
        <v>0</v>
      </c>
      <c r="N805" s="648">
        <f t="shared" si="286"/>
        <v>0</v>
      </c>
      <c r="O805" s="648">
        <f t="shared" si="286"/>
        <v>0</v>
      </c>
      <c r="P805" s="648">
        <f t="shared" si="286"/>
        <v>0</v>
      </c>
      <c r="Q805" s="648">
        <f t="shared" si="286"/>
        <v>0</v>
      </c>
      <c r="R805" s="648">
        <f t="shared" si="286"/>
        <v>0</v>
      </c>
      <c r="S805" s="648">
        <f t="shared" si="286"/>
        <v>0</v>
      </c>
      <c r="T805" s="645"/>
      <c r="U805" s="646">
        <f t="shared" si="287"/>
        <v>0</v>
      </c>
      <c r="W805" s="646">
        <f t="shared" si="282"/>
        <v>0</v>
      </c>
    </row>
    <row r="806" spans="2:23" ht="18" customHeight="1" x14ac:dyDescent="0.2">
      <c r="B806" s="645">
        <f t="shared" si="284"/>
        <v>5</v>
      </c>
      <c r="C806" s="647" t="s">
        <v>148</v>
      </c>
      <c r="D806" s="647" t="s">
        <v>149</v>
      </c>
      <c r="E806" s="645"/>
      <c r="F806" s="668">
        <f>' WP II-I-1.4'!H806</f>
        <v>0</v>
      </c>
      <c r="G806" s="645">
        <v>28</v>
      </c>
      <c r="H806" s="620" t="str">
        <f t="shared" si="285"/>
        <v>NCP XHV</v>
      </c>
      <c r="I806" s="645"/>
      <c r="J806" s="648">
        <f t="shared" si="286"/>
        <v>0</v>
      </c>
      <c r="K806" s="648">
        <f t="shared" si="286"/>
        <v>0</v>
      </c>
      <c r="L806" s="648">
        <f t="shared" si="286"/>
        <v>0</v>
      </c>
      <c r="M806" s="648">
        <f t="shared" si="286"/>
        <v>0</v>
      </c>
      <c r="N806" s="648">
        <f t="shared" si="286"/>
        <v>0</v>
      </c>
      <c r="O806" s="648">
        <f t="shared" si="286"/>
        <v>0</v>
      </c>
      <c r="P806" s="648">
        <f t="shared" si="286"/>
        <v>0</v>
      </c>
      <c r="Q806" s="648">
        <f t="shared" si="286"/>
        <v>0</v>
      </c>
      <c r="R806" s="648">
        <f t="shared" si="286"/>
        <v>0</v>
      </c>
      <c r="S806" s="648">
        <f t="shared" si="286"/>
        <v>0</v>
      </c>
      <c r="T806" s="645"/>
      <c r="U806" s="646">
        <f t="shared" si="287"/>
        <v>0</v>
      </c>
      <c r="W806" s="646">
        <f t="shared" si="282"/>
        <v>0</v>
      </c>
    </row>
    <row r="807" spans="2:23" ht="18" customHeight="1" x14ac:dyDescent="0.2">
      <c r="B807" s="645">
        <f t="shared" si="284"/>
        <v>6</v>
      </c>
      <c r="C807" s="647" t="s">
        <v>150</v>
      </c>
      <c r="D807" s="647" t="s">
        <v>151</v>
      </c>
      <c r="E807" s="645"/>
      <c r="F807" s="668">
        <f>' WP II-I-1.4'!H807</f>
        <v>0</v>
      </c>
      <c r="G807" s="645">
        <v>28</v>
      </c>
      <c r="H807" s="620" t="str">
        <f t="shared" si="285"/>
        <v>NCP XHV</v>
      </c>
      <c r="I807" s="645"/>
      <c r="J807" s="648">
        <f t="shared" si="286"/>
        <v>0</v>
      </c>
      <c r="K807" s="648">
        <f t="shared" si="286"/>
        <v>0</v>
      </c>
      <c r="L807" s="648">
        <f t="shared" si="286"/>
        <v>0</v>
      </c>
      <c r="M807" s="648">
        <f t="shared" si="286"/>
        <v>0</v>
      </c>
      <c r="N807" s="648">
        <f t="shared" si="286"/>
        <v>0</v>
      </c>
      <c r="O807" s="648">
        <f t="shared" si="286"/>
        <v>0</v>
      </c>
      <c r="P807" s="648">
        <f t="shared" si="286"/>
        <v>0</v>
      </c>
      <c r="Q807" s="648">
        <f t="shared" si="286"/>
        <v>0</v>
      </c>
      <c r="R807" s="648">
        <f t="shared" si="286"/>
        <v>0</v>
      </c>
      <c r="S807" s="648">
        <f t="shared" si="286"/>
        <v>0</v>
      </c>
      <c r="T807" s="645"/>
      <c r="U807" s="646">
        <f t="shared" si="287"/>
        <v>0</v>
      </c>
      <c r="W807" s="646">
        <f t="shared" si="282"/>
        <v>0</v>
      </c>
    </row>
    <row r="808" spans="2:23" ht="18" customHeight="1" x14ac:dyDescent="0.2">
      <c r="B808" s="645">
        <f t="shared" si="284"/>
        <v>7</v>
      </c>
      <c r="C808" s="647" t="s">
        <v>152</v>
      </c>
      <c r="D808" s="647" t="s">
        <v>153</v>
      </c>
      <c r="E808" s="645"/>
      <c r="F808" s="668">
        <f>' WP II-I-1.4'!H808</f>
        <v>0</v>
      </c>
      <c r="G808" s="645">
        <v>28</v>
      </c>
      <c r="H808" s="620" t="str">
        <f t="shared" si="285"/>
        <v>NCP XHV</v>
      </c>
      <c r="I808" s="645"/>
      <c r="J808" s="648">
        <f t="shared" si="286"/>
        <v>0</v>
      </c>
      <c r="K808" s="648">
        <f t="shared" si="286"/>
        <v>0</v>
      </c>
      <c r="L808" s="648">
        <f t="shared" si="286"/>
        <v>0</v>
      </c>
      <c r="M808" s="648">
        <f t="shared" si="286"/>
        <v>0</v>
      </c>
      <c r="N808" s="648">
        <f t="shared" si="286"/>
        <v>0</v>
      </c>
      <c r="O808" s="648">
        <f t="shared" si="286"/>
        <v>0</v>
      </c>
      <c r="P808" s="648">
        <f t="shared" si="286"/>
        <v>0</v>
      </c>
      <c r="Q808" s="648">
        <f t="shared" si="286"/>
        <v>0</v>
      </c>
      <c r="R808" s="648">
        <f t="shared" si="286"/>
        <v>0</v>
      </c>
      <c r="S808" s="648">
        <f t="shared" si="286"/>
        <v>0</v>
      </c>
      <c r="T808" s="645"/>
      <c r="U808" s="646">
        <f t="shared" si="287"/>
        <v>0</v>
      </c>
      <c r="W808" s="646">
        <f t="shared" si="282"/>
        <v>0</v>
      </c>
    </row>
    <row r="809" spans="2:23" ht="18" customHeight="1" x14ac:dyDescent="0.25">
      <c r="B809" s="645">
        <f t="shared" si="284"/>
        <v>8</v>
      </c>
      <c r="C809" s="647" t="s">
        <v>154</v>
      </c>
      <c r="D809" s="649" t="s">
        <v>155</v>
      </c>
      <c r="E809" s="1571"/>
      <c r="F809" s="668">
        <f>' WP II-I-1.4'!H809</f>
        <v>0</v>
      </c>
      <c r="G809" s="645">
        <v>23</v>
      </c>
      <c r="H809" s="620" t="str">
        <f t="shared" si="285"/>
        <v>4CP RTL</v>
      </c>
      <c r="I809" s="1571"/>
      <c r="J809" s="648">
        <f t="shared" si="286"/>
        <v>0</v>
      </c>
      <c r="K809" s="648">
        <f t="shared" si="286"/>
        <v>0</v>
      </c>
      <c r="L809" s="648">
        <f t="shared" si="286"/>
        <v>0</v>
      </c>
      <c r="M809" s="648">
        <f t="shared" si="286"/>
        <v>0</v>
      </c>
      <c r="N809" s="648">
        <f t="shared" si="286"/>
        <v>0</v>
      </c>
      <c r="O809" s="648">
        <f t="shared" si="286"/>
        <v>0</v>
      </c>
      <c r="P809" s="648">
        <f t="shared" si="286"/>
        <v>0</v>
      </c>
      <c r="Q809" s="648">
        <f t="shared" si="286"/>
        <v>0</v>
      </c>
      <c r="R809" s="648">
        <f t="shared" si="286"/>
        <v>0</v>
      </c>
      <c r="S809" s="648">
        <f t="shared" si="286"/>
        <v>0</v>
      </c>
      <c r="T809" s="1571"/>
      <c r="U809" s="235">
        <f t="shared" si="287"/>
        <v>0</v>
      </c>
      <c r="V809" s="104"/>
      <c r="W809" s="646">
        <f t="shared" si="282"/>
        <v>0</v>
      </c>
    </row>
    <row r="810" spans="2:23" ht="18" customHeight="1" x14ac:dyDescent="0.2">
      <c r="B810" s="645">
        <f t="shared" si="284"/>
        <v>9</v>
      </c>
      <c r="C810" s="647" t="s">
        <v>156</v>
      </c>
      <c r="D810" s="649" t="s">
        <v>157</v>
      </c>
      <c r="E810" s="645"/>
      <c r="F810" s="668">
        <f>' WP II-I-1.4'!H810</f>
        <v>0</v>
      </c>
      <c r="G810" s="645">
        <v>28</v>
      </c>
      <c r="H810" s="620" t="str">
        <f t="shared" si="285"/>
        <v>NCP XHV</v>
      </c>
      <c r="I810" s="645"/>
      <c r="J810" s="648">
        <f t="shared" si="286"/>
        <v>0</v>
      </c>
      <c r="K810" s="648">
        <f t="shared" si="286"/>
        <v>0</v>
      </c>
      <c r="L810" s="648">
        <f t="shared" si="286"/>
        <v>0</v>
      </c>
      <c r="M810" s="648">
        <f t="shared" si="286"/>
        <v>0</v>
      </c>
      <c r="N810" s="648">
        <f t="shared" si="286"/>
        <v>0</v>
      </c>
      <c r="O810" s="648">
        <f t="shared" si="286"/>
        <v>0</v>
      </c>
      <c r="P810" s="648">
        <f t="shared" si="286"/>
        <v>0</v>
      </c>
      <c r="Q810" s="648">
        <f t="shared" si="286"/>
        <v>0</v>
      </c>
      <c r="R810" s="648">
        <f t="shared" si="286"/>
        <v>0</v>
      </c>
      <c r="S810" s="648">
        <f t="shared" si="286"/>
        <v>0</v>
      </c>
      <c r="T810" s="645"/>
      <c r="U810" s="646">
        <f t="shared" si="287"/>
        <v>0</v>
      </c>
      <c r="W810" s="646">
        <f t="shared" si="282"/>
        <v>0</v>
      </c>
    </row>
    <row r="811" spans="2:23" ht="18" customHeight="1" x14ac:dyDescent="0.2">
      <c r="B811" s="645">
        <f t="shared" si="284"/>
        <v>10</v>
      </c>
      <c r="C811" s="647" t="s">
        <v>158</v>
      </c>
      <c r="D811" s="647" t="s">
        <v>159</v>
      </c>
      <c r="E811" s="645"/>
      <c r="F811" s="668">
        <f>' WP II-I-1.4'!H811</f>
        <v>0</v>
      </c>
      <c r="G811" s="645">
        <v>28</v>
      </c>
      <c r="H811" s="620" t="str">
        <f t="shared" si="285"/>
        <v>NCP XHV</v>
      </c>
      <c r="I811" s="645"/>
      <c r="J811" s="651">
        <f t="shared" si="286"/>
        <v>0</v>
      </c>
      <c r="K811" s="651">
        <f t="shared" si="286"/>
        <v>0</v>
      </c>
      <c r="L811" s="651">
        <f t="shared" si="286"/>
        <v>0</v>
      </c>
      <c r="M811" s="651">
        <f t="shared" si="286"/>
        <v>0</v>
      </c>
      <c r="N811" s="651">
        <f t="shared" si="286"/>
        <v>0</v>
      </c>
      <c r="O811" s="651">
        <f t="shared" si="286"/>
        <v>0</v>
      </c>
      <c r="P811" s="651">
        <f t="shared" si="286"/>
        <v>0</v>
      </c>
      <c r="Q811" s="651">
        <f t="shared" si="286"/>
        <v>0</v>
      </c>
      <c r="R811" s="651">
        <f t="shared" si="286"/>
        <v>0</v>
      </c>
      <c r="S811" s="651">
        <f t="shared" si="286"/>
        <v>0</v>
      </c>
      <c r="T811" s="645"/>
      <c r="U811" s="646">
        <f t="shared" si="287"/>
        <v>0</v>
      </c>
      <c r="W811" s="646">
        <f t="shared" si="282"/>
        <v>0</v>
      </c>
    </row>
    <row r="812" spans="2:23" ht="18" customHeight="1" x14ac:dyDescent="0.25">
      <c r="B812" s="645">
        <f t="shared" si="284"/>
        <v>11</v>
      </c>
      <c r="C812" s="8"/>
      <c r="D812" s="24" t="s">
        <v>444</v>
      </c>
      <c r="E812" s="1571"/>
      <c r="F812" s="805">
        <f>SUM(F804:F811)</f>
        <v>0</v>
      </c>
      <c r="G812" s="1571"/>
      <c r="H812" s="1571"/>
      <c r="I812" s="1571"/>
      <c r="J812" s="805">
        <f t="shared" ref="J812:Q812" si="288">SUM(J804:J811)</f>
        <v>0</v>
      </c>
      <c r="K812" s="805">
        <f t="shared" si="288"/>
        <v>0</v>
      </c>
      <c r="L812" s="805">
        <f t="shared" si="288"/>
        <v>0</v>
      </c>
      <c r="M812" s="805">
        <f t="shared" si="288"/>
        <v>0</v>
      </c>
      <c r="N812" s="805">
        <f t="shared" si="288"/>
        <v>0</v>
      </c>
      <c r="O812" s="805">
        <f>SUM(O804:O811)</f>
        <v>0</v>
      </c>
      <c r="P812" s="805">
        <f t="shared" si="288"/>
        <v>0</v>
      </c>
      <c r="Q812" s="805">
        <f t="shared" si="288"/>
        <v>0</v>
      </c>
      <c r="R812" s="805">
        <f>SUM(R804:R811)</f>
        <v>0</v>
      </c>
      <c r="S812" s="805">
        <f>SUM(S804:S811)</f>
        <v>0</v>
      </c>
      <c r="T812" s="1571"/>
      <c r="U812" s="235">
        <f t="shared" si="287"/>
        <v>0</v>
      </c>
      <c r="W812" s="646">
        <f t="shared" si="282"/>
        <v>0</v>
      </c>
    </row>
    <row r="813" spans="2:23" ht="18" customHeight="1" x14ac:dyDescent="0.2">
      <c r="B813" s="645">
        <f t="shared" si="284"/>
        <v>12</v>
      </c>
      <c r="C813" s="647"/>
      <c r="D813" s="647"/>
      <c r="E813" s="645"/>
      <c r="F813" s="803"/>
      <c r="G813" s="645"/>
      <c r="H813" s="645"/>
      <c r="I813" s="645"/>
      <c r="J813" s="803"/>
      <c r="K813" s="803"/>
      <c r="L813" s="803"/>
      <c r="M813" s="803"/>
      <c r="N813" s="803"/>
      <c r="O813" s="803"/>
      <c r="P813" s="803"/>
      <c r="Q813" s="803"/>
      <c r="R813" s="803"/>
      <c r="S813" s="803"/>
      <c r="T813" s="645"/>
      <c r="U813" s="647"/>
      <c r="W813" s="646">
        <f t="shared" si="282"/>
        <v>0</v>
      </c>
    </row>
    <row r="814" spans="2:23" ht="18" customHeight="1" x14ac:dyDescent="0.25">
      <c r="B814" s="645">
        <f t="shared" si="284"/>
        <v>13</v>
      </c>
      <c r="C814" s="8"/>
      <c r="D814" s="24" t="s">
        <v>610</v>
      </c>
      <c r="E814" s="1571"/>
      <c r="F814" s="805">
        <f>SUM(F805:F811)</f>
        <v>0</v>
      </c>
      <c r="G814" s="1571"/>
      <c r="H814" s="1571"/>
      <c r="I814" s="1571"/>
      <c r="J814" s="805">
        <f t="shared" ref="J814:Q814" si="289">SUM(J805:J811)</f>
        <v>0</v>
      </c>
      <c r="K814" s="805">
        <f t="shared" si="289"/>
        <v>0</v>
      </c>
      <c r="L814" s="805">
        <f t="shared" si="289"/>
        <v>0</v>
      </c>
      <c r="M814" s="805">
        <f t="shared" si="289"/>
        <v>0</v>
      </c>
      <c r="N814" s="805">
        <f t="shared" si="289"/>
        <v>0</v>
      </c>
      <c r="O814" s="805">
        <f>SUM(O805:O811)</f>
        <v>0</v>
      </c>
      <c r="P814" s="805">
        <f t="shared" si="289"/>
        <v>0</v>
      </c>
      <c r="Q814" s="805">
        <f t="shared" si="289"/>
        <v>0</v>
      </c>
      <c r="R814" s="805">
        <f>SUM(R805:R811)</f>
        <v>0</v>
      </c>
      <c r="S814" s="805">
        <f>SUM(S805:S811)</f>
        <v>0</v>
      </c>
      <c r="T814" s="1571"/>
      <c r="U814" s="235">
        <f>SUM(I814:T814)</f>
        <v>0</v>
      </c>
      <c r="W814" s="646">
        <f t="shared" si="282"/>
        <v>0</v>
      </c>
    </row>
    <row r="815" spans="2:23" ht="18" customHeight="1" x14ac:dyDescent="0.2">
      <c r="B815" s="645">
        <f t="shared" si="284"/>
        <v>14</v>
      </c>
      <c r="C815" s="647"/>
      <c r="D815" s="647"/>
      <c r="E815" s="645"/>
      <c r="F815" s="803"/>
      <c r="G815" s="645"/>
      <c r="H815" s="645"/>
      <c r="I815" s="645"/>
      <c r="J815" s="645"/>
      <c r="K815" s="645"/>
      <c r="L815" s="645"/>
      <c r="M815" s="645"/>
      <c r="N815" s="645"/>
      <c r="O815" s="645"/>
      <c r="P815" s="645"/>
      <c r="Q815" s="645"/>
      <c r="R815" s="645"/>
      <c r="S815" s="645"/>
      <c r="T815" s="645"/>
      <c r="U815" s="647"/>
      <c r="W815" s="646">
        <f t="shared" si="282"/>
        <v>0</v>
      </c>
    </row>
    <row r="816" spans="2:23" ht="18" customHeight="1" x14ac:dyDescent="0.25">
      <c r="B816" s="645">
        <f t="shared" si="284"/>
        <v>15</v>
      </c>
      <c r="C816" s="8"/>
      <c r="D816" s="301" t="s">
        <v>611</v>
      </c>
      <c r="E816" s="1571" t="s">
        <v>262</v>
      </c>
      <c r="F816" s="805"/>
      <c r="G816" s="1571"/>
      <c r="H816" s="1571"/>
      <c r="I816" s="1571"/>
      <c r="J816" s="1571"/>
      <c r="K816" s="1571"/>
      <c r="L816" s="1571"/>
      <c r="M816" s="1571"/>
      <c r="N816" s="1571"/>
      <c r="O816" s="1571"/>
      <c r="P816" s="1571"/>
      <c r="Q816" s="1571"/>
      <c r="R816" s="1571"/>
      <c r="S816" s="1571"/>
      <c r="T816" s="1571"/>
      <c r="U816" s="8"/>
      <c r="W816" s="646">
        <f t="shared" si="282"/>
        <v>0</v>
      </c>
    </row>
    <row r="817" spans="2:23" ht="18" customHeight="1" x14ac:dyDescent="0.2">
      <c r="B817" s="645">
        <f t="shared" si="284"/>
        <v>16</v>
      </c>
      <c r="C817" s="647" t="s">
        <v>161</v>
      </c>
      <c r="D817" s="647" t="s">
        <v>162</v>
      </c>
      <c r="E817" s="645"/>
      <c r="F817" s="668">
        <f>' WP II-I-1.4'!H817</f>
        <v>0</v>
      </c>
      <c r="G817" s="645">
        <v>28</v>
      </c>
      <c r="H817" s="620" t="str">
        <f t="shared" ref="H817:H822" si="290">VLOOKUP(G817,FactorTable,2)</f>
        <v>NCP XHV</v>
      </c>
      <c r="I817" s="645"/>
      <c r="J817" s="648">
        <f t="shared" ref="J817:S822" si="291">$F817*HLOOKUP(J$1354,FactorTable,$G817+1)</f>
        <v>0</v>
      </c>
      <c r="K817" s="648">
        <f t="shared" si="291"/>
        <v>0</v>
      </c>
      <c r="L817" s="648">
        <f t="shared" si="291"/>
        <v>0</v>
      </c>
      <c r="M817" s="648">
        <f t="shared" si="291"/>
        <v>0</v>
      </c>
      <c r="N817" s="648">
        <f t="shared" si="291"/>
        <v>0</v>
      </c>
      <c r="O817" s="648">
        <f t="shared" si="291"/>
        <v>0</v>
      </c>
      <c r="P817" s="648">
        <f t="shared" si="291"/>
        <v>0</v>
      </c>
      <c r="Q817" s="648">
        <f t="shared" si="291"/>
        <v>0</v>
      </c>
      <c r="R817" s="648">
        <f t="shared" si="291"/>
        <v>0</v>
      </c>
      <c r="S817" s="648">
        <f t="shared" si="291"/>
        <v>0</v>
      </c>
      <c r="T817" s="645"/>
      <c r="U817" s="646">
        <f t="shared" ref="U817:U823" si="292">SUM(I817:T817)</f>
        <v>0</v>
      </c>
      <c r="W817" s="646">
        <f t="shared" si="282"/>
        <v>0</v>
      </c>
    </row>
    <row r="818" spans="2:23" ht="18" customHeight="1" x14ac:dyDescent="0.2">
      <c r="B818" s="645">
        <f t="shared" si="284"/>
        <v>17</v>
      </c>
      <c r="C818" s="647" t="s">
        <v>163</v>
      </c>
      <c r="D818" s="649" t="s">
        <v>164</v>
      </c>
      <c r="E818" s="645"/>
      <c r="F818" s="668">
        <f>' WP II-I-1.4'!H818</f>
        <v>0</v>
      </c>
      <c r="G818" s="645">
        <v>28</v>
      </c>
      <c r="H818" s="620" t="str">
        <f t="shared" si="290"/>
        <v>NCP XHV</v>
      </c>
      <c r="I818" s="645"/>
      <c r="J818" s="648">
        <f t="shared" si="291"/>
        <v>0</v>
      </c>
      <c r="K818" s="648">
        <f t="shared" si="291"/>
        <v>0</v>
      </c>
      <c r="L818" s="648">
        <f t="shared" si="291"/>
        <v>0</v>
      </c>
      <c r="M818" s="648">
        <f t="shared" si="291"/>
        <v>0</v>
      </c>
      <c r="N818" s="648">
        <f t="shared" si="291"/>
        <v>0</v>
      </c>
      <c r="O818" s="648">
        <f t="shared" si="291"/>
        <v>0</v>
      </c>
      <c r="P818" s="648">
        <f t="shared" si="291"/>
        <v>0</v>
      </c>
      <c r="Q818" s="648">
        <f t="shared" si="291"/>
        <v>0</v>
      </c>
      <c r="R818" s="648">
        <f t="shared" si="291"/>
        <v>0</v>
      </c>
      <c r="S818" s="648">
        <f t="shared" si="291"/>
        <v>0</v>
      </c>
      <c r="T818" s="645"/>
      <c r="U818" s="646">
        <f t="shared" si="292"/>
        <v>0</v>
      </c>
      <c r="W818" s="646">
        <f t="shared" si="282"/>
        <v>0</v>
      </c>
    </row>
    <row r="819" spans="2:23" ht="18" customHeight="1" x14ac:dyDescent="0.2">
      <c r="B819" s="645">
        <f t="shared" si="284"/>
        <v>18</v>
      </c>
      <c r="C819" s="647" t="s">
        <v>165</v>
      </c>
      <c r="D819" s="647" t="s">
        <v>166</v>
      </c>
      <c r="E819" s="645"/>
      <c r="F819" s="668">
        <f>' WP II-I-1.4'!H819</f>
        <v>0</v>
      </c>
      <c r="G819" s="645">
        <v>28</v>
      </c>
      <c r="H819" s="620" t="str">
        <f t="shared" si="290"/>
        <v>NCP XHV</v>
      </c>
      <c r="I819" s="645"/>
      <c r="J819" s="648">
        <f t="shared" si="291"/>
        <v>0</v>
      </c>
      <c r="K819" s="648">
        <f t="shared" si="291"/>
        <v>0</v>
      </c>
      <c r="L819" s="648">
        <f t="shared" si="291"/>
        <v>0</v>
      </c>
      <c r="M819" s="648">
        <f t="shared" si="291"/>
        <v>0</v>
      </c>
      <c r="N819" s="648">
        <f t="shared" si="291"/>
        <v>0</v>
      </c>
      <c r="O819" s="648">
        <f t="shared" si="291"/>
        <v>0</v>
      </c>
      <c r="P819" s="648">
        <f t="shared" si="291"/>
        <v>0</v>
      </c>
      <c r="Q819" s="648">
        <f t="shared" si="291"/>
        <v>0</v>
      </c>
      <c r="R819" s="648">
        <f t="shared" si="291"/>
        <v>0</v>
      </c>
      <c r="S819" s="648">
        <f t="shared" si="291"/>
        <v>0</v>
      </c>
      <c r="T819" s="645"/>
      <c r="U819" s="646">
        <f t="shared" si="292"/>
        <v>0</v>
      </c>
      <c r="W819" s="646">
        <f t="shared" si="282"/>
        <v>0</v>
      </c>
    </row>
    <row r="820" spans="2:23" ht="18" customHeight="1" x14ac:dyDescent="0.2">
      <c r="B820" s="645">
        <f t="shared" si="284"/>
        <v>19</v>
      </c>
      <c r="C820" s="647" t="s">
        <v>167</v>
      </c>
      <c r="D820" s="647" t="s">
        <v>168</v>
      </c>
      <c r="E820" s="645"/>
      <c r="F820" s="668">
        <f>' WP II-I-1.4'!H820</f>
        <v>0</v>
      </c>
      <c r="G820" s="645">
        <v>28</v>
      </c>
      <c r="H820" s="620" t="str">
        <f t="shared" si="290"/>
        <v>NCP XHV</v>
      </c>
      <c r="I820" s="645"/>
      <c r="J820" s="648">
        <f t="shared" si="291"/>
        <v>0</v>
      </c>
      <c r="K820" s="648">
        <f t="shared" si="291"/>
        <v>0</v>
      </c>
      <c r="L820" s="648">
        <f t="shared" si="291"/>
        <v>0</v>
      </c>
      <c r="M820" s="648">
        <f t="shared" si="291"/>
        <v>0</v>
      </c>
      <c r="N820" s="648">
        <f t="shared" si="291"/>
        <v>0</v>
      </c>
      <c r="O820" s="648">
        <f t="shared" si="291"/>
        <v>0</v>
      </c>
      <c r="P820" s="648">
        <f t="shared" si="291"/>
        <v>0</v>
      </c>
      <c r="Q820" s="648">
        <f t="shared" si="291"/>
        <v>0</v>
      </c>
      <c r="R820" s="648">
        <f t="shared" si="291"/>
        <v>0</v>
      </c>
      <c r="S820" s="648">
        <f t="shared" si="291"/>
        <v>0</v>
      </c>
      <c r="T820" s="645"/>
      <c r="U820" s="646">
        <f t="shared" si="292"/>
        <v>0</v>
      </c>
      <c r="W820" s="646">
        <f t="shared" si="282"/>
        <v>0</v>
      </c>
    </row>
    <row r="821" spans="2:23" ht="18" customHeight="1" x14ac:dyDescent="0.2">
      <c r="B821" s="645">
        <f t="shared" si="284"/>
        <v>20</v>
      </c>
      <c r="C821" s="647" t="s">
        <v>169</v>
      </c>
      <c r="D821" s="649" t="s">
        <v>170</v>
      </c>
      <c r="E821" s="645"/>
      <c r="F821" s="668">
        <f>' WP II-I-1.4'!H821</f>
        <v>0</v>
      </c>
      <c r="G821" s="645">
        <v>28</v>
      </c>
      <c r="H821" s="620" t="str">
        <f t="shared" si="290"/>
        <v>NCP XHV</v>
      </c>
      <c r="I821" s="645"/>
      <c r="J821" s="648">
        <f t="shared" si="291"/>
        <v>0</v>
      </c>
      <c r="K821" s="648">
        <f t="shared" si="291"/>
        <v>0</v>
      </c>
      <c r="L821" s="648">
        <f t="shared" si="291"/>
        <v>0</v>
      </c>
      <c r="M821" s="648">
        <f t="shared" si="291"/>
        <v>0</v>
      </c>
      <c r="N821" s="648">
        <f t="shared" si="291"/>
        <v>0</v>
      </c>
      <c r="O821" s="648">
        <f t="shared" si="291"/>
        <v>0</v>
      </c>
      <c r="P821" s="648">
        <f t="shared" si="291"/>
        <v>0</v>
      </c>
      <c r="Q821" s="648">
        <f t="shared" si="291"/>
        <v>0</v>
      </c>
      <c r="R821" s="648">
        <f t="shared" si="291"/>
        <v>0</v>
      </c>
      <c r="S821" s="648">
        <f t="shared" si="291"/>
        <v>0</v>
      </c>
      <c r="T821" s="645"/>
      <c r="U821" s="646">
        <f t="shared" si="292"/>
        <v>0</v>
      </c>
      <c r="W821" s="646">
        <f t="shared" si="282"/>
        <v>0</v>
      </c>
    </row>
    <row r="822" spans="2:23" ht="18" customHeight="1" x14ac:dyDescent="0.2">
      <c r="B822" s="645">
        <f t="shared" si="284"/>
        <v>21</v>
      </c>
      <c r="C822" s="647" t="s">
        <v>171</v>
      </c>
      <c r="D822" s="649" t="s">
        <v>172</v>
      </c>
      <c r="E822" s="645"/>
      <c r="F822" s="668">
        <f>' WP II-I-1.4'!H822</f>
        <v>0</v>
      </c>
      <c r="G822" s="645">
        <v>28</v>
      </c>
      <c r="H822" s="620" t="str">
        <f t="shared" si="290"/>
        <v>NCP XHV</v>
      </c>
      <c r="I822" s="645"/>
      <c r="J822" s="651">
        <f t="shared" si="291"/>
        <v>0</v>
      </c>
      <c r="K822" s="651">
        <f t="shared" si="291"/>
        <v>0</v>
      </c>
      <c r="L822" s="651">
        <f t="shared" si="291"/>
        <v>0</v>
      </c>
      <c r="M822" s="651">
        <f t="shared" si="291"/>
        <v>0</v>
      </c>
      <c r="N822" s="651">
        <f t="shared" si="291"/>
        <v>0</v>
      </c>
      <c r="O822" s="651">
        <f t="shared" si="291"/>
        <v>0</v>
      </c>
      <c r="P822" s="651">
        <f t="shared" si="291"/>
        <v>0</v>
      </c>
      <c r="Q822" s="651">
        <f t="shared" si="291"/>
        <v>0</v>
      </c>
      <c r="R822" s="651">
        <f t="shared" si="291"/>
        <v>0</v>
      </c>
      <c r="S822" s="651">
        <f t="shared" si="291"/>
        <v>0</v>
      </c>
      <c r="T822" s="645"/>
      <c r="U822" s="646">
        <f t="shared" si="292"/>
        <v>0</v>
      </c>
      <c r="W822" s="646">
        <f t="shared" si="282"/>
        <v>0</v>
      </c>
    </row>
    <row r="823" spans="2:23" ht="18" customHeight="1" x14ac:dyDescent="0.25">
      <c r="B823" s="645">
        <f t="shared" si="284"/>
        <v>22</v>
      </c>
      <c r="C823" s="8"/>
      <c r="D823" s="24" t="s">
        <v>444</v>
      </c>
      <c r="E823" s="1571"/>
      <c r="F823" s="805">
        <f>SUM(F817:F822)</f>
        <v>0</v>
      </c>
      <c r="G823" s="1571"/>
      <c r="H823" s="1571"/>
      <c r="I823" s="1571"/>
      <c r="J823" s="805">
        <f t="shared" ref="J823:Q823" si="293">SUM(J817:J822)</f>
        <v>0</v>
      </c>
      <c r="K823" s="805">
        <f t="shared" si="293"/>
        <v>0</v>
      </c>
      <c r="L823" s="805">
        <f t="shared" si="293"/>
        <v>0</v>
      </c>
      <c r="M823" s="805">
        <f t="shared" si="293"/>
        <v>0</v>
      </c>
      <c r="N823" s="805">
        <f t="shared" si="293"/>
        <v>0</v>
      </c>
      <c r="O823" s="805">
        <f>SUM(O817:O822)</f>
        <v>0</v>
      </c>
      <c r="P823" s="805">
        <f t="shared" si="293"/>
        <v>0</v>
      </c>
      <c r="Q823" s="805">
        <f t="shared" si="293"/>
        <v>0</v>
      </c>
      <c r="R823" s="805">
        <f>SUM(R817:R822)</f>
        <v>0</v>
      </c>
      <c r="S823" s="805">
        <f>SUM(S817:S822)</f>
        <v>0</v>
      </c>
      <c r="T823" s="1571"/>
      <c r="U823" s="235">
        <f t="shared" si="292"/>
        <v>0</v>
      </c>
      <c r="W823" s="646">
        <f t="shared" si="282"/>
        <v>0</v>
      </c>
    </row>
    <row r="824" spans="2:23" ht="18" customHeight="1" x14ac:dyDescent="0.2">
      <c r="B824" s="645">
        <f t="shared" si="284"/>
        <v>23</v>
      </c>
      <c r="C824" s="647"/>
      <c r="D824" s="647"/>
      <c r="E824" s="645"/>
      <c r="F824" s="803"/>
      <c r="G824" s="645"/>
      <c r="H824" s="645"/>
      <c r="I824" s="645"/>
      <c r="J824" s="803"/>
      <c r="K824" s="803"/>
      <c r="L824" s="803"/>
      <c r="M824" s="803"/>
      <c r="N824" s="803"/>
      <c r="O824" s="803"/>
      <c r="P824" s="803"/>
      <c r="Q824" s="803"/>
      <c r="R824" s="803"/>
      <c r="S824" s="803"/>
      <c r="T824" s="645"/>
      <c r="U824" s="647"/>
      <c r="W824" s="646">
        <f t="shared" si="282"/>
        <v>0</v>
      </c>
    </row>
    <row r="825" spans="2:23" ht="18" customHeight="1" x14ac:dyDescent="0.25">
      <c r="B825" s="645">
        <f t="shared" si="284"/>
        <v>24</v>
      </c>
      <c r="C825" s="8"/>
      <c r="D825" s="24" t="s">
        <v>612</v>
      </c>
      <c r="E825" s="1571"/>
      <c r="F825" s="805">
        <f>SUM(F818:F822)</f>
        <v>0</v>
      </c>
      <c r="G825" s="1571"/>
      <c r="H825" s="1571"/>
      <c r="I825" s="1571"/>
      <c r="J825" s="805">
        <f t="shared" ref="J825:Q825" si="294">SUM(J818:J822)</f>
        <v>0</v>
      </c>
      <c r="K825" s="805">
        <f t="shared" si="294"/>
        <v>0</v>
      </c>
      <c r="L825" s="805">
        <f t="shared" si="294"/>
        <v>0</v>
      </c>
      <c r="M825" s="805">
        <f t="shared" si="294"/>
        <v>0</v>
      </c>
      <c r="N825" s="805">
        <f t="shared" si="294"/>
        <v>0</v>
      </c>
      <c r="O825" s="805">
        <f>SUM(O818:O822)</f>
        <v>0</v>
      </c>
      <c r="P825" s="805">
        <f t="shared" si="294"/>
        <v>0</v>
      </c>
      <c r="Q825" s="805">
        <f t="shared" si="294"/>
        <v>0</v>
      </c>
      <c r="R825" s="805">
        <f>SUM(R818:R822)</f>
        <v>0</v>
      </c>
      <c r="S825" s="805">
        <f>SUM(S818:S822)</f>
        <v>0</v>
      </c>
      <c r="T825" s="1571"/>
      <c r="U825" s="235">
        <f>SUM(I825:T825)</f>
        <v>0</v>
      </c>
      <c r="W825" s="646">
        <f t="shared" si="282"/>
        <v>0</v>
      </c>
    </row>
    <row r="826" spans="2:23" ht="18" customHeight="1" thickBot="1" x14ac:dyDescent="0.25">
      <c r="B826" s="645">
        <f t="shared" si="284"/>
        <v>25</v>
      </c>
      <c r="C826" s="647"/>
      <c r="D826" s="647"/>
      <c r="E826" s="645"/>
      <c r="F826" s="803"/>
      <c r="G826" s="645"/>
      <c r="H826" s="645"/>
      <c r="I826" s="645"/>
      <c r="J826" s="803"/>
      <c r="K826" s="803"/>
      <c r="L826" s="803"/>
      <c r="M826" s="803"/>
      <c r="N826" s="803"/>
      <c r="O826" s="803"/>
      <c r="P826" s="803"/>
      <c r="Q826" s="803"/>
      <c r="R826" s="803"/>
      <c r="S826" s="803"/>
      <c r="T826" s="645"/>
      <c r="U826" s="647"/>
      <c r="W826" s="646">
        <f>U826-F826</f>
        <v>0</v>
      </c>
    </row>
    <row r="827" spans="2:23" ht="18" customHeight="1" thickBot="1" x14ac:dyDescent="0.3">
      <c r="B827" s="645">
        <f>B824+1</f>
        <v>24</v>
      </c>
      <c r="C827" s="779" t="s">
        <v>613</v>
      </c>
      <c r="D827" s="920"/>
      <c r="E827" s="916"/>
      <c r="F827" s="917">
        <f>+F823+F812</f>
        <v>0</v>
      </c>
      <c r="G827" s="916"/>
      <c r="H827" s="916"/>
      <c r="I827" s="919"/>
      <c r="J827" s="917">
        <f t="shared" ref="J827:S827" si="295">+J823+J812</f>
        <v>0</v>
      </c>
      <c r="K827" s="917">
        <f t="shared" si="295"/>
        <v>0</v>
      </c>
      <c r="L827" s="917">
        <f t="shared" si="295"/>
        <v>0</v>
      </c>
      <c r="M827" s="917">
        <f t="shared" si="295"/>
        <v>0</v>
      </c>
      <c r="N827" s="917">
        <f t="shared" si="295"/>
        <v>0</v>
      </c>
      <c r="O827" s="917">
        <f t="shared" si="295"/>
        <v>0</v>
      </c>
      <c r="P827" s="917">
        <f t="shared" si="295"/>
        <v>0</v>
      </c>
      <c r="Q827" s="917">
        <f t="shared" si="295"/>
        <v>0</v>
      </c>
      <c r="R827" s="917">
        <f t="shared" si="295"/>
        <v>0</v>
      </c>
      <c r="S827" s="917">
        <f t="shared" si="295"/>
        <v>0</v>
      </c>
      <c r="T827" s="919"/>
      <c r="U827" s="918">
        <f>SUM(I827:T827)</f>
        <v>0</v>
      </c>
      <c r="W827" s="646">
        <f>U827-F827</f>
        <v>0</v>
      </c>
    </row>
    <row r="828" spans="2:23" ht="18" customHeight="1" x14ac:dyDescent="0.2">
      <c r="B828" s="645"/>
      <c r="C828" s="647"/>
      <c r="D828" s="647"/>
      <c r="E828" s="645"/>
      <c r="F828" s="803"/>
      <c r="G828" s="645"/>
      <c r="H828" s="645"/>
      <c r="I828" s="645"/>
      <c r="J828" s="645"/>
      <c r="K828" s="645"/>
      <c r="L828" s="645"/>
      <c r="M828" s="645"/>
      <c r="N828" s="645"/>
      <c r="O828" s="645"/>
      <c r="P828" s="645"/>
      <c r="Q828" s="645"/>
      <c r="R828" s="645"/>
      <c r="S828" s="645"/>
      <c r="T828" s="645"/>
      <c r="U828" s="647"/>
      <c r="W828" s="646">
        <f t="shared" si="282"/>
        <v>0</v>
      </c>
    </row>
    <row r="829" spans="2:23" ht="18" customHeight="1" x14ac:dyDescent="0.2">
      <c r="B829" s="645"/>
      <c r="C829" s="647"/>
      <c r="D829" s="647"/>
      <c r="E829" s="645"/>
      <c r="F829" s="803"/>
      <c r="G829" s="645"/>
      <c r="H829" s="653"/>
      <c r="I829" s="645"/>
      <c r="J829" s="645"/>
      <c r="K829" s="645"/>
      <c r="L829" s="645"/>
      <c r="M829" s="645"/>
      <c r="N829" s="645"/>
      <c r="O829" s="645"/>
      <c r="P829" s="645"/>
      <c r="Q829" s="645"/>
      <c r="R829" s="645"/>
      <c r="S829" s="645"/>
      <c r="T829" s="645"/>
      <c r="U829" s="653"/>
      <c r="V829" s="653">
        <f>$H$2</f>
        <v>0</v>
      </c>
      <c r="W829" s="646"/>
    </row>
    <row r="830" spans="2:23" ht="18" customHeight="1" thickBot="1" x14ac:dyDescent="0.25">
      <c r="B830" s="645"/>
      <c r="C830" s="647"/>
      <c r="D830" s="647"/>
      <c r="E830" s="645"/>
      <c r="F830" s="803"/>
      <c r="G830" s="645"/>
      <c r="H830" s="645"/>
      <c r="I830" s="645"/>
      <c r="J830" s="645"/>
      <c r="K830" s="645"/>
      <c r="L830" s="645"/>
      <c r="M830" s="645"/>
      <c r="N830" s="645"/>
      <c r="O830" s="645"/>
      <c r="P830" s="645"/>
      <c r="Q830" s="645"/>
      <c r="R830" s="645"/>
      <c r="S830" s="645"/>
      <c r="T830" s="645"/>
      <c r="U830" s="647"/>
      <c r="W830" s="646"/>
    </row>
    <row r="831" spans="2:23" ht="18" customHeight="1" x14ac:dyDescent="0.25">
      <c r="B831" s="829" t="str">
        <f>+$B$4</f>
        <v>2025 RATE CASE</v>
      </c>
      <c r="C831" s="844"/>
      <c r="D831" s="877"/>
      <c r="F831" s="571"/>
      <c r="U831" s="653"/>
      <c r="W831" s="646"/>
    </row>
    <row r="832" spans="2:23" ht="18" customHeight="1" x14ac:dyDescent="0.25">
      <c r="B832" s="826" t="str">
        <f>+$B$5</f>
        <v>ONCOR ELECTRIC DELIVERY COMPANY LLC</v>
      </c>
      <c r="C832" s="8"/>
      <c r="D832" s="878"/>
      <c r="F832" s="571"/>
      <c r="U832" s="653"/>
      <c r="W832" s="646"/>
    </row>
    <row r="833" spans="2:23" ht="18" customHeight="1" x14ac:dyDescent="0.25">
      <c r="B833" s="826" t="str">
        <f>+$B$6</f>
        <v>II-I-1-MET:  CLASS REVENUE REQUIREMENT</v>
      </c>
      <c r="C833" s="82"/>
      <c r="D833" s="878"/>
      <c r="F833" s="571"/>
      <c r="U833" s="571"/>
      <c r="W833" s="646"/>
    </row>
    <row r="834" spans="2:23" ht="18" customHeight="1" x14ac:dyDescent="0.25">
      <c r="B834" s="341" t="str">
        <f>+$B$7</f>
        <v>TEST YEAR ENDING 12/31/2024</v>
      </c>
      <c r="C834" s="82"/>
      <c r="D834" s="878"/>
      <c r="F834" s="571"/>
      <c r="U834" s="571"/>
      <c r="W834" s="646"/>
    </row>
    <row r="835" spans="2:23" ht="18" customHeight="1" x14ac:dyDescent="0.25">
      <c r="B835" s="341" t="str">
        <f>+$B$8</f>
        <v>SPONSOR:  MATTHEW A. TROXLE</v>
      </c>
      <c r="C835" s="82"/>
      <c r="D835" s="878"/>
      <c r="F835" s="571"/>
      <c r="U835" s="571"/>
      <c r="W835" s="646"/>
    </row>
    <row r="836" spans="2:23" ht="18" customHeight="1" thickBot="1" x14ac:dyDescent="0.3">
      <c r="B836" s="345"/>
      <c r="C836" s="843"/>
      <c r="D836" s="879"/>
      <c r="F836" s="571"/>
      <c r="U836" s="571"/>
      <c r="W836" s="646"/>
    </row>
    <row r="837" spans="2:23" ht="18" customHeight="1" thickBot="1" x14ac:dyDescent="0.25">
      <c r="B837" s="655"/>
      <c r="C837" s="656"/>
      <c r="D837" s="656"/>
      <c r="E837" s="656"/>
      <c r="F837" s="655"/>
      <c r="G837" s="656"/>
      <c r="H837" s="656"/>
      <c r="I837" s="656"/>
      <c r="J837" s="657"/>
      <c r="K837" s="657"/>
      <c r="L837" s="656"/>
      <c r="M837" s="657"/>
      <c r="N837" s="657"/>
      <c r="O837" s="657"/>
      <c r="P837" s="657"/>
      <c r="Q837" s="656"/>
      <c r="R837" s="658" t="str">
        <f>R$10</f>
        <v xml:space="preserve"> </v>
      </c>
      <c r="S837" s="659"/>
      <c r="T837" s="657"/>
      <c r="U837" s="655"/>
      <c r="W837" s="646"/>
    </row>
    <row r="838" spans="2:23" ht="18" customHeight="1" x14ac:dyDescent="0.25">
      <c r="B838" s="660" t="s">
        <v>2</v>
      </c>
      <c r="C838" s="660" t="s">
        <v>349</v>
      </c>
      <c r="D838" s="226" t="s">
        <v>614</v>
      </c>
      <c r="E838" s="660" t="s">
        <v>350</v>
      </c>
      <c r="F838" s="226" t="str">
        <f>F$11</f>
        <v>MET</v>
      </c>
      <c r="G838" s="661" t="s">
        <v>688</v>
      </c>
      <c r="H838" s="661" t="s">
        <v>355</v>
      </c>
      <c r="I838" s="660"/>
      <c r="J838" s="661" t="s">
        <v>679</v>
      </c>
      <c r="K838" s="661" t="s">
        <v>388</v>
      </c>
      <c r="L838" s="660" t="s">
        <v>388</v>
      </c>
      <c r="M838" s="661" t="s">
        <v>389</v>
      </c>
      <c r="N838" s="661" t="s">
        <v>389</v>
      </c>
      <c r="O838" s="661" t="s">
        <v>389</v>
      </c>
      <c r="P838" s="661" t="s">
        <v>390</v>
      </c>
      <c r="Q838" s="660" t="s">
        <v>391</v>
      </c>
      <c r="R838" s="662" t="str">
        <f>R$11</f>
        <v>Wholesale</v>
      </c>
      <c r="S838" s="655" t="str">
        <f>S$11</f>
        <v>Wholesale</v>
      </c>
      <c r="T838" s="661"/>
      <c r="U838" s="660" t="s">
        <v>10</v>
      </c>
      <c r="W838" s="646"/>
    </row>
    <row r="839" spans="2:23" ht="18" customHeight="1" x14ac:dyDescent="0.2">
      <c r="B839" s="660"/>
      <c r="C839" s="660"/>
      <c r="D839" s="660"/>
      <c r="E839" s="660"/>
      <c r="F839" s="660"/>
      <c r="G839" s="661" t="s">
        <v>689</v>
      </c>
      <c r="H839" s="661" t="s">
        <v>690</v>
      </c>
      <c r="I839" s="660"/>
      <c r="J839" s="661"/>
      <c r="K839" s="661" t="s">
        <v>680</v>
      </c>
      <c r="L839" s="660" t="s">
        <v>681</v>
      </c>
      <c r="M839" s="661" t="s">
        <v>680</v>
      </c>
      <c r="N839" s="661" t="s">
        <v>681</v>
      </c>
      <c r="O839" s="661" t="s">
        <v>393</v>
      </c>
      <c r="P839" s="661"/>
      <c r="Q839" s="660"/>
      <c r="R839" s="663" t="str">
        <f>R$12</f>
        <v>XFMR</v>
      </c>
      <c r="S839" s="660" t="str">
        <f>S$12</f>
        <v>DLS</v>
      </c>
      <c r="T839" s="661"/>
      <c r="U839" s="660"/>
      <c r="W839" s="646"/>
    </row>
    <row r="840" spans="2:23" ht="18" customHeight="1" thickBot="1" x14ac:dyDescent="0.25">
      <c r="B840" s="664"/>
      <c r="C840" s="664"/>
      <c r="D840" s="664"/>
      <c r="E840" s="664"/>
      <c r="F840" s="664" t="s">
        <v>13</v>
      </c>
      <c r="G840" s="664" t="s">
        <v>14</v>
      </c>
      <c r="H840" s="664" t="s">
        <v>15</v>
      </c>
      <c r="I840" s="664"/>
      <c r="J840" s="665" t="str">
        <f t="shared" ref="J840:Q840" si="296">J$13</f>
        <v>(d)</v>
      </c>
      <c r="K840" s="665" t="str">
        <f t="shared" si="296"/>
        <v>(e)</v>
      </c>
      <c r="L840" s="664" t="str">
        <f t="shared" si="296"/>
        <v>(f)</v>
      </c>
      <c r="M840" s="665" t="str">
        <f t="shared" si="296"/>
        <v>(g)</v>
      </c>
      <c r="N840" s="665" t="str">
        <f t="shared" si="296"/>
        <v>(h)</v>
      </c>
      <c r="O840" s="665" t="str">
        <f>O$13</f>
        <v>(i)</v>
      </c>
      <c r="P840" s="665" t="str">
        <f t="shared" si="296"/>
        <v>(j)</v>
      </c>
      <c r="Q840" s="665" t="str">
        <f t="shared" si="296"/>
        <v>(k)</v>
      </c>
      <c r="R840" s="665" t="str">
        <f>R$13</f>
        <v>(l)</v>
      </c>
      <c r="S840" s="664" t="str">
        <f>S$13</f>
        <v>(m)</v>
      </c>
      <c r="T840" s="664"/>
      <c r="U840" s="664" t="s">
        <v>683</v>
      </c>
      <c r="W840" s="646"/>
    </row>
    <row r="841" spans="2:23" ht="12.75" customHeight="1" x14ac:dyDescent="0.2">
      <c r="C841" s="672"/>
      <c r="D841" s="672"/>
      <c r="E841" s="673"/>
      <c r="F841" s="674"/>
      <c r="G841" s="673"/>
      <c r="H841" s="673"/>
      <c r="I841" s="673"/>
      <c r="J841" s="673"/>
      <c r="K841" s="673"/>
      <c r="L841" s="673"/>
      <c r="M841" s="673"/>
      <c r="N841" s="673"/>
      <c r="O841" s="673"/>
      <c r="P841" s="673"/>
      <c r="Q841" s="673"/>
      <c r="R841" s="673"/>
      <c r="S841" s="673"/>
      <c r="T841" s="673"/>
      <c r="U841" s="647"/>
      <c r="W841" s="646">
        <f t="shared" si="282"/>
        <v>0</v>
      </c>
    </row>
    <row r="842" spans="2:23" ht="18" customHeight="1" x14ac:dyDescent="0.25">
      <c r="B842" s="645">
        <f>B828+1</f>
        <v>1</v>
      </c>
      <c r="C842" s="8" t="s">
        <v>614</v>
      </c>
      <c r="D842" s="8"/>
      <c r="E842" s="1571"/>
      <c r="F842" s="805"/>
      <c r="G842" s="1571"/>
      <c r="H842" s="1571"/>
      <c r="I842" s="1571"/>
      <c r="J842" s="1571"/>
      <c r="K842" s="1571"/>
      <c r="L842" s="1571"/>
      <c r="M842" s="1571"/>
      <c r="N842" s="1571"/>
      <c r="O842" s="1571"/>
      <c r="P842" s="1571"/>
      <c r="Q842" s="1571"/>
      <c r="R842" s="1571"/>
      <c r="S842" s="1571"/>
      <c r="T842" s="1571"/>
      <c r="U842" s="8"/>
      <c r="W842" s="646">
        <f t="shared" si="282"/>
        <v>0</v>
      </c>
    </row>
    <row r="843" spans="2:23" ht="18" customHeight="1" x14ac:dyDescent="0.25">
      <c r="B843" s="645">
        <f t="shared" ref="B843:B874" si="297">B842+1</f>
        <v>2</v>
      </c>
      <c r="C843" s="8"/>
      <c r="D843" s="301" t="s">
        <v>609</v>
      </c>
      <c r="E843" s="1571" t="s">
        <v>262</v>
      </c>
      <c r="F843" s="805"/>
      <c r="G843" s="1571"/>
      <c r="H843" s="1571"/>
      <c r="I843" s="1571"/>
      <c r="J843" s="1571"/>
      <c r="K843" s="1571"/>
      <c r="L843" s="1571"/>
      <c r="M843" s="1571"/>
      <c r="N843" s="1571"/>
      <c r="O843" s="1571"/>
      <c r="P843" s="1571"/>
      <c r="Q843" s="1571"/>
      <c r="R843" s="1571"/>
      <c r="S843" s="1571"/>
      <c r="T843" s="1571"/>
      <c r="U843" s="8"/>
      <c r="W843" s="646">
        <f t="shared" si="282"/>
        <v>0</v>
      </c>
    </row>
    <row r="844" spans="2:23" ht="18" customHeight="1" x14ac:dyDescent="0.2">
      <c r="B844" s="645">
        <f t="shared" si="297"/>
        <v>3</v>
      </c>
      <c r="C844" s="647" t="s">
        <v>175</v>
      </c>
      <c r="D844" s="647" t="s">
        <v>176</v>
      </c>
      <c r="E844" s="645"/>
      <c r="F844" s="668">
        <f>' WP II-I-1.4'!H844</f>
        <v>0</v>
      </c>
      <c r="G844" s="645">
        <v>28</v>
      </c>
      <c r="H844" s="620" t="str">
        <f t="shared" ref="H844:H852" si="298">VLOOKUP(G844,FactorTable,2)</f>
        <v>NCP XHV</v>
      </c>
      <c r="I844" s="645"/>
      <c r="J844" s="648">
        <f t="shared" ref="J844:S852" si="299">$F844*HLOOKUP(J$1354,FactorTable,$G844+1)</f>
        <v>0</v>
      </c>
      <c r="K844" s="648">
        <f t="shared" si="299"/>
        <v>0</v>
      </c>
      <c r="L844" s="648">
        <f t="shared" si="299"/>
        <v>0</v>
      </c>
      <c r="M844" s="648">
        <f t="shared" si="299"/>
        <v>0</v>
      </c>
      <c r="N844" s="648">
        <f t="shared" si="299"/>
        <v>0</v>
      </c>
      <c r="O844" s="648">
        <f t="shared" si="299"/>
        <v>0</v>
      </c>
      <c r="P844" s="648">
        <f t="shared" si="299"/>
        <v>0</v>
      </c>
      <c r="Q844" s="648">
        <f t="shared" si="299"/>
        <v>0</v>
      </c>
      <c r="R844" s="648">
        <f t="shared" si="299"/>
        <v>0</v>
      </c>
      <c r="S844" s="648">
        <f t="shared" si="299"/>
        <v>0</v>
      </c>
      <c r="T844" s="645"/>
      <c r="U844" s="646">
        <f t="shared" ref="U844:U853" si="300">SUM(I844:T844)</f>
        <v>0</v>
      </c>
      <c r="W844" s="646">
        <f t="shared" si="282"/>
        <v>0</v>
      </c>
    </row>
    <row r="845" spans="2:23" ht="18" customHeight="1" x14ac:dyDescent="0.2">
      <c r="B845" s="645">
        <f t="shared" si="297"/>
        <v>4</v>
      </c>
      <c r="C845" s="647" t="s">
        <v>177</v>
      </c>
      <c r="D845" s="647" t="s">
        <v>149</v>
      </c>
      <c r="E845" s="645"/>
      <c r="F845" s="646">
        <f>' WP II-I-1.4'!H845</f>
        <v>0</v>
      </c>
      <c r="G845" s="645">
        <v>44</v>
      </c>
      <c r="H845" s="620" t="str">
        <f t="shared" si="298"/>
        <v>PLT 362</v>
      </c>
      <c r="I845" s="645"/>
      <c r="J845" s="648">
        <f t="shared" si="299"/>
        <v>0</v>
      </c>
      <c r="K845" s="648">
        <f t="shared" si="299"/>
        <v>0</v>
      </c>
      <c r="L845" s="648">
        <f t="shared" si="299"/>
        <v>0</v>
      </c>
      <c r="M845" s="648">
        <f t="shared" si="299"/>
        <v>0</v>
      </c>
      <c r="N845" s="648">
        <f t="shared" si="299"/>
        <v>0</v>
      </c>
      <c r="O845" s="648">
        <f t="shared" si="299"/>
        <v>0</v>
      </c>
      <c r="P845" s="648">
        <f t="shared" si="299"/>
        <v>0</v>
      </c>
      <c r="Q845" s="648">
        <f t="shared" si="299"/>
        <v>0</v>
      </c>
      <c r="R845" s="648">
        <f t="shared" si="299"/>
        <v>0</v>
      </c>
      <c r="S845" s="648">
        <f t="shared" si="299"/>
        <v>0</v>
      </c>
      <c r="T845" s="645"/>
      <c r="U845" s="646">
        <f t="shared" si="300"/>
        <v>0</v>
      </c>
      <c r="W845" s="646">
        <f t="shared" si="282"/>
        <v>0</v>
      </c>
    </row>
    <row r="846" spans="2:23" ht="18" customHeight="1" x14ac:dyDescent="0.2">
      <c r="B846" s="645">
        <f t="shared" si="297"/>
        <v>5</v>
      </c>
      <c r="C846" s="647" t="s">
        <v>178</v>
      </c>
      <c r="D846" s="647" t="s">
        <v>151</v>
      </c>
      <c r="E846" s="645"/>
      <c r="F846" s="646">
        <f>' WP II-I-1.4'!H846</f>
        <v>12180.209999999995</v>
      </c>
      <c r="G846" s="645">
        <v>51</v>
      </c>
      <c r="H846" s="620" t="str">
        <f t="shared" si="298"/>
        <v>PLT 370</v>
      </c>
      <c r="I846" s="645"/>
      <c r="J846" s="648">
        <f t="shared" si="299"/>
        <v>6358.5991362966506</v>
      </c>
      <c r="K846" s="648">
        <f t="shared" si="299"/>
        <v>892.01658580056596</v>
      </c>
      <c r="L846" s="648">
        <f t="shared" si="299"/>
        <v>3508.0116757631577</v>
      </c>
      <c r="M846" s="648">
        <f t="shared" si="299"/>
        <v>147.72957676718977</v>
      </c>
      <c r="N846" s="648">
        <f t="shared" si="299"/>
        <v>1137.5957274836449</v>
      </c>
      <c r="O846" s="648">
        <f t="shared" si="299"/>
        <v>37.327016732434757</v>
      </c>
      <c r="P846" s="648">
        <f t="shared" si="299"/>
        <v>77.860034902011165</v>
      </c>
      <c r="Q846" s="648">
        <f t="shared" si="299"/>
        <v>6.4839551129524677</v>
      </c>
      <c r="R846" s="648">
        <f t="shared" si="299"/>
        <v>4.1220018477535332</v>
      </c>
      <c r="S846" s="648">
        <f t="shared" si="299"/>
        <v>10.464289293632712</v>
      </c>
      <c r="T846" s="645"/>
      <c r="U846" s="646">
        <f t="shared" si="300"/>
        <v>12180.209999999995</v>
      </c>
      <c r="W846" s="646">
        <f t="shared" si="282"/>
        <v>0</v>
      </c>
    </row>
    <row r="847" spans="2:23" ht="18" customHeight="1" x14ac:dyDescent="0.2">
      <c r="B847" s="645">
        <f t="shared" si="297"/>
        <v>6</v>
      </c>
      <c r="C847" s="647" t="s">
        <v>179</v>
      </c>
      <c r="D847" s="647" t="s">
        <v>153</v>
      </c>
      <c r="E847" s="645"/>
      <c r="F847" s="646">
        <f>' WP II-I-1.4'!H847</f>
        <v>16966.920000000002</v>
      </c>
      <c r="G847" s="645">
        <v>51</v>
      </c>
      <c r="H847" s="620" t="str">
        <f t="shared" si="298"/>
        <v>PLT 370</v>
      </c>
      <c r="I847" s="645"/>
      <c r="J847" s="648">
        <f t="shared" si="299"/>
        <v>8857.4698513091662</v>
      </c>
      <c r="K847" s="648">
        <f t="shared" si="299"/>
        <v>1242.570862895742</v>
      </c>
      <c r="L847" s="648">
        <f t="shared" si="299"/>
        <v>4886.6278546707699</v>
      </c>
      <c r="M847" s="648">
        <f t="shared" si="299"/>
        <v>205.78593559903879</v>
      </c>
      <c r="N847" s="648">
        <f t="shared" si="299"/>
        <v>1584.6603384142647</v>
      </c>
      <c r="O847" s="648">
        <f t="shared" si="299"/>
        <v>51.996189453045737</v>
      </c>
      <c r="P847" s="648">
        <f t="shared" si="299"/>
        <v>108.45830928856168</v>
      </c>
      <c r="Q847" s="648">
        <f t="shared" si="299"/>
        <v>9.0320895686573177</v>
      </c>
      <c r="R847" s="648">
        <f t="shared" si="299"/>
        <v>5.741910491747384</v>
      </c>
      <c r="S847" s="648">
        <f t="shared" si="299"/>
        <v>14.576658309004756</v>
      </c>
      <c r="T847" s="645"/>
      <c r="U847" s="646">
        <f t="shared" si="300"/>
        <v>16966.919999999995</v>
      </c>
      <c r="W847" s="646">
        <f t="shared" si="282"/>
        <v>0</v>
      </c>
    </row>
    <row r="848" spans="2:23" ht="18" customHeight="1" x14ac:dyDescent="0.2">
      <c r="B848" s="645">
        <f t="shared" si="297"/>
        <v>7</v>
      </c>
      <c r="C848" s="647" t="s">
        <v>180</v>
      </c>
      <c r="D848" s="647" t="s">
        <v>181</v>
      </c>
      <c r="E848" s="645"/>
      <c r="F848" s="646">
        <f>' WP II-I-1.4'!H848</f>
        <v>0</v>
      </c>
      <c r="G848" s="645">
        <v>33</v>
      </c>
      <c r="H848" s="620" t="str">
        <f t="shared" si="298"/>
        <v>NCP LGT</v>
      </c>
      <c r="I848" s="645"/>
      <c r="J848" s="648">
        <f t="shared" si="299"/>
        <v>0</v>
      </c>
      <c r="K848" s="648">
        <f t="shared" si="299"/>
        <v>0</v>
      </c>
      <c r="L848" s="648">
        <f t="shared" si="299"/>
        <v>0</v>
      </c>
      <c r="M848" s="648">
        <f t="shared" si="299"/>
        <v>0</v>
      </c>
      <c r="N848" s="648">
        <f t="shared" si="299"/>
        <v>0</v>
      </c>
      <c r="O848" s="648">
        <f t="shared" si="299"/>
        <v>0</v>
      </c>
      <c r="P848" s="648">
        <f t="shared" si="299"/>
        <v>0</v>
      </c>
      <c r="Q848" s="648">
        <f t="shared" si="299"/>
        <v>0</v>
      </c>
      <c r="R848" s="648">
        <f t="shared" si="299"/>
        <v>0</v>
      </c>
      <c r="S848" s="648">
        <f t="shared" si="299"/>
        <v>0</v>
      </c>
      <c r="T848" s="645"/>
      <c r="U848" s="646">
        <f t="shared" si="300"/>
        <v>0</v>
      </c>
      <c r="W848" s="646">
        <f t="shared" si="282"/>
        <v>0</v>
      </c>
    </row>
    <row r="849" spans="2:23" ht="18" customHeight="1" x14ac:dyDescent="0.2">
      <c r="B849" s="645">
        <f t="shared" si="297"/>
        <v>8</v>
      </c>
      <c r="C849" s="647" t="s">
        <v>182</v>
      </c>
      <c r="D849" s="647" t="s">
        <v>183</v>
      </c>
      <c r="E849" s="645"/>
      <c r="F849" s="646">
        <f>' WP II-I-1.4'!H849</f>
        <v>12456801.770000009</v>
      </c>
      <c r="G849" s="645">
        <v>6</v>
      </c>
      <c r="H849" s="620" t="str">
        <f t="shared" si="298"/>
        <v>CUS W ALL</v>
      </c>
      <c r="I849" s="645"/>
      <c r="J849" s="648">
        <f t="shared" si="299"/>
        <v>6502992.0646475451</v>
      </c>
      <c r="K849" s="648">
        <f t="shared" si="299"/>
        <v>912272.75924387667</v>
      </c>
      <c r="L849" s="648">
        <f t="shared" si="299"/>
        <v>3587672.6305890633</v>
      </c>
      <c r="M849" s="648">
        <f t="shared" si="299"/>
        <v>151084.26319044436</v>
      </c>
      <c r="N849" s="648">
        <f t="shared" si="299"/>
        <v>1163428.58388014</v>
      </c>
      <c r="O849" s="648">
        <f t="shared" si="299"/>
        <v>38174.649542283209</v>
      </c>
      <c r="P849" s="648">
        <f t="shared" si="299"/>
        <v>79628.103339731868</v>
      </c>
      <c r="Q849" s="648">
        <f t="shared" si="299"/>
        <v>6631.1946614735662</v>
      </c>
      <c r="R849" s="648">
        <f t="shared" si="299"/>
        <v>4215.605470926982</v>
      </c>
      <c r="S849" s="648">
        <f t="shared" si="299"/>
        <v>10701.91543452175</v>
      </c>
      <c r="T849" s="645"/>
      <c r="U849" s="646">
        <f t="shared" si="300"/>
        <v>12456801.770000007</v>
      </c>
      <c r="W849" s="646">
        <f t="shared" si="282"/>
        <v>0</v>
      </c>
    </row>
    <row r="850" spans="2:23" ht="18" customHeight="1" x14ac:dyDescent="0.2">
      <c r="B850" s="645">
        <f t="shared" si="297"/>
        <v>9</v>
      </c>
      <c r="C850" s="647" t="s">
        <v>184</v>
      </c>
      <c r="D850" s="647" t="s">
        <v>185</v>
      </c>
      <c r="E850" s="645"/>
      <c r="F850" s="646">
        <f>' WP II-I-1.4'!H850</f>
        <v>0</v>
      </c>
      <c r="G850" s="645">
        <v>8</v>
      </c>
      <c r="H850" s="620" t="str">
        <f t="shared" si="298"/>
        <v>CUS W RTL</v>
      </c>
      <c r="I850" s="645"/>
      <c r="J850" s="648">
        <f t="shared" si="299"/>
        <v>0</v>
      </c>
      <c r="K850" s="648">
        <f t="shared" si="299"/>
        <v>0</v>
      </c>
      <c r="L850" s="648">
        <f t="shared" si="299"/>
        <v>0</v>
      </c>
      <c r="M850" s="648">
        <f t="shared" si="299"/>
        <v>0</v>
      </c>
      <c r="N850" s="648">
        <f t="shared" si="299"/>
        <v>0</v>
      </c>
      <c r="O850" s="648">
        <f t="shared" si="299"/>
        <v>0</v>
      </c>
      <c r="P850" s="648">
        <f t="shared" si="299"/>
        <v>0</v>
      </c>
      <c r="Q850" s="648">
        <f t="shared" si="299"/>
        <v>0</v>
      </c>
      <c r="R850" s="648">
        <f t="shared" si="299"/>
        <v>0</v>
      </c>
      <c r="S850" s="648">
        <f t="shared" si="299"/>
        <v>0</v>
      </c>
      <c r="T850" s="645"/>
      <c r="U850" s="646">
        <f t="shared" si="300"/>
        <v>0</v>
      </c>
      <c r="W850" s="646">
        <f t="shared" si="282"/>
        <v>0</v>
      </c>
    </row>
    <row r="851" spans="2:23" ht="18" customHeight="1" x14ac:dyDescent="0.2">
      <c r="B851" s="645">
        <f t="shared" si="297"/>
        <v>10</v>
      </c>
      <c r="C851" s="647" t="s">
        <v>186</v>
      </c>
      <c r="D851" s="647" t="s">
        <v>187</v>
      </c>
      <c r="E851" s="645"/>
      <c r="F851" s="646">
        <f>' WP II-I-1.4'!H851</f>
        <v>85300.749999999985</v>
      </c>
      <c r="G851" s="645">
        <v>71</v>
      </c>
      <c r="H851" s="620" t="str">
        <f t="shared" si="298"/>
        <v>DIST OPS</v>
      </c>
      <c r="I851" s="645"/>
      <c r="J851" s="648">
        <f t="shared" si="299"/>
        <v>44530.69982171544</v>
      </c>
      <c r="K851" s="648">
        <f t="shared" si="299"/>
        <v>6246.992767877372</v>
      </c>
      <c r="L851" s="648">
        <f t="shared" si="299"/>
        <v>24567.394728937699</v>
      </c>
      <c r="M851" s="648">
        <f t="shared" si="299"/>
        <v>1034.5834509769422</v>
      </c>
      <c r="N851" s="648">
        <f t="shared" si="299"/>
        <v>7966.8387286549669</v>
      </c>
      <c r="O851" s="648">
        <f t="shared" si="299"/>
        <v>261.40949314824906</v>
      </c>
      <c r="P851" s="648">
        <f t="shared" si="299"/>
        <v>545.27133540125578</v>
      </c>
      <c r="Q851" s="648">
        <f t="shared" si="299"/>
        <v>45.408595919214889</v>
      </c>
      <c r="R851" s="648">
        <f t="shared" si="299"/>
        <v>28.867305991831188</v>
      </c>
      <c r="S851" s="648">
        <f t="shared" si="299"/>
        <v>73.283771376999312</v>
      </c>
      <c r="T851" s="645"/>
      <c r="U851" s="646">
        <f t="shared" si="300"/>
        <v>85300.749999999985</v>
      </c>
      <c r="W851" s="646">
        <f t="shared" si="282"/>
        <v>0</v>
      </c>
    </row>
    <row r="852" spans="2:23" ht="18" customHeight="1" x14ac:dyDescent="0.2">
      <c r="B852" s="645">
        <f t="shared" si="297"/>
        <v>11</v>
      </c>
      <c r="C852" s="647" t="s">
        <v>188</v>
      </c>
      <c r="D852" s="647" t="s">
        <v>189</v>
      </c>
      <c r="E852" s="645"/>
      <c r="F852" s="646">
        <f>' WP II-I-1.4'!H852</f>
        <v>0</v>
      </c>
      <c r="G852" s="645">
        <v>28</v>
      </c>
      <c r="H852" s="620" t="str">
        <f t="shared" si="298"/>
        <v>NCP XHV</v>
      </c>
      <c r="I852" s="645"/>
      <c r="J852" s="651">
        <f t="shared" si="299"/>
        <v>0</v>
      </c>
      <c r="K852" s="651">
        <f t="shared" si="299"/>
        <v>0</v>
      </c>
      <c r="L852" s="651">
        <f t="shared" si="299"/>
        <v>0</v>
      </c>
      <c r="M852" s="651">
        <f t="shared" si="299"/>
        <v>0</v>
      </c>
      <c r="N852" s="651">
        <f t="shared" si="299"/>
        <v>0</v>
      </c>
      <c r="O852" s="651">
        <f t="shared" si="299"/>
        <v>0</v>
      </c>
      <c r="P852" s="651">
        <f t="shared" si="299"/>
        <v>0</v>
      </c>
      <c r="Q852" s="651">
        <f t="shared" si="299"/>
        <v>0</v>
      </c>
      <c r="R852" s="651">
        <f t="shared" si="299"/>
        <v>0</v>
      </c>
      <c r="S852" s="651">
        <f t="shared" si="299"/>
        <v>0</v>
      </c>
      <c r="T852" s="645"/>
      <c r="U852" s="646">
        <f t="shared" si="300"/>
        <v>0</v>
      </c>
      <c r="W852" s="646">
        <f t="shared" si="282"/>
        <v>0</v>
      </c>
    </row>
    <row r="853" spans="2:23" ht="18" customHeight="1" x14ac:dyDescent="0.25">
      <c r="B853" s="645">
        <f t="shared" si="297"/>
        <v>12</v>
      </c>
      <c r="C853" s="8"/>
      <c r="D853" s="24" t="s">
        <v>615</v>
      </c>
      <c r="E853" s="1571"/>
      <c r="F853" s="805">
        <f>SUM(F844:F852)</f>
        <v>12571249.65000001</v>
      </c>
      <c r="G853" s="1571"/>
      <c r="H853" s="1571"/>
      <c r="I853" s="1571"/>
      <c r="J853" s="805">
        <f t="shared" ref="J853:Q853" si="301">SUM(J844:J852)</f>
        <v>6562738.8334568664</v>
      </c>
      <c r="K853" s="805">
        <f t="shared" si="301"/>
        <v>920654.33946045034</v>
      </c>
      <c r="L853" s="805">
        <f t="shared" si="301"/>
        <v>3620634.6648484347</v>
      </c>
      <c r="M853" s="805">
        <f t="shared" si="301"/>
        <v>152472.36215378752</v>
      </c>
      <c r="N853" s="805">
        <f t="shared" si="301"/>
        <v>1174117.6786746928</v>
      </c>
      <c r="O853" s="805">
        <f>SUM(O844:O852)</f>
        <v>38525.382241616935</v>
      </c>
      <c r="P853" s="805">
        <f t="shared" si="301"/>
        <v>80359.693019323691</v>
      </c>
      <c r="Q853" s="805">
        <f t="shared" si="301"/>
        <v>6692.1193020743913</v>
      </c>
      <c r="R853" s="805">
        <f>SUM(R844:R852)</f>
        <v>4254.3366892583135</v>
      </c>
      <c r="S853" s="805">
        <f>SUM(S844:S852)</f>
        <v>10800.240153501387</v>
      </c>
      <c r="T853" s="1571"/>
      <c r="U853" s="235">
        <f t="shared" si="300"/>
        <v>12571249.650000002</v>
      </c>
      <c r="W853" s="646">
        <f t="shared" si="282"/>
        <v>0</v>
      </c>
    </row>
    <row r="854" spans="2:23" ht="11.25" customHeight="1" x14ac:dyDescent="0.25">
      <c r="B854" s="645">
        <f t="shared" si="297"/>
        <v>13</v>
      </c>
      <c r="C854" s="647"/>
      <c r="D854" s="301"/>
      <c r="E854" s="645"/>
      <c r="F854" s="803"/>
      <c r="G854" s="645"/>
      <c r="H854" s="645"/>
      <c r="I854" s="645"/>
      <c r="J854" s="645"/>
      <c r="K854" s="645"/>
      <c r="L854" s="645"/>
      <c r="M854" s="645"/>
      <c r="N854" s="645"/>
      <c r="O854" s="645"/>
      <c r="P854" s="645"/>
      <c r="Q854" s="645"/>
      <c r="R854" s="645"/>
      <c r="S854" s="645"/>
      <c r="T854" s="645"/>
      <c r="U854" s="647"/>
      <c r="W854" s="646">
        <f t="shared" si="282"/>
        <v>0</v>
      </c>
    </row>
    <row r="855" spans="2:23" ht="18" customHeight="1" x14ac:dyDescent="0.2">
      <c r="B855" s="645">
        <f t="shared" si="297"/>
        <v>14</v>
      </c>
      <c r="C855" s="647" t="s">
        <v>174</v>
      </c>
      <c r="D855" s="649" t="s">
        <v>145</v>
      </c>
      <c r="E855" s="645"/>
      <c r="F855" s="646">
        <f>' WP II-I-1.4'!H855</f>
        <v>550312.69999999995</v>
      </c>
      <c r="G855" s="645">
        <v>82</v>
      </c>
      <c r="H855" s="620" t="str">
        <f>VLOOKUP(G855,FactorTable,2)</f>
        <v>PAY DISTR OPS</v>
      </c>
      <c r="I855" s="645"/>
      <c r="J855" s="648">
        <f t="shared" ref="J855:S855" si="302">$F855*HLOOKUP(J$1354,FactorTable,$G855+1)</f>
        <v>287287.15341632703</v>
      </c>
      <c r="K855" s="648">
        <f t="shared" si="302"/>
        <v>40302.10117696588</v>
      </c>
      <c r="L855" s="648">
        <f t="shared" si="302"/>
        <v>158495.08152328647</v>
      </c>
      <c r="M855" s="648">
        <f t="shared" si="302"/>
        <v>6674.5534157957482</v>
      </c>
      <c r="N855" s="648">
        <f t="shared" si="302"/>
        <v>51397.584795335155</v>
      </c>
      <c r="O855" s="648">
        <f t="shared" si="302"/>
        <v>1686.4677506357741</v>
      </c>
      <c r="P855" s="648">
        <f t="shared" si="302"/>
        <v>3517.7854921237017</v>
      </c>
      <c r="Q855" s="648">
        <f t="shared" si="302"/>
        <v>292.95084771836287</v>
      </c>
      <c r="R855" s="648">
        <f t="shared" si="302"/>
        <v>186.235702524196</v>
      </c>
      <c r="S855" s="648">
        <f t="shared" si="302"/>
        <v>472.78587928780502</v>
      </c>
      <c r="T855" s="645"/>
      <c r="U855" s="646">
        <f>SUM(I855:T855)</f>
        <v>550312.70000000007</v>
      </c>
      <c r="W855" s="646">
        <f t="shared" si="282"/>
        <v>0</v>
      </c>
    </row>
    <row r="856" spans="2:23" ht="12.75" customHeight="1" x14ac:dyDescent="0.25">
      <c r="B856" s="645">
        <f t="shared" si="297"/>
        <v>15</v>
      </c>
      <c r="C856" s="647"/>
      <c r="D856" s="301"/>
      <c r="E856" s="645"/>
      <c r="F856" s="803"/>
      <c r="G856" s="645"/>
      <c r="H856" s="645"/>
      <c r="I856" s="645"/>
      <c r="J856" s="645"/>
      <c r="K856" s="645"/>
      <c r="L856" s="645"/>
      <c r="M856" s="645"/>
      <c r="N856" s="645"/>
      <c r="O856" s="645"/>
      <c r="P856" s="645"/>
      <c r="Q856" s="645"/>
      <c r="R856" s="645"/>
      <c r="S856" s="645"/>
      <c r="T856" s="645"/>
      <c r="U856" s="647"/>
      <c r="W856" s="646">
        <f t="shared" si="282"/>
        <v>0</v>
      </c>
    </row>
    <row r="857" spans="2:23" ht="18" customHeight="1" x14ac:dyDescent="0.25">
      <c r="B857" s="645">
        <f t="shared" si="297"/>
        <v>16</v>
      </c>
      <c r="C857" s="647"/>
      <c r="D857" s="301" t="s">
        <v>616</v>
      </c>
      <c r="E857" s="1571" t="s">
        <v>262</v>
      </c>
      <c r="F857" s="805">
        <f>F853+F855</f>
        <v>13121562.350000009</v>
      </c>
      <c r="G857" s="1571"/>
      <c r="H857" s="1571"/>
      <c r="I857" s="1571"/>
      <c r="J857" s="805">
        <f t="shared" ref="J857:Q857" si="303">J853+J855</f>
        <v>6850025.9868731936</v>
      </c>
      <c r="K857" s="805">
        <f t="shared" si="303"/>
        <v>960956.44063741621</v>
      </c>
      <c r="L857" s="805">
        <f t="shared" si="303"/>
        <v>3779129.7463717214</v>
      </c>
      <c r="M857" s="805">
        <f t="shared" si="303"/>
        <v>159146.91556958327</v>
      </c>
      <c r="N857" s="805">
        <f t="shared" si="303"/>
        <v>1225515.2634700278</v>
      </c>
      <c r="O857" s="805">
        <f>O853+O855</f>
        <v>40211.849992252712</v>
      </c>
      <c r="P857" s="805">
        <f t="shared" si="303"/>
        <v>83877.478511447393</v>
      </c>
      <c r="Q857" s="805">
        <f t="shared" si="303"/>
        <v>6985.0701497927539</v>
      </c>
      <c r="R857" s="805">
        <f>R853+R855</f>
        <v>4440.5723917825098</v>
      </c>
      <c r="S857" s="805">
        <f>S853+S855</f>
        <v>11273.026032789192</v>
      </c>
      <c r="T857" s="1571"/>
      <c r="U857" s="235">
        <f>SUM(I857:T857)</f>
        <v>13121562.350000005</v>
      </c>
      <c r="W857" s="646">
        <f t="shared" si="282"/>
        <v>0</v>
      </c>
    </row>
    <row r="858" spans="2:23" ht="18" customHeight="1" x14ac:dyDescent="0.25">
      <c r="B858" s="645">
        <f t="shared" si="297"/>
        <v>17</v>
      </c>
      <c r="C858" s="647"/>
      <c r="D858" s="301"/>
      <c r="E858" s="645"/>
      <c r="F858" s="803"/>
      <c r="G858" s="645"/>
      <c r="H858" s="645"/>
      <c r="I858" s="645"/>
      <c r="J858" s="645"/>
      <c r="K858" s="645"/>
      <c r="L858" s="645"/>
      <c r="M858" s="645"/>
      <c r="N858" s="645"/>
      <c r="O858" s="645"/>
      <c r="P858" s="645"/>
      <c r="Q858" s="645"/>
      <c r="R858" s="645"/>
      <c r="S858" s="645"/>
      <c r="T858" s="645"/>
      <c r="U858" s="647"/>
      <c r="W858" s="646">
        <f t="shared" si="282"/>
        <v>0</v>
      </c>
    </row>
    <row r="859" spans="2:23" ht="18" customHeight="1" x14ac:dyDescent="0.25">
      <c r="B859" s="645">
        <f t="shared" si="297"/>
        <v>18</v>
      </c>
      <c r="C859" s="8"/>
      <c r="D859" s="301" t="s">
        <v>611</v>
      </c>
      <c r="E859" s="1571" t="s">
        <v>262</v>
      </c>
      <c r="F859" s="805"/>
      <c r="G859" s="1571"/>
      <c r="H859" s="1571"/>
      <c r="I859" s="1571"/>
      <c r="J859" s="1571"/>
      <c r="K859" s="1571"/>
      <c r="L859" s="1571"/>
      <c r="M859" s="1571"/>
      <c r="N859" s="1571"/>
      <c r="O859" s="1571"/>
      <c r="P859" s="1571"/>
      <c r="Q859" s="1571"/>
      <c r="R859" s="1571"/>
      <c r="S859" s="1571"/>
      <c r="T859" s="1571"/>
      <c r="U859" s="8"/>
      <c r="W859" s="646">
        <f t="shared" si="282"/>
        <v>0</v>
      </c>
    </row>
    <row r="860" spans="2:23" ht="18" customHeight="1" x14ac:dyDescent="0.2">
      <c r="B860" s="645">
        <f t="shared" si="297"/>
        <v>19</v>
      </c>
      <c r="C860" s="647" t="s">
        <v>192</v>
      </c>
      <c r="D860" s="647" t="s">
        <v>164</v>
      </c>
      <c r="E860" s="645"/>
      <c r="F860" s="646">
        <f>' WP II-I-1.4'!H860</f>
        <v>0</v>
      </c>
      <c r="G860" s="645">
        <v>43</v>
      </c>
      <c r="H860" s="620" t="str">
        <f t="shared" ref="H860:H867" si="304">VLOOKUP(G860,FactorTable,2)</f>
        <v>PLT 361</v>
      </c>
      <c r="I860" s="645"/>
      <c r="J860" s="648">
        <f t="shared" ref="J860:S867" ca="1" si="305">$F860*HLOOKUP(J$1354,FactorTable,$G860+1)</f>
        <v>0</v>
      </c>
      <c r="K860" s="648">
        <f t="shared" ca="1" si="305"/>
        <v>0</v>
      </c>
      <c r="L860" s="648">
        <f t="shared" ca="1" si="305"/>
        <v>0</v>
      </c>
      <c r="M860" s="648">
        <f t="shared" ca="1" si="305"/>
        <v>0</v>
      </c>
      <c r="N860" s="648">
        <f t="shared" ca="1" si="305"/>
        <v>0</v>
      </c>
      <c r="O860" s="648">
        <f t="shared" ca="1" si="305"/>
        <v>0</v>
      </c>
      <c r="P860" s="648">
        <f t="shared" ca="1" si="305"/>
        <v>0</v>
      </c>
      <c r="Q860" s="648">
        <f t="shared" ca="1" si="305"/>
        <v>0</v>
      </c>
      <c r="R860" s="648">
        <f t="shared" ca="1" si="305"/>
        <v>0</v>
      </c>
      <c r="S860" s="648">
        <f t="shared" ca="1" si="305"/>
        <v>0</v>
      </c>
      <c r="T860" s="645"/>
      <c r="U860" s="646">
        <f t="shared" ref="U860:U868" ca="1" si="306">SUM(I860:T860)</f>
        <v>0</v>
      </c>
      <c r="W860" s="646">
        <f t="shared" ca="1" si="282"/>
        <v>0</v>
      </c>
    </row>
    <row r="861" spans="2:23" ht="18" customHeight="1" x14ac:dyDescent="0.2">
      <c r="B861" s="645">
        <f t="shared" si="297"/>
        <v>20</v>
      </c>
      <c r="C861" s="647" t="s">
        <v>193</v>
      </c>
      <c r="D861" s="649" t="s">
        <v>166</v>
      </c>
      <c r="E861" s="645"/>
      <c r="F861" s="646">
        <f>' WP II-I-1.4'!H861</f>
        <v>0</v>
      </c>
      <c r="G861" s="645">
        <v>44</v>
      </c>
      <c r="H861" s="620" t="str">
        <f t="shared" si="304"/>
        <v>PLT 362</v>
      </c>
      <c r="I861" s="645"/>
      <c r="J861" s="648">
        <f t="shared" si="305"/>
        <v>0</v>
      </c>
      <c r="K861" s="648">
        <f t="shared" si="305"/>
        <v>0</v>
      </c>
      <c r="L861" s="648">
        <f t="shared" si="305"/>
        <v>0</v>
      </c>
      <c r="M861" s="648">
        <f t="shared" si="305"/>
        <v>0</v>
      </c>
      <c r="N861" s="648">
        <f t="shared" si="305"/>
        <v>0</v>
      </c>
      <c r="O861" s="648">
        <f t="shared" si="305"/>
        <v>0</v>
      </c>
      <c r="P861" s="648">
        <f t="shared" si="305"/>
        <v>0</v>
      </c>
      <c r="Q861" s="648">
        <f t="shared" si="305"/>
        <v>0</v>
      </c>
      <c r="R861" s="648">
        <f t="shared" si="305"/>
        <v>0</v>
      </c>
      <c r="S861" s="648">
        <f t="shared" si="305"/>
        <v>0</v>
      </c>
      <c r="T861" s="645"/>
      <c r="U861" s="646">
        <f t="shared" si="306"/>
        <v>0</v>
      </c>
      <c r="W861" s="646">
        <f t="shared" ref="W861:W924" si="307">U861-F861</f>
        <v>0</v>
      </c>
    </row>
    <row r="862" spans="2:23" ht="18" customHeight="1" x14ac:dyDescent="0.2">
      <c r="B862" s="645">
        <f t="shared" si="297"/>
        <v>21</v>
      </c>
      <c r="C862" s="647" t="s">
        <v>194</v>
      </c>
      <c r="D862" s="647" t="s">
        <v>168</v>
      </c>
      <c r="E862" s="645"/>
      <c r="F862" s="646">
        <f>' WP II-I-1.4'!H862</f>
        <v>20671.66</v>
      </c>
      <c r="G862" s="645">
        <v>51</v>
      </c>
      <c r="H862" s="620" t="str">
        <f t="shared" si="304"/>
        <v>PLT 370</v>
      </c>
      <c r="I862" s="645"/>
      <c r="J862" s="648">
        <f t="shared" si="305"/>
        <v>10791.50518930446</v>
      </c>
      <c r="K862" s="648">
        <f t="shared" si="305"/>
        <v>1513.8871641810883</v>
      </c>
      <c r="L862" s="648">
        <f t="shared" si="305"/>
        <v>5953.6267960409768</v>
      </c>
      <c r="M862" s="648">
        <f t="shared" si="305"/>
        <v>250.71945252793236</v>
      </c>
      <c r="N862" s="648">
        <f t="shared" si="305"/>
        <v>1930.6721391498643</v>
      </c>
      <c r="O862" s="648">
        <f t="shared" si="305"/>
        <v>63.349597314594945</v>
      </c>
      <c r="P862" s="648">
        <f t="shared" si="305"/>
        <v>132.14026433719195</v>
      </c>
      <c r="Q862" s="648">
        <f t="shared" si="305"/>
        <v>11.004253255913902</v>
      </c>
      <c r="R862" s="648">
        <f t="shared" si="305"/>
        <v>6.9956610531454571</v>
      </c>
      <c r="S862" s="648">
        <f t="shared" si="305"/>
        <v>17.759482834829257</v>
      </c>
      <c r="T862" s="645"/>
      <c r="U862" s="646">
        <f t="shared" si="306"/>
        <v>20671.659999999996</v>
      </c>
      <c r="W862" s="646">
        <f t="shared" si="307"/>
        <v>0</v>
      </c>
    </row>
    <row r="863" spans="2:23" ht="18" customHeight="1" x14ac:dyDescent="0.2">
      <c r="B863" s="645">
        <f t="shared" si="297"/>
        <v>22</v>
      </c>
      <c r="C863" s="647" t="s">
        <v>195</v>
      </c>
      <c r="D863" s="647" t="s">
        <v>170</v>
      </c>
      <c r="E863" s="645"/>
      <c r="F863" s="646">
        <f>' WP II-I-1.4'!H863</f>
        <v>16828.61</v>
      </c>
      <c r="G863" s="645">
        <v>51</v>
      </c>
      <c r="H863" s="620" t="str">
        <f t="shared" si="304"/>
        <v>PLT 370</v>
      </c>
      <c r="I863" s="645"/>
      <c r="J863" s="648">
        <f t="shared" si="305"/>
        <v>8785.2660184900942</v>
      </c>
      <c r="K863" s="648">
        <f t="shared" si="305"/>
        <v>1232.4417424633293</v>
      </c>
      <c r="L863" s="648">
        <f t="shared" si="305"/>
        <v>4846.7933120089601</v>
      </c>
      <c r="M863" s="648">
        <f t="shared" si="305"/>
        <v>204.10842119143251</v>
      </c>
      <c r="N863" s="648">
        <f t="shared" si="305"/>
        <v>1571.7425919166046</v>
      </c>
      <c r="O863" s="648">
        <f t="shared" si="305"/>
        <v>51.572329791819605</v>
      </c>
      <c r="P863" s="648">
        <f t="shared" si="305"/>
        <v>107.57418484183233</v>
      </c>
      <c r="Q863" s="648">
        <f t="shared" si="305"/>
        <v>8.9584622804847438</v>
      </c>
      <c r="R863" s="648">
        <f t="shared" si="305"/>
        <v>5.6951039033911242</v>
      </c>
      <c r="S863" s="648">
        <f t="shared" si="305"/>
        <v>14.457833112049832</v>
      </c>
      <c r="T863" s="645"/>
      <c r="U863" s="646">
        <f t="shared" si="306"/>
        <v>16828.61</v>
      </c>
      <c r="W863" s="646">
        <f t="shared" si="307"/>
        <v>0</v>
      </c>
    </row>
    <row r="864" spans="2:23" ht="18" customHeight="1" x14ac:dyDescent="0.2">
      <c r="B864" s="645">
        <f t="shared" si="297"/>
        <v>23</v>
      </c>
      <c r="C864" s="647" t="s">
        <v>196</v>
      </c>
      <c r="D864" s="647" t="s">
        <v>197</v>
      </c>
      <c r="E864" s="645"/>
      <c r="F864" s="646">
        <f>' WP II-I-1.4'!H864</f>
        <v>13.87</v>
      </c>
      <c r="G864" s="645">
        <v>51</v>
      </c>
      <c r="H864" s="620" t="str">
        <f t="shared" si="304"/>
        <v>PLT 370</v>
      </c>
      <c r="I864" s="645"/>
      <c r="J864" s="648">
        <f t="shared" si="305"/>
        <v>7.2407429773735075</v>
      </c>
      <c r="K864" s="648">
        <f t="shared" si="305"/>
        <v>1.0157682047398078</v>
      </c>
      <c r="L864" s="648">
        <f t="shared" si="305"/>
        <v>3.9946866222203896</v>
      </c>
      <c r="M864" s="648">
        <f t="shared" si="305"/>
        <v>0.168224458343569</v>
      </c>
      <c r="N864" s="648">
        <f t="shared" si="305"/>
        <v>1.2954171348604135</v>
      </c>
      <c r="O864" s="648">
        <f t="shared" si="305"/>
        <v>4.2505484066273913E-2</v>
      </c>
      <c r="P864" s="648">
        <f t="shared" si="305"/>
        <v>8.8661745905111264E-2</v>
      </c>
      <c r="Q864" s="648">
        <f t="shared" si="305"/>
        <v>7.3834898919354231E-3</v>
      </c>
      <c r="R864" s="648">
        <f t="shared" si="305"/>
        <v>4.6938571361529492E-3</v>
      </c>
      <c r="S864" s="648">
        <f t="shared" si="305"/>
        <v>1.191602546283568E-2</v>
      </c>
      <c r="T864" s="645"/>
      <c r="U864" s="646">
        <f t="shared" si="306"/>
        <v>13.869999999999997</v>
      </c>
      <c r="W864" s="646">
        <f t="shared" si="307"/>
        <v>0</v>
      </c>
    </row>
    <row r="865" spans="2:23" ht="18" customHeight="1" x14ac:dyDescent="0.2">
      <c r="B865" s="645">
        <f t="shared" si="297"/>
        <v>24</v>
      </c>
      <c r="C865" s="647" t="s">
        <v>198</v>
      </c>
      <c r="D865" s="647" t="s">
        <v>199</v>
      </c>
      <c r="E865" s="645"/>
      <c r="F865" s="646">
        <f>' WP II-I-1.4'!H865</f>
        <v>4.1399999999999997</v>
      </c>
      <c r="G865" s="645">
        <v>33</v>
      </c>
      <c r="H865" s="620" t="str">
        <f t="shared" si="304"/>
        <v>NCP LGT</v>
      </c>
      <c r="I865" s="645"/>
      <c r="J865" s="648">
        <f t="shared" si="305"/>
        <v>0</v>
      </c>
      <c r="K865" s="648">
        <f t="shared" si="305"/>
        <v>0</v>
      </c>
      <c r="L865" s="648">
        <f t="shared" si="305"/>
        <v>0</v>
      </c>
      <c r="M865" s="648">
        <f t="shared" si="305"/>
        <v>0</v>
      </c>
      <c r="N865" s="648">
        <f t="shared" si="305"/>
        <v>0</v>
      </c>
      <c r="O865" s="648">
        <f t="shared" si="305"/>
        <v>0</v>
      </c>
      <c r="P865" s="648">
        <f t="shared" si="305"/>
        <v>0</v>
      </c>
      <c r="Q865" s="648">
        <f t="shared" si="305"/>
        <v>4.1399999999999997</v>
      </c>
      <c r="R865" s="648">
        <f t="shared" si="305"/>
        <v>0</v>
      </c>
      <c r="S865" s="648">
        <f t="shared" si="305"/>
        <v>0</v>
      </c>
      <c r="T865" s="645"/>
      <c r="U865" s="646">
        <f t="shared" si="306"/>
        <v>4.1399999999999997</v>
      </c>
      <c r="W865" s="646">
        <f t="shared" si="307"/>
        <v>0</v>
      </c>
    </row>
    <row r="866" spans="2:23" ht="18" customHeight="1" x14ac:dyDescent="0.2">
      <c r="B866" s="645">
        <f t="shared" si="297"/>
        <v>25</v>
      </c>
      <c r="C866" s="647" t="s">
        <v>200</v>
      </c>
      <c r="D866" s="647" t="s">
        <v>201</v>
      </c>
      <c r="E866" s="645"/>
      <c r="F866" s="646">
        <f>' WP II-I-1.4'!H866</f>
        <v>15622947.98</v>
      </c>
      <c r="G866" s="645">
        <v>6</v>
      </c>
      <c r="H866" s="620" t="str">
        <f t="shared" si="304"/>
        <v>CUS W ALL</v>
      </c>
      <c r="I866" s="645"/>
      <c r="J866" s="648">
        <f t="shared" si="305"/>
        <v>8155858.0297084814</v>
      </c>
      <c r="K866" s="648">
        <f t="shared" si="305"/>
        <v>1144145.1926739733</v>
      </c>
      <c r="L866" s="648">
        <f t="shared" si="305"/>
        <v>4499551.643500437</v>
      </c>
      <c r="M866" s="648">
        <f t="shared" si="305"/>
        <v>189485.36133130899</v>
      </c>
      <c r="N866" s="648">
        <f t="shared" si="305"/>
        <v>1459137.3114870142</v>
      </c>
      <c r="O866" s="648">
        <f t="shared" si="305"/>
        <v>47877.502987174936</v>
      </c>
      <c r="P866" s="648">
        <f t="shared" si="305"/>
        <v>99867.184145027495</v>
      </c>
      <c r="Q866" s="648">
        <f t="shared" si="305"/>
        <v>8316.6458898747624</v>
      </c>
      <c r="R866" s="648">
        <f t="shared" si="305"/>
        <v>5287.0862194426327</v>
      </c>
      <c r="S866" s="648">
        <f t="shared" si="305"/>
        <v>13422.022057262961</v>
      </c>
      <c r="T866" s="645"/>
      <c r="U866" s="646">
        <f t="shared" si="306"/>
        <v>15622947.979999997</v>
      </c>
      <c r="W866" s="646">
        <f t="shared" si="307"/>
        <v>0</v>
      </c>
    </row>
    <row r="867" spans="2:23" ht="18" customHeight="1" x14ac:dyDescent="0.2">
      <c r="B867" s="645">
        <f t="shared" si="297"/>
        <v>26</v>
      </c>
      <c r="C867" s="647" t="s">
        <v>202</v>
      </c>
      <c r="D867" s="647" t="s">
        <v>203</v>
      </c>
      <c r="E867" s="645"/>
      <c r="F867" s="646">
        <f>' WP II-I-1.4'!H867</f>
        <v>0</v>
      </c>
      <c r="G867" s="645">
        <v>72</v>
      </c>
      <c r="H867" s="620" t="str">
        <f t="shared" si="304"/>
        <v>DIST MAINT</v>
      </c>
      <c r="I867" s="645"/>
      <c r="J867" s="651">
        <f t="shared" ca="1" si="305"/>
        <v>0</v>
      </c>
      <c r="K867" s="651">
        <f t="shared" ca="1" si="305"/>
        <v>0</v>
      </c>
      <c r="L867" s="651">
        <f t="shared" ca="1" si="305"/>
        <v>0</v>
      </c>
      <c r="M867" s="651">
        <f t="shared" ca="1" si="305"/>
        <v>0</v>
      </c>
      <c r="N867" s="651">
        <f t="shared" ca="1" si="305"/>
        <v>0</v>
      </c>
      <c r="O867" s="651">
        <f t="shared" ca="1" si="305"/>
        <v>0</v>
      </c>
      <c r="P867" s="651">
        <f t="shared" ca="1" si="305"/>
        <v>0</v>
      </c>
      <c r="Q867" s="651">
        <f t="shared" ca="1" si="305"/>
        <v>0</v>
      </c>
      <c r="R867" s="651">
        <f t="shared" ca="1" si="305"/>
        <v>0</v>
      </c>
      <c r="S867" s="651">
        <f t="shared" ca="1" si="305"/>
        <v>0</v>
      </c>
      <c r="T867" s="645"/>
      <c r="U867" s="646">
        <f t="shared" ca="1" si="306"/>
        <v>0</v>
      </c>
      <c r="W867" s="646">
        <f t="shared" ca="1" si="307"/>
        <v>0</v>
      </c>
    </row>
    <row r="868" spans="2:23" ht="18" customHeight="1" x14ac:dyDescent="0.25">
      <c r="B868" s="645">
        <f t="shared" si="297"/>
        <v>27</v>
      </c>
      <c r="C868" s="8"/>
      <c r="D868" s="24" t="s">
        <v>617</v>
      </c>
      <c r="E868" s="1571"/>
      <c r="F868" s="805">
        <f>SUM(F860:F867)</f>
        <v>15660466.26</v>
      </c>
      <c r="G868" s="1571"/>
      <c r="H868" s="1571"/>
      <c r="I868" s="1571"/>
      <c r="J868" s="805">
        <f t="shared" ref="J868:Q868" ca="1" si="308">SUM(J860:J867)</f>
        <v>8175442.0416592536</v>
      </c>
      <c r="K868" s="805">
        <f t="shared" ca="1" si="308"/>
        <v>1146892.5373488225</v>
      </c>
      <c r="L868" s="805">
        <f t="shared" ca="1" si="308"/>
        <v>4510356.0582951093</v>
      </c>
      <c r="M868" s="805">
        <f t="shared" ca="1" si="308"/>
        <v>189940.3574294867</v>
      </c>
      <c r="N868" s="805">
        <f t="shared" ca="1" si="308"/>
        <v>1462641.0216352155</v>
      </c>
      <c r="O868" s="805">
        <f ca="1">SUM(O860:O867)</f>
        <v>47992.467419765417</v>
      </c>
      <c r="P868" s="805">
        <f t="shared" ca="1" si="308"/>
        <v>100106.98725595242</v>
      </c>
      <c r="Q868" s="805">
        <f t="shared" ca="1" si="308"/>
        <v>8340.7559889010536</v>
      </c>
      <c r="R868" s="805">
        <f ca="1">SUM(R860:R867)</f>
        <v>5299.781678256305</v>
      </c>
      <c r="S868" s="805">
        <f ca="1">SUM(S860:S867)</f>
        <v>13454.251289235302</v>
      </c>
      <c r="T868" s="1571"/>
      <c r="U868" s="235">
        <f t="shared" ca="1" si="306"/>
        <v>15660466.259999998</v>
      </c>
      <c r="W868" s="646">
        <f t="shared" ca="1" si="307"/>
        <v>0</v>
      </c>
    </row>
    <row r="869" spans="2:23" ht="8.1" customHeight="1" x14ac:dyDescent="0.25">
      <c r="B869" s="645">
        <f t="shared" si="297"/>
        <v>28</v>
      </c>
      <c r="C869" s="647"/>
      <c r="D869" s="301"/>
      <c r="E869" s="645"/>
      <c r="F869" s="803"/>
      <c r="G869" s="645"/>
      <c r="H869" s="645"/>
      <c r="I869" s="645"/>
      <c r="J869" s="645"/>
      <c r="K869" s="645"/>
      <c r="L869" s="645"/>
      <c r="M869" s="645"/>
      <c r="N869" s="645"/>
      <c r="O869" s="645"/>
      <c r="P869" s="645"/>
      <c r="Q869" s="645"/>
      <c r="R869" s="645"/>
      <c r="S869" s="645"/>
      <c r="T869" s="645"/>
      <c r="U869" s="647"/>
      <c r="W869" s="646">
        <f t="shared" si="307"/>
        <v>0</v>
      </c>
    </row>
    <row r="870" spans="2:23" ht="18" customHeight="1" x14ac:dyDescent="0.2">
      <c r="B870" s="645">
        <f t="shared" si="297"/>
        <v>29</v>
      </c>
      <c r="C870" s="647" t="s">
        <v>191</v>
      </c>
      <c r="D870" s="649" t="s">
        <v>162</v>
      </c>
      <c r="E870" s="645"/>
      <c r="F870" s="646">
        <f>' WP II-I-1.4'!H870</f>
        <v>641659.92000000004</v>
      </c>
      <c r="G870" s="645">
        <v>83</v>
      </c>
      <c r="H870" s="620" t="str">
        <f>VLOOKUP(G870,FactorTable,2)</f>
        <v>PAY DISTR MNT</v>
      </c>
      <c r="I870" s="645"/>
      <c r="J870" s="648">
        <f t="shared" ref="J870:S870" ca="1" si="309">$F870*HLOOKUP(J$1354,FactorTable,$G870+1)</f>
        <v>334974.2848854179</v>
      </c>
      <c r="K870" s="648">
        <f t="shared" ca="1" si="309"/>
        <v>46991.894209658269</v>
      </c>
      <c r="L870" s="648">
        <f t="shared" ca="1" si="309"/>
        <v>184803.86595699968</v>
      </c>
      <c r="M870" s="648">
        <f t="shared" ca="1" si="309"/>
        <v>7782.4703638789279</v>
      </c>
      <c r="N870" s="648">
        <f t="shared" ca="1" si="309"/>
        <v>59929.130164427865</v>
      </c>
      <c r="O870" s="648">
        <f t="shared" ca="1" si="309"/>
        <v>1966.4065101194049</v>
      </c>
      <c r="P870" s="648">
        <f t="shared" ca="1" si="309"/>
        <v>4101.706830923913</v>
      </c>
      <c r="Q870" s="648">
        <f t="shared" ca="1" si="309"/>
        <v>341.74773162710238</v>
      </c>
      <c r="R870" s="648">
        <f t="shared" ca="1" si="309"/>
        <v>217.1491851665601</v>
      </c>
      <c r="S870" s="648">
        <f t="shared" ca="1" si="309"/>
        <v>551.26416178049499</v>
      </c>
      <c r="T870" s="645"/>
      <c r="U870" s="646">
        <f ca="1">SUM(I870:T870)</f>
        <v>641659.92000000016</v>
      </c>
      <c r="W870" s="646">
        <f t="shared" ca="1" si="307"/>
        <v>0</v>
      </c>
    </row>
    <row r="871" spans="2:23" ht="6" customHeight="1" x14ac:dyDescent="0.25">
      <c r="B871" s="645">
        <f t="shared" si="297"/>
        <v>30</v>
      </c>
      <c r="C871" s="647"/>
      <c r="D871" s="301"/>
      <c r="E871" s="645"/>
      <c r="F871" s="803"/>
      <c r="G871" s="645"/>
      <c r="H871" s="645"/>
      <c r="I871" s="645"/>
      <c r="J871" s="645"/>
      <c r="K871" s="645"/>
      <c r="L871" s="645"/>
      <c r="M871" s="645"/>
      <c r="N871" s="645"/>
      <c r="O871" s="645"/>
      <c r="P871" s="645"/>
      <c r="Q871" s="645"/>
      <c r="R871" s="645"/>
      <c r="S871" s="645"/>
      <c r="T871" s="645"/>
      <c r="U871" s="647"/>
      <c r="W871" s="646">
        <f t="shared" si="307"/>
        <v>0</v>
      </c>
    </row>
    <row r="872" spans="2:23" ht="18" customHeight="1" x14ac:dyDescent="0.25">
      <c r="B872" s="645">
        <f t="shared" si="297"/>
        <v>31</v>
      </c>
      <c r="C872" s="647"/>
      <c r="D872" s="301" t="s">
        <v>618</v>
      </c>
      <c r="E872" s="1571" t="s">
        <v>262</v>
      </c>
      <c r="F872" s="805">
        <f>F868+F870</f>
        <v>16302126.18</v>
      </c>
      <c r="G872" s="1571"/>
      <c r="H872" s="1571"/>
      <c r="I872" s="1571"/>
      <c r="J872" s="805">
        <f t="shared" ref="J872:Q872" ca="1" si="310">J868+J870</f>
        <v>8510416.3265446723</v>
      </c>
      <c r="K872" s="805">
        <f t="shared" ca="1" si="310"/>
        <v>1193884.4315584807</v>
      </c>
      <c r="L872" s="805">
        <f t="shared" ca="1" si="310"/>
        <v>4695159.9242521087</v>
      </c>
      <c r="M872" s="805">
        <f t="shared" ca="1" si="310"/>
        <v>197722.82779336564</v>
      </c>
      <c r="N872" s="805">
        <f t="shared" ca="1" si="310"/>
        <v>1522570.1517996434</v>
      </c>
      <c r="O872" s="805">
        <f ca="1">O868+O870</f>
        <v>49958.873929884823</v>
      </c>
      <c r="P872" s="805">
        <f t="shared" ca="1" si="310"/>
        <v>104208.69408687633</v>
      </c>
      <c r="Q872" s="805">
        <f t="shared" ca="1" si="310"/>
        <v>8682.5037205281551</v>
      </c>
      <c r="R872" s="805">
        <f ca="1">R868+R870</f>
        <v>5516.9308634228655</v>
      </c>
      <c r="S872" s="805">
        <f ca="1">S868+S870</f>
        <v>14005.515451015797</v>
      </c>
      <c r="T872" s="1571"/>
      <c r="U872" s="235">
        <f ca="1">SUM(I872:T872)</f>
        <v>16302126.179999998</v>
      </c>
      <c r="W872" s="646">
        <f t="shared" ca="1" si="307"/>
        <v>0</v>
      </c>
    </row>
    <row r="873" spans="2:23" ht="18" customHeight="1" thickBot="1" x14ac:dyDescent="0.3">
      <c r="B873" s="645">
        <f t="shared" si="297"/>
        <v>32</v>
      </c>
      <c r="C873" s="647"/>
      <c r="D873" s="301"/>
      <c r="E873" s="645"/>
      <c r="F873" s="803"/>
      <c r="G873" s="645"/>
      <c r="H873" s="645"/>
      <c r="I873" s="645"/>
      <c r="J873" s="803"/>
      <c r="K873" s="803"/>
      <c r="L873" s="803"/>
      <c r="M873" s="803"/>
      <c r="N873" s="803"/>
      <c r="O873" s="803"/>
      <c r="P873" s="803"/>
      <c r="Q873" s="803"/>
      <c r="R873" s="803"/>
      <c r="S873" s="803"/>
      <c r="T873" s="645"/>
      <c r="U873" s="647"/>
      <c r="W873" s="646">
        <f t="shared" si="307"/>
        <v>0</v>
      </c>
    </row>
    <row r="874" spans="2:23" ht="18" customHeight="1" thickBot="1" x14ac:dyDescent="0.3">
      <c r="B874" s="645">
        <f t="shared" si="297"/>
        <v>33</v>
      </c>
      <c r="C874" s="779" t="s">
        <v>619</v>
      </c>
      <c r="D874" s="920"/>
      <c r="E874" s="916" t="s">
        <v>262</v>
      </c>
      <c r="F874" s="917">
        <f>F857+F872</f>
        <v>29423688.530000009</v>
      </c>
      <c r="G874" s="916"/>
      <c r="H874" s="916"/>
      <c r="I874" s="919"/>
      <c r="J874" s="917">
        <f t="shared" ref="J874:Q874" ca="1" si="311">J857+J872</f>
        <v>15360442.313417867</v>
      </c>
      <c r="K874" s="917">
        <f t="shared" ca="1" si="311"/>
        <v>2154840.8721958967</v>
      </c>
      <c r="L874" s="917">
        <f t="shared" ca="1" si="311"/>
        <v>8474289.6706238296</v>
      </c>
      <c r="M874" s="917">
        <f t="shared" ca="1" si="311"/>
        <v>356869.74336294888</v>
      </c>
      <c r="N874" s="917">
        <f t="shared" ca="1" si="311"/>
        <v>2748085.415269671</v>
      </c>
      <c r="O874" s="917">
        <f ca="1">O857+O872</f>
        <v>90170.723922137535</v>
      </c>
      <c r="P874" s="917">
        <f t="shared" ca="1" si="311"/>
        <v>188086.17259832373</v>
      </c>
      <c r="Q874" s="917">
        <f t="shared" ca="1" si="311"/>
        <v>15667.57387032091</v>
      </c>
      <c r="R874" s="917">
        <f ca="1">R857+R872</f>
        <v>9957.5032552053744</v>
      </c>
      <c r="S874" s="917">
        <f ca="1">S857+S872</f>
        <v>25278.541483804991</v>
      </c>
      <c r="T874" s="919"/>
      <c r="U874" s="918">
        <f ca="1">SUM(I874:T874)</f>
        <v>29423688.530000005</v>
      </c>
      <c r="W874" s="646">
        <f t="shared" ca="1" si="307"/>
        <v>0</v>
      </c>
    </row>
    <row r="875" spans="2:23" ht="5.45" customHeight="1" thickBot="1" x14ac:dyDescent="0.25">
      <c r="B875" s="645"/>
      <c r="C875" s="647"/>
      <c r="D875" s="647"/>
      <c r="E875" s="645"/>
      <c r="F875" s="803"/>
      <c r="G875" s="645"/>
      <c r="H875" s="645"/>
      <c r="I875" s="645"/>
      <c r="J875" s="645"/>
      <c r="K875" s="645"/>
      <c r="L875" s="645"/>
      <c r="M875" s="645"/>
      <c r="N875" s="645"/>
      <c r="O875" s="645"/>
      <c r="P875" s="645"/>
      <c r="Q875" s="645"/>
      <c r="R875" s="645"/>
      <c r="S875" s="645"/>
      <c r="T875" s="645"/>
      <c r="U875" s="647"/>
      <c r="W875" s="646">
        <f t="shared" si="307"/>
        <v>0</v>
      </c>
    </row>
    <row r="876" spans="2:23" ht="18" customHeight="1" x14ac:dyDescent="0.25">
      <c r="B876" s="829" t="str">
        <f>+$B$4</f>
        <v>2025 RATE CASE</v>
      </c>
      <c r="C876" s="844"/>
      <c r="D876" s="877"/>
      <c r="F876" s="571"/>
      <c r="H876" s="653"/>
      <c r="U876" s="653"/>
      <c r="V876" s="653">
        <f>$H$2</f>
        <v>0</v>
      </c>
      <c r="W876" s="646"/>
    </row>
    <row r="877" spans="2:23" ht="18" customHeight="1" x14ac:dyDescent="0.25">
      <c r="B877" s="826" t="str">
        <f>+$B$5</f>
        <v>ONCOR ELECTRIC DELIVERY COMPANY LLC</v>
      </c>
      <c r="C877" s="8"/>
      <c r="D877" s="878"/>
      <c r="F877" s="571"/>
      <c r="U877" s="653"/>
      <c r="W877" s="646"/>
    </row>
    <row r="878" spans="2:23" ht="18" customHeight="1" x14ac:dyDescent="0.25">
      <c r="B878" s="826" t="str">
        <f>+$B$6</f>
        <v>II-I-1-MET:  CLASS REVENUE REQUIREMENT</v>
      </c>
      <c r="C878" s="82"/>
      <c r="D878" s="878"/>
      <c r="F878" s="571"/>
      <c r="U878" s="571"/>
      <c r="W878" s="646"/>
    </row>
    <row r="879" spans="2:23" ht="18" customHeight="1" x14ac:dyDescent="0.25">
      <c r="B879" s="341" t="str">
        <f>+$B$7</f>
        <v>TEST YEAR ENDING 12/31/2024</v>
      </c>
      <c r="C879" s="82"/>
      <c r="D879" s="878"/>
      <c r="F879" s="571"/>
      <c r="U879" s="571"/>
      <c r="W879" s="646"/>
    </row>
    <row r="880" spans="2:23" ht="18" customHeight="1" x14ac:dyDescent="0.25">
      <c r="B880" s="341" t="str">
        <f>+$B$8</f>
        <v>SPONSOR:  MATTHEW A. TROXLE</v>
      </c>
      <c r="C880" s="82"/>
      <c r="D880" s="878"/>
      <c r="F880" s="571"/>
      <c r="U880" s="571"/>
      <c r="W880" s="646"/>
    </row>
    <row r="881" spans="2:23" ht="11.25" customHeight="1" thickBot="1" x14ac:dyDescent="0.3">
      <c r="B881" s="345"/>
      <c r="C881" s="843"/>
      <c r="D881" s="879"/>
      <c r="F881" s="571"/>
      <c r="U881" s="571"/>
      <c r="W881" s="646"/>
    </row>
    <row r="882" spans="2:23" ht="10.5" customHeight="1" thickBot="1" x14ac:dyDescent="0.25">
      <c r="B882" s="655"/>
      <c r="C882" s="656"/>
      <c r="D882" s="656"/>
      <c r="E882" s="656"/>
      <c r="F882" s="655"/>
      <c r="G882" s="656"/>
      <c r="H882" s="656"/>
      <c r="I882" s="656"/>
      <c r="J882" s="657"/>
      <c r="K882" s="657"/>
      <c r="L882" s="656"/>
      <c r="M882" s="657"/>
      <c r="N882" s="657"/>
      <c r="O882" s="657"/>
      <c r="P882" s="657"/>
      <c r="Q882" s="656"/>
      <c r="R882" s="658" t="str">
        <f>R$10</f>
        <v xml:space="preserve"> </v>
      </c>
      <c r="S882" s="659"/>
      <c r="T882" s="657"/>
      <c r="U882" s="655"/>
      <c r="W882" s="646"/>
    </row>
    <row r="883" spans="2:23" ht="18" customHeight="1" x14ac:dyDescent="0.25">
      <c r="B883" s="660" t="s">
        <v>2</v>
      </c>
      <c r="C883" s="660" t="s">
        <v>349</v>
      </c>
      <c r="D883" s="226" t="s">
        <v>620</v>
      </c>
      <c r="E883" s="660" t="s">
        <v>350</v>
      </c>
      <c r="F883" s="226" t="str">
        <f>F$11</f>
        <v>MET</v>
      </c>
      <c r="G883" s="661" t="s">
        <v>688</v>
      </c>
      <c r="H883" s="661" t="s">
        <v>355</v>
      </c>
      <c r="I883" s="660"/>
      <c r="J883" s="661" t="s">
        <v>679</v>
      </c>
      <c r="K883" s="661" t="s">
        <v>388</v>
      </c>
      <c r="L883" s="660" t="s">
        <v>388</v>
      </c>
      <c r="M883" s="661" t="s">
        <v>389</v>
      </c>
      <c r="N883" s="661" t="s">
        <v>389</v>
      </c>
      <c r="O883" s="661" t="s">
        <v>389</v>
      </c>
      <c r="P883" s="661" t="s">
        <v>390</v>
      </c>
      <c r="Q883" s="660" t="s">
        <v>391</v>
      </c>
      <c r="R883" s="662" t="str">
        <f>R$11</f>
        <v>Wholesale</v>
      </c>
      <c r="S883" s="655" t="str">
        <f>S$11</f>
        <v>Wholesale</v>
      </c>
      <c r="T883" s="661"/>
      <c r="U883" s="660" t="s">
        <v>10</v>
      </c>
      <c r="W883" s="646"/>
    </row>
    <row r="884" spans="2:23" ht="18" customHeight="1" x14ac:dyDescent="0.2">
      <c r="B884" s="660"/>
      <c r="C884" s="660"/>
      <c r="D884" s="660"/>
      <c r="E884" s="660"/>
      <c r="F884" s="660"/>
      <c r="G884" s="661" t="s">
        <v>689</v>
      </c>
      <c r="H884" s="661" t="s">
        <v>690</v>
      </c>
      <c r="I884" s="660"/>
      <c r="J884" s="661"/>
      <c r="K884" s="661" t="s">
        <v>680</v>
      </c>
      <c r="L884" s="660" t="s">
        <v>681</v>
      </c>
      <c r="M884" s="661" t="s">
        <v>680</v>
      </c>
      <c r="N884" s="661" t="s">
        <v>681</v>
      </c>
      <c r="O884" s="661" t="s">
        <v>393</v>
      </c>
      <c r="P884" s="661"/>
      <c r="Q884" s="660"/>
      <c r="R884" s="663" t="str">
        <f>R$12</f>
        <v>XFMR</v>
      </c>
      <c r="S884" s="660" t="str">
        <f>S$12</f>
        <v>DLS</v>
      </c>
      <c r="T884" s="661"/>
      <c r="U884" s="660"/>
      <c r="W884" s="646"/>
    </row>
    <row r="885" spans="2:23" ht="18" customHeight="1" thickBot="1" x14ac:dyDescent="0.25">
      <c r="B885" s="664"/>
      <c r="C885" s="664"/>
      <c r="D885" s="664"/>
      <c r="E885" s="664"/>
      <c r="F885" s="664" t="s">
        <v>13</v>
      </c>
      <c r="G885" s="664" t="s">
        <v>14</v>
      </c>
      <c r="H885" s="664" t="s">
        <v>15</v>
      </c>
      <c r="I885" s="664"/>
      <c r="J885" s="665" t="str">
        <f t="shared" ref="J885:Q885" si="312">J$13</f>
        <v>(d)</v>
      </c>
      <c r="K885" s="665" t="str">
        <f t="shared" si="312"/>
        <v>(e)</v>
      </c>
      <c r="L885" s="664" t="str">
        <f t="shared" si="312"/>
        <v>(f)</v>
      </c>
      <c r="M885" s="665" t="str">
        <f t="shared" si="312"/>
        <v>(g)</v>
      </c>
      <c r="N885" s="665" t="str">
        <f t="shared" si="312"/>
        <v>(h)</v>
      </c>
      <c r="O885" s="665" t="str">
        <f>O$13</f>
        <v>(i)</v>
      </c>
      <c r="P885" s="665" t="str">
        <f t="shared" si="312"/>
        <v>(j)</v>
      </c>
      <c r="Q885" s="665" t="str">
        <f t="shared" si="312"/>
        <v>(k)</v>
      </c>
      <c r="R885" s="665" t="str">
        <f>R$13</f>
        <v>(l)</v>
      </c>
      <c r="S885" s="664" t="str">
        <f>S$13</f>
        <v>(m)</v>
      </c>
      <c r="T885" s="664"/>
      <c r="U885" s="664" t="s">
        <v>683</v>
      </c>
      <c r="W885" s="646"/>
    </row>
    <row r="886" spans="2:23" ht="11.25" customHeight="1" x14ac:dyDescent="0.2">
      <c r="C886" s="672"/>
      <c r="D886" s="672"/>
      <c r="E886" s="673"/>
      <c r="F886" s="674"/>
      <c r="G886" s="673"/>
      <c r="H886" s="673"/>
      <c r="I886" s="673"/>
      <c r="J886" s="673"/>
      <c r="K886" s="673"/>
      <c r="L886" s="673"/>
      <c r="M886" s="673"/>
      <c r="N886" s="673"/>
      <c r="O886" s="673"/>
      <c r="P886" s="673"/>
      <c r="Q886" s="673"/>
      <c r="R886" s="673"/>
      <c r="S886" s="673"/>
      <c r="T886" s="673"/>
      <c r="U886" s="647"/>
      <c r="W886" s="646"/>
    </row>
    <row r="887" spans="2:23" ht="18" customHeight="1" x14ac:dyDescent="0.25">
      <c r="B887" s="645">
        <f t="shared" ref="B887:B925" si="313">B886+1</f>
        <v>1</v>
      </c>
      <c r="C887" s="8"/>
      <c r="D887" s="301" t="s">
        <v>266</v>
      </c>
      <c r="E887" s="1571" t="s">
        <v>262</v>
      </c>
      <c r="F887" s="805"/>
      <c r="G887" s="1571"/>
      <c r="H887" s="1571"/>
      <c r="I887" s="1571"/>
      <c r="J887" s="1571"/>
      <c r="K887" s="1571"/>
      <c r="L887" s="1571"/>
      <c r="M887" s="1571"/>
      <c r="N887" s="1571"/>
      <c r="O887" s="1571"/>
      <c r="P887" s="1571"/>
      <c r="Q887" s="1571"/>
      <c r="R887" s="1571"/>
      <c r="S887" s="1571"/>
      <c r="T887" s="1571"/>
      <c r="U887" s="8"/>
      <c r="W887" s="646">
        <f t="shared" si="307"/>
        <v>0</v>
      </c>
    </row>
    <row r="888" spans="2:23" ht="18" customHeight="1" x14ac:dyDescent="0.2">
      <c r="B888" s="645">
        <f t="shared" si="313"/>
        <v>2</v>
      </c>
      <c r="C888" s="647" t="s">
        <v>207</v>
      </c>
      <c r="D888" s="647" t="s">
        <v>208</v>
      </c>
      <c r="E888" s="645"/>
      <c r="F888" s="646">
        <f>' WP II-I-1.4'!H888</f>
        <v>0</v>
      </c>
      <c r="G888" s="645">
        <v>6</v>
      </c>
      <c r="H888" s="620" t="str">
        <f>VLOOKUP(G888,FactorTable,2)</f>
        <v>CUS W ALL</v>
      </c>
      <c r="I888" s="645"/>
      <c r="J888" s="648">
        <f t="shared" ref="J888:S889" si="314">$F888*HLOOKUP(J$1354,FactorTable,$G888+1)</f>
        <v>0</v>
      </c>
      <c r="K888" s="648">
        <f t="shared" si="314"/>
        <v>0</v>
      </c>
      <c r="L888" s="648">
        <f t="shared" si="314"/>
        <v>0</v>
      </c>
      <c r="M888" s="648">
        <f t="shared" si="314"/>
        <v>0</v>
      </c>
      <c r="N888" s="648">
        <f t="shared" si="314"/>
        <v>0</v>
      </c>
      <c r="O888" s="648">
        <f t="shared" si="314"/>
        <v>0</v>
      </c>
      <c r="P888" s="648">
        <f t="shared" si="314"/>
        <v>0</v>
      </c>
      <c r="Q888" s="648">
        <f t="shared" si="314"/>
        <v>0</v>
      </c>
      <c r="R888" s="648">
        <f t="shared" si="314"/>
        <v>0</v>
      </c>
      <c r="S888" s="648">
        <f t="shared" si="314"/>
        <v>0</v>
      </c>
      <c r="T888" s="645"/>
      <c r="U888" s="646">
        <f>SUM(I888:T888)</f>
        <v>0</v>
      </c>
      <c r="W888" s="646">
        <f t="shared" si="307"/>
        <v>0</v>
      </c>
    </row>
    <row r="889" spans="2:23" ht="18" customHeight="1" x14ac:dyDescent="0.2">
      <c r="B889" s="645">
        <f t="shared" si="313"/>
        <v>3</v>
      </c>
      <c r="C889" s="647" t="s">
        <v>209</v>
      </c>
      <c r="D889" s="647" t="s">
        <v>210</v>
      </c>
      <c r="E889" s="645"/>
      <c r="F889" s="646">
        <f>' WP II-I-1.4'!H889</f>
        <v>9310677.7999999989</v>
      </c>
      <c r="G889" s="645">
        <v>6</v>
      </c>
      <c r="H889" s="620" t="str">
        <f>VLOOKUP(G889,FactorTable,2)</f>
        <v>CUS W ALL</v>
      </c>
      <c r="I889" s="645"/>
      <c r="J889" s="651">
        <f t="shared" si="314"/>
        <v>4860578.5793033466</v>
      </c>
      <c r="K889" s="651">
        <f t="shared" si="314"/>
        <v>681866.65276256541</v>
      </c>
      <c r="L889" s="651">
        <f t="shared" si="314"/>
        <v>2681560.2055850299</v>
      </c>
      <c r="M889" s="651">
        <f t="shared" si="314"/>
        <v>112926.00791034554</v>
      </c>
      <c r="N889" s="651">
        <f t="shared" si="314"/>
        <v>869589.87449779804</v>
      </c>
      <c r="O889" s="651">
        <f t="shared" si="314"/>
        <v>28533.155506424675</v>
      </c>
      <c r="P889" s="651">
        <f t="shared" si="314"/>
        <v>59517.011485793817</v>
      </c>
      <c r="Q889" s="651">
        <f t="shared" si="314"/>
        <v>4956.4019771714156</v>
      </c>
      <c r="R889" s="651">
        <f t="shared" si="314"/>
        <v>3150.9006080714375</v>
      </c>
      <c r="S889" s="651">
        <f t="shared" si="314"/>
        <v>7999.0103634505331</v>
      </c>
      <c r="T889" s="645"/>
      <c r="U889" s="646">
        <f>SUM(I889:T889)</f>
        <v>9310677.7999999989</v>
      </c>
      <c r="W889" s="646">
        <f t="shared" si="307"/>
        <v>0</v>
      </c>
    </row>
    <row r="890" spans="2:23" ht="15" customHeight="1" x14ac:dyDescent="0.25">
      <c r="B890" s="645">
        <f t="shared" si="313"/>
        <v>4</v>
      </c>
      <c r="C890" s="8"/>
      <c r="D890" s="24" t="s">
        <v>598</v>
      </c>
      <c r="E890" s="1571"/>
      <c r="F890" s="805">
        <f>+F888+F889</f>
        <v>9310677.7999999989</v>
      </c>
      <c r="G890" s="1571"/>
      <c r="H890" s="1571"/>
      <c r="I890" s="1571"/>
      <c r="J890" s="805">
        <f t="shared" ref="J890:Q890" si="315">+J888+J889</f>
        <v>4860578.5793033466</v>
      </c>
      <c r="K890" s="805">
        <f t="shared" si="315"/>
        <v>681866.65276256541</v>
      </c>
      <c r="L890" s="805">
        <f t="shared" si="315"/>
        <v>2681560.2055850299</v>
      </c>
      <c r="M890" s="805">
        <f t="shared" si="315"/>
        <v>112926.00791034554</v>
      </c>
      <c r="N890" s="805">
        <f t="shared" si="315"/>
        <v>869589.87449779804</v>
      </c>
      <c r="O890" s="805">
        <f>+O888+O889</f>
        <v>28533.155506424675</v>
      </c>
      <c r="P890" s="805">
        <f t="shared" si="315"/>
        <v>59517.011485793817</v>
      </c>
      <c r="Q890" s="805">
        <f t="shared" si="315"/>
        <v>4956.4019771714156</v>
      </c>
      <c r="R890" s="805">
        <f>+R888+R889</f>
        <v>3150.9006080714375</v>
      </c>
      <c r="S890" s="805">
        <f>+S888+S889</f>
        <v>7999.0103634505331</v>
      </c>
      <c r="T890" s="1571"/>
      <c r="U890" s="235">
        <f>SUM(I890:T890)</f>
        <v>9310677.7999999989</v>
      </c>
      <c r="W890" s="646">
        <f t="shared" si="307"/>
        <v>0</v>
      </c>
    </row>
    <row r="891" spans="2:23" ht="12" customHeight="1" x14ac:dyDescent="0.25">
      <c r="B891" s="645">
        <f t="shared" si="313"/>
        <v>5</v>
      </c>
      <c r="C891" s="647"/>
      <c r="D891" s="24"/>
      <c r="E891" s="645"/>
      <c r="F891" s="803"/>
      <c r="G891" s="645"/>
      <c r="H891" s="645"/>
      <c r="I891" s="645"/>
      <c r="J891" s="645"/>
      <c r="K891" s="645"/>
      <c r="L891" s="645"/>
      <c r="M891" s="645"/>
      <c r="N891" s="645"/>
      <c r="O891" s="645"/>
      <c r="P891" s="645"/>
      <c r="Q891" s="645"/>
      <c r="R891" s="645"/>
      <c r="S891" s="645"/>
      <c r="T891" s="645"/>
      <c r="U891" s="647"/>
      <c r="W891" s="646">
        <f t="shared" si="307"/>
        <v>0</v>
      </c>
    </row>
    <row r="892" spans="2:23" ht="18" customHeight="1" x14ac:dyDescent="0.2">
      <c r="B892" s="645">
        <f t="shared" si="313"/>
        <v>6</v>
      </c>
      <c r="C892" s="647" t="s">
        <v>205</v>
      </c>
      <c r="D892" s="647" t="s">
        <v>206</v>
      </c>
      <c r="E892" s="645"/>
      <c r="F892" s="646">
        <f>' WP II-I-1.4'!H892</f>
        <v>0</v>
      </c>
      <c r="G892" s="645">
        <v>84</v>
      </c>
      <c r="H892" s="620" t="str">
        <f>VLOOKUP(G892,FactorTable,2)</f>
        <v>PAY CUS ACCT</v>
      </c>
      <c r="I892" s="645"/>
      <c r="J892" s="648">
        <f t="shared" ref="J892:S894" si="316">$F892*HLOOKUP(J$1354,FactorTable,$G892+1)</f>
        <v>0</v>
      </c>
      <c r="K892" s="648">
        <f t="shared" si="316"/>
        <v>0</v>
      </c>
      <c r="L892" s="648">
        <f t="shared" si="316"/>
        <v>0</v>
      </c>
      <c r="M892" s="648">
        <f t="shared" si="316"/>
        <v>0</v>
      </c>
      <c r="N892" s="648">
        <f t="shared" si="316"/>
        <v>0</v>
      </c>
      <c r="O892" s="648">
        <f t="shared" si="316"/>
        <v>0</v>
      </c>
      <c r="P892" s="648">
        <f t="shared" si="316"/>
        <v>0</v>
      </c>
      <c r="Q892" s="648">
        <f t="shared" si="316"/>
        <v>0</v>
      </c>
      <c r="R892" s="648">
        <f t="shared" si="316"/>
        <v>0</v>
      </c>
      <c r="S892" s="648">
        <f t="shared" si="316"/>
        <v>0</v>
      </c>
      <c r="T892" s="645"/>
      <c r="U892" s="646">
        <f>SUM(I892:T892)</f>
        <v>0</v>
      </c>
      <c r="W892" s="646">
        <f t="shared" si="307"/>
        <v>0</v>
      </c>
    </row>
    <row r="893" spans="2:23" ht="18" customHeight="1" x14ac:dyDescent="0.2">
      <c r="B893" s="645">
        <f t="shared" si="313"/>
        <v>7</v>
      </c>
      <c r="C893" s="647" t="s">
        <v>211</v>
      </c>
      <c r="D893" s="647" t="s">
        <v>212</v>
      </c>
      <c r="E893" s="645"/>
      <c r="F893" s="646">
        <f>' WP II-I-1.4'!H893</f>
        <v>0</v>
      </c>
      <c r="G893" s="645">
        <v>14</v>
      </c>
      <c r="H893" s="620" t="str">
        <f>VLOOKUP(G893,FactorTable,2)</f>
        <v>REVENUE</v>
      </c>
      <c r="I893" s="645"/>
      <c r="J893" s="648">
        <f t="shared" si="316"/>
        <v>0</v>
      </c>
      <c r="K893" s="648">
        <f t="shared" si="316"/>
        <v>0</v>
      </c>
      <c r="L893" s="648">
        <f t="shared" si="316"/>
        <v>0</v>
      </c>
      <c r="M893" s="648">
        <f t="shared" si="316"/>
        <v>0</v>
      </c>
      <c r="N893" s="648">
        <f t="shared" si="316"/>
        <v>0</v>
      </c>
      <c r="O893" s="648">
        <f t="shared" si="316"/>
        <v>0</v>
      </c>
      <c r="P893" s="648">
        <f t="shared" si="316"/>
        <v>0</v>
      </c>
      <c r="Q893" s="648">
        <f t="shared" si="316"/>
        <v>0</v>
      </c>
      <c r="R893" s="648">
        <f t="shared" si="316"/>
        <v>0</v>
      </c>
      <c r="S893" s="648">
        <f t="shared" si="316"/>
        <v>0</v>
      </c>
      <c r="T893" s="645"/>
      <c r="U893" s="646">
        <f>SUM(I893:T893)</f>
        <v>0</v>
      </c>
      <c r="W893" s="646">
        <f t="shared" si="307"/>
        <v>0</v>
      </c>
    </row>
    <row r="894" spans="2:23" ht="18" customHeight="1" x14ac:dyDescent="0.2">
      <c r="B894" s="645">
        <f t="shared" si="313"/>
        <v>8</v>
      </c>
      <c r="C894" s="647" t="s">
        <v>213</v>
      </c>
      <c r="D894" s="649" t="s">
        <v>214</v>
      </c>
      <c r="E894" s="645"/>
      <c r="F894" s="646">
        <f>' WP II-I-1.4'!H894</f>
        <v>0</v>
      </c>
      <c r="G894" s="645">
        <v>84</v>
      </c>
      <c r="H894" s="620" t="str">
        <f>VLOOKUP(G894,FactorTable,2)</f>
        <v>PAY CUS ACCT</v>
      </c>
      <c r="I894" s="645"/>
      <c r="J894" s="651">
        <f t="shared" si="316"/>
        <v>0</v>
      </c>
      <c r="K894" s="651">
        <f t="shared" si="316"/>
        <v>0</v>
      </c>
      <c r="L894" s="651">
        <f t="shared" si="316"/>
        <v>0</v>
      </c>
      <c r="M894" s="651">
        <f t="shared" si="316"/>
        <v>0</v>
      </c>
      <c r="N894" s="651">
        <f t="shared" si="316"/>
        <v>0</v>
      </c>
      <c r="O894" s="651">
        <f t="shared" si="316"/>
        <v>0</v>
      </c>
      <c r="P894" s="651">
        <f t="shared" si="316"/>
        <v>0</v>
      </c>
      <c r="Q894" s="651">
        <f t="shared" si="316"/>
        <v>0</v>
      </c>
      <c r="R894" s="651">
        <f t="shared" si="316"/>
        <v>0</v>
      </c>
      <c r="S894" s="651">
        <f t="shared" si="316"/>
        <v>0</v>
      </c>
      <c r="T894" s="645"/>
      <c r="U894" s="646">
        <f>SUM(I894:T894)</f>
        <v>0</v>
      </c>
      <c r="W894" s="646">
        <f t="shared" si="307"/>
        <v>0</v>
      </c>
    </row>
    <row r="895" spans="2:23" ht="18" customHeight="1" x14ac:dyDescent="0.25">
      <c r="B895" s="645">
        <f t="shared" si="313"/>
        <v>9</v>
      </c>
      <c r="C895" s="8"/>
      <c r="D895" s="24" t="s">
        <v>621</v>
      </c>
      <c r="E895" s="1571"/>
      <c r="F895" s="805">
        <f>SUM(F892:F894)</f>
        <v>0</v>
      </c>
      <c r="G895" s="1571"/>
      <c r="H895" s="1571"/>
      <c r="I895" s="1571"/>
      <c r="J895" s="805">
        <f t="shared" ref="J895:Q895" si="317">SUM(J892:J894)</f>
        <v>0</v>
      </c>
      <c r="K895" s="805">
        <f t="shared" si="317"/>
        <v>0</v>
      </c>
      <c r="L895" s="805">
        <f t="shared" si="317"/>
        <v>0</v>
      </c>
      <c r="M895" s="805">
        <f t="shared" si="317"/>
        <v>0</v>
      </c>
      <c r="N895" s="805">
        <f t="shared" si="317"/>
        <v>0</v>
      </c>
      <c r="O895" s="805">
        <f>SUM(O892:O894)</f>
        <v>0</v>
      </c>
      <c r="P895" s="805">
        <f t="shared" si="317"/>
        <v>0</v>
      </c>
      <c r="Q895" s="805">
        <f t="shared" si="317"/>
        <v>0</v>
      </c>
      <c r="R895" s="805">
        <f>SUM(R892:R894)</f>
        <v>0</v>
      </c>
      <c r="S895" s="805">
        <f>SUM(S892:S894)</f>
        <v>0</v>
      </c>
      <c r="T895" s="1571"/>
      <c r="U895" s="235">
        <f>SUM(I895:T895)</f>
        <v>0</v>
      </c>
      <c r="W895" s="646">
        <f t="shared" si="307"/>
        <v>0</v>
      </c>
    </row>
    <row r="896" spans="2:23" ht="6.75" customHeight="1" x14ac:dyDescent="0.25">
      <c r="B896" s="645">
        <f t="shared" si="313"/>
        <v>10</v>
      </c>
      <c r="C896" s="647"/>
      <c r="D896" s="24"/>
      <c r="E896" s="645"/>
      <c r="F896" s="803"/>
      <c r="G896" s="645"/>
      <c r="H896" s="645"/>
      <c r="I896" s="645"/>
      <c r="J896" s="803"/>
      <c r="K896" s="803"/>
      <c r="L896" s="803"/>
      <c r="M896" s="803"/>
      <c r="N896" s="803"/>
      <c r="O896" s="803"/>
      <c r="P896" s="803"/>
      <c r="Q896" s="803"/>
      <c r="R896" s="803"/>
      <c r="S896" s="803"/>
      <c r="T896" s="645"/>
      <c r="U896" s="647"/>
      <c r="W896" s="646">
        <f t="shared" si="307"/>
        <v>0</v>
      </c>
    </row>
    <row r="897" spans="2:23" ht="17.100000000000001" customHeight="1" x14ac:dyDescent="0.25">
      <c r="B897" s="645">
        <f t="shared" si="313"/>
        <v>11</v>
      </c>
      <c r="C897" s="8"/>
      <c r="D897" s="233" t="s">
        <v>622</v>
      </c>
      <c r="E897" s="1571"/>
      <c r="F897" s="805">
        <f>+F890+F895</f>
        <v>9310677.7999999989</v>
      </c>
      <c r="G897" s="1571"/>
      <c r="H897" s="1571"/>
      <c r="I897" s="1571"/>
      <c r="J897" s="805">
        <f t="shared" ref="J897:Q897" si="318">+J890+J895</f>
        <v>4860578.5793033466</v>
      </c>
      <c r="K897" s="805">
        <f t="shared" si="318"/>
        <v>681866.65276256541</v>
      </c>
      <c r="L897" s="805">
        <f t="shared" si="318"/>
        <v>2681560.2055850299</v>
      </c>
      <c r="M897" s="805">
        <f t="shared" si="318"/>
        <v>112926.00791034554</v>
      </c>
      <c r="N897" s="805">
        <f t="shared" si="318"/>
        <v>869589.87449779804</v>
      </c>
      <c r="O897" s="805">
        <f>+O890+O895</f>
        <v>28533.155506424675</v>
      </c>
      <c r="P897" s="805">
        <f t="shared" si="318"/>
        <v>59517.011485793817</v>
      </c>
      <c r="Q897" s="805">
        <f t="shared" si="318"/>
        <v>4956.4019771714156</v>
      </c>
      <c r="R897" s="805">
        <f>+R890+R895</f>
        <v>3150.9006080714375</v>
      </c>
      <c r="S897" s="805">
        <f>+S890+S895</f>
        <v>7999.0103634505331</v>
      </c>
      <c r="T897" s="1571"/>
      <c r="U897" s="235">
        <f>SUM(I897:T897)</f>
        <v>9310677.7999999989</v>
      </c>
      <c r="W897" s="646">
        <f t="shared" si="307"/>
        <v>0</v>
      </c>
    </row>
    <row r="898" spans="2:23" ht="11.1" customHeight="1" x14ac:dyDescent="0.2">
      <c r="B898" s="645">
        <f t="shared" si="313"/>
        <v>12</v>
      </c>
      <c r="C898" s="647"/>
      <c r="D898" s="647"/>
      <c r="E898" s="645"/>
      <c r="F898" s="803"/>
      <c r="G898" s="645"/>
      <c r="H898" s="645"/>
      <c r="I898" s="645"/>
      <c r="J898" s="645"/>
      <c r="K898" s="645"/>
      <c r="L898" s="645"/>
      <c r="M898" s="645"/>
      <c r="N898" s="645"/>
      <c r="O898" s="645"/>
      <c r="P898" s="645"/>
      <c r="Q898" s="645"/>
      <c r="R898" s="645"/>
      <c r="S898" s="645"/>
      <c r="T898" s="645"/>
      <c r="U898" s="647"/>
      <c r="W898" s="646">
        <f t="shared" si="307"/>
        <v>0</v>
      </c>
    </row>
    <row r="899" spans="2:23" ht="18" customHeight="1" x14ac:dyDescent="0.25">
      <c r="B899" s="645">
        <f t="shared" si="313"/>
        <v>13</v>
      </c>
      <c r="C899" s="8"/>
      <c r="D899" s="301" t="s">
        <v>623</v>
      </c>
      <c r="E899" s="1571" t="s">
        <v>262</v>
      </c>
      <c r="F899" s="805"/>
      <c r="G899" s="1571"/>
      <c r="H899" s="1571"/>
      <c r="I899" s="1571"/>
      <c r="J899" s="1571"/>
      <c r="K899" s="1571"/>
      <c r="L899" s="1571"/>
      <c r="M899" s="1571"/>
      <c r="N899" s="1571"/>
      <c r="O899" s="1571"/>
      <c r="P899" s="1571"/>
      <c r="Q899" s="1571"/>
      <c r="R899" s="1571"/>
      <c r="S899" s="1571"/>
      <c r="T899" s="1571"/>
      <c r="U899" s="8"/>
      <c r="W899" s="646">
        <f t="shared" si="307"/>
        <v>0</v>
      </c>
    </row>
    <row r="900" spans="2:23" ht="18" customHeight="1" x14ac:dyDescent="0.2">
      <c r="B900" s="645">
        <f t="shared" si="313"/>
        <v>14</v>
      </c>
      <c r="C900" s="647" t="s">
        <v>216</v>
      </c>
      <c r="D900" s="647" t="s">
        <v>217</v>
      </c>
      <c r="E900" s="645"/>
      <c r="F900" s="646">
        <f>' WP II-I-1.4'!H900</f>
        <v>0</v>
      </c>
      <c r="G900" s="645">
        <v>9</v>
      </c>
      <c r="H900" s="620" t="str">
        <f>VLOOKUP(G900,FactorTable,2)</f>
        <v>CUS U ALL</v>
      </c>
      <c r="I900" s="645"/>
      <c r="J900" s="648">
        <f t="shared" ref="J900:S902" si="319">$F900*HLOOKUP(J$1354,FactorTable,$G900+1)</f>
        <v>0</v>
      </c>
      <c r="K900" s="648">
        <f t="shared" si="319"/>
        <v>0</v>
      </c>
      <c r="L900" s="648">
        <f t="shared" si="319"/>
        <v>0</v>
      </c>
      <c r="M900" s="648">
        <f t="shared" si="319"/>
        <v>0</v>
      </c>
      <c r="N900" s="648">
        <f t="shared" si="319"/>
        <v>0</v>
      </c>
      <c r="O900" s="648">
        <f t="shared" si="319"/>
        <v>0</v>
      </c>
      <c r="P900" s="648">
        <f t="shared" si="319"/>
        <v>0</v>
      </c>
      <c r="Q900" s="648">
        <f t="shared" si="319"/>
        <v>0</v>
      </c>
      <c r="R900" s="648">
        <f t="shared" si="319"/>
        <v>0</v>
      </c>
      <c r="S900" s="648">
        <f t="shared" si="319"/>
        <v>0</v>
      </c>
      <c r="T900" s="645"/>
      <c r="U900" s="646">
        <f>SUM(I900:T900)</f>
        <v>0</v>
      </c>
      <c r="W900" s="646">
        <f t="shared" si="307"/>
        <v>0</v>
      </c>
    </row>
    <row r="901" spans="2:23" ht="18" customHeight="1" x14ac:dyDescent="0.2">
      <c r="B901" s="645">
        <f t="shared" si="313"/>
        <v>15</v>
      </c>
      <c r="C901" s="647" t="s">
        <v>219</v>
      </c>
      <c r="D901" s="649" t="s">
        <v>220</v>
      </c>
      <c r="E901" s="645"/>
      <c r="F901" s="646">
        <f>' WP II-I-1.4'!H901</f>
        <v>0</v>
      </c>
      <c r="G901" s="645">
        <v>9</v>
      </c>
      <c r="H901" s="620" t="str">
        <f>VLOOKUP(G901,FactorTable,2)</f>
        <v>CUS U ALL</v>
      </c>
      <c r="I901" s="645"/>
      <c r="J901" s="648">
        <f t="shared" si="319"/>
        <v>0</v>
      </c>
      <c r="K901" s="648">
        <f t="shared" si="319"/>
        <v>0</v>
      </c>
      <c r="L901" s="648">
        <f t="shared" si="319"/>
        <v>0</v>
      </c>
      <c r="M901" s="648">
        <f t="shared" si="319"/>
        <v>0</v>
      </c>
      <c r="N901" s="648">
        <f t="shared" si="319"/>
        <v>0</v>
      </c>
      <c r="O901" s="648">
        <f t="shared" si="319"/>
        <v>0</v>
      </c>
      <c r="P901" s="648">
        <f t="shared" si="319"/>
        <v>0</v>
      </c>
      <c r="Q901" s="648">
        <f t="shared" si="319"/>
        <v>0</v>
      </c>
      <c r="R901" s="648">
        <f t="shared" si="319"/>
        <v>0</v>
      </c>
      <c r="S901" s="648">
        <f t="shared" si="319"/>
        <v>0</v>
      </c>
      <c r="T901" s="645"/>
      <c r="U901" s="646">
        <f>SUM(I901:T901)</f>
        <v>0</v>
      </c>
      <c r="W901" s="646">
        <f t="shared" si="307"/>
        <v>0</v>
      </c>
    </row>
    <row r="902" spans="2:23" ht="18" customHeight="1" x14ac:dyDescent="0.2">
      <c r="B902" s="645">
        <f t="shared" si="313"/>
        <v>16</v>
      </c>
      <c r="C902" s="647" t="s">
        <v>221</v>
      </c>
      <c r="D902" s="647" t="s">
        <v>222</v>
      </c>
      <c r="E902" s="645"/>
      <c r="F902" s="646">
        <f>' WP II-I-1.4'!H902</f>
        <v>0</v>
      </c>
      <c r="G902" s="645">
        <v>9</v>
      </c>
      <c r="H902" s="620" t="str">
        <f>VLOOKUP(G902,FactorTable,2)</f>
        <v>CUS U ALL</v>
      </c>
      <c r="I902" s="645"/>
      <c r="J902" s="651">
        <f t="shared" si="319"/>
        <v>0</v>
      </c>
      <c r="K902" s="651">
        <f t="shared" si="319"/>
        <v>0</v>
      </c>
      <c r="L902" s="651">
        <f t="shared" si="319"/>
        <v>0</v>
      </c>
      <c r="M902" s="651">
        <f t="shared" si="319"/>
        <v>0</v>
      </c>
      <c r="N902" s="651">
        <f t="shared" si="319"/>
        <v>0</v>
      </c>
      <c r="O902" s="651">
        <f t="shared" si="319"/>
        <v>0</v>
      </c>
      <c r="P902" s="651">
        <f t="shared" si="319"/>
        <v>0</v>
      </c>
      <c r="Q902" s="651">
        <f t="shared" si="319"/>
        <v>0</v>
      </c>
      <c r="R902" s="651">
        <f t="shared" si="319"/>
        <v>0</v>
      </c>
      <c r="S902" s="651">
        <f t="shared" si="319"/>
        <v>0</v>
      </c>
      <c r="T902" s="645"/>
      <c r="U902" s="646">
        <f>SUM(I902:T902)</f>
        <v>0</v>
      </c>
      <c r="W902" s="646">
        <f t="shared" si="307"/>
        <v>0</v>
      </c>
    </row>
    <row r="903" spans="2:23" ht="18" customHeight="1" x14ac:dyDescent="0.25">
      <c r="B903" s="645">
        <f t="shared" si="313"/>
        <v>17</v>
      </c>
      <c r="C903" s="8"/>
      <c r="D903" s="24" t="s">
        <v>624</v>
      </c>
      <c r="E903" s="1571"/>
      <c r="F903" s="805">
        <f>SUM(F900:F902)</f>
        <v>0</v>
      </c>
      <c r="G903" s="1571"/>
      <c r="H903" s="1571"/>
      <c r="I903" s="1571"/>
      <c r="J903" s="805">
        <f t="shared" ref="J903:Q903" si="320">SUM(J900:J902)</f>
        <v>0</v>
      </c>
      <c r="K903" s="805">
        <f t="shared" si="320"/>
        <v>0</v>
      </c>
      <c r="L903" s="805">
        <f t="shared" si="320"/>
        <v>0</v>
      </c>
      <c r="M903" s="805">
        <f t="shared" si="320"/>
        <v>0</v>
      </c>
      <c r="N903" s="805">
        <f t="shared" si="320"/>
        <v>0</v>
      </c>
      <c r="O903" s="805">
        <f>SUM(O900:O902)</f>
        <v>0</v>
      </c>
      <c r="P903" s="805">
        <f t="shared" si="320"/>
        <v>0</v>
      </c>
      <c r="Q903" s="805">
        <f t="shared" si="320"/>
        <v>0</v>
      </c>
      <c r="R903" s="805">
        <f>SUM(R900:R902)</f>
        <v>0</v>
      </c>
      <c r="S903" s="805">
        <f>SUM(S900:S902)</f>
        <v>0</v>
      </c>
      <c r="T903" s="1571"/>
      <c r="U903" s="235">
        <f>SUM(I903:T903)</f>
        <v>0</v>
      </c>
      <c r="W903" s="646">
        <f t="shared" si="307"/>
        <v>0</v>
      </c>
    </row>
    <row r="904" spans="2:23" ht="11.25" customHeight="1" x14ac:dyDescent="0.2">
      <c r="B904" s="645">
        <f t="shared" si="313"/>
        <v>18</v>
      </c>
      <c r="C904" s="647"/>
      <c r="D904" s="647"/>
      <c r="E904" s="645"/>
      <c r="F904" s="803"/>
      <c r="G904" s="645"/>
      <c r="H904" s="645"/>
      <c r="I904" s="645"/>
      <c r="J904" s="645"/>
      <c r="K904" s="645"/>
      <c r="L904" s="645"/>
      <c r="M904" s="645"/>
      <c r="N904" s="645"/>
      <c r="O904" s="645"/>
      <c r="P904" s="645"/>
      <c r="Q904" s="645"/>
      <c r="R904" s="645"/>
      <c r="S904" s="645"/>
      <c r="T904" s="645"/>
      <c r="U904" s="647"/>
      <c r="W904" s="646">
        <f t="shared" si="307"/>
        <v>0</v>
      </c>
    </row>
    <row r="905" spans="2:23" ht="18" customHeight="1" x14ac:dyDescent="0.2">
      <c r="B905" s="645">
        <f t="shared" si="313"/>
        <v>19</v>
      </c>
      <c r="C905" s="647" t="s">
        <v>218</v>
      </c>
      <c r="D905" s="647" t="s">
        <v>206</v>
      </c>
      <c r="E905" s="645"/>
      <c r="F905" s="646">
        <f>' WP II-I-1.4'!H905</f>
        <v>0</v>
      </c>
      <c r="G905" s="645">
        <v>85</v>
      </c>
      <c r="H905" s="620" t="str">
        <f>VLOOKUP(G905,FactorTable,2)</f>
        <v>PAY CUS SV INF</v>
      </c>
      <c r="I905" s="645"/>
      <c r="J905" s="648">
        <f t="shared" ref="J905:S906" si="321">$F905*HLOOKUP(J$1354,FactorTable,$G905+1)</f>
        <v>0</v>
      </c>
      <c r="K905" s="648">
        <f t="shared" si="321"/>
        <v>0</v>
      </c>
      <c r="L905" s="648">
        <f t="shared" si="321"/>
        <v>0</v>
      </c>
      <c r="M905" s="648">
        <f t="shared" si="321"/>
        <v>0</v>
      </c>
      <c r="N905" s="648">
        <f t="shared" si="321"/>
        <v>0</v>
      </c>
      <c r="O905" s="648">
        <f t="shared" si="321"/>
        <v>0</v>
      </c>
      <c r="P905" s="648">
        <f t="shared" si="321"/>
        <v>0</v>
      </c>
      <c r="Q905" s="648">
        <f t="shared" si="321"/>
        <v>0</v>
      </c>
      <c r="R905" s="648">
        <f t="shared" si="321"/>
        <v>0</v>
      </c>
      <c r="S905" s="648">
        <f t="shared" si="321"/>
        <v>0</v>
      </c>
      <c r="T905" s="645"/>
      <c r="U905" s="646">
        <f>SUM(I905:T905)</f>
        <v>0</v>
      </c>
      <c r="W905" s="646">
        <f t="shared" si="307"/>
        <v>0</v>
      </c>
    </row>
    <row r="906" spans="2:23" ht="18" customHeight="1" x14ac:dyDescent="0.2">
      <c r="B906" s="645">
        <f t="shared" si="313"/>
        <v>20</v>
      </c>
      <c r="C906" s="647" t="s">
        <v>223</v>
      </c>
      <c r="D906" s="647" t="s">
        <v>625</v>
      </c>
      <c r="E906" s="645"/>
      <c r="F906" s="646">
        <f>' WP II-I-1.4'!H906</f>
        <v>0</v>
      </c>
      <c r="G906" s="645">
        <v>85</v>
      </c>
      <c r="H906" s="620" t="str">
        <f>VLOOKUP(G906,FactorTable,2)</f>
        <v>PAY CUS SV INF</v>
      </c>
      <c r="I906" s="645"/>
      <c r="J906" s="651">
        <f t="shared" si="321"/>
        <v>0</v>
      </c>
      <c r="K906" s="651">
        <f t="shared" si="321"/>
        <v>0</v>
      </c>
      <c r="L906" s="651">
        <f t="shared" si="321"/>
        <v>0</v>
      </c>
      <c r="M906" s="651">
        <f t="shared" si="321"/>
        <v>0</v>
      </c>
      <c r="N906" s="651">
        <f t="shared" si="321"/>
        <v>0</v>
      </c>
      <c r="O906" s="651">
        <f t="shared" si="321"/>
        <v>0</v>
      </c>
      <c r="P906" s="651">
        <f t="shared" si="321"/>
        <v>0</v>
      </c>
      <c r="Q906" s="651">
        <f t="shared" si="321"/>
        <v>0</v>
      </c>
      <c r="R906" s="651">
        <f t="shared" si="321"/>
        <v>0</v>
      </c>
      <c r="S906" s="651">
        <f t="shared" si="321"/>
        <v>0</v>
      </c>
      <c r="T906" s="645"/>
      <c r="U906" s="646">
        <f>SUM(I906:T906)</f>
        <v>0</v>
      </c>
      <c r="W906" s="646">
        <f t="shared" si="307"/>
        <v>0</v>
      </c>
    </row>
    <row r="907" spans="2:23" ht="15.75" customHeight="1" x14ac:dyDescent="0.25">
      <c r="B907" s="645">
        <f t="shared" si="313"/>
        <v>21</v>
      </c>
      <c r="C907" s="8"/>
      <c r="D907" s="24" t="s">
        <v>626</v>
      </c>
      <c r="E907" s="1571"/>
      <c r="F907" s="805">
        <f>SUM(F905:F906)</f>
        <v>0</v>
      </c>
      <c r="G907" s="1571"/>
      <c r="H907" s="1571"/>
      <c r="I907" s="1571"/>
      <c r="J907" s="805">
        <f t="shared" ref="J907:Q907" si="322">SUM(J905:J906)</f>
        <v>0</v>
      </c>
      <c r="K907" s="805">
        <f t="shared" si="322"/>
        <v>0</v>
      </c>
      <c r="L907" s="805">
        <f t="shared" si="322"/>
        <v>0</v>
      </c>
      <c r="M907" s="805">
        <f t="shared" si="322"/>
        <v>0</v>
      </c>
      <c r="N907" s="805">
        <f t="shared" si="322"/>
        <v>0</v>
      </c>
      <c r="O907" s="805">
        <f>SUM(O905:O906)</f>
        <v>0</v>
      </c>
      <c r="P907" s="805">
        <f t="shared" si="322"/>
        <v>0</v>
      </c>
      <c r="Q907" s="805">
        <f t="shared" si="322"/>
        <v>0</v>
      </c>
      <c r="R907" s="805">
        <f>SUM(R905:R906)</f>
        <v>0</v>
      </c>
      <c r="S907" s="805">
        <f>SUM(S905:S906)</f>
        <v>0</v>
      </c>
      <c r="T907" s="1571"/>
      <c r="U907" s="235">
        <f>SUM(I907:T907)</f>
        <v>0</v>
      </c>
      <c r="W907" s="646">
        <f t="shared" si="307"/>
        <v>0</v>
      </c>
    </row>
    <row r="908" spans="2:23" ht="11.1" customHeight="1" x14ac:dyDescent="0.2">
      <c r="B908" s="645">
        <f t="shared" si="313"/>
        <v>22</v>
      </c>
      <c r="C908" s="647"/>
      <c r="D908" s="647"/>
      <c r="E908" s="645"/>
      <c r="F908" s="803"/>
      <c r="G908" s="645"/>
      <c r="H908" s="645"/>
      <c r="I908" s="645"/>
      <c r="J908" s="803"/>
      <c r="K908" s="803"/>
      <c r="L908" s="803"/>
      <c r="M908" s="803"/>
      <c r="N908" s="803"/>
      <c r="O908" s="803"/>
      <c r="P908" s="803"/>
      <c r="Q908" s="803"/>
      <c r="R908" s="803"/>
      <c r="S908" s="803"/>
      <c r="T908" s="645"/>
      <c r="U908" s="647"/>
      <c r="W908" s="646">
        <f t="shared" si="307"/>
        <v>0</v>
      </c>
    </row>
    <row r="909" spans="2:23" ht="18" customHeight="1" x14ac:dyDescent="0.25">
      <c r="B909" s="645">
        <f t="shared" si="313"/>
        <v>23</v>
      </c>
      <c r="C909" s="8"/>
      <c r="D909" s="233" t="s">
        <v>627</v>
      </c>
      <c r="E909" s="1571"/>
      <c r="F909" s="805">
        <f>+F907+F903</f>
        <v>0</v>
      </c>
      <c r="G909" s="1571"/>
      <c r="H909" s="1571"/>
      <c r="I909" s="1571"/>
      <c r="J909" s="805">
        <f t="shared" ref="J909:Q909" si="323">+J907+J903</f>
        <v>0</v>
      </c>
      <c r="K909" s="805">
        <f t="shared" si="323"/>
        <v>0</v>
      </c>
      <c r="L909" s="805">
        <f t="shared" si="323"/>
        <v>0</v>
      </c>
      <c r="M909" s="805">
        <f t="shared" si="323"/>
        <v>0</v>
      </c>
      <c r="N909" s="805">
        <f t="shared" si="323"/>
        <v>0</v>
      </c>
      <c r="O909" s="805">
        <f>+O907+O903</f>
        <v>0</v>
      </c>
      <c r="P909" s="805">
        <f t="shared" si="323"/>
        <v>0</v>
      </c>
      <c r="Q909" s="805">
        <f t="shared" si="323"/>
        <v>0</v>
      </c>
      <c r="R909" s="805">
        <f>+R907+R903</f>
        <v>0</v>
      </c>
      <c r="S909" s="805">
        <f>+S907+S903</f>
        <v>0</v>
      </c>
      <c r="T909" s="1571"/>
      <c r="U909" s="235">
        <f>SUM(I909:T909)</f>
        <v>0</v>
      </c>
      <c r="W909" s="646">
        <f t="shared" si="307"/>
        <v>0</v>
      </c>
    </row>
    <row r="910" spans="2:23" ht="9.75" customHeight="1" x14ac:dyDescent="0.2">
      <c r="B910" s="645">
        <f t="shared" si="313"/>
        <v>24</v>
      </c>
      <c r="C910" s="647"/>
      <c r="D910" s="647"/>
      <c r="E910" s="645"/>
      <c r="F910" s="803"/>
      <c r="G910" s="645"/>
      <c r="H910" s="645"/>
      <c r="I910" s="645"/>
      <c r="J910" s="645"/>
      <c r="K910" s="645"/>
      <c r="L910" s="645"/>
      <c r="M910" s="645"/>
      <c r="N910" s="645"/>
      <c r="O910" s="645"/>
      <c r="P910" s="645"/>
      <c r="Q910" s="645"/>
      <c r="R910" s="645"/>
      <c r="S910" s="645"/>
      <c r="T910" s="645"/>
      <c r="U910" s="647"/>
      <c r="W910" s="646">
        <f t="shared" si="307"/>
        <v>0</v>
      </c>
    </row>
    <row r="911" spans="2:23" ht="18" customHeight="1" x14ac:dyDescent="0.25">
      <c r="B911" s="645">
        <f t="shared" si="313"/>
        <v>25</v>
      </c>
      <c r="C911" s="8"/>
      <c r="D911" s="303" t="s">
        <v>268</v>
      </c>
      <c r="E911" s="1571" t="s">
        <v>262</v>
      </c>
      <c r="F911" s="805"/>
      <c r="G911" s="1571"/>
      <c r="H911" s="1571"/>
      <c r="I911" s="1571"/>
      <c r="J911" s="1571"/>
      <c r="K911" s="1571"/>
      <c r="L911" s="1571"/>
      <c r="M911" s="1571"/>
      <c r="N911" s="1571"/>
      <c r="O911" s="1571"/>
      <c r="P911" s="1571"/>
      <c r="Q911" s="1571"/>
      <c r="R911" s="1571"/>
      <c r="S911" s="1571"/>
      <c r="T911" s="1571"/>
      <c r="U911" s="8"/>
      <c r="W911" s="646">
        <f t="shared" si="307"/>
        <v>0</v>
      </c>
    </row>
    <row r="912" spans="2:23" ht="18" customHeight="1" x14ac:dyDescent="0.2">
      <c r="B912" s="645">
        <f t="shared" si="313"/>
        <v>26</v>
      </c>
      <c r="C912" s="647" t="s">
        <v>227</v>
      </c>
      <c r="D912" s="652" t="s">
        <v>628</v>
      </c>
      <c r="E912" s="645"/>
      <c r="F912" s="646">
        <f>' WP II-I-1.4'!H912</f>
        <v>0</v>
      </c>
      <c r="G912" s="645">
        <v>9</v>
      </c>
      <c r="H912" s="620" t="str">
        <f>VLOOKUP(G912,FactorTable,2)</f>
        <v>CUS U ALL</v>
      </c>
      <c r="I912" s="645"/>
      <c r="J912" s="648">
        <f t="shared" ref="J912:S914" si="324">$F912*HLOOKUP(J$1354,FactorTable,$G912+1)</f>
        <v>0</v>
      </c>
      <c r="K912" s="648">
        <f t="shared" si="324"/>
        <v>0</v>
      </c>
      <c r="L912" s="648">
        <f t="shared" si="324"/>
        <v>0</v>
      </c>
      <c r="M912" s="648">
        <f t="shared" si="324"/>
        <v>0</v>
      </c>
      <c r="N912" s="648">
        <f t="shared" si="324"/>
        <v>0</v>
      </c>
      <c r="O912" s="648">
        <f t="shared" si="324"/>
        <v>0</v>
      </c>
      <c r="P912" s="648">
        <f t="shared" si="324"/>
        <v>0</v>
      </c>
      <c r="Q912" s="648">
        <f t="shared" si="324"/>
        <v>0</v>
      </c>
      <c r="R912" s="648">
        <f t="shared" si="324"/>
        <v>0</v>
      </c>
      <c r="S912" s="648">
        <f t="shared" si="324"/>
        <v>0</v>
      </c>
      <c r="T912" s="645"/>
      <c r="U912" s="646">
        <f>SUM(I912:T912)</f>
        <v>0</v>
      </c>
      <c r="W912" s="646">
        <f t="shared" si="307"/>
        <v>0</v>
      </c>
    </row>
    <row r="913" spans="2:23" ht="18" customHeight="1" x14ac:dyDescent="0.2">
      <c r="B913" s="645">
        <f t="shared" si="313"/>
        <v>27</v>
      </c>
      <c r="C913" s="647" t="s">
        <v>229</v>
      </c>
      <c r="D913" s="652" t="s">
        <v>629</v>
      </c>
      <c r="E913" s="645"/>
      <c r="F913" s="646">
        <f>' WP II-I-1.4'!H913</f>
        <v>0</v>
      </c>
      <c r="G913" s="645">
        <v>9</v>
      </c>
      <c r="H913" s="620" t="str">
        <f>VLOOKUP(G913,FactorTable,2)</f>
        <v>CUS U ALL</v>
      </c>
      <c r="I913" s="645"/>
      <c r="J913" s="648">
        <f t="shared" si="324"/>
        <v>0</v>
      </c>
      <c r="K913" s="648">
        <f t="shared" si="324"/>
        <v>0</v>
      </c>
      <c r="L913" s="648">
        <f t="shared" si="324"/>
        <v>0</v>
      </c>
      <c r="M913" s="648">
        <f t="shared" si="324"/>
        <v>0</v>
      </c>
      <c r="N913" s="648">
        <f t="shared" si="324"/>
        <v>0</v>
      </c>
      <c r="O913" s="648">
        <f t="shared" si="324"/>
        <v>0</v>
      </c>
      <c r="P913" s="648">
        <f t="shared" si="324"/>
        <v>0</v>
      </c>
      <c r="Q913" s="648">
        <f t="shared" si="324"/>
        <v>0</v>
      </c>
      <c r="R913" s="648">
        <f t="shared" si="324"/>
        <v>0</v>
      </c>
      <c r="S913" s="648">
        <f t="shared" si="324"/>
        <v>0</v>
      </c>
      <c r="T913" s="645"/>
      <c r="U913" s="646">
        <f>SUM(I913:T913)</f>
        <v>0</v>
      </c>
      <c r="W913" s="646">
        <f t="shared" si="307"/>
        <v>0</v>
      </c>
    </row>
    <row r="914" spans="2:23" ht="18" customHeight="1" x14ac:dyDescent="0.2">
      <c r="B914" s="645">
        <f t="shared" si="313"/>
        <v>28</v>
      </c>
      <c r="C914" s="647" t="s">
        <v>233</v>
      </c>
      <c r="D914" s="652" t="s">
        <v>225</v>
      </c>
      <c r="E914" s="645"/>
      <c r="F914" s="646">
        <f>' WP II-I-1.4'!H914</f>
        <v>0</v>
      </c>
      <c r="G914" s="645">
        <v>9</v>
      </c>
      <c r="H914" s="620" t="str">
        <f>VLOOKUP(G914,FactorTable,2)</f>
        <v>CUS U ALL</v>
      </c>
      <c r="I914" s="645"/>
      <c r="J914" s="651">
        <f t="shared" si="324"/>
        <v>0</v>
      </c>
      <c r="K914" s="651">
        <f t="shared" si="324"/>
        <v>0</v>
      </c>
      <c r="L914" s="651">
        <f t="shared" si="324"/>
        <v>0</v>
      </c>
      <c r="M914" s="651">
        <f t="shared" si="324"/>
        <v>0</v>
      </c>
      <c r="N914" s="651">
        <f t="shared" si="324"/>
        <v>0</v>
      </c>
      <c r="O914" s="651">
        <f t="shared" si="324"/>
        <v>0</v>
      </c>
      <c r="P914" s="651">
        <f t="shared" si="324"/>
        <v>0</v>
      </c>
      <c r="Q914" s="651">
        <f t="shared" si="324"/>
        <v>0</v>
      </c>
      <c r="R914" s="651">
        <f t="shared" si="324"/>
        <v>0</v>
      </c>
      <c r="S914" s="651">
        <f t="shared" si="324"/>
        <v>0</v>
      </c>
      <c r="T914" s="645"/>
      <c r="U914" s="646">
        <f>SUM(I914:T914)</f>
        <v>0</v>
      </c>
      <c r="W914" s="646">
        <f t="shared" si="307"/>
        <v>0</v>
      </c>
    </row>
    <row r="915" spans="2:23" ht="18" customHeight="1" x14ac:dyDescent="0.25">
      <c r="B915" s="645">
        <f t="shared" si="313"/>
        <v>29</v>
      </c>
      <c r="C915" s="8"/>
      <c r="D915" s="233" t="s">
        <v>630</v>
      </c>
      <c r="E915" s="1571"/>
      <c r="F915" s="805">
        <f>+F912+F913+F914</f>
        <v>0</v>
      </c>
      <c r="G915" s="1571"/>
      <c r="H915" s="1571"/>
      <c r="I915" s="1571"/>
      <c r="J915" s="805">
        <f t="shared" ref="J915:Q915" si="325">+J912+J913+J914</f>
        <v>0</v>
      </c>
      <c r="K915" s="805">
        <f t="shared" si="325"/>
        <v>0</v>
      </c>
      <c r="L915" s="805">
        <f t="shared" si="325"/>
        <v>0</v>
      </c>
      <c r="M915" s="805">
        <f t="shared" si="325"/>
        <v>0</v>
      </c>
      <c r="N915" s="805">
        <f t="shared" si="325"/>
        <v>0</v>
      </c>
      <c r="O915" s="805">
        <f>+O912+O913+O914</f>
        <v>0</v>
      </c>
      <c r="P915" s="805">
        <f t="shared" si="325"/>
        <v>0</v>
      </c>
      <c r="Q915" s="805">
        <f t="shared" si="325"/>
        <v>0</v>
      </c>
      <c r="R915" s="805">
        <f>+R912+R913+R914</f>
        <v>0</v>
      </c>
      <c r="S915" s="805">
        <f>+S912+S913+S914</f>
        <v>0</v>
      </c>
      <c r="T915" s="1571"/>
      <c r="U915" s="235">
        <f>SUM(I915:T915)</f>
        <v>0</v>
      </c>
      <c r="W915" s="646">
        <f t="shared" si="307"/>
        <v>0</v>
      </c>
    </row>
    <row r="916" spans="2:23" ht="7.5" customHeight="1" x14ac:dyDescent="0.25">
      <c r="B916" s="645">
        <f t="shared" si="313"/>
        <v>30</v>
      </c>
      <c r="C916" s="647"/>
      <c r="D916" s="233"/>
      <c r="E916" s="645"/>
      <c r="F916" s="803"/>
      <c r="G916" s="645"/>
      <c r="H916" s="645"/>
      <c r="I916" s="645"/>
      <c r="J916" s="645"/>
      <c r="K916" s="645"/>
      <c r="L916" s="645"/>
      <c r="M916" s="645"/>
      <c r="N916" s="645"/>
      <c r="O916" s="645"/>
      <c r="P916" s="645"/>
      <c r="Q916" s="645"/>
      <c r="R916" s="645"/>
      <c r="S916" s="645"/>
      <c r="T916" s="645"/>
      <c r="U916" s="647"/>
      <c r="W916" s="646">
        <f t="shared" si="307"/>
        <v>0</v>
      </c>
    </row>
    <row r="917" spans="2:23" ht="15" customHeight="1" x14ac:dyDescent="0.2">
      <c r="B917" s="645">
        <f t="shared" si="313"/>
        <v>31</v>
      </c>
      <c r="C917" s="647" t="s">
        <v>226</v>
      </c>
      <c r="D917" s="652" t="s">
        <v>206</v>
      </c>
      <c r="E917" s="645"/>
      <c r="F917" s="646">
        <f>' WP II-I-1.4'!H917</f>
        <v>0</v>
      </c>
      <c r="G917" s="645">
        <v>9</v>
      </c>
      <c r="H917" s="620" t="str">
        <f>VLOOKUP(G917,FactorTable,2)</f>
        <v>CUS U ALL</v>
      </c>
      <c r="I917" s="645"/>
      <c r="J917" s="648">
        <f t="shared" ref="J917:S918" si="326">$F917*HLOOKUP(J$1354,FactorTable,$G917+1)</f>
        <v>0</v>
      </c>
      <c r="K917" s="648">
        <f t="shared" si="326"/>
        <v>0</v>
      </c>
      <c r="L917" s="648">
        <f t="shared" si="326"/>
        <v>0</v>
      </c>
      <c r="M917" s="648">
        <f t="shared" si="326"/>
        <v>0</v>
      </c>
      <c r="N917" s="648">
        <f t="shared" si="326"/>
        <v>0</v>
      </c>
      <c r="O917" s="648">
        <f t="shared" si="326"/>
        <v>0</v>
      </c>
      <c r="P917" s="648">
        <f t="shared" si="326"/>
        <v>0</v>
      </c>
      <c r="Q917" s="648">
        <f t="shared" si="326"/>
        <v>0</v>
      </c>
      <c r="R917" s="648">
        <f t="shared" si="326"/>
        <v>0</v>
      </c>
      <c r="S917" s="648">
        <f t="shared" si="326"/>
        <v>0</v>
      </c>
      <c r="T917" s="645"/>
      <c r="U917" s="646">
        <f>SUM(I917:T917)</f>
        <v>0</v>
      </c>
      <c r="W917" s="646">
        <f t="shared" si="307"/>
        <v>0</v>
      </c>
    </row>
    <row r="918" spans="2:23" ht="15" customHeight="1" x14ac:dyDescent="0.2">
      <c r="B918" s="645">
        <f t="shared" si="313"/>
        <v>32</v>
      </c>
      <c r="C918" s="647" t="s">
        <v>231</v>
      </c>
      <c r="D918" s="652" t="s">
        <v>631</v>
      </c>
      <c r="E918" s="645"/>
      <c r="F918" s="646">
        <f>' WP II-I-1.4'!H918</f>
        <v>0</v>
      </c>
      <c r="G918" s="645">
        <v>9</v>
      </c>
      <c r="H918" s="620" t="str">
        <f>VLOOKUP(G918,FactorTable,2)</f>
        <v>CUS U ALL</v>
      </c>
      <c r="I918" s="645"/>
      <c r="J918" s="651">
        <f t="shared" si="326"/>
        <v>0</v>
      </c>
      <c r="K918" s="651">
        <f t="shared" si="326"/>
        <v>0</v>
      </c>
      <c r="L918" s="651">
        <f t="shared" si="326"/>
        <v>0</v>
      </c>
      <c r="M918" s="651">
        <f t="shared" si="326"/>
        <v>0</v>
      </c>
      <c r="N918" s="651">
        <f t="shared" si="326"/>
        <v>0</v>
      </c>
      <c r="O918" s="651">
        <f t="shared" si="326"/>
        <v>0</v>
      </c>
      <c r="P918" s="651">
        <f t="shared" si="326"/>
        <v>0</v>
      </c>
      <c r="Q918" s="651">
        <f t="shared" si="326"/>
        <v>0</v>
      </c>
      <c r="R918" s="651">
        <f t="shared" si="326"/>
        <v>0</v>
      </c>
      <c r="S918" s="651">
        <f t="shared" si="326"/>
        <v>0</v>
      </c>
      <c r="T918" s="645"/>
      <c r="U918" s="646">
        <f>SUM(I918:T918)</f>
        <v>0</v>
      </c>
      <c r="W918" s="646">
        <f t="shared" si="307"/>
        <v>0</v>
      </c>
    </row>
    <row r="919" spans="2:23" ht="17.25" customHeight="1" x14ac:dyDescent="0.25">
      <c r="B919" s="645">
        <f t="shared" si="313"/>
        <v>33</v>
      </c>
      <c r="C919" s="8"/>
      <c r="D919" s="24" t="s">
        <v>632</v>
      </c>
      <c r="E919" s="1571"/>
      <c r="F919" s="805">
        <f>SUM(F917:F918)</f>
        <v>0</v>
      </c>
      <c r="G919" s="1571"/>
      <c r="H919" s="1571"/>
      <c r="I919" s="1571"/>
      <c r="J919" s="805">
        <f t="shared" ref="J919:Q919" si="327">SUM(J917:J918)</f>
        <v>0</v>
      </c>
      <c r="K919" s="805">
        <f t="shared" si="327"/>
        <v>0</v>
      </c>
      <c r="L919" s="805">
        <f t="shared" si="327"/>
        <v>0</v>
      </c>
      <c r="M919" s="805">
        <f t="shared" si="327"/>
        <v>0</v>
      </c>
      <c r="N919" s="805">
        <f t="shared" si="327"/>
        <v>0</v>
      </c>
      <c r="O919" s="805">
        <f>SUM(O917:O918)</f>
        <v>0</v>
      </c>
      <c r="P919" s="805">
        <f t="shared" si="327"/>
        <v>0</v>
      </c>
      <c r="Q919" s="805">
        <f t="shared" si="327"/>
        <v>0</v>
      </c>
      <c r="R919" s="805">
        <f>SUM(R917:R918)</f>
        <v>0</v>
      </c>
      <c r="S919" s="805">
        <f>SUM(S917:S918)</f>
        <v>0</v>
      </c>
      <c r="T919" s="1571"/>
      <c r="U919" s="235">
        <f>SUM(I919:T919)</f>
        <v>0</v>
      </c>
      <c r="W919" s="646">
        <f t="shared" si="307"/>
        <v>0</v>
      </c>
    </row>
    <row r="920" spans="2:23" ht="12.75" customHeight="1" x14ac:dyDescent="0.2">
      <c r="B920" s="645">
        <f t="shared" si="313"/>
        <v>34</v>
      </c>
      <c r="C920" s="647"/>
      <c r="D920" s="647"/>
      <c r="E920" s="645"/>
      <c r="F920" s="803"/>
      <c r="G920" s="645"/>
      <c r="H920" s="645"/>
      <c r="I920" s="645"/>
      <c r="J920" s="803"/>
      <c r="K920" s="803"/>
      <c r="L920" s="803"/>
      <c r="M920" s="803"/>
      <c r="N920" s="803"/>
      <c r="O920" s="803"/>
      <c r="P920" s="803"/>
      <c r="Q920" s="803"/>
      <c r="R920" s="803"/>
      <c r="S920" s="803"/>
      <c r="T920" s="645"/>
      <c r="U920" s="647"/>
      <c r="W920" s="646">
        <f t="shared" si="307"/>
        <v>0</v>
      </c>
    </row>
    <row r="921" spans="2:23" ht="18" customHeight="1" x14ac:dyDescent="0.25">
      <c r="B921" s="645">
        <f t="shared" si="313"/>
        <v>35</v>
      </c>
      <c r="C921" s="8"/>
      <c r="D921" s="233" t="s">
        <v>633</v>
      </c>
      <c r="E921" s="1571"/>
      <c r="F921" s="805">
        <f>+F915+F919</f>
        <v>0</v>
      </c>
      <c r="G921" s="1571"/>
      <c r="H921" s="1571"/>
      <c r="I921" s="1571"/>
      <c r="J921" s="805">
        <f t="shared" ref="J921:Q921" si="328">+J915+J919</f>
        <v>0</v>
      </c>
      <c r="K921" s="805">
        <f t="shared" si="328"/>
        <v>0</v>
      </c>
      <c r="L921" s="805">
        <f t="shared" si="328"/>
        <v>0</v>
      </c>
      <c r="M921" s="805">
        <f t="shared" si="328"/>
        <v>0</v>
      </c>
      <c r="N921" s="805">
        <f t="shared" si="328"/>
        <v>0</v>
      </c>
      <c r="O921" s="805">
        <f>+O915+O919</f>
        <v>0</v>
      </c>
      <c r="P921" s="805">
        <f t="shared" si="328"/>
        <v>0</v>
      </c>
      <c r="Q921" s="805">
        <f t="shared" si="328"/>
        <v>0</v>
      </c>
      <c r="R921" s="805">
        <f>+R915+R919</f>
        <v>0</v>
      </c>
      <c r="S921" s="805">
        <f>+S915+S919</f>
        <v>0</v>
      </c>
      <c r="T921" s="1571"/>
      <c r="U921" s="646">
        <f>SUM(I921:T921)</f>
        <v>0</v>
      </c>
      <c r="W921" s="646">
        <f t="shared" si="307"/>
        <v>0</v>
      </c>
    </row>
    <row r="922" spans="2:23" ht="9.75" customHeight="1" thickBot="1" x14ac:dyDescent="0.25">
      <c r="B922" s="645">
        <f t="shared" si="313"/>
        <v>36</v>
      </c>
      <c r="C922" s="647"/>
      <c r="D922" s="652"/>
      <c r="E922" s="645"/>
      <c r="F922" s="803"/>
      <c r="G922" s="645"/>
      <c r="H922" s="645"/>
      <c r="I922" s="645"/>
      <c r="J922" s="803"/>
      <c r="K922" s="803"/>
      <c r="L922" s="803"/>
      <c r="M922" s="803"/>
      <c r="N922" s="803"/>
      <c r="O922" s="803"/>
      <c r="P922" s="803"/>
      <c r="Q922" s="803"/>
      <c r="R922" s="803"/>
      <c r="S922" s="803"/>
      <c r="T922" s="645"/>
      <c r="U922" s="647"/>
      <c r="W922" s="646">
        <f t="shared" si="307"/>
        <v>0</v>
      </c>
    </row>
    <row r="923" spans="2:23" ht="18" customHeight="1" thickBot="1" x14ac:dyDescent="0.3">
      <c r="B923" s="645">
        <f t="shared" si="313"/>
        <v>37</v>
      </c>
      <c r="C923" s="779" t="s">
        <v>634</v>
      </c>
      <c r="D923" s="920"/>
      <c r="E923" s="916"/>
      <c r="F923" s="917">
        <f>+F921+F909+F897</f>
        <v>9310677.7999999989</v>
      </c>
      <c r="G923" s="916"/>
      <c r="H923" s="916"/>
      <c r="I923" s="919"/>
      <c r="J923" s="971">
        <f t="shared" ref="J923:Q923" si="329">+J921+J909+J897</f>
        <v>4860578.5793033466</v>
      </c>
      <c r="K923" s="917">
        <f t="shared" si="329"/>
        <v>681866.65276256541</v>
      </c>
      <c r="L923" s="917">
        <f t="shared" si="329"/>
        <v>2681560.2055850299</v>
      </c>
      <c r="M923" s="917">
        <f t="shared" si="329"/>
        <v>112926.00791034554</v>
      </c>
      <c r="N923" s="917">
        <f t="shared" si="329"/>
        <v>869589.87449779804</v>
      </c>
      <c r="O923" s="917">
        <f>+O921+O909+O897</f>
        <v>28533.155506424675</v>
      </c>
      <c r="P923" s="917">
        <f t="shared" si="329"/>
        <v>59517.011485793817</v>
      </c>
      <c r="Q923" s="917">
        <f t="shared" si="329"/>
        <v>4956.4019771714156</v>
      </c>
      <c r="R923" s="917">
        <f>+R921+R909+R897</f>
        <v>3150.9006080714375</v>
      </c>
      <c r="S923" s="955">
        <f>+S921+S909+S897</f>
        <v>7999.0103634505331</v>
      </c>
      <c r="T923" s="919"/>
      <c r="U923" s="918">
        <f>SUM(I923:T923)</f>
        <v>9310677.7999999989</v>
      </c>
      <c r="W923" s="646">
        <f t="shared" si="307"/>
        <v>0</v>
      </c>
    </row>
    <row r="924" spans="2:23" ht="9" customHeight="1" thickBot="1" x14ac:dyDescent="0.3">
      <c r="B924" s="645">
        <f t="shared" si="313"/>
        <v>38</v>
      </c>
      <c r="C924" s="647"/>
      <c r="D924" s="8"/>
      <c r="E924" s="645"/>
      <c r="F924" s="803"/>
      <c r="G924" s="645"/>
      <c r="H924" s="645"/>
      <c r="I924" s="645"/>
      <c r="J924" s="803"/>
      <c r="K924" s="803"/>
      <c r="L924" s="803"/>
      <c r="M924" s="803"/>
      <c r="N924" s="803"/>
      <c r="O924" s="803"/>
      <c r="P924" s="803"/>
      <c r="Q924" s="803"/>
      <c r="R924" s="803"/>
      <c r="S924" s="803"/>
      <c r="T924" s="645"/>
      <c r="U924" s="647"/>
      <c r="W924" s="646">
        <f t="shared" si="307"/>
        <v>0</v>
      </c>
    </row>
    <row r="925" spans="2:23" ht="18" customHeight="1" thickBot="1" x14ac:dyDescent="0.3">
      <c r="B925" s="645">
        <f t="shared" si="313"/>
        <v>39</v>
      </c>
      <c r="C925" s="223" t="s">
        <v>1115</v>
      </c>
      <c r="D925" s="224"/>
      <c r="E925" s="309" t="s">
        <v>262</v>
      </c>
      <c r="F925" s="812">
        <f>+F923+F874+F827</f>
        <v>38734366.330000006</v>
      </c>
      <c r="G925" s="309"/>
      <c r="H925" s="402"/>
      <c r="I925" s="403"/>
      <c r="J925" s="381">
        <f t="shared" ref="J925:S925" ca="1" si="330">+J923+J874+J827</f>
        <v>20221020.892721213</v>
      </c>
      <c r="K925" s="812">
        <f t="shared" ca="1" si="330"/>
        <v>2836707.524958462</v>
      </c>
      <c r="L925" s="812">
        <f t="shared" ca="1" si="330"/>
        <v>11155849.87620886</v>
      </c>
      <c r="M925" s="812">
        <f t="shared" ca="1" si="330"/>
        <v>469795.75127329445</v>
      </c>
      <c r="N925" s="812">
        <f t="shared" ca="1" si="330"/>
        <v>3617675.2897674693</v>
      </c>
      <c r="O925" s="812">
        <f t="shared" ca="1" si="330"/>
        <v>118703.87942856221</v>
      </c>
      <c r="P925" s="812">
        <f t="shared" ca="1" si="330"/>
        <v>247603.18408411753</v>
      </c>
      <c r="Q925" s="812">
        <f t="shared" ca="1" si="330"/>
        <v>20623.975847492326</v>
      </c>
      <c r="R925" s="812">
        <f t="shared" ca="1" si="330"/>
        <v>13108.403863276812</v>
      </c>
      <c r="S925" s="315">
        <f t="shared" ca="1" si="330"/>
        <v>33277.551847255527</v>
      </c>
      <c r="T925" s="403"/>
      <c r="U925" s="195">
        <f ca="1">SUM(I925:T925)</f>
        <v>38734366.330000006</v>
      </c>
      <c r="W925" s="646">
        <f t="shared" ref="W925:W955" ca="1" si="331">U925-F925</f>
        <v>0</v>
      </c>
    </row>
    <row r="926" spans="2:23" ht="18" customHeight="1" x14ac:dyDescent="0.2">
      <c r="B926" s="645"/>
      <c r="C926" s="645"/>
      <c r="D926" s="645"/>
      <c r="E926" s="645"/>
      <c r="F926" s="645"/>
      <c r="G926" s="645"/>
      <c r="H926" s="653"/>
      <c r="I926" s="645"/>
      <c r="J926" s="645"/>
      <c r="K926" s="645"/>
      <c r="L926" s="645"/>
      <c r="M926" s="645"/>
      <c r="N926" s="645"/>
      <c r="O926" s="645"/>
      <c r="P926" s="645"/>
      <c r="Q926" s="645"/>
      <c r="R926" s="645"/>
      <c r="S926" s="645"/>
      <c r="T926" s="645"/>
      <c r="U926" s="653"/>
      <c r="V926" s="653">
        <f>$H$2</f>
        <v>0</v>
      </c>
      <c r="W926" s="646"/>
    </row>
    <row r="927" spans="2:23" ht="18" customHeight="1" thickBot="1" x14ac:dyDescent="0.25">
      <c r="B927" s="645"/>
      <c r="C927" s="645"/>
      <c r="D927" s="645"/>
      <c r="E927" s="645"/>
      <c r="F927" s="645"/>
      <c r="G927" s="645"/>
      <c r="H927" s="645"/>
      <c r="I927" s="645"/>
      <c r="J927" s="645"/>
      <c r="K927" s="645"/>
      <c r="L927" s="645"/>
      <c r="M927" s="645"/>
      <c r="N927" s="645"/>
      <c r="O927" s="645"/>
      <c r="P927" s="645"/>
      <c r="Q927" s="645"/>
      <c r="R927" s="645"/>
      <c r="S927" s="645"/>
      <c r="T927" s="645"/>
      <c r="U927" s="645"/>
      <c r="W927" s="646"/>
    </row>
    <row r="928" spans="2:23" ht="18" customHeight="1" x14ac:dyDescent="0.25">
      <c r="B928" s="829" t="str">
        <f>+$B$4</f>
        <v>2025 RATE CASE</v>
      </c>
      <c r="C928" s="844"/>
      <c r="D928" s="877"/>
      <c r="F928" s="571"/>
      <c r="U928" s="653"/>
      <c r="W928" s="646"/>
    </row>
    <row r="929" spans="2:23" ht="18" customHeight="1" x14ac:dyDescent="0.25">
      <c r="B929" s="826" t="str">
        <f>+$B$5</f>
        <v>ONCOR ELECTRIC DELIVERY COMPANY LLC</v>
      </c>
      <c r="C929" s="8"/>
      <c r="D929" s="878"/>
      <c r="F929" s="571"/>
      <c r="U929" s="653"/>
      <c r="W929" s="646"/>
    </row>
    <row r="930" spans="2:23" ht="18" customHeight="1" x14ac:dyDescent="0.25">
      <c r="B930" s="826" t="str">
        <f>+$B$6</f>
        <v>II-I-1-MET:  CLASS REVENUE REQUIREMENT</v>
      </c>
      <c r="C930" s="82"/>
      <c r="D930" s="878"/>
      <c r="F930" s="571"/>
      <c r="U930" s="571"/>
      <c r="W930" s="646"/>
    </row>
    <row r="931" spans="2:23" ht="18" customHeight="1" x14ac:dyDescent="0.25">
      <c r="B931" s="341" t="str">
        <f>+$B$7</f>
        <v>TEST YEAR ENDING 12/31/2024</v>
      </c>
      <c r="C931" s="82"/>
      <c r="D931" s="878"/>
      <c r="F931" s="571"/>
      <c r="U931" s="571"/>
      <c r="W931" s="646"/>
    </row>
    <row r="932" spans="2:23" ht="18" customHeight="1" x14ac:dyDescent="0.25">
      <c r="B932" s="341" t="str">
        <f>+$B$8</f>
        <v>SPONSOR:  MATTHEW A. TROXLE</v>
      </c>
      <c r="C932" s="82"/>
      <c r="D932" s="878"/>
      <c r="F932" s="571"/>
      <c r="U932" s="571"/>
      <c r="W932" s="646"/>
    </row>
    <row r="933" spans="2:23" ht="18" customHeight="1" thickBot="1" x14ac:dyDescent="0.3">
      <c r="B933" s="345"/>
      <c r="C933" s="843"/>
      <c r="D933" s="879"/>
      <c r="F933" s="571"/>
      <c r="U933" s="571"/>
      <c r="W933" s="646"/>
    </row>
    <row r="934" spans="2:23" ht="18" customHeight="1" thickBot="1" x14ac:dyDescent="0.25">
      <c r="B934" s="655"/>
      <c r="C934" s="656"/>
      <c r="D934" s="656"/>
      <c r="E934" s="656"/>
      <c r="F934" s="655"/>
      <c r="G934" s="656"/>
      <c r="H934" s="656"/>
      <c r="I934" s="656"/>
      <c r="J934" s="657"/>
      <c r="K934" s="657"/>
      <c r="L934" s="656"/>
      <c r="M934" s="657"/>
      <c r="N934" s="657"/>
      <c r="O934" s="657"/>
      <c r="P934" s="657"/>
      <c r="Q934" s="656"/>
      <c r="R934" s="658" t="str">
        <f>R$10</f>
        <v xml:space="preserve"> </v>
      </c>
      <c r="S934" s="659"/>
      <c r="T934" s="657"/>
      <c r="U934" s="655"/>
      <c r="W934" s="646"/>
    </row>
    <row r="935" spans="2:23" ht="18" customHeight="1" x14ac:dyDescent="0.25">
      <c r="B935" s="660" t="s">
        <v>2</v>
      </c>
      <c r="C935" s="660" t="s">
        <v>349</v>
      </c>
      <c r="D935" s="226" t="s">
        <v>1110</v>
      </c>
      <c r="E935" s="660" t="s">
        <v>350</v>
      </c>
      <c r="F935" s="226" t="str">
        <f>F$11</f>
        <v>MET</v>
      </c>
      <c r="G935" s="661" t="s">
        <v>688</v>
      </c>
      <c r="H935" s="661" t="s">
        <v>355</v>
      </c>
      <c r="I935" s="660"/>
      <c r="J935" s="661" t="s">
        <v>679</v>
      </c>
      <c r="K935" s="661" t="s">
        <v>388</v>
      </c>
      <c r="L935" s="660" t="s">
        <v>388</v>
      </c>
      <c r="M935" s="661" t="s">
        <v>389</v>
      </c>
      <c r="N935" s="661" t="s">
        <v>389</v>
      </c>
      <c r="O935" s="661" t="s">
        <v>389</v>
      </c>
      <c r="P935" s="661" t="s">
        <v>390</v>
      </c>
      <c r="Q935" s="660" t="s">
        <v>391</v>
      </c>
      <c r="R935" s="662" t="str">
        <f>R$11</f>
        <v>Wholesale</v>
      </c>
      <c r="S935" s="655" t="str">
        <f>S$11</f>
        <v>Wholesale</v>
      </c>
      <c r="T935" s="661"/>
      <c r="U935" s="660" t="s">
        <v>10</v>
      </c>
      <c r="W935" s="646"/>
    </row>
    <row r="936" spans="2:23" ht="18" customHeight="1" x14ac:dyDescent="0.2">
      <c r="B936" s="660"/>
      <c r="C936" s="660"/>
      <c r="D936" s="660"/>
      <c r="E936" s="660"/>
      <c r="F936" s="660"/>
      <c r="G936" s="661" t="s">
        <v>689</v>
      </c>
      <c r="H936" s="661" t="s">
        <v>690</v>
      </c>
      <c r="I936" s="660"/>
      <c r="J936" s="661"/>
      <c r="K936" s="661" t="s">
        <v>680</v>
      </c>
      <c r="L936" s="660" t="s">
        <v>681</v>
      </c>
      <c r="M936" s="661" t="s">
        <v>680</v>
      </c>
      <c r="N936" s="661" t="s">
        <v>681</v>
      </c>
      <c r="O936" s="661" t="s">
        <v>393</v>
      </c>
      <c r="P936" s="661"/>
      <c r="Q936" s="660"/>
      <c r="R936" s="663" t="str">
        <f>R$12</f>
        <v>XFMR</v>
      </c>
      <c r="S936" s="660" t="str">
        <f>S$12</f>
        <v>DLS</v>
      </c>
      <c r="T936" s="661"/>
      <c r="U936" s="660"/>
      <c r="W936" s="646"/>
    </row>
    <row r="937" spans="2:23" ht="18" customHeight="1" thickBot="1" x14ac:dyDescent="0.25">
      <c r="B937" s="664"/>
      <c r="C937" s="664"/>
      <c r="D937" s="664"/>
      <c r="E937" s="664"/>
      <c r="F937" s="664" t="s">
        <v>13</v>
      </c>
      <c r="G937" s="664" t="s">
        <v>14</v>
      </c>
      <c r="H937" s="664" t="s">
        <v>15</v>
      </c>
      <c r="I937" s="664"/>
      <c r="J937" s="665" t="str">
        <f t="shared" ref="J937:Q937" si="332">J$13</f>
        <v>(d)</v>
      </c>
      <c r="K937" s="665" t="str">
        <f t="shared" si="332"/>
        <v>(e)</v>
      </c>
      <c r="L937" s="664" t="str">
        <f t="shared" si="332"/>
        <v>(f)</v>
      </c>
      <c r="M937" s="665" t="str">
        <f t="shared" si="332"/>
        <v>(g)</v>
      </c>
      <c r="N937" s="665" t="str">
        <f t="shared" si="332"/>
        <v>(h)</v>
      </c>
      <c r="O937" s="665" t="str">
        <f>O$13</f>
        <v>(i)</v>
      </c>
      <c r="P937" s="665" t="str">
        <f t="shared" si="332"/>
        <v>(j)</v>
      </c>
      <c r="Q937" s="665" t="str">
        <f t="shared" si="332"/>
        <v>(k)</v>
      </c>
      <c r="R937" s="665" t="str">
        <f>R$13</f>
        <v>(l)</v>
      </c>
      <c r="S937" s="664" t="str">
        <f>S$13</f>
        <v>(m)</v>
      </c>
      <c r="T937" s="664"/>
      <c r="U937" s="664" t="s">
        <v>683</v>
      </c>
      <c r="W937" s="646"/>
    </row>
    <row r="938" spans="2:23" ht="18" customHeight="1" x14ac:dyDescent="0.25">
      <c r="B938" s="645"/>
      <c r="C938" s="647"/>
      <c r="D938" s="8"/>
      <c r="E938" s="803"/>
      <c r="F938" s="803"/>
      <c r="G938" s="803"/>
      <c r="H938" s="803"/>
      <c r="I938" s="803"/>
      <c r="J938" s="803"/>
      <c r="K938" s="803"/>
      <c r="L938" s="803"/>
      <c r="M938" s="803"/>
      <c r="N938" s="803"/>
      <c r="O938" s="803"/>
      <c r="P938" s="803"/>
      <c r="Q938" s="803"/>
      <c r="R938" s="803"/>
      <c r="S938" s="803"/>
      <c r="T938" s="803"/>
      <c r="U938" s="647"/>
      <c r="W938" s="646">
        <f t="shared" si="331"/>
        <v>0</v>
      </c>
    </row>
    <row r="939" spans="2:23" ht="18" customHeight="1" x14ac:dyDescent="0.25">
      <c r="B939" s="645">
        <f t="shared" ref="B939:B957" si="333">B938+1</f>
        <v>1</v>
      </c>
      <c r="C939" s="8" t="s">
        <v>1110</v>
      </c>
      <c r="D939" s="8"/>
      <c r="E939" s="1571" t="s">
        <v>262</v>
      </c>
      <c r="F939" s="805"/>
      <c r="G939" s="1571"/>
      <c r="H939" s="1571"/>
      <c r="I939" s="1571"/>
      <c r="J939" s="1571"/>
      <c r="K939" s="1571"/>
      <c r="L939" s="1571"/>
      <c r="M939" s="1571"/>
      <c r="N939" s="1571"/>
      <c r="O939" s="1571"/>
      <c r="P939" s="1571"/>
      <c r="Q939" s="1571"/>
      <c r="R939" s="1571"/>
      <c r="S939" s="1571"/>
      <c r="T939" s="1571"/>
      <c r="U939" s="8"/>
      <c r="W939" s="646">
        <f t="shared" si="331"/>
        <v>0</v>
      </c>
    </row>
    <row r="940" spans="2:23" ht="18" customHeight="1" x14ac:dyDescent="0.25">
      <c r="B940" s="645">
        <f t="shared" si="333"/>
        <v>2</v>
      </c>
      <c r="C940" s="647" t="s">
        <v>237</v>
      </c>
      <c r="D940" s="647" t="s">
        <v>238</v>
      </c>
      <c r="E940" s="803"/>
      <c r="F940" s="646">
        <f>' WP II-I-1.4'!H940</f>
        <v>18757079.369999997</v>
      </c>
      <c r="G940" s="645">
        <v>77</v>
      </c>
      <c r="H940" s="620" t="str">
        <f t="shared" ref="H940:H952" si="334">VLOOKUP(G940,FactorTable,2)</f>
        <v>O&amp;M x565</v>
      </c>
      <c r="I940" s="803"/>
      <c r="J940" s="648">
        <f t="shared" ref="J940:S952" ca="1" si="335">$F940*HLOOKUP(J$1354,FactorTable,$G940+1)</f>
        <v>9788947.2840231471</v>
      </c>
      <c r="K940" s="648">
        <f t="shared" ca="1" si="335"/>
        <v>1373092.3788006776</v>
      </c>
      <c r="L940" s="648">
        <f t="shared" ca="1" si="335"/>
        <v>5400600.7913276572</v>
      </c>
      <c r="M940" s="648">
        <f t="shared" ca="1" si="335"/>
        <v>227397.79232221705</v>
      </c>
      <c r="N940" s="648">
        <f t="shared" ca="1" si="335"/>
        <v>1751309.3616318731</v>
      </c>
      <c r="O940" s="648">
        <f t="shared" ca="1" si="335"/>
        <v>57555.393050696541</v>
      </c>
      <c r="P940" s="648">
        <f t="shared" ca="1" si="335"/>
        <v>119848.50049004481</v>
      </c>
      <c r="Q940" s="648">
        <f t="shared" ca="1" si="335"/>
        <v>15859.842577954247</v>
      </c>
      <c r="R940" s="648">
        <f t="shared" ca="1" si="335"/>
        <v>6351.7370562779006</v>
      </c>
      <c r="S940" s="648">
        <f t="shared" ca="1" si="335"/>
        <v>16116.288719451526</v>
      </c>
      <c r="T940" s="803"/>
      <c r="U940" s="235">
        <f t="shared" ref="U940:U953" ca="1" si="336">SUM(I940:T940)</f>
        <v>18757079.369999997</v>
      </c>
      <c r="W940" s="646">
        <f t="shared" ca="1" si="331"/>
        <v>0</v>
      </c>
    </row>
    <row r="941" spans="2:23" ht="18" customHeight="1" x14ac:dyDescent="0.2">
      <c r="B941" s="645">
        <f t="shared" si="333"/>
        <v>3</v>
      </c>
      <c r="C941" s="647" t="s">
        <v>239</v>
      </c>
      <c r="D941" s="647" t="s">
        <v>240</v>
      </c>
      <c r="E941" s="803"/>
      <c r="F941" s="646">
        <f>' WP II-I-1.4'!H941</f>
        <v>0</v>
      </c>
      <c r="G941" s="645">
        <v>77</v>
      </c>
      <c r="H941" s="620" t="str">
        <f t="shared" si="334"/>
        <v>O&amp;M x565</v>
      </c>
      <c r="I941" s="803"/>
      <c r="J941" s="648">
        <f t="shared" ca="1" si="335"/>
        <v>0</v>
      </c>
      <c r="K941" s="648">
        <f t="shared" ca="1" si="335"/>
        <v>0</v>
      </c>
      <c r="L941" s="648">
        <f t="shared" ca="1" si="335"/>
        <v>0</v>
      </c>
      <c r="M941" s="648">
        <f t="shared" ca="1" si="335"/>
        <v>0</v>
      </c>
      <c r="N941" s="648">
        <f t="shared" ca="1" si="335"/>
        <v>0</v>
      </c>
      <c r="O941" s="648">
        <f t="shared" ca="1" si="335"/>
        <v>0</v>
      </c>
      <c r="P941" s="648">
        <f t="shared" ca="1" si="335"/>
        <v>0</v>
      </c>
      <c r="Q941" s="648">
        <f t="shared" ca="1" si="335"/>
        <v>0</v>
      </c>
      <c r="R941" s="648">
        <f t="shared" ca="1" si="335"/>
        <v>0</v>
      </c>
      <c r="S941" s="648">
        <f t="shared" ca="1" si="335"/>
        <v>0</v>
      </c>
      <c r="T941" s="803"/>
      <c r="U941" s="646">
        <f t="shared" ca="1" si="336"/>
        <v>0</v>
      </c>
      <c r="W941" s="646">
        <f t="shared" ca="1" si="331"/>
        <v>0</v>
      </c>
    </row>
    <row r="942" spans="2:23" ht="18" customHeight="1" x14ac:dyDescent="0.2">
      <c r="B942" s="645">
        <f t="shared" si="333"/>
        <v>4</v>
      </c>
      <c r="C942" s="647" t="s">
        <v>241</v>
      </c>
      <c r="D942" s="647" t="s">
        <v>242</v>
      </c>
      <c r="E942" s="803"/>
      <c r="F942" s="646">
        <f>' WP II-I-1.4'!H942</f>
        <v>0</v>
      </c>
      <c r="G942" s="645">
        <v>77</v>
      </c>
      <c r="H942" s="620" t="str">
        <f t="shared" si="334"/>
        <v>O&amp;M x565</v>
      </c>
      <c r="I942" s="803"/>
      <c r="J942" s="648">
        <f t="shared" ca="1" si="335"/>
        <v>0</v>
      </c>
      <c r="K942" s="648">
        <f t="shared" ca="1" si="335"/>
        <v>0</v>
      </c>
      <c r="L942" s="648">
        <f t="shared" ca="1" si="335"/>
        <v>0</v>
      </c>
      <c r="M942" s="648">
        <f t="shared" ca="1" si="335"/>
        <v>0</v>
      </c>
      <c r="N942" s="648">
        <f t="shared" ca="1" si="335"/>
        <v>0</v>
      </c>
      <c r="O942" s="648">
        <f t="shared" ca="1" si="335"/>
        <v>0</v>
      </c>
      <c r="P942" s="648">
        <f t="shared" ca="1" si="335"/>
        <v>0</v>
      </c>
      <c r="Q942" s="648">
        <f t="shared" ca="1" si="335"/>
        <v>0</v>
      </c>
      <c r="R942" s="648">
        <f t="shared" ca="1" si="335"/>
        <v>0</v>
      </c>
      <c r="S942" s="648">
        <f t="shared" ca="1" si="335"/>
        <v>0</v>
      </c>
      <c r="T942" s="803"/>
      <c r="U942" s="646">
        <f t="shared" ca="1" si="336"/>
        <v>0</v>
      </c>
      <c r="W942" s="646">
        <f t="shared" ca="1" si="331"/>
        <v>0</v>
      </c>
    </row>
    <row r="943" spans="2:23" ht="18" customHeight="1" x14ac:dyDescent="0.2">
      <c r="B943" s="645">
        <f t="shared" si="333"/>
        <v>5</v>
      </c>
      <c r="C943" s="647" t="s">
        <v>243</v>
      </c>
      <c r="D943" s="647" t="s">
        <v>244</v>
      </c>
      <c r="E943" s="803"/>
      <c r="F943" s="646">
        <f>' WP II-I-1.4'!H943</f>
        <v>0</v>
      </c>
      <c r="G943" s="645">
        <v>77</v>
      </c>
      <c r="H943" s="620" t="str">
        <f t="shared" si="334"/>
        <v>O&amp;M x565</v>
      </c>
      <c r="I943" s="803"/>
      <c r="J943" s="648">
        <f t="shared" ca="1" si="335"/>
        <v>0</v>
      </c>
      <c r="K943" s="648">
        <f t="shared" ca="1" si="335"/>
        <v>0</v>
      </c>
      <c r="L943" s="648">
        <f t="shared" ca="1" si="335"/>
        <v>0</v>
      </c>
      <c r="M943" s="648">
        <f t="shared" ca="1" si="335"/>
        <v>0</v>
      </c>
      <c r="N943" s="648">
        <f t="shared" ca="1" si="335"/>
        <v>0</v>
      </c>
      <c r="O943" s="648">
        <f t="shared" ca="1" si="335"/>
        <v>0</v>
      </c>
      <c r="P943" s="648">
        <f t="shared" ca="1" si="335"/>
        <v>0</v>
      </c>
      <c r="Q943" s="648">
        <f t="shared" ca="1" si="335"/>
        <v>0</v>
      </c>
      <c r="R943" s="648">
        <f t="shared" ca="1" si="335"/>
        <v>0</v>
      </c>
      <c r="S943" s="648">
        <f t="shared" ca="1" si="335"/>
        <v>0</v>
      </c>
      <c r="T943" s="803"/>
      <c r="U943" s="646">
        <f t="shared" ca="1" si="336"/>
        <v>0</v>
      </c>
      <c r="W943" s="646">
        <f t="shared" ca="1" si="331"/>
        <v>0</v>
      </c>
    </row>
    <row r="944" spans="2:23" ht="18" customHeight="1" x14ac:dyDescent="0.2">
      <c r="B944" s="645">
        <f t="shared" si="333"/>
        <v>6</v>
      </c>
      <c r="C944" s="649" t="s">
        <v>245</v>
      </c>
      <c r="D944" s="647" t="s">
        <v>246</v>
      </c>
      <c r="E944" s="803"/>
      <c r="F944" s="646">
        <f>' WP II-I-1.4'!H944</f>
        <v>0</v>
      </c>
      <c r="G944" s="645">
        <v>64</v>
      </c>
      <c r="H944" s="620" t="str">
        <f t="shared" si="334"/>
        <v>PLANT</v>
      </c>
      <c r="I944" s="803"/>
      <c r="J944" s="648">
        <f t="shared" ca="1" si="335"/>
        <v>0</v>
      </c>
      <c r="K944" s="648">
        <f t="shared" ca="1" si="335"/>
        <v>0</v>
      </c>
      <c r="L944" s="648">
        <f t="shared" ca="1" si="335"/>
        <v>0</v>
      </c>
      <c r="M944" s="648">
        <f t="shared" ca="1" si="335"/>
        <v>0</v>
      </c>
      <c r="N944" s="648">
        <f t="shared" ca="1" si="335"/>
        <v>0</v>
      </c>
      <c r="O944" s="648">
        <f t="shared" ca="1" si="335"/>
        <v>0</v>
      </c>
      <c r="P944" s="648">
        <f t="shared" ca="1" si="335"/>
        <v>0</v>
      </c>
      <c r="Q944" s="648">
        <f t="shared" ca="1" si="335"/>
        <v>0</v>
      </c>
      <c r="R944" s="648">
        <f t="shared" ca="1" si="335"/>
        <v>0</v>
      </c>
      <c r="S944" s="648">
        <f t="shared" ca="1" si="335"/>
        <v>0</v>
      </c>
      <c r="T944" s="803"/>
      <c r="U944" s="646">
        <f t="shared" ca="1" si="336"/>
        <v>0</v>
      </c>
      <c r="W944" s="646">
        <f t="shared" ca="1" si="331"/>
        <v>0</v>
      </c>
    </row>
    <row r="945" spans="2:23" ht="18" customHeight="1" x14ac:dyDescent="0.2">
      <c r="B945" s="645">
        <f t="shared" si="333"/>
        <v>7</v>
      </c>
      <c r="C945" s="649" t="s">
        <v>247</v>
      </c>
      <c r="D945" s="647" t="s">
        <v>248</v>
      </c>
      <c r="E945" s="803"/>
      <c r="F945" s="646">
        <f>' WP II-I-1.4'!H945</f>
        <v>0</v>
      </c>
      <c r="G945" s="645">
        <v>77</v>
      </c>
      <c r="H945" s="620" t="str">
        <f t="shared" si="334"/>
        <v>O&amp;M x565</v>
      </c>
      <c r="I945" s="803"/>
      <c r="J945" s="648">
        <f t="shared" ca="1" si="335"/>
        <v>0</v>
      </c>
      <c r="K945" s="648">
        <f t="shared" ca="1" si="335"/>
        <v>0</v>
      </c>
      <c r="L945" s="648">
        <f t="shared" ca="1" si="335"/>
        <v>0</v>
      </c>
      <c r="M945" s="648">
        <f t="shared" ca="1" si="335"/>
        <v>0</v>
      </c>
      <c r="N945" s="648">
        <f t="shared" ca="1" si="335"/>
        <v>0</v>
      </c>
      <c r="O945" s="648">
        <f t="shared" ca="1" si="335"/>
        <v>0</v>
      </c>
      <c r="P945" s="648">
        <f t="shared" ca="1" si="335"/>
        <v>0</v>
      </c>
      <c r="Q945" s="648">
        <f t="shared" ca="1" si="335"/>
        <v>0</v>
      </c>
      <c r="R945" s="648">
        <f t="shared" ca="1" si="335"/>
        <v>0</v>
      </c>
      <c r="S945" s="648">
        <f t="shared" ca="1" si="335"/>
        <v>0</v>
      </c>
      <c r="T945" s="803"/>
      <c r="U945" s="646">
        <f t="shared" ca="1" si="336"/>
        <v>0</v>
      </c>
      <c r="W945" s="646">
        <f t="shared" ca="1" si="331"/>
        <v>0</v>
      </c>
    </row>
    <row r="946" spans="2:23" ht="18" customHeight="1" x14ac:dyDescent="0.2">
      <c r="B946" s="645">
        <f t="shared" si="333"/>
        <v>8</v>
      </c>
      <c r="C946" s="647" t="s">
        <v>249</v>
      </c>
      <c r="D946" s="647" t="s">
        <v>250</v>
      </c>
      <c r="E946" s="803"/>
      <c r="F946" s="646">
        <f>' WP II-I-1.4'!H946</f>
        <v>0</v>
      </c>
      <c r="G946" s="645">
        <v>77</v>
      </c>
      <c r="H946" s="620" t="str">
        <f t="shared" si="334"/>
        <v>O&amp;M x565</v>
      </c>
      <c r="I946" s="803"/>
      <c r="J946" s="648">
        <f t="shared" ca="1" si="335"/>
        <v>0</v>
      </c>
      <c r="K946" s="648">
        <f t="shared" ca="1" si="335"/>
        <v>0</v>
      </c>
      <c r="L946" s="648">
        <f t="shared" ca="1" si="335"/>
        <v>0</v>
      </c>
      <c r="M946" s="648">
        <f t="shared" ca="1" si="335"/>
        <v>0</v>
      </c>
      <c r="N946" s="648">
        <f t="shared" ca="1" si="335"/>
        <v>0</v>
      </c>
      <c r="O946" s="648">
        <f t="shared" ca="1" si="335"/>
        <v>0</v>
      </c>
      <c r="P946" s="648">
        <f t="shared" ca="1" si="335"/>
        <v>0</v>
      </c>
      <c r="Q946" s="648">
        <f t="shared" ca="1" si="335"/>
        <v>0</v>
      </c>
      <c r="R946" s="648">
        <f t="shared" ca="1" si="335"/>
        <v>0</v>
      </c>
      <c r="S946" s="648">
        <f t="shared" ca="1" si="335"/>
        <v>0</v>
      </c>
      <c r="T946" s="803"/>
      <c r="U946" s="646">
        <f t="shared" ca="1" si="336"/>
        <v>0</v>
      </c>
      <c r="W946" s="646">
        <f t="shared" ca="1" si="331"/>
        <v>0</v>
      </c>
    </row>
    <row r="947" spans="2:23" ht="18" customHeight="1" x14ac:dyDescent="0.2">
      <c r="B947" s="645">
        <f t="shared" si="333"/>
        <v>9</v>
      </c>
      <c r="C947" s="647" t="s">
        <v>251</v>
      </c>
      <c r="D947" s="647" t="s">
        <v>252</v>
      </c>
      <c r="E947" s="803"/>
      <c r="F947" s="646">
        <f>' WP II-I-1.4'!H947</f>
        <v>0</v>
      </c>
      <c r="G947" s="645">
        <v>14</v>
      </c>
      <c r="H947" s="620" t="str">
        <f t="shared" si="334"/>
        <v>REVENUE</v>
      </c>
      <c r="I947" s="803"/>
      <c r="J947" s="648">
        <f t="shared" si="335"/>
        <v>0</v>
      </c>
      <c r="K947" s="648">
        <f t="shared" si="335"/>
        <v>0</v>
      </c>
      <c r="L947" s="648">
        <f t="shared" si="335"/>
        <v>0</v>
      </c>
      <c r="M947" s="648">
        <f t="shared" si="335"/>
        <v>0</v>
      </c>
      <c r="N947" s="648">
        <f t="shared" si="335"/>
        <v>0</v>
      </c>
      <c r="O947" s="648">
        <f t="shared" si="335"/>
        <v>0</v>
      </c>
      <c r="P947" s="648">
        <f t="shared" si="335"/>
        <v>0</v>
      </c>
      <c r="Q947" s="648">
        <f t="shared" si="335"/>
        <v>0</v>
      </c>
      <c r="R947" s="648">
        <f t="shared" si="335"/>
        <v>0</v>
      </c>
      <c r="S947" s="648">
        <f t="shared" si="335"/>
        <v>0</v>
      </c>
      <c r="T947" s="803"/>
      <c r="U947" s="646">
        <f t="shared" si="336"/>
        <v>0</v>
      </c>
      <c r="W947" s="646">
        <f t="shared" si="331"/>
        <v>0</v>
      </c>
    </row>
    <row r="948" spans="2:23" ht="18" customHeight="1" x14ac:dyDescent="0.2">
      <c r="B948" s="645">
        <f t="shared" si="333"/>
        <v>10</v>
      </c>
      <c r="C948" s="647" t="s">
        <v>253</v>
      </c>
      <c r="D948" s="647" t="s">
        <v>254</v>
      </c>
      <c r="E948" s="803"/>
      <c r="F948" s="646">
        <f>' WP II-I-1.4'!H948</f>
        <v>0</v>
      </c>
      <c r="G948" s="645">
        <v>77</v>
      </c>
      <c r="H948" s="620" t="str">
        <f t="shared" si="334"/>
        <v>O&amp;M x565</v>
      </c>
      <c r="I948" s="803"/>
      <c r="J948" s="648">
        <f t="shared" ca="1" si="335"/>
        <v>0</v>
      </c>
      <c r="K948" s="648">
        <f t="shared" ca="1" si="335"/>
        <v>0</v>
      </c>
      <c r="L948" s="648">
        <f t="shared" ca="1" si="335"/>
        <v>0</v>
      </c>
      <c r="M948" s="648">
        <f t="shared" ca="1" si="335"/>
        <v>0</v>
      </c>
      <c r="N948" s="648">
        <f t="shared" ca="1" si="335"/>
        <v>0</v>
      </c>
      <c r="O948" s="648">
        <f t="shared" ca="1" si="335"/>
        <v>0</v>
      </c>
      <c r="P948" s="648">
        <f t="shared" ca="1" si="335"/>
        <v>0</v>
      </c>
      <c r="Q948" s="648">
        <f t="shared" ca="1" si="335"/>
        <v>0</v>
      </c>
      <c r="R948" s="648">
        <f t="shared" ca="1" si="335"/>
        <v>0</v>
      </c>
      <c r="S948" s="648">
        <f t="shared" ca="1" si="335"/>
        <v>0</v>
      </c>
      <c r="T948" s="803"/>
      <c r="U948" s="646">
        <f t="shared" ca="1" si="336"/>
        <v>0</v>
      </c>
      <c r="W948" s="646">
        <f t="shared" ca="1" si="331"/>
        <v>0</v>
      </c>
    </row>
    <row r="949" spans="2:23" ht="18" customHeight="1" x14ac:dyDescent="0.2">
      <c r="B949" s="645">
        <f t="shared" si="333"/>
        <v>11</v>
      </c>
      <c r="C949" s="647" t="s">
        <v>255</v>
      </c>
      <c r="D949" s="647" t="s">
        <v>256</v>
      </c>
      <c r="E949" s="803"/>
      <c r="F949" s="646">
        <f>' WP II-I-1.4'!H949</f>
        <v>659.04</v>
      </c>
      <c r="G949" s="645">
        <v>77</v>
      </c>
      <c r="H949" s="620" t="str">
        <f t="shared" si="334"/>
        <v>O&amp;M x565</v>
      </c>
      <c r="I949" s="803"/>
      <c r="J949" s="648">
        <f t="shared" ca="1" si="335"/>
        <v>343.93989015053228</v>
      </c>
      <c r="K949" s="648">
        <f t="shared" ca="1" si="335"/>
        <v>48.24433396449389</v>
      </c>
      <c r="L949" s="648">
        <f t="shared" ca="1" si="335"/>
        <v>189.75299273985956</v>
      </c>
      <c r="M949" s="648">
        <f t="shared" ca="1" si="335"/>
        <v>7.9897428643249349</v>
      </c>
      <c r="N949" s="648">
        <f t="shared" ca="1" si="335"/>
        <v>61.533189625239068</v>
      </c>
      <c r="O949" s="648">
        <f t="shared" ca="1" si="335"/>
        <v>2.0222394695838539</v>
      </c>
      <c r="P949" s="648">
        <f t="shared" ca="1" si="335"/>
        <v>4.2109410641662786</v>
      </c>
      <c r="Q949" s="648">
        <f t="shared" ca="1" si="335"/>
        <v>0.5572440381785817</v>
      </c>
      <c r="R949" s="648">
        <f t="shared" ca="1" si="335"/>
        <v>0.22317167331842389</v>
      </c>
      <c r="S949" s="648">
        <f t="shared" ca="1" si="335"/>
        <v>0.56625441030307555</v>
      </c>
      <c r="T949" s="803"/>
      <c r="U949" s="646">
        <f t="shared" ca="1" si="336"/>
        <v>659.04</v>
      </c>
      <c r="W949" s="646">
        <f t="shared" ca="1" si="331"/>
        <v>0</v>
      </c>
    </row>
    <row r="950" spans="2:23" ht="18" customHeight="1" x14ac:dyDescent="0.2">
      <c r="B950" s="645">
        <f t="shared" si="333"/>
        <v>12</v>
      </c>
      <c r="C950" s="649" t="s">
        <v>257</v>
      </c>
      <c r="D950" s="647" t="s">
        <v>189</v>
      </c>
      <c r="E950" s="803"/>
      <c r="F950" s="646">
        <f>' WP II-I-1.4'!H950</f>
        <v>0</v>
      </c>
      <c r="G950" s="645">
        <v>77</v>
      </c>
      <c r="H950" s="620" t="str">
        <f t="shared" si="334"/>
        <v>O&amp;M x565</v>
      </c>
      <c r="I950" s="803"/>
      <c r="J950" s="648">
        <f t="shared" ca="1" si="335"/>
        <v>0</v>
      </c>
      <c r="K950" s="648">
        <f t="shared" ca="1" si="335"/>
        <v>0</v>
      </c>
      <c r="L950" s="648">
        <f t="shared" ca="1" si="335"/>
        <v>0</v>
      </c>
      <c r="M950" s="648">
        <f t="shared" ca="1" si="335"/>
        <v>0</v>
      </c>
      <c r="N950" s="648">
        <f t="shared" ca="1" si="335"/>
        <v>0</v>
      </c>
      <c r="O950" s="648">
        <f t="shared" ca="1" si="335"/>
        <v>0</v>
      </c>
      <c r="P950" s="648">
        <f t="shared" ca="1" si="335"/>
        <v>0</v>
      </c>
      <c r="Q950" s="648">
        <f t="shared" ca="1" si="335"/>
        <v>0</v>
      </c>
      <c r="R950" s="648">
        <f t="shared" ca="1" si="335"/>
        <v>0</v>
      </c>
      <c r="S950" s="648">
        <f t="shared" ca="1" si="335"/>
        <v>0</v>
      </c>
      <c r="T950" s="803"/>
      <c r="U950" s="646">
        <f t="shared" ca="1" si="336"/>
        <v>0</v>
      </c>
      <c r="W950" s="646">
        <f t="shared" ca="1" si="331"/>
        <v>0</v>
      </c>
    </row>
    <row r="951" spans="2:23" ht="18" customHeight="1" x14ac:dyDescent="0.2">
      <c r="B951" s="645">
        <f t="shared" si="333"/>
        <v>13</v>
      </c>
      <c r="C951" s="649" t="s">
        <v>258</v>
      </c>
      <c r="D951" s="647" t="s">
        <v>259</v>
      </c>
      <c r="E951" s="803"/>
      <c r="F951" s="646">
        <f>' WP II-I-1.4'!H951</f>
        <v>0</v>
      </c>
      <c r="G951" s="645">
        <v>62</v>
      </c>
      <c r="H951" s="620" t="str">
        <f t="shared" si="334"/>
        <v>PLTGEN</v>
      </c>
      <c r="I951" s="803"/>
      <c r="J951" s="648">
        <f t="shared" ca="1" si="335"/>
        <v>0</v>
      </c>
      <c r="K951" s="648">
        <f t="shared" ca="1" si="335"/>
        <v>0</v>
      </c>
      <c r="L951" s="648">
        <f t="shared" ca="1" si="335"/>
        <v>0</v>
      </c>
      <c r="M951" s="648">
        <f t="shared" ca="1" si="335"/>
        <v>0</v>
      </c>
      <c r="N951" s="648">
        <f t="shared" ca="1" si="335"/>
        <v>0</v>
      </c>
      <c r="O951" s="648">
        <f t="shared" ca="1" si="335"/>
        <v>0</v>
      </c>
      <c r="P951" s="648">
        <f t="shared" ca="1" si="335"/>
        <v>0</v>
      </c>
      <c r="Q951" s="648">
        <f t="shared" ca="1" si="335"/>
        <v>0</v>
      </c>
      <c r="R951" s="648">
        <f t="shared" ca="1" si="335"/>
        <v>0</v>
      </c>
      <c r="S951" s="648">
        <f t="shared" ca="1" si="335"/>
        <v>0</v>
      </c>
      <c r="T951" s="803"/>
      <c r="U951" s="646">
        <f t="shared" ca="1" si="336"/>
        <v>0</v>
      </c>
      <c r="W951" s="646">
        <f t="shared" ca="1" si="331"/>
        <v>0</v>
      </c>
    </row>
    <row r="952" spans="2:23" ht="18" customHeight="1" x14ac:dyDescent="0.2">
      <c r="B952" s="645">
        <f t="shared" si="333"/>
        <v>14</v>
      </c>
      <c r="C952" s="650" t="s">
        <v>260</v>
      </c>
      <c r="D952" s="647" t="s">
        <v>259</v>
      </c>
      <c r="E952" s="803"/>
      <c r="F952" s="646">
        <f>' WP II-I-1.4'!H952</f>
        <v>291823.53000000003</v>
      </c>
      <c r="G952" s="645">
        <v>62</v>
      </c>
      <c r="H952" s="620" t="str">
        <f t="shared" si="334"/>
        <v>PLTGEN</v>
      </c>
      <c r="I952" s="803"/>
      <c r="J952" s="651">
        <f t="shared" ca="1" si="335"/>
        <v>152344.56924872729</v>
      </c>
      <c r="K952" s="651">
        <f t="shared" ca="1" si="335"/>
        <v>21371.670019389578</v>
      </c>
      <c r="L952" s="651">
        <f t="shared" ca="1" si="335"/>
        <v>84047.840759922896</v>
      </c>
      <c r="M952" s="651">
        <f t="shared" ca="1" si="335"/>
        <v>3539.4272001556074</v>
      </c>
      <c r="N952" s="651">
        <f t="shared" ca="1" si="335"/>
        <v>27255.457903204893</v>
      </c>
      <c r="O952" s="651">
        <f t="shared" ca="1" si="335"/>
        <v>894.31149275982762</v>
      </c>
      <c r="P952" s="651">
        <f t="shared" ca="1" si="335"/>
        <v>1865.4350155726468</v>
      </c>
      <c r="Q952" s="651">
        <f t="shared" ca="1" si="335"/>
        <v>155.3479512605561</v>
      </c>
      <c r="R952" s="651">
        <f t="shared" ca="1" si="335"/>
        <v>98.758324353846021</v>
      </c>
      <c r="S952" s="651">
        <f t="shared" ca="1" si="335"/>
        <v>250.71208465281842</v>
      </c>
      <c r="T952" s="803"/>
      <c r="U952" s="646">
        <f t="shared" ca="1" si="336"/>
        <v>291823.52999999997</v>
      </c>
      <c r="W952" s="646">
        <f t="shared" ca="1" si="331"/>
        <v>0</v>
      </c>
    </row>
    <row r="953" spans="2:23" ht="18" customHeight="1" x14ac:dyDescent="0.25">
      <c r="B953" s="645">
        <f t="shared" si="333"/>
        <v>15</v>
      </c>
      <c r="C953" s="8" t="s">
        <v>636</v>
      </c>
      <c r="D953" s="32"/>
      <c r="E953" s="805"/>
      <c r="F953" s="805">
        <f>SUM(F940:F952)</f>
        <v>19049561.939999998</v>
      </c>
      <c r="G953" s="805"/>
      <c r="H953" s="805"/>
      <c r="I953" s="805"/>
      <c r="J953" s="805">
        <f t="shared" ref="J953:Q953" ca="1" si="337">SUM(J940:J952)</f>
        <v>9941635.7931620236</v>
      </c>
      <c r="K953" s="805">
        <f t="shared" ca="1" si="337"/>
        <v>1394512.2931540317</v>
      </c>
      <c r="L953" s="805">
        <f t="shared" ca="1" si="337"/>
        <v>5484838.3850803198</v>
      </c>
      <c r="M953" s="805">
        <f t="shared" ca="1" si="337"/>
        <v>230945.20926523698</v>
      </c>
      <c r="N953" s="805">
        <f t="shared" ca="1" si="337"/>
        <v>1778626.3527247033</v>
      </c>
      <c r="O953" s="805">
        <f ca="1">SUM(O940:O952)</f>
        <v>58451.726782925951</v>
      </c>
      <c r="P953" s="805">
        <f t="shared" ca="1" si="337"/>
        <v>121718.14644668163</v>
      </c>
      <c r="Q953" s="805">
        <f t="shared" ca="1" si="337"/>
        <v>16015.747773252981</v>
      </c>
      <c r="R953" s="805">
        <f ca="1">SUM(R940:R952)</f>
        <v>6450.7185523050648</v>
      </c>
      <c r="S953" s="805">
        <f ca="1">SUM(S940:S952)</f>
        <v>16367.567058514647</v>
      </c>
      <c r="T953" s="805"/>
      <c r="U953" s="235">
        <f t="shared" ca="1" si="336"/>
        <v>19049561.939999998</v>
      </c>
      <c r="W953" s="646">
        <f t="shared" ca="1" si="331"/>
        <v>0</v>
      </c>
    </row>
    <row r="954" spans="2:23" ht="18" customHeight="1" x14ac:dyDescent="0.2">
      <c r="B954" s="645">
        <f t="shared" si="333"/>
        <v>16</v>
      </c>
      <c r="C954" s="647"/>
      <c r="D954" s="647"/>
      <c r="E954" s="803"/>
      <c r="F954" s="803"/>
      <c r="G954" s="803"/>
      <c r="H954" s="803"/>
      <c r="I954" s="803"/>
      <c r="J954" s="803"/>
      <c r="K954" s="803"/>
      <c r="L954" s="803"/>
      <c r="M954" s="803"/>
      <c r="N954" s="803"/>
      <c r="O954" s="803"/>
      <c r="P954" s="803"/>
      <c r="Q954" s="803"/>
      <c r="R954" s="803"/>
      <c r="S954" s="803"/>
      <c r="T954" s="803"/>
      <c r="U954" s="647"/>
      <c r="W954" s="646">
        <f t="shared" si="331"/>
        <v>0</v>
      </c>
    </row>
    <row r="955" spans="2:23" ht="18" customHeight="1" x14ac:dyDescent="0.25">
      <c r="B955" s="645">
        <f t="shared" si="333"/>
        <v>17</v>
      </c>
      <c r="C955" s="8"/>
      <c r="D955" s="233" t="s">
        <v>637</v>
      </c>
      <c r="E955" s="1571"/>
      <c r="F955" s="805">
        <f>SUM(F941:F952)</f>
        <v>292482.57</v>
      </c>
      <c r="G955" s="1571"/>
      <c r="H955" s="1571"/>
      <c r="I955" s="1571"/>
      <c r="J955" s="805">
        <f t="shared" ref="J955:Q955" ca="1" si="338">SUM(J941:J952)</f>
        <v>152688.50913887782</v>
      </c>
      <c r="K955" s="805">
        <f t="shared" ca="1" si="338"/>
        <v>21419.91435335407</v>
      </c>
      <c r="L955" s="805">
        <f t="shared" ca="1" si="338"/>
        <v>84237.593752662753</v>
      </c>
      <c r="M955" s="805">
        <f t="shared" ca="1" si="338"/>
        <v>3547.4169430199322</v>
      </c>
      <c r="N955" s="805">
        <f t="shared" ca="1" si="338"/>
        <v>27316.991092830132</v>
      </c>
      <c r="O955" s="805">
        <f ca="1">SUM(O941:O952)</f>
        <v>896.33373222941145</v>
      </c>
      <c r="P955" s="805">
        <f t="shared" ca="1" si="338"/>
        <v>1869.645956636813</v>
      </c>
      <c r="Q955" s="805">
        <f t="shared" ca="1" si="338"/>
        <v>155.9051952987347</v>
      </c>
      <c r="R955" s="805">
        <f ca="1">SUM(R941:R952)</f>
        <v>98.98149602716444</v>
      </c>
      <c r="S955" s="805">
        <f ca="1">SUM(S941:S952)</f>
        <v>251.27833906312151</v>
      </c>
      <c r="T955" s="1571"/>
      <c r="U955" s="235">
        <f ca="1">SUM(I955:T955)</f>
        <v>292482.56999999989</v>
      </c>
      <c r="W955" s="646">
        <f t="shared" ca="1" si="331"/>
        <v>0</v>
      </c>
    </row>
    <row r="956" spans="2:23" ht="18" customHeight="1" thickBot="1" x14ac:dyDescent="0.25">
      <c r="B956" s="645">
        <f t="shared" si="333"/>
        <v>18</v>
      </c>
      <c r="C956" s="647"/>
      <c r="D956" s="652"/>
      <c r="E956" s="645"/>
      <c r="F956" s="803"/>
      <c r="G956" s="645"/>
      <c r="H956" s="645"/>
      <c r="I956" s="645"/>
      <c r="J956" s="803"/>
      <c r="K956" s="803"/>
      <c r="L956" s="803"/>
      <c r="M956" s="803"/>
      <c r="N956" s="803"/>
      <c r="O956" s="803"/>
      <c r="P956" s="803"/>
      <c r="Q956" s="803"/>
      <c r="R956" s="803"/>
      <c r="S956" s="803"/>
      <c r="T956" s="645"/>
      <c r="U956" s="647"/>
    </row>
    <row r="957" spans="2:23" ht="18" customHeight="1" thickBot="1" x14ac:dyDescent="0.3">
      <c r="B957" s="645">
        <f t="shared" si="333"/>
        <v>19</v>
      </c>
      <c r="C957" s="223" t="s">
        <v>638</v>
      </c>
      <c r="D957" s="224"/>
      <c r="E957" s="309" t="s">
        <v>262</v>
      </c>
      <c r="F957" s="812">
        <f>+F925+F953</f>
        <v>57783928.270000003</v>
      </c>
      <c r="G957" s="309"/>
      <c r="H957" s="402"/>
      <c r="I957" s="968"/>
      <c r="J957" s="381">
        <f t="shared" ref="J957:Q957" ca="1" si="339">+J925+J953</f>
        <v>30162656.685883239</v>
      </c>
      <c r="K957" s="812">
        <f t="shared" ca="1" si="339"/>
        <v>4231219.8181124935</v>
      </c>
      <c r="L957" s="812">
        <f t="shared" ca="1" si="339"/>
        <v>16640688.261289179</v>
      </c>
      <c r="M957" s="812">
        <f t="shared" ca="1" si="339"/>
        <v>700740.96053853142</v>
      </c>
      <c r="N957" s="812">
        <f t="shared" ca="1" si="339"/>
        <v>5396301.6424921723</v>
      </c>
      <c r="O957" s="812">
        <f ca="1">+O925+O953</f>
        <v>177155.60621148816</v>
      </c>
      <c r="P957" s="812">
        <f t="shared" ca="1" si="339"/>
        <v>369321.33053079917</v>
      </c>
      <c r="Q957" s="812">
        <f t="shared" ca="1" si="339"/>
        <v>36639.72362074531</v>
      </c>
      <c r="R957" s="812">
        <f ca="1">+R925+R953</f>
        <v>19559.122415581878</v>
      </c>
      <c r="S957" s="315">
        <f ca="1">+S925+S953</f>
        <v>49645.11890577017</v>
      </c>
      <c r="T957" s="402"/>
      <c r="U957" s="195">
        <f ca="1">SUM(I957:T957)</f>
        <v>57783928.269999996</v>
      </c>
      <c r="W957" s="1609" t="b">
        <f ca="1">IF(ROUND(U957-'WP II-I-1.1'!H487,0)=0,TRUE,U957-'WP II-I-1.1'!H487)</f>
        <v>1</v>
      </c>
    </row>
    <row r="959" spans="2:23" ht="18" customHeight="1" x14ac:dyDescent="0.2">
      <c r="H959" s="653"/>
      <c r="U959" s="653"/>
      <c r="V959" s="653">
        <f>$H$2</f>
        <v>0</v>
      </c>
      <c r="W959" s="646"/>
    </row>
    <row r="960" spans="2:23" ht="18" customHeight="1" thickBot="1" x14ac:dyDescent="0.25">
      <c r="W960" s="646"/>
    </row>
    <row r="961" spans="2:23" ht="18" customHeight="1" x14ac:dyDescent="0.25">
      <c r="B961" s="829" t="str">
        <f>+$B$4</f>
        <v>2025 RATE CASE</v>
      </c>
      <c r="C961" s="844"/>
      <c r="D961" s="874"/>
      <c r="F961" s="654"/>
      <c r="U961" s="653"/>
      <c r="W961" s="646"/>
    </row>
    <row r="962" spans="2:23" ht="18" customHeight="1" x14ac:dyDescent="0.25">
      <c r="B962" s="826" t="str">
        <f>+$B$5</f>
        <v>ONCOR ELECTRIC DELIVERY COMPANY LLC</v>
      </c>
      <c r="C962" s="8"/>
      <c r="D962" s="875"/>
      <c r="F962" s="654"/>
      <c r="U962" s="653"/>
      <c r="W962" s="646"/>
    </row>
    <row r="963" spans="2:23" ht="18" customHeight="1" x14ac:dyDescent="0.25">
      <c r="B963" s="826" t="str">
        <f>+$B$6</f>
        <v>II-I-1-MET:  CLASS REVENUE REQUIREMENT</v>
      </c>
      <c r="C963" s="82"/>
      <c r="D963" s="875"/>
      <c r="F963" s="654"/>
      <c r="U963" s="654"/>
      <c r="W963" s="646"/>
    </row>
    <row r="964" spans="2:23" ht="18" customHeight="1" x14ac:dyDescent="0.25">
      <c r="B964" s="341" t="str">
        <f>+$B$7</f>
        <v>TEST YEAR ENDING 12/31/2024</v>
      </c>
      <c r="C964" s="82"/>
      <c r="D964" s="875"/>
      <c r="F964" s="654"/>
      <c r="U964" s="654"/>
      <c r="W964" s="646"/>
    </row>
    <row r="965" spans="2:23" ht="18" customHeight="1" x14ac:dyDescent="0.25">
      <c r="B965" s="341" t="str">
        <f>+$B$8</f>
        <v>SPONSOR:  MATTHEW A. TROXLE</v>
      </c>
      <c r="C965" s="82"/>
      <c r="D965" s="875"/>
      <c r="F965" s="654"/>
      <c r="U965" s="654"/>
      <c r="W965" s="646"/>
    </row>
    <row r="966" spans="2:23" ht="18" customHeight="1" thickBot="1" x14ac:dyDescent="0.3">
      <c r="B966" s="345"/>
      <c r="C966" s="843"/>
      <c r="D966" s="876"/>
      <c r="F966" s="654"/>
      <c r="U966" s="654"/>
      <c r="W966" s="646"/>
    </row>
    <row r="967" spans="2:23" ht="18" customHeight="1" thickBot="1" x14ac:dyDescent="0.25">
      <c r="B967" s="655"/>
      <c r="C967" s="656"/>
      <c r="D967" s="656"/>
      <c r="E967" s="656"/>
      <c r="F967" s="655"/>
      <c r="G967" s="656"/>
      <c r="H967" s="656"/>
      <c r="I967" s="656"/>
      <c r="J967" s="657"/>
      <c r="K967" s="657"/>
      <c r="L967" s="656"/>
      <c r="M967" s="657"/>
      <c r="N967" s="657"/>
      <c r="O967" s="657"/>
      <c r="P967" s="657"/>
      <c r="Q967" s="656"/>
      <c r="R967" s="658" t="str">
        <f>R$10</f>
        <v xml:space="preserve"> </v>
      </c>
      <c r="S967" s="659"/>
      <c r="T967" s="657"/>
      <c r="U967" s="655"/>
      <c r="W967" s="646"/>
    </row>
    <row r="968" spans="2:23" ht="18" customHeight="1" x14ac:dyDescent="0.25">
      <c r="B968" s="660" t="s">
        <v>2</v>
      </c>
      <c r="C968" s="660" t="s">
        <v>349</v>
      </c>
      <c r="D968" s="226" t="s">
        <v>639</v>
      </c>
      <c r="E968" s="660" t="s">
        <v>350</v>
      </c>
      <c r="F968" s="226" t="str">
        <f>F$11</f>
        <v>MET</v>
      </c>
      <c r="G968" s="661" t="s">
        <v>688</v>
      </c>
      <c r="H968" s="661" t="s">
        <v>355</v>
      </c>
      <c r="I968" s="660"/>
      <c r="J968" s="661" t="s">
        <v>679</v>
      </c>
      <c r="K968" s="661" t="s">
        <v>388</v>
      </c>
      <c r="L968" s="660" t="s">
        <v>388</v>
      </c>
      <c r="M968" s="661" t="s">
        <v>389</v>
      </c>
      <c r="N968" s="661" t="s">
        <v>389</v>
      </c>
      <c r="O968" s="661" t="s">
        <v>389</v>
      </c>
      <c r="P968" s="661" t="s">
        <v>390</v>
      </c>
      <c r="Q968" s="660" t="s">
        <v>391</v>
      </c>
      <c r="R968" s="662" t="str">
        <f>R$11</f>
        <v>Wholesale</v>
      </c>
      <c r="S968" s="655" t="str">
        <f>S$11</f>
        <v>Wholesale</v>
      </c>
      <c r="T968" s="661"/>
      <c r="U968" s="660" t="s">
        <v>10</v>
      </c>
      <c r="W968" s="646"/>
    </row>
    <row r="969" spans="2:23" ht="18" customHeight="1" x14ac:dyDescent="0.2">
      <c r="B969" s="660"/>
      <c r="C969" s="660"/>
      <c r="D969" s="660"/>
      <c r="E969" s="660"/>
      <c r="F969" s="660"/>
      <c r="G969" s="661" t="s">
        <v>689</v>
      </c>
      <c r="H969" s="661" t="s">
        <v>690</v>
      </c>
      <c r="I969" s="660"/>
      <c r="J969" s="661"/>
      <c r="K969" s="661" t="s">
        <v>680</v>
      </c>
      <c r="L969" s="660" t="s">
        <v>681</v>
      </c>
      <c r="M969" s="661" t="s">
        <v>680</v>
      </c>
      <c r="N969" s="661" t="s">
        <v>681</v>
      </c>
      <c r="O969" s="661" t="s">
        <v>393</v>
      </c>
      <c r="P969" s="661"/>
      <c r="Q969" s="660"/>
      <c r="R969" s="663" t="str">
        <f>R$12</f>
        <v>XFMR</v>
      </c>
      <c r="S969" s="660" t="str">
        <f>S$12</f>
        <v>DLS</v>
      </c>
      <c r="T969" s="661"/>
      <c r="U969" s="660"/>
      <c r="W969" s="646"/>
    </row>
    <row r="970" spans="2:23" ht="18" customHeight="1" thickBot="1" x14ac:dyDescent="0.25">
      <c r="B970" s="664"/>
      <c r="C970" s="664"/>
      <c r="D970" s="664"/>
      <c r="E970" s="664"/>
      <c r="F970" s="664" t="s">
        <v>13</v>
      </c>
      <c r="G970" s="664" t="s">
        <v>14</v>
      </c>
      <c r="H970" s="664" t="s">
        <v>15</v>
      </c>
      <c r="I970" s="664"/>
      <c r="J970" s="665" t="str">
        <f t="shared" ref="J970:Q970" si="340">J$13</f>
        <v>(d)</v>
      </c>
      <c r="K970" s="665" t="str">
        <f t="shared" si="340"/>
        <v>(e)</v>
      </c>
      <c r="L970" s="664" t="str">
        <f t="shared" si="340"/>
        <v>(f)</v>
      </c>
      <c r="M970" s="665" t="str">
        <f t="shared" si="340"/>
        <v>(g)</v>
      </c>
      <c r="N970" s="665" t="str">
        <f t="shared" si="340"/>
        <v>(h)</v>
      </c>
      <c r="O970" s="665" t="str">
        <f>O$13</f>
        <v>(i)</v>
      </c>
      <c r="P970" s="665" t="str">
        <f t="shared" si="340"/>
        <v>(j)</v>
      </c>
      <c r="Q970" s="665" t="str">
        <f t="shared" si="340"/>
        <v>(k)</v>
      </c>
      <c r="R970" s="665" t="str">
        <f>R$13</f>
        <v>(l)</v>
      </c>
      <c r="S970" s="664" t="str">
        <f>S$13</f>
        <v>(m)</v>
      </c>
      <c r="T970" s="664"/>
      <c r="U970" s="664" t="s">
        <v>683</v>
      </c>
      <c r="W970" s="646"/>
    </row>
    <row r="971" spans="2:23" ht="18" customHeight="1" x14ac:dyDescent="0.25">
      <c r="C971" s="666"/>
      <c r="D971" s="666"/>
      <c r="E971" s="806"/>
      <c r="F971" s="666"/>
      <c r="G971" s="806"/>
      <c r="H971" s="806"/>
      <c r="I971" s="806"/>
      <c r="J971" s="806"/>
      <c r="K971" s="806"/>
      <c r="L971" s="806"/>
      <c r="M971" s="806"/>
      <c r="N971" s="806"/>
      <c r="O971" s="806"/>
      <c r="P971" s="806"/>
      <c r="Q971" s="806"/>
      <c r="R971" s="806"/>
      <c r="S971" s="806"/>
      <c r="T971" s="806"/>
      <c r="U971" s="611"/>
      <c r="W971" s="646">
        <f t="shared" ref="W971:W1027" si="341">U971-F971</f>
        <v>0</v>
      </c>
    </row>
    <row r="972" spans="2:23" ht="18" customHeight="1" x14ac:dyDescent="0.25">
      <c r="B972" s="645">
        <f t="shared" ref="B972:B978" si="342">B971+1</f>
        <v>1</v>
      </c>
      <c r="C972" s="667"/>
      <c r="D972" s="611" t="s">
        <v>272</v>
      </c>
      <c r="E972" s="806" t="s">
        <v>273</v>
      </c>
      <c r="F972" s="312">
        <v>0</v>
      </c>
      <c r="G972" s="645">
        <v>6</v>
      </c>
      <c r="H972" s="620" t="str">
        <f>VLOOKUP(G972,FactorTable,2)</f>
        <v>CUS W ALL</v>
      </c>
      <c r="I972" s="806"/>
      <c r="J972" s="648">
        <f t="shared" ref="J972:S976" si="343">$F972*HLOOKUP(J$1354,FactorTable,$G972+1)</f>
        <v>0</v>
      </c>
      <c r="K972" s="648">
        <f t="shared" si="343"/>
        <v>0</v>
      </c>
      <c r="L972" s="648">
        <f t="shared" si="343"/>
        <v>0</v>
      </c>
      <c r="M972" s="648">
        <f t="shared" si="343"/>
        <v>0</v>
      </c>
      <c r="N972" s="648">
        <f t="shared" si="343"/>
        <v>0</v>
      </c>
      <c r="O972" s="648">
        <f t="shared" si="343"/>
        <v>0</v>
      </c>
      <c r="P972" s="648">
        <f t="shared" si="343"/>
        <v>0</v>
      </c>
      <c r="Q972" s="648">
        <f t="shared" si="343"/>
        <v>0</v>
      </c>
      <c r="R972" s="648">
        <f t="shared" si="343"/>
        <v>0</v>
      </c>
      <c r="S972" s="648">
        <f t="shared" si="343"/>
        <v>0</v>
      </c>
      <c r="T972" s="806"/>
      <c r="U972" s="646">
        <f>SUM(I972:T972)</f>
        <v>0</v>
      </c>
      <c r="W972" s="646">
        <f t="shared" si="341"/>
        <v>0</v>
      </c>
    </row>
    <row r="973" spans="2:23" ht="18" customHeight="1" x14ac:dyDescent="0.25">
      <c r="B973" s="645">
        <f t="shared" si="342"/>
        <v>2</v>
      </c>
      <c r="C973" s="269"/>
      <c r="D973" s="611" t="s">
        <v>274</v>
      </c>
      <c r="E973" s="806" t="s">
        <v>273</v>
      </c>
      <c r="F973" s="312">
        <v>0</v>
      </c>
      <c r="G973" s="645">
        <v>6</v>
      </c>
      <c r="H973" s="620" t="str">
        <f>VLOOKUP(G973,FactorTable,2)</f>
        <v>CUS W ALL</v>
      </c>
      <c r="I973" s="806"/>
      <c r="J973" s="648">
        <f t="shared" si="343"/>
        <v>0</v>
      </c>
      <c r="K973" s="648">
        <f t="shared" si="343"/>
        <v>0</v>
      </c>
      <c r="L973" s="648">
        <f t="shared" si="343"/>
        <v>0</v>
      </c>
      <c r="M973" s="648">
        <f t="shared" si="343"/>
        <v>0</v>
      </c>
      <c r="N973" s="648">
        <f t="shared" si="343"/>
        <v>0</v>
      </c>
      <c r="O973" s="648">
        <f t="shared" si="343"/>
        <v>0</v>
      </c>
      <c r="P973" s="648">
        <f t="shared" si="343"/>
        <v>0</v>
      </c>
      <c r="Q973" s="648">
        <f t="shared" si="343"/>
        <v>0</v>
      </c>
      <c r="R973" s="648">
        <f t="shared" si="343"/>
        <v>0</v>
      </c>
      <c r="S973" s="648">
        <f t="shared" si="343"/>
        <v>0</v>
      </c>
      <c r="T973" s="806"/>
      <c r="U973" s="646">
        <f>SUM(I973:T973)</f>
        <v>0</v>
      </c>
      <c r="W973" s="646">
        <f t="shared" si="341"/>
        <v>0</v>
      </c>
    </row>
    <row r="974" spans="2:23" ht="18" customHeight="1" x14ac:dyDescent="0.25">
      <c r="B974" s="645">
        <f t="shared" si="342"/>
        <v>3</v>
      </c>
      <c r="C974" s="611"/>
      <c r="D974" s="611" t="s">
        <v>275</v>
      </c>
      <c r="E974" s="806" t="s">
        <v>276</v>
      </c>
      <c r="F974" s="312">
        <v>0</v>
      </c>
      <c r="G974" s="645">
        <v>6</v>
      </c>
      <c r="H974" s="620" t="str">
        <f>VLOOKUP(G974,FactorTable,2)</f>
        <v>CUS W ALL</v>
      </c>
      <c r="I974" s="806"/>
      <c r="J974" s="648">
        <f t="shared" si="343"/>
        <v>0</v>
      </c>
      <c r="K974" s="648">
        <f t="shared" si="343"/>
        <v>0</v>
      </c>
      <c r="L974" s="648">
        <f t="shared" si="343"/>
        <v>0</v>
      </c>
      <c r="M974" s="648">
        <f t="shared" si="343"/>
        <v>0</v>
      </c>
      <c r="N974" s="648">
        <f t="shared" si="343"/>
        <v>0</v>
      </c>
      <c r="O974" s="648">
        <f t="shared" si="343"/>
        <v>0</v>
      </c>
      <c r="P974" s="648">
        <f t="shared" si="343"/>
        <v>0</v>
      </c>
      <c r="Q974" s="648">
        <f t="shared" si="343"/>
        <v>0</v>
      </c>
      <c r="R974" s="648">
        <f t="shared" si="343"/>
        <v>0</v>
      </c>
      <c r="S974" s="648">
        <f t="shared" si="343"/>
        <v>0</v>
      </c>
      <c r="T974" s="806"/>
      <c r="U974" s="646">
        <f>SUM(I974:T974)</f>
        <v>0</v>
      </c>
      <c r="W974" s="646">
        <f t="shared" si="341"/>
        <v>0</v>
      </c>
    </row>
    <row r="975" spans="2:23" ht="18" customHeight="1" x14ac:dyDescent="0.25">
      <c r="B975" s="645">
        <f t="shared" si="342"/>
        <v>4</v>
      </c>
      <c r="C975" s="611"/>
      <c r="D975" s="611" t="s">
        <v>277</v>
      </c>
      <c r="E975" s="806" t="s">
        <v>276</v>
      </c>
      <c r="F975" s="312">
        <v>0</v>
      </c>
      <c r="G975" s="645">
        <v>6</v>
      </c>
      <c r="H975" s="620" t="str">
        <f>VLOOKUP(G975,FactorTable,2)</f>
        <v>CUS W ALL</v>
      </c>
      <c r="I975" s="806"/>
      <c r="J975" s="648">
        <f t="shared" si="343"/>
        <v>0</v>
      </c>
      <c r="K975" s="648">
        <f t="shared" si="343"/>
        <v>0</v>
      </c>
      <c r="L975" s="648">
        <f t="shared" si="343"/>
        <v>0</v>
      </c>
      <c r="M975" s="648">
        <f t="shared" si="343"/>
        <v>0</v>
      </c>
      <c r="N975" s="648">
        <f t="shared" si="343"/>
        <v>0</v>
      </c>
      <c r="O975" s="648">
        <f t="shared" si="343"/>
        <v>0</v>
      </c>
      <c r="P975" s="648">
        <f t="shared" si="343"/>
        <v>0</v>
      </c>
      <c r="Q975" s="648">
        <f t="shared" si="343"/>
        <v>0</v>
      </c>
      <c r="R975" s="648">
        <f t="shared" si="343"/>
        <v>0</v>
      </c>
      <c r="S975" s="648">
        <f t="shared" si="343"/>
        <v>0</v>
      </c>
      <c r="T975" s="806"/>
      <c r="U975" s="646">
        <f>SUM(I975:T975)</f>
        <v>0</v>
      </c>
      <c r="W975" s="646">
        <f t="shared" si="341"/>
        <v>0</v>
      </c>
    </row>
    <row r="976" spans="2:23" ht="18" customHeight="1" x14ac:dyDescent="0.25">
      <c r="B976" s="645">
        <f t="shared" si="342"/>
        <v>5</v>
      </c>
      <c r="C976" s="611"/>
      <c r="D976" s="611" t="s">
        <v>278</v>
      </c>
      <c r="E976" s="806" t="s">
        <v>276</v>
      </c>
      <c r="F976" s="312">
        <v>0</v>
      </c>
      <c r="G976" s="645">
        <v>6</v>
      </c>
      <c r="H976" s="620" t="str">
        <f>VLOOKUP(G976,FactorTable,2)</f>
        <v>CUS W ALL</v>
      </c>
      <c r="I976" s="806"/>
      <c r="J976" s="648">
        <f t="shared" si="343"/>
        <v>0</v>
      </c>
      <c r="K976" s="648">
        <f t="shared" si="343"/>
        <v>0</v>
      </c>
      <c r="L976" s="648">
        <f t="shared" si="343"/>
        <v>0</v>
      </c>
      <c r="M976" s="648">
        <f t="shared" si="343"/>
        <v>0</v>
      </c>
      <c r="N976" s="648">
        <f t="shared" si="343"/>
        <v>0</v>
      </c>
      <c r="O976" s="648">
        <f t="shared" si="343"/>
        <v>0</v>
      </c>
      <c r="P976" s="648">
        <f t="shared" si="343"/>
        <v>0</v>
      </c>
      <c r="Q976" s="648">
        <f t="shared" si="343"/>
        <v>0</v>
      </c>
      <c r="R976" s="648">
        <f t="shared" si="343"/>
        <v>0</v>
      </c>
      <c r="S976" s="648">
        <f t="shared" si="343"/>
        <v>0</v>
      </c>
      <c r="T976" s="806"/>
      <c r="U976" s="646">
        <f>SUM(I976:T976)</f>
        <v>0</v>
      </c>
      <c r="W976" s="646">
        <f t="shared" si="341"/>
        <v>0</v>
      </c>
    </row>
    <row r="977" spans="2:23" ht="18" customHeight="1" thickBot="1" x14ac:dyDescent="0.3">
      <c r="B977" s="645">
        <f t="shared" si="342"/>
        <v>6</v>
      </c>
      <c r="C977" s="611"/>
      <c r="D977" s="611"/>
      <c r="E977" s="806"/>
      <c r="F977" s="312"/>
      <c r="G977" s="806"/>
      <c r="H977" s="806"/>
      <c r="I977" s="806"/>
      <c r="J977" s="806"/>
      <c r="K977" s="806"/>
      <c r="L977" s="806"/>
      <c r="M977" s="806"/>
      <c r="N977" s="806"/>
      <c r="O977" s="806"/>
      <c r="P977" s="806"/>
      <c r="Q977" s="806"/>
      <c r="R977" s="806"/>
      <c r="S977" s="806"/>
      <c r="T977" s="806"/>
      <c r="U977" s="646"/>
      <c r="W977" s="646">
        <f t="shared" si="341"/>
        <v>0</v>
      </c>
    </row>
    <row r="978" spans="2:23" ht="18" customHeight="1" thickBot="1" x14ac:dyDescent="0.3">
      <c r="B978" s="645">
        <f t="shared" si="342"/>
        <v>7</v>
      </c>
      <c r="C978" s="276" t="s">
        <v>640</v>
      </c>
      <c r="D978" s="271"/>
      <c r="E978" s="272"/>
      <c r="F978" s="814">
        <f>+F972+F973+F974+F975</f>
        <v>0</v>
      </c>
      <c r="G978" s="272"/>
      <c r="H978" s="392"/>
      <c r="I978" s="568"/>
      <c r="J978" s="291">
        <f t="shared" ref="J978:Q978" si="344">+J972+J973+J974+J975</f>
        <v>0</v>
      </c>
      <c r="K978" s="814">
        <f t="shared" si="344"/>
        <v>0</v>
      </c>
      <c r="L978" s="814">
        <f t="shared" si="344"/>
        <v>0</v>
      </c>
      <c r="M978" s="814">
        <f t="shared" si="344"/>
        <v>0</v>
      </c>
      <c r="N978" s="814">
        <f t="shared" si="344"/>
        <v>0</v>
      </c>
      <c r="O978" s="814">
        <f>+O972+O973+O974+O975</f>
        <v>0</v>
      </c>
      <c r="P978" s="814">
        <f t="shared" si="344"/>
        <v>0</v>
      </c>
      <c r="Q978" s="814">
        <f t="shared" si="344"/>
        <v>0</v>
      </c>
      <c r="R978" s="814">
        <f>+R972+R973+R974+R975</f>
        <v>0</v>
      </c>
      <c r="S978" s="218">
        <f>+S972+S973+S974+S975</f>
        <v>0</v>
      </c>
      <c r="T978" s="392"/>
      <c r="U978" s="195">
        <f>SUM(I978:T978)</f>
        <v>0</v>
      </c>
      <c r="W978" s="646">
        <f t="shared" si="341"/>
        <v>0</v>
      </c>
    </row>
    <row r="979" spans="2:23" ht="18" customHeight="1" x14ac:dyDescent="0.2">
      <c r="W979" s="646">
        <f t="shared" si="341"/>
        <v>0</v>
      </c>
    </row>
    <row r="980" spans="2:23" ht="6" customHeight="1" thickBot="1" x14ac:dyDescent="0.25">
      <c r="H980" s="653"/>
      <c r="U980" s="653"/>
      <c r="V980" s="653">
        <f>$H$2</f>
        <v>0</v>
      </c>
      <c r="W980" s="646"/>
    </row>
    <row r="981" spans="2:23" ht="18" customHeight="1" x14ac:dyDescent="0.25">
      <c r="B981" s="829" t="str">
        <f>+$B$4</f>
        <v>2025 RATE CASE</v>
      </c>
      <c r="C981" s="844"/>
      <c r="D981" s="874"/>
      <c r="F981" s="654"/>
      <c r="U981" s="653"/>
      <c r="W981" s="646"/>
    </row>
    <row r="982" spans="2:23" ht="18" customHeight="1" x14ac:dyDescent="0.25">
      <c r="B982" s="826" t="str">
        <f>+$B$5</f>
        <v>ONCOR ELECTRIC DELIVERY COMPANY LLC</v>
      </c>
      <c r="C982" s="8"/>
      <c r="D982" s="875"/>
      <c r="F982" s="654"/>
      <c r="U982" s="653"/>
      <c r="W982" s="646"/>
    </row>
    <row r="983" spans="2:23" ht="18" customHeight="1" x14ac:dyDescent="0.25">
      <c r="B983" s="826" t="str">
        <f>+$B$6</f>
        <v>II-I-1-MET:  CLASS REVENUE REQUIREMENT</v>
      </c>
      <c r="C983" s="82"/>
      <c r="D983" s="875"/>
      <c r="F983" s="654"/>
      <c r="U983" s="654"/>
      <c r="W983" s="646"/>
    </row>
    <row r="984" spans="2:23" ht="18" customHeight="1" x14ac:dyDescent="0.25">
      <c r="B984" s="341" t="str">
        <f>+$B$7</f>
        <v>TEST YEAR ENDING 12/31/2024</v>
      </c>
      <c r="C984" s="82"/>
      <c r="D984" s="875"/>
      <c r="F984" s="654"/>
      <c r="U984" s="654"/>
      <c r="W984" s="646"/>
    </row>
    <row r="985" spans="2:23" ht="18" customHeight="1" x14ac:dyDescent="0.25">
      <c r="B985" s="341" t="str">
        <f>+$B$8</f>
        <v>SPONSOR:  MATTHEW A. TROXLE</v>
      </c>
      <c r="C985" s="82"/>
      <c r="D985" s="875"/>
      <c r="F985" s="654"/>
      <c r="U985" s="654"/>
      <c r="W985" s="646"/>
    </row>
    <row r="986" spans="2:23" ht="6.75" customHeight="1" thickBot="1" x14ac:dyDescent="0.3">
      <c r="B986" s="345"/>
      <c r="C986" s="843"/>
      <c r="D986" s="876"/>
      <c r="F986" s="654"/>
      <c r="U986" s="654"/>
      <c r="W986" s="646"/>
    </row>
    <row r="987" spans="2:23" ht="9" customHeight="1" thickBot="1" x14ac:dyDescent="0.25">
      <c r="B987" s="655"/>
      <c r="C987" s="656"/>
      <c r="D987" s="656"/>
      <c r="E987" s="656"/>
      <c r="F987" s="655"/>
      <c r="G987" s="656"/>
      <c r="H987" s="656"/>
      <c r="I987" s="656"/>
      <c r="J987" s="657"/>
      <c r="K987" s="657"/>
      <c r="L987" s="656"/>
      <c r="M987" s="657"/>
      <c r="N987" s="657"/>
      <c r="O987" s="657"/>
      <c r="P987" s="657"/>
      <c r="Q987" s="656"/>
      <c r="R987" s="658" t="str">
        <f>R$10</f>
        <v xml:space="preserve"> </v>
      </c>
      <c r="S987" s="659"/>
      <c r="T987" s="657"/>
      <c r="U987" s="655"/>
      <c r="W987" s="646"/>
    </row>
    <row r="988" spans="2:23" ht="18" customHeight="1" x14ac:dyDescent="0.25">
      <c r="B988" s="660" t="s">
        <v>2</v>
      </c>
      <c r="C988" s="660" t="s">
        <v>349</v>
      </c>
      <c r="D988" s="226" t="s">
        <v>641</v>
      </c>
      <c r="E988" s="660" t="s">
        <v>350</v>
      </c>
      <c r="F988" s="226" t="str">
        <f>F$11</f>
        <v>MET</v>
      </c>
      <c r="G988" s="661" t="s">
        <v>688</v>
      </c>
      <c r="H988" s="661" t="s">
        <v>355</v>
      </c>
      <c r="I988" s="660"/>
      <c r="J988" s="661" t="s">
        <v>679</v>
      </c>
      <c r="K988" s="661" t="s">
        <v>388</v>
      </c>
      <c r="L988" s="660" t="s">
        <v>388</v>
      </c>
      <c r="M988" s="661" t="s">
        <v>389</v>
      </c>
      <c r="N988" s="661" t="s">
        <v>389</v>
      </c>
      <c r="O988" s="661" t="s">
        <v>389</v>
      </c>
      <c r="P988" s="661" t="s">
        <v>390</v>
      </c>
      <c r="Q988" s="660" t="s">
        <v>391</v>
      </c>
      <c r="R988" s="662" t="str">
        <f>R$11</f>
        <v>Wholesale</v>
      </c>
      <c r="S988" s="655" t="str">
        <f>S$11</f>
        <v>Wholesale</v>
      </c>
      <c r="T988" s="661"/>
      <c r="U988" s="660" t="s">
        <v>10</v>
      </c>
      <c r="W988" s="646"/>
    </row>
    <row r="989" spans="2:23" ht="18" customHeight="1" x14ac:dyDescent="0.2">
      <c r="B989" s="660"/>
      <c r="C989" s="660"/>
      <c r="D989" s="660"/>
      <c r="E989" s="660"/>
      <c r="F989" s="660"/>
      <c r="G989" s="661" t="s">
        <v>689</v>
      </c>
      <c r="H989" s="661" t="s">
        <v>690</v>
      </c>
      <c r="I989" s="660"/>
      <c r="J989" s="661"/>
      <c r="K989" s="661" t="s">
        <v>680</v>
      </c>
      <c r="L989" s="660" t="s">
        <v>681</v>
      </c>
      <c r="M989" s="661" t="s">
        <v>680</v>
      </c>
      <c r="N989" s="661" t="s">
        <v>681</v>
      </c>
      <c r="O989" s="661" t="s">
        <v>393</v>
      </c>
      <c r="P989" s="661"/>
      <c r="Q989" s="660"/>
      <c r="R989" s="663" t="str">
        <f>R$12</f>
        <v>XFMR</v>
      </c>
      <c r="S989" s="660" t="str">
        <f>S$12</f>
        <v>DLS</v>
      </c>
      <c r="T989" s="661"/>
      <c r="U989" s="660"/>
      <c r="W989" s="646"/>
    </row>
    <row r="990" spans="2:23" ht="18" customHeight="1" thickBot="1" x14ac:dyDescent="0.25">
      <c r="B990" s="664"/>
      <c r="C990" s="664"/>
      <c r="D990" s="664"/>
      <c r="E990" s="664"/>
      <c r="F990" s="664" t="s">
        <v>13</v>
      </c>
      <c r="G990" s="664" t="s">
        <v>14</v>
      </c>
      <c r="H990" s="664" t="s">
        <v>15</v>
      </c>
      <c r="I990" s="664"/>
      <c r="J990" s="665" t="str">
        <f t="shared" ref="J990:Q990" si="345">J$13</f>
        <v>(d)</v>
      </c>
      <c r="K990" s="665" t="str">
        <f t="shared" si="345"/>
        <v>(e)</v>
      </c>
      <c r="L990" s="664" t="str">
        <f t="shared" si="345"/>
        <v>(f)</v>
      </c>
      <c r="M990" s="665" t="str">
        <f t="shared" si="345"/>
        <v>(g)</v>
      </c>
      <c r="N990" s="665" t="str">
        <f t="shared" si="345"/>
        <v>(h)</v>
      </c>
      <c r="O990" s="665" t="str">
        <f>O$13</f>
        <v>(i)</v>
      </c>
      <c r="P990" s="665" t="str">
        <f t="shared" si="345"/>
        <v>(j)</v>
      </c>
      <c r="Q990" s="665" t="str">
        <f t="shared" si="345"/>
        <v>(k)</v>
      </c>
      <c r="R990" s="665" t="str">
        <f>R$13</f>
        <v>(l)</v>
      </c>
      <c r="S990" s="664" t="str">
        <f>S$13</f>
        <v>(m)</v>
      </c>
      <c r="T990" s="664"/>
      <c r="U990" s="664" t="s">
        <v>683</v>
      </c>
      <c r="W990" s="646"/>
    </row>
    <row r="991" spans="2:23" ht="8.25" customHeight="1" x14ac:dyDescent="0.2">
      <c r="C991" s="666"/>
      <c r="D991" s="666"/>
      <c r="E991" s="666"/>
      <c r="F991" s="666"/>
      <c r="G991" s="666"/>
      <c r="H991" s="666"/>
      <c r="I991" s="666"/>
      <c r="J991" s="666"/>
      <c r="K991" s="666"/>
      <c r="L991" s="666"/>
      <c r="M991" s="666"/>
      <c r="N991" s="666"/>
      <c r="O991" s="666"/>
      <c r="P991" s="666"/>
      <c r="Q991" s="666"/>
      <c r="R991" s="666"/>
      <c r="S991" s="666"/>
      <c r="T991" s="666"/>
      <c r="U991" s="611"/>
      <c r="W991" s="646">
        <f t="shared" si="341"/>
        <v>0</v>
      </c>
    </row>
    <row r="992" spans="2:23" ht="18" customHeight="1" x14ac:dyDescent="0.25">
      <c r="B992" s="645">
        <f t="shared" ref="B992:B1032" si="346">B991+1</f>
        <v>1</v>
      </c>
      <c r="C992" s="301" t="s">
        <v>279</v>
      </c>
      <c r="D992" s="8"/>
      <c r="E992" s="1571"/>
      <c r="F992" s="8"/>
      <c r="G992" s="1571"/>
      <c r="H992" s="1571"/>
      <c r="I992" s="1571"/>
      <c r="J992" s="1571"/>
      <c r="K992" s="1571"/>
      <c r="L992" s="1571"/>
      <c r="M992" s="1571"/>
      <c r="N992" s="1571"/>
      <c r="O992" s="1571"/>
      <c r="P992" s="1571"/>
      <c r="Q992" s="1571"/>
      <c r="R992" s="1571"/>
      <c r="S992" s="1571"/>
      <c r="T992" s="1571"/>
      <c r="U992" s="8"/>
      <c r="W992" s="646">
        <f t="shared" si="341"/>
        <v>0</v>
      </c>
    </row>
    <row r="993" spans="2:23" ht="6.75" customHeight="1" x14ac:dyDescent="0.2">
      <c r="B993" s="645">
        <f t="shared" si="346"/>
        <v>2</v>
      </c>
      <c r="C993" s="647"/>
      <c r="D993" s="647"/>
      <c r="E993" s="645"/>
      <c r="F993" s="647"/>
      <c r="G993" s="645"/>
      <c r="H993" s="645"/>
      <c r="I993" s="645"/>
      <c r="J993" s="645"/>
      <c r="K993" s="645"/>
      <c r="L993" s="645"/>
      <c r="M993" s="645"/>
      <c r="N993" s="645"/>
      <c r="O993" s="645"/>
      <c r="P993" s="645"/>
      <c r="Q993" s="645"/>
      <c r="R993" s="645"/>
      <c r="S993" s="645"/>
      <c r="T993" s="645"/>
      <c r="U993" s="647"/>
      <c r="W993" s="646">
        <f t="shared" si="341"/>
        <v>0</v>
      </c>
    </row>
    <row r="994" spans="2:23" ht="15.75" customHeight="1" x14ac:dyDescent="0.25">
      <c r="B994" s="645">
        <f t="shared" si="346"/>
        <v>3</v>
      </c>
      <c r="C994" s="8" t="s">
        <v>642</v>
      </c>
      <c r="D994" s="8"/>
      <c r="E994" s="1571" t="s">
        <v>280</v>
      </c>
      <c r="F994" s="313"/>
      <c r="G994" s="1571"/>
      <c r="H994" s="1571"/>
      <c r="I994" s="1571"/>
      <c r="J994" s="1571"/>
      <c r="K994" s="1571"/>
      <c r="L994" s="1571"/>
      <c r="M994" s="1571"/>
      <c r="N994" s="1571"/>
      <c r="O994" s="1571"/>
      <c r="P994" s="1571"/>
      <c r="Q994" s="1571"/>
      <c r="R994" s="1571"/>
      <c r="S994" s="1571"/>
      <c r="T994" s="1571"/>
      <c r="U994" s="8"/>
      <c r="W994" s="646">
        <f t="shared" si="341"/>
        <v>0</v>
      </c>
    </row>
    <row r="995" spans="2:23" ht="12" customHeight="1" x14ac:dyDescent="0.2">
      <c r="B995" s="645">
        <f t="shared" si="346"/>
        <v>4</v>
      </c>
      <c r="C995" s="647" t="s">
        <v>25</v>
      </c>
      <c r="D995" s="647" t="s">
        <v>26</v>
      </c>
      <c r="E995" s="645"/>
      <c r="F995" s="646">
        <f>' WP II-I-1.4'!H995</f>
        <v>0</v>
      </c>
      <c r="G995" s="645">
        <v>66</v>
      </c>
      <c r="H995" s="620" t="str">
        <f>VLOOKUP(G995,FactorTable,2)</f>
        <v>PLT INT_N</v>
      </c>
      <c r="I995" s="645"/>
      <c r="J995" s="648">
        <f t="shared" ref="J995:S997" ca="1" si="347">$F995*HLOOKUP(J$1354,FactorTable,$G995+1)</f>
        <v>0</v>
      </c>
      <c r="K995" s="648">
        <f t="shared" ca="1" si="347"/>
        <v>0</v>
      </c>
      <c r="L995" s="648">
        <f t="shared" ca="1" si="347"/>
        <v>0</v>
      </c>
      <c r="M995" s="648">
        <f t="shared" ca="1" si="347"/>
        <v>0</v>
      </c>
      <c r="N995" s="648">
        <f t="shared" ca="1" si="347"/>
        <v>0</v>
      </c>
      <c r="O995" s="648">
        <f t="shared" ca="1" si="347"/>
        <v>0</v>
      </c>
      <c r="P995" s="648">
        <f t="shared" ca="1" si="347"/>
        <v>0</v>
      </c>
      <c r="Q995" s="648">
        <f t="shared" ca="1" si="347"/>
        <v>0</v>
      </c>
      <c r="R995" s="648">
        <f t="shared" ca="1" si="347"/>
        <v>0</v>
      </c>
      <c r="S995" s="648">
        <f t="shared" ca="1" si="347"/>
        <v>0</v>
      </c>
      <c r="T995" s="645"/>
      <c r="U995" s="646">
        <f ca="1">SUM(I995:T995)</f>
        <v>0</v>
      </c>
      <c r="W995" s="646">
        <f t="shared" ca="1" si="341"/>
        <v>0</v>
      </c>
    </row>
    <row r="996" spans="2:23" ht="15.75" customHeight="1" x14ac:dyDescent="0.2">
      <c r="B996" s="645">
        <f t="shared" si="346"/>
        <v>5</v>
      </c>
      <c r="C996" s="647" t="s">
        <v>27</v>
      </c>
      <c r="D996" s="647" t="s">
        <v>35</v>
      </c>
      <c r="E996" s="645"/>
      <c r="F996" s="646">
        <f>' WP II-I-1.4'!H996</f>
        <v>0</v>
      </c>
      <c r="G996" s="645">
        <v>66</v>
      </c>
      <c r="H996" s="620" t="str">
        <f>VLOOKUP(G996,FactorTable,2)</f>
        <v>PLT INT_N</v>
      </c>
      <c r="I996" s="645"/>
      <c r="J996" s="648">
        <f t="shared" ca="1" si="347"/>
        <v>0</v>
      </c>
      <c r="K996" s="648">
        <f t="shared" ca="1" si="347"/>
        <v>0</v>
      </c>
      <c r="L996" s="648">
        <f t="shared" ca="1" si="347"/>
        <v>0</v>
      </c>
      <c r="M996" s="648">
        <f t="shared" ca="1" si="347"/>
        <v>0</v>
      </c>
      <c r="N996" s="648">
        <f t="shared" ca="1" si="347"/>
        <v>0</v>
      </c>
      <c r="O996" s="648">
        <f t="shared" ca="1" si="347"/>
        <v>0</v>
      </c>
      <c r="P996" s="648">
        <f t="shared" ca="1" si="347"/>
        <v>0</v>
      </c>
      <c r="Q996" s="648">
        <f t="shared" ca="1" si="347"/>
        <v>0</v>
      </c>
      <c r="R996" s="648">
        <f t="shared" ca="1" si="347"/>
        <v>0</v>
      </c>
      <c r="S996" s="648">
        <f t="shared" ca="1" si="347"/>
        <v>0</v>
      </c>
      <c r="T996" s="645"/>
      <c r="U996" s="646">
        <f ca="1">SUM(I996:T996)</f>
        <v>0</v>
      </c>
      <c r="W996" s="646">
        <f t="shared" ca="1" si="341"/>
        <v>0</v>
      </c>
    </row>
    <row r="997" spans="2:23" ht="15.75" customHeight="1" x14ac:dyDescent="0.2">
      <c r="B997" s="645">
        <f t="shared" si="346"/>
        <v>6</v>
      </c>
      <c r="C997" s="647" t="s">
        <v>29</v>
      </c>
      <c r="D997" s="647" t="s">
        <v>32</v>
      </c>
      <c r="E997" s="645"/>
      <c r="F997" s="646">
        <f>' WP II-I-1.4'!H997</f>
        <v>23278.12</v>
      </c>
      <c r="G997" s="645">
        <v>66</v>
      </c>
      <c r="H997" s="620" t="str">
        <f>VLOOKUP(G997,FactorTable,2)</f>
        <v>PLT INT_N</v>
      </c>
      <c r="I997" s="645"/>
      <c r="J997" s="651">
        <f t="shared" ca="1" si="347"/>
        <v>12152.190621229836</v>
      </c>
      <c r="K997" s="651">
        <f t="shared" ca="1" si="347"/>
        <v>1704.7710282709315</v>
      </c>
      <c r="L997" s="651">
        <f t="shared" ca="1" si="347"/>
        <v>6704.311070976275</v>
      </c>
      <c r="M997" s="651">
        <f t="shared" ca="1" si="347"/>
        <v>282.33230917495331</v>
      </c>
      <c r="N997" s="651">
        <f t="shared" ca="1" si="347"/>
        <v>2174.1078237445495</v>
      </c>
      <c r="O997" s="651">
        <f t="shared" ca="1" si="347"/>
        <v>71.337257300130688</v>
      </c>
      <c r="P997" s="651">
        <f t="shared" ca="1" si="347"/>
        <v>148.80164099413761</v>
      </c>
      <c r="Q997" s="651">
        <f t="shared" ca="1" si="347"/>
        <v>12.391763786824788</v>
      </c>
      <c r="R997" s="651">
        <f t="shared" ca="1" si="347"/>
        <v>7.877733934983759</v>
      </c>
      <c r="S997" s="651">
        <f t="shared" ca="1" si="347"/>
        <v>19.99875058737884</v>
      </c>
      <c r="T997" s="645"/>
      <c r="U997" s="646">
        <f ca="1">SUM(I997:T997)</f>
        <v>23278.120000000003</v>
      </c>
      <c r="W997" s="646">
        <f t="shared" ca="1" si="341"/>
        <v>0</v>
      </c>
    </row>
    <row r="998" spans="2:23" ht="13.5" customHeight="1" x14ac:dyDescent="0.25">
      <c r="B998" s="645">
        <f t="shared" si="346"/>
        <v>7</v>
      </c>
      <c r="C998" s="805"/>
      <c r="D998" s="825" t="s">
        <v>444</v>
      </c>
      <c r="E998" s="805"/>
      <c r="F998" s="805">
        <f>+F995+F996+F997</f>
        <v>23278.12</v>
      </c>
      <c r="G998" s="805"/>
      <c r="H998" s="805"/>
      <c r="I998" s="805"/>
      <c r="J998" s="805">
        <f t="shared" ref="J998:Q998" ca="1" si="348">+J995+J996+J997</f>
        <v>12152.190621229836</v>
      </c>
      <c r="K998" s="805">
        <f t="shared" ca="1" si="348"/>
        <v>1704.7710282709315</v>
      </c>
      <c r="L998" s="805">
        <f t="shared" ca="1" si="348"/>
        <v>6704.311070976275</v>
      </c>
      <c r="M998" s="805">
        <f t="shared" ca="1" si="348"/>
        <v>282.33230917495331</v>
      </c>
      <c r="N998" s="805">
        <f t="shared" ca="1" si="348"/>
        <v>2174.1078237445495</v>
      </c>
      <c r="O998" s="805">
        <f ca="1">+O995+O996+O997</f>
        <v>71.337257300130688</v>
      </c>
      <c r="P998" s="805">
        <f t="shared" ca="1" si="348"/>
        <v>148.80164099413761</v>
      </c>
      <c r="Q998" s="805">
        <f t="shared" ca="1" si="348"/>
        <v>12.391763786824788</v>
      </c>
      <c r="R998" s="805">
        <f ca="1">+R995+R996+R997</f>
        <v>7.877733934983759</v>
      </c>
      <c r="S998" s="805">
        <f ca="1">+S995+S996+S997</f>
        <v>19.99875058737884</v>
      </c>
      <c r="T998" s="805"/>
      <c r="U998" s="235">
        <f ca="1">SUM(I998:T998)</f>
        <v>23278.120000000003</v>
      </c>
      <c r="W998" s="646">
        <f t="shared" ca="1" si="341"/>
        <v>0</v>
      </c>
    </row>
    <row r="999" spans="2:23" ht="9.75" customHeight="1" x14ac:dyDescent="0.2">
      <c r="B999" s="645">
        <f t="shared" si="346"/>
        <v>8</v>
      </c>
      <c r="C999" s="647"/>
      <c r="D999" s="647"/>
      <c r="E999" s="645"/>
      <c r="F999" s="803"/>
      <c r="G999" s="645"/>
      <c r="H999" s="645"/>
      <c r="I999" s="645"/>
      <c r="J999" s="645"/>
      <c r="K999" s="645"/>
      <c r="L999" s="645"/>
      <c r="M999" s="645"/>
      <c r="N999" s="645"/>
      <c r="O999" s="645"/>
      <c r="P999" s="645"/>
      <c r="Q999" s="645"/>
      <c r="R999" s="645"/>
      <c r="S999" s="645"/>
      <c r="T999" s="645"/>
      <c r="U999" s="647"/>
      <c r="W999" s="646">
        <f t="shared" si="341"/>
        <v>0</v>
      </c>
    </row>
    <row r="1000" spans="2:23" ht="17.25" customHeight="1" x14ac:dyDescent="0.25">
      <c r="B1000" s="645">
        <f t="shared" si="346"/>
        <v>9</v>
      </c>
      <c r="C1000" s="8" t="s">
        <v>643</v>
      </c>
      <c r="D1000" s="8"/>
      <c r="E1000" s="1571" t="s">
        <v>280</v>
      </c>
      <c r="F1000" s="805"/>
      <c r="G1000" s="1571"/>
      <c r="H1000" s="1571"/>
      <c r="I1000" s="1571"/>
      <c r="J1000" s="1571"/>
      <c r="K1000" s="1571"/>
      <c r="L1000" s="1571"/>
      <c r="M1000" s="1571"/>
      <c r="N1000" s="1571"/>
      <c r="O1000" s="1571"/>
      <c r="P1000" s="1571"/>
      <c r="Q1000" s="1571"/>
      <c r="R1000" s="1571"/>
      <c r="S1000" s="1571"/>
      <c r="T1000" s="1571"/>
      <c r="U1000" s="8"/>
      <c r="W1000" s="646">
        <f t="shared" si="341"/>
        <v>0</v>
      </c>
    </row>
    <row r="1001" spans="2:23" ht="14.25" customHeight="1" x14ac:dyDescent="0.2">
      <c r="B1001" s="645">
        <f t="shared" si="346"/>
        <v>10</v>
      </c>
      <c r="C1001" s="647" t="s">
        <v>39</v>
      </c>
      <c r="D1001" s="647" t="s">
        <v>40</v>
      </c>
      <c r="E1001" s="645"/>
      <c r="F1001" s="646">
        <f>' WP II-I-1.4'!H1001</f>
        <v>0</v>
      </c>
      <c r="G1001" s="645">
        <v>67</v>
      </c>
      <c r="H1001" s="620" t="str">
        <f t="shared" ref="H1001:H1012" si="349">VLOOKUP(G1001,FactorTable,2)</f>
        <v>PLTTRAN_N</v>
      </c>
      <c r="I1001" s="645"/>
      <c r="J1001" s="648">
        <f t="shared" ref="J1001:S1012" ca="1" si="350">$F1001*HLOOKUP(J$1354,FactorTable,$G1001+1)</f>
        <v>0</v>
      </c>
      <c r="K1001" s="648">
        <f t="shared" ca="1" si="350"/>
        <v>0</v>
      </c>
      <c r="L1001" s="648">
        <f t="shared" ca="1" si="350"/>
        <v>0</v>
      </c>
      <c r="M1001" s="648">
        <f t="shared" ca="1" si="350"/>
        <v>0</v>
      </c>
      <c r="N1001" s="648">
        <f t="shared" ca="1" si="350"/>
        <v>0</v>
      </c>
      <c r="O1001" s="648">
        <f t="shared" ca="1" si="350"/>
        <v>0</v>
      </c>
      <c r="P1001" s="648">
        <f t="shared" ca="1" si="350"/>
        <v>0</v>
      </c>
      <c r="Q1001" s="648">
        <f t="shared" ca="1" si="350"/>
        <v>0</v>
      </c>
      <c r="R1001" s="648">
        <f t="shared" ca="1" si="350"/>
        <v>0</v>
      </c>
      <c r="S1001" s="648">
        <f t="shared" ca="1" si="350"/>
        <v>0</v>
      </c>
      <c r="T1001" s="645"/>
      <c r="U1001" s="646">
        <f t="shared" ref="U1001:U1013" ca="1" si="351">SUM(I1001:T1001)</f>
        <v>0</v>
      </c>
      <c r="W1001" s="646">
        <f t="shared" ca="1" si="341"/>
        <v>0</v>
      </c>
    </row>
    <row r="1002" spans="2:23" ht="14.25" customHeight="1" x14ac:dyDescent="0.2">
      <c r="B1002" s="645">
        <f t="shared" si="346"/>
        <v>11</v>
      </c>
      <c r="C1002" s="647" t="s">
        <v>1229</v>
      </c>
      <c r="D1002" s="647" t="s">
        <v>1230</v>
      </c>
      <c r="E1002" s="645"/>
      <c r="F1002" s="646">
        <f>' WP II-I-1.4'!H1002</f>
        <v>0</v>
      </c>
      <c r="G1002" s="645">
        <v>67</v>
      </c>
      <c r="H1002" s="620" t="str">
        <f t="shared" ref="H1002:H1004" si="352">VLOOKUP(G1002,FactorTable,2)</f>
        <v>PLTTRAN_N</v>
      </c>
      <c r="I1002" s="645"/>
      <c r="J1002" s="648">
        <f t="shared" ca="1" si="350"/>
        <v>0</v>
      </c>
      <c r="K1002" s="648">
        <f t="shared" ca="1" si="350"/>
        <v>0</v>
      </c>
      <c r="L1002" s="648">
        <f t="shared" ca="1" si="350"/>
        <v>0</v>
      </c>
      <c r="M1002" s="648">
        <f t="shared" ca="1" si="350"/>
        <v>0</v>
      </c>
      <c r="N1002" s="648">
        <f t="shared" ca="1" si="350"/>
        <v>0</v>
      </c>
      <c r="O1002" s="648">
        <f t="shared" ca="1" si="350"/>
        <v>0</v>
      </c>
      <c r="P1002" s="648">
        <f t="shared" ca="1" si="350"/>
        <v>0</v>
      </c>
      <c r="Q1002" s="648">
        <f t="shared" ca="1" si="350"/>
        <v>0</v>
      </c>
      <c r="R1002" s="648">
        <f t="shared" ca="1" si="350"/>
        <v>0</v>
      </c>
      <c r="S1002" s="648">
        <f t="shared" ca="1" si="350"/>
        <v>0</v>
      </c>
      <c r="T1002" s="645"/>
      <c r="U1002" s="646">
        <f t="shared" ref="U1002:U1004" ca="1" si="353">SUM(I1002:T1002)</f>
        <v>0</v>
      </c>
      <c r="W1002" s="646"/>
    </row>
    <row r="1003" spans="2:23" ht="15" customHeight="1" x14ac:dyDescent="0.2">
      <c r="B1003" s="645">
        <f t="shared" si="346"/>
        <v>12</v>
      </c>
      <c r="C1003" s="647" t="s">
        <v>1231</v>
      </c>
      <c r="D1003" s="647" t="s">
        <v>1232</v>
      </c>
      <c r="E1003" s="645"/>
      <c r="F1003" s="646">
        <f>' WP II-I-1.4'!H1003</f>
        <v>0</v>
      </c>
      <c r="G1003" s="645">
        <v>67</v>
      </c>
      <c r="H1003" s="620" t="str">
        <f t="shared" si="352"/>
        <v>PLTTRAN_N</v>
      </c>
      <c r="I1003" s="645"/>
      <c r="J1003" s="648">
        <f t="shared" ca="1" si="350"/>
        <v>0</v>
      </c>
      <c r="K1003" s="648">
        <f t="shared" ca="1" si="350"/>
        <v>0</v>
      </c>
      <c r="L1003" s="648">
        <f t="shared" ca="1" si="350"/>
        <v>0</v>
      </c>
      <c r="M1003" s="648">
        <f t="shared" ca="1" si="350"/>
        <v>0</v>
      </c>
      <c r="N1003" s="648">
        <f t="shared" ca="1" si="350"/>
        <v>0</v>
      </c>
      <c r="O1003" s="648">
        <f t="shared" ca="1" si="350"/>
        <v>0</v>
      </c>
      <c r="P1003" s="648">
        <f t="shared" ca="1" si="350"/>
        <v>0</v>
      </c>
      <c r="Q1003" s="648">
        <f t="shared" ca="1" si="350"/>
        <v>0</v>
      </c>
      <c r="R1003" s="648">
        <f t="shared" ca="1" si="350"/>
        <v>0</v>
      </c>
      <c r="S1003" s="648">
        <f t="shared" ca="1" si="350"/>
        <v>0</v>
      </c>
      <c r="T1003" s="645"/>
      <c r="U1003" s="646">
        <f t="shared" ca="1" si="353"/>
        <v>0</v>
      </c>
      <c r="W1003" s="646"/>
    </row>
    <row r="1004" spans="2:23" ht="18" customHeight="1" x14ac:dyDescent="0.2">
      <c r="B1004" s="645">
        <f t="shared" si="346"/>
        <v>13</v>
      </c>
      <c r="C1004" s="647" t="s">
        <v>1233</v>
      </c>
      <c r="D1004" s="647" t="s">
        <v>103</v>
      </c>
      <c r="E1004" s="645"/>
      <c r="F1004" s="646">
        <f>' WP II-I-1.4'!H1004</f>
        <v>0</v>
      </c>
      <c r="G1004" s="645">
        <v>67</v>
      </c>
      <c r="H1004" s="620" t="str">
        <f t="shared" si="352"/>
        <v>PLTTRAN_N</v>
      </c>
      <c r="I1004" s="645"/>
      <c r="J1004" s="648">
        <f t="shared" ca="1" si="350"/>
        <v>0</v>
      </c>
      <c r="K1004" s="648">
        <f t="shared" ca="1" si="350"/>
        <v>0</v>
      </c>
      <c r="L1004" s="648">
        <f t="shared" ca="1" si="350"/>
        <v>0</v>
      </c>
      <c r="M1004" s="648">
        <f t="shared" ca="1" si="350"/>
        <v>0</v>
      </c>
      <c r="N1004" s="648">
        <f t="shared" ca="1" si="350"/>
        <v>0</v>
      </c>
      <c r="O1004" s="648">
        <f t="shared" ca="1" si="350"/>
        <v>0</v>
      </c>
      <c r="P1004" s="648">
        <f t="shared" ca="1" si="350"/>
        <v>0</v>
      </c>
      <c r="Q1004" s="648">
        <f t="shared" ca="1" si="350"/>
        <v>0</v>
      </c>
      <c r="R1004" s="648">
        <f t="shared" ca="1" si="350"/>
        <v>0</v>
      </c>
      <c r="S1004" s="648">
        <f t="shared" ca="1" si="350"/>
        <v>0</v>
      </c>
      <c r="T1004" s="645"/>
      <c r="U1004" s="646">
        <f t="shared" ca="1" si="353"/>
        <v>0</v>
      </c>
      <c r="W1004" s="646"/>
    </row>
    <row r="1005" spans="2:23" ht="15" customHeight="1" x14ac:dyDescent="0.2">
      <c r="B1005" s="645">
        <f t="shared" si="346"/>
        <v>14</v>
      </c>
      <c r="C1005" s="647" t="s">
        <v>41</v>
      </c>
      <c r="D1005" s="647" t="s">
        <v>42</v>
      </c>
      <c r="E1005" s="645"/>
      <c r="F1005" s="646">
        <f>' WP II-I-1.4'!H1005</f>
        <v>0</v>
      </c>
      <c r="G1005" s="645">
        <v>28</v>
      </c>
      <c r="H1005" s="620" t="str">
        <f t="shared" si="349"/>
        <v>NCP XHV</v>
      </c>
      <c r="I1005" s="645"/>
      <c r="J1005" s="648">
        <f t="shared" si="350"/>
        <v>0</v>
      </c>
      <c r="K1005" s="648">
        <f t="shared" si="350"/>
        <v>0</v>
      </c>
      <c r="L1005" s="648">
        <f t="shared" si="350"/>
        <v>0</v>
      </c>
      <c r="M1005" s="648">
        <f t="shared" si="350"/>
        <v>0</v>
      </c>
      <c r="N1005" s="648">
        <f t="shared" si="350"/>
        <v>0</v>
      </c>
      <c r="O1005" s="648">
        <f t="shared" si="350"/>
        <v>0</v>
      </c>
      <c r="P1005" s="648">
        <f t="shared" si="350"/>
        <v>0</v>
      </c>
      <c r="Q1005" s="648">
        <f t="shared" si="350"/>
        <v>0</v>
      </c>
      <c r="R1005" s="648">
        <f t="shared" si="350"/>
        <v>0</v>
      </c>
      <c r="S1005" s="648">
        <f t="shared" si="350"/>
        <v>0</v>
      </c>
      <c r="T1005" s="645"/>
      <c r="U1005" s="646">
        <f t="shared" si="351"/>
        <v>0</v>
      </c>
      <c r="W1005" s="646">
        <f t="shared" si="341"/>
        <v>0</v>
      </c>
    </row>
    <row r="1006" spans="2:23" ht="14.1" customHeight="1" x14ac:dyDescent="0.2">
      <c r="B1006" s="645">
        <f t="shared" si="346"/>
        <v>15</v>
      </c>
      <c r="C1006" s="647" t="s">
        <v>43</v>
      </c>
      <c r="D1006" s="647" t="s">
        <v>44</v>
      </c>
      <c r="E1006" s="645"/>
      <c r="F1006" s="646">
        <f>' WP II-I-1.4'!H1006</f>
        <v>0</v>
      </c>
      <c r="G1006" s="645">
        <v>28</v>
      </c>
      <c r="H1006" s="620" t="str">
        <f t="shared" si="349"/>
        <v>NCP XHV</v>
      </c>
      <c r="I1006" s="645"/>
      <c r="J1006" s="648">
        <f t="shared" si="350"/>
        <v>0</v>
      </c>
      <c r="K1006" s="648">
        <f t="shared" si="350"/>
        <v>0</v>
      </c>
      <c r="L1006" s="648">
        <f t="shared" si="350"/>
        <v>0</v>
      </c>
      <c r="M1006" s="648">
        <f t="shared" si="350"/>
        <v>0</v>
      </c>
      <c r="N1006" s="648">
        <f t="shared" si="350"/>
        <v>0</v>
      </c>
      <c r="O1006" s="648">
        <f t="shared" si="350"/>
        <v>0</v>
      </c>
      <c r="P1006" s="648">
        <f t="shared" si="350"/>
        <v>0</v>
      </c>
      <c r="Q1006" s="648">
        <f t="shared" si="350"/>
        <v>0</v>
      </c>
      <c r="R1006" s="648">
        <f t="shared" si="350"/>
        <v>0</v>
      </c>
      <c r="S1006" s="648">
        <f t="shared" si="350"/>
        <v>0</v>
      </c>
      <c r="T1006" s="645"/>
      <c r="U1006" s="646">
        <f t="shared" si="351"/>
        <v>0</v>
      </c>
      <c r="W1006" s="646">
        <f t="shared" si="341"/>
        <v>0</v>
      </c>
    </row>
    <row r="1007" spans="2:23" ht="15" customHeight="1" x14ac:dyDescent="0.2">
      <c r="B1007" s="645">
        <f t="shared" si="346"/>
        <v>16</v>
      </c>
      <c r="C1007" s="647" t="s">
        <v>45</v>
      </c>
      <c r="D1007" s="647" t="s">
        <v>46</v>
      </c>
      <c r="E1007" s="645"/>
      <c r="F1007" s="646">
        <f>' WP II-I-1.4'!H1007</f>
        <v>0</v>
      </c>
      <c r="G1007" s="645">
        <v>67</v>
      </c>
      <c r="H1007" s="620" t="str">
        <f t="shared" si="349"/>
        <v>PLTTRAN_N</v>
      </c>
      <c r="I1007" s="645"/>
      <c r="J1007" s="648">
        <f t="shared" ca="1" si="350"/>
        <v>0</v>
      </c>
      <c r="K1007" s="648">
        <f t="shared" ca="1" si="350"/>
        <v>0</v>
      </c>
      <c r="L1007" s="648">
        <f t="shared" ca="1" si="350"/>
        <v>0</v>
      </c>
      <c r="M1007" s="648">
        <f t="shared" ca="1" si="350"/>
        <v>0</v>
      </c>
      <c r="N1007" s="648">
        <f t="shared" ca="1" si="350"/>
        <v>0</v>
      </c>
      <c r="O1007" s="648">
        <f t="shared" ca="1" si="350"/>
        <v>0</v>
      </c>
      <c r="P1007" s="648">
        <f t="shared" ca="1" si="350"/>
        <v>0</v>
      </c>
      <c r="Q1007" s="648">
        <f t="shared" ca="1" si="350"/>
        <v>0</v>
      </c>
      <c r="R1007" s="648">
        <f t="shared" ca="1" si="350"/>
        <v>0</v>
      </c>
      <c r="S1007" s="648">
        <f t="shared" ca="1" si="350"/>
        <v>0</v>
      </c>
      <c r="T1007" s="645"/>
      <c r="U1007" s="646">
        <f t="shared" ca="1" si="351"/>
        <v>0</v>
      </c>
      <c r="W1007" s="646">
        <f t="shared" ca="1" si="341"/>
        <v>0</v>
      </c>
    </row>
    <row r="1008" spans="2:23" ht="17.25" customHeight="1" x14ac:dyDescent="0.2">
      <c r="B1008" s="645">
        <f t="shared" si="346"/>
        <v>17</v>
      </c>
      <c r="C1008" s="647" t="s">
        <v>47</v>
      </c>
      <c r="D1008" s="647" t="s">
        <v>48</v>
      </c>
      <c r="E1008" s="645"/>
      <c r="F1008" s="646">
        <f>' WP II-I-1.4'!H1008</f>
        <v>0</v>
      </c>
      <c r="G1008" s="645">
        <v>67</v>
      </c>
      <c r="H1008" s="620" t="str">
        <f t="shared" si="349"/>
        <v>PLTTRAN_N</v>
      </c>
      <c r="I1008" s="645"/>
      <c r="J1008" s="648">
        <f t="shared" ca="1" si="350"/>
        <v>0</v>
      </c>
      <c r="K1008" s="648">
        <f t="shared" ca="1" si="350"/>
        <v>0</v>
      </c>
      <c r="L1008" s="648">
        <f t="shared" ca="1" si="350"/>
        <v>0</v>
      </c>
      <c r="M1008" s="648">
        <f t="shared" ca="1" si="350"/>
        <v>0</v>
      </c>
      <c r="N1008" s="648">
        <f t="shared" ca="1" si="350"/>
        <v>0</v>
      </c>
      <c r="O1008" s="648">
        <f t="shared" ca="1" si="350"/>
        <v>0</v>
      </c>
      <c r="P1008" s="648">
        <f t="shared" ca="1" si="350"/>
        <v>0</v>
      </c>
      <c r="Q1008" s="648">
        <f t="shared" ca="1" si="350"/>
        <v>0</v>
      </c>
      <c r="R1008" s="648">
        <f t="shared" ca="1" si="350"/>
        <v>0</v>
      </c>
      <c r="S1008" s="648">
        <f t="shared" ca="1" si="350"/>
        <v>0</v>
      </c>
      <c r="T1008" s="645"/>
      <c r="U1008" s="646">
        <f t="shared" ca="1" si="351"/>
        <v>0</v>
      </c>
      <c r="W1008" s="646">
        <f t="shared" ca="1" si="341"/>
        <v>0</v>
      </c>
    </row>
    <row r="1009" spans="2:23" ht="16.5" customHeight="1" x14ac:dyDescent="0.2">
      <c r="B1009" s="645">
        <f t="shared" si="346"/>
        <v>18</v>
      </c>
      <c r="C1009" s="647" t="s">
        <v>49</v>
      </c>
      <c r="D1009" s="647" t="s">
        <v>486</v>
      </c>
      <c r="E1009" s="645"/>
      <c r="F1009" s="646">
        <f>' WP II-I-1.4'!H1009</f>
        <v>0</v>
      </c>
      <c r="G1009" s="645">
        <v>67</v>
      </c>
      <c r="H1009" s="620" t="str">
        <f t="shared" si="349"/>
        <v>PLTTRAN_N</v>
      </c>
      <c r="I1009" s="645"/>
      <c r="J1009" s="648">
        <f t="shared" ca="1" si="350"/>
        <v>0</v>
      </c>
      <c r="K1009" s="648">
        <f t="shared" ca="1" si="350"/>
        <v>0</v>
      </c>
      <c r="L1009" s="648">
        <f t="shared" ca="1" si="350"/>
        <v>0</v>
      </c>
      <c r="M1009" s="648">
        <f t="shared" ca="1" si="350"/>
        <v>0</v>
      </c>
      <c r="N1009" s="648">
        <f t="shared" ca="1" si="350"/>
        <v>0</v>
      </c>
      <c r="O1009" s="648">
        <f t="shared" ca="1" si="350"/>
        <v>0</v>
      </c>
      <c r="P1009" s="648">
        <f t="shared" ca="1" si="350"/>
        <v>0</v>
      </c>
      <c r="Q1009" s="648">
        <f t="shared" ca="1" si="350"/>
        <v>0</v>
      </c>
      <c r="R1009" s="648">
        <f t="shared" ca="1" si="350"/>
        <v>0</v>
      </c>
      <c r="S1009" s="648">
        <f t="shared" ca="1" si="350"/>
        <v>0</v>
      </c>
      <c r="T1009" s="645"/>
      <c r="U1009" s="646">
        <f t="shared" ca="1" si="351"/>
        <v>0</v>
      </c>
      <c r="W1009" s="646">
        <f t="shared" ca="1" si="341"/>
        <v>0</v>
      </c>
    </row>
    <row r="1010" spans="2:23" ht="18" customHeight="1" x14ac:dyDescent="0.2">
      <c r="B1010" s="645">
        <f t="shared" si="346"/>
        <v>19</v>
      </c>
      <c r="C1010" s="647" t="s">
        <v>51</v>
      </c>
      <c r="D1010" s="647" t="s">
        <v>644</v>
      </c>
      <c r="E1010" s="645"/>
      <c r="F1010" s="646">
        <f>' WP II-I-1.4'!H1010</f>
        <v>0</v>
      </c>
      <c r="G1010" s="645">
        <v>67</v>
      </c>
      <c r="H1010" s="620" t="str">
        <f t="shared" si="349"/>
        <v>PLTTRAN_N</v>
      </c>
      <c r="I1010" s="645"/>
      <c r="J1010" s="648">
        <f t="shared" ca="1" si="350"/>
        <v>0</v>
      </c>
      <c r="K1010" s="648">
        <f t="shared" ca="1" si="350"/>
        <v>0</v>
      </c>
      <c r="L1010" s="648">
        <f t="shared" ca="1" si="350"/>
        <v>0</v>
      </c>
      <c r="M1010" s="648">
        <f t="shared" ca="1" si="350"/>
        <v>0</v>
      </c>
      <c r="N1010" s="648">
        <f t="shared" ca="1" si="350"/>
        <v>0</v>
      </c>
      <c r="O1010" s="648">
        <f t="shared" ca="1" si="350"/>
        <v>0</v>
      </c>
      <c r="P1010" s="648">
        <f t="shared" ca="1" si="350"/>
        <v>0</v>
      </c>
      <c r="Q1010" s="648">
        <f t="shared" ca="1" si="350"/>
        <v>0</v>
      </c>
      <c r="R1010" s="648">
        <f t="shared" ca="1" si="350"/>
        <v>0</v>
      </c>
      <c r="S1010" s="648">
        <f t="shared" ca="1" si="350"/>
        <v>0</v>
      </c>
      <c r="T1010" s="645"/>
      <c r="U1010" s="646">
        <f t="shared" ca="1" si="351"/>
        <v>0</v>
      </c>
      <c r="W1010" s="646">
        <f t="shared" ca="1" si="341"/>
        <v>0</v>
      </c>
    </row>
    <row r="1011" spans="2:23" ht="15.75" customHeight="1" x14ac:dyDescent="0.2">
      <c r="B1011" s="645">
        <f t="shared" si="346"/>
        <v>20</v>
      </c>
      <c r="C1011" s="647" t="s">
        <v>53</v>
      </c>
      <c r="D1011" s="649" t="s">
        <v>487</v>
      </c>
      <c r="E1011" s="645"/>
      <c r="F1011" s="646">
        <f>' WP II-I-1.4'!H1011</f>
        <v>0</v>
      </c>
      <c r="G1011" s="645">
        <v>67</v>
      </c>
      <c r="H1011" s="620" t="str">
        <f t="shared" si="349"/>
        <v>PLTTRAN_N</v>
      </c>
      <c r="I1011" s="645"/>
      <c r="J1011" s="648">
        <f t="shared" ca="1" si="350"/>
        <v>0</v>
      </c>
      <c r="K1011" s="648">
        <f t="shared" ca="1" si="350"/>
        <v>0</v>
      </c>
      <c r="L1011" s="648">
        <f t="shared" ca="1" si="350"/>
        <v>0</v>
      </c>
      <c r="M1011" s="648">
        <f t="shared" ca="1" si="350"/>
        <v>0</v>
      </c>
      <c r="N1011" s="648">
        <f t="shared" ca="1" si="350"/>
        <v>0</v>
      </c>
      <c r="O1011" s="648">
        <f t="shared" ca="1" si="350"/>
        <v>0</v>
      </c>
      <c r="P1011" s="648">
        <f t="shared" ca="1" si="350"/>
        <v>0</v>
      </c>
      <c r="Q1011" s="648">
        <f t="shared" ca="1" si="350"/>
        <v>0</v>
      </c>
      <c r="R1011" s="648">
        <f t="shared" ca="1" si="350"/>
        <v>0</v>
      </c>
      <c r="S1011" s="648">
        <f t="shared" ca="1" si="350"/>
        <v>0</v>
      </c>
      <c r="T1011" s="645"/>
      <c r="U1011" s="646">
        <f t="shared" ca="1" si="351"/>
        <v>0</v>
      </c>
      <c r="W1011" s="646">
        <f t="shared" ca="1" si="341"/>
        <v>0</v>
      </c>
    </row>
    <row r="1012" spans="2:23" ht="17.25" customHeight="1" x14ac:dyDescent="0.2">
      <c r="B1012" s="645">
        <f t="shared" si="346"/>
        <v>21</v>
      </c>
      <c r="C1012" s="647" t="s">
        <v>55</v>
      </c>
      <c r="D1012" s="647" t="s">
        <v>56</v>
      </c>
      <c r="E1012" s="645"/>
      <c r="F1012" s="646">
        <f>' WP II-I-1.4'!H1012</f>
        <v>0</v>
      </c>
      <c r="G1012" s="645">
        <v>67</v>
      </c>
      <c r="H1012" s="620" t="str">
        <f t="shared" si="349"/>
        <v>PLTTRAN_N</v>
      </c>
      <c r="I1012" s="645"/>
      <c r="J1012" s="651">
        <f t="shared" ca="1" si="350"/>
        <v>0</v>
      </c>
      <c r="K1012" s="651">
        <f t="shared" ca="1" si="350"/>
        <v>0</v>
      </c>
      <c r="L1012" s="651">
        <f t="shared" ca="1" si="350"/>
        <v>0</v>
      </c>
      <c r="M1012" s="651">
        <f t="shared" ca="1" si="350"/>
        <v>0</v>
      </c>
      <c r="N1012" s="651">
        <f t="shared" ca="1" si="350"/>
        <v>0</v>
      </c>
      <c r="O1012" s="651">
        <f t="shared" ca="1" si="350"/>
        <v>0</v>
      </c>
      <c r="P1012" s="651">
        <f t="shared" ca="1" si="350"/>
        <v>0</v>
      </c>
      <c r="Q1012" s="651">
        <f t="shared" ca="1" si="350"/>
        <v>0</v>
      </c>
      <c r="R1012" s="651">
        <f t="shared" ca="1" si="350"/>
        <v>0</v>
      </c>
      <c r="S1012" s="651">
        <f t="shared" ca="1" si="350"/>
        <v>0</v>
      </c>
      <c r="T1012" s="645"/>
      <c r="U1012" s="646">
        <f t="shared" ca="1" si="351"/>
        <v>0</v>
      </c>
      <c r="W1012" s="646">
        <f t="shared" ca="1" si="341"/>
        <v>0</v>
      </c>
    </row>
    <row r="1013" spans="2:23" ht="12.6" customHeight="1" x14ac:dyDescent="0.25">
      <c r="B1013" s="645">
        <f t="shared" si="346"/>
        <v>22</v>
      </c>
      <c r="C1013" s="8"/>
      <c r="D1013" s="233" t="s">
        <v>444</v>
      </c>
      <c r="E1013" s="1571"/>
      <c r="F1013" s="805">
        <f>SUM(F1001:F1012)</f>
        <v>0</v>
      </c>
      <c r="G1013" s="1571"/>
      <c r="H1013" s="1571"/>
      <c r="I1013" s="1571"/>
      <c r="J1013" s="805">
        <f t="shared" ref="J1013:Q1013" ca="1" si="354">SUM(J1001:J1012)</f>
        <v>0</v>
      </c>
      <c r="K1013" s="805">
        <f t="shared" ca="1" si="354"/>
        <v>0</v>
      </c>
      <c r="L1013" s="805">
        <f t="shared" ca="1" si="354"/>
        <v>0</v>
      </c>
      <c r="M1013" s="805">
        <f t="shared" ca="1" si="354"/>
        <v>0</v>
      </c>
      <c r="N1013" s="805">
        <f t="shared" ca="1" si="354"/>
        <v>0</v>
      </c>
      <c r="O1013" s="805">
        <f ca="1">SUM(O1001:O1012)</f>
        <v>0</v>
      </c>
      <c r="P1013" s="805">
        <f t="shared" ca="1" si="354"/>
        <v>0</v>
      </c>
      <c r="Q1013" s="805">
        <f t="shared" ca="1" si="354"/>
        <v>0</v>
      </c>
      <c r="R1013" s="805">
        <f ca="1">SUM(R1001:R1012)</f>
        <v>0</v>
      </c>
      <c r="S1013" s="805">
        <f ca="1">SUM(S1001:S1012)</f>
        <v>0</v>
      </c>
      <c r="T1013" s="1571"/>
      <c r="U1013" s="235">
        <f t="shared" ca="1" si="351"/>
        <v>0</v>
      </c>
      <c r="W1013" s="646">
        <f t="shared" ca="1" si="341"/>
        <v>0</v>
      </c>
    </row>
    <row r="1014" spans="2:23" ht="8.4499999999999993" customHeight="1" x14ac:dyDescent="0.2">
      <c r="B1014" s="645">
        <f t="shared" si="346"/>
        <v>23</v>
      </c>
      <c r="C1014" s="647"/>
      <c r="D1014" s="647"/>
      <c r="E1014" s="645"/>
      <c r="F1014" s="803"/>
      <c r="G1014" s="645"/>
      <c r="H1014" s="645"/>
      <c r="I1014" s="645"/>
      <c r="J1014" s="645"/>
      <c r="K1014" s="645"/>
      <c r="L1014" s="645"/>
      <c r="M1014" s="645"/>
      <c r="N1014" s="645"/>
      <c r="O1014" s="645"/>
      <c r="P1014" s="645"/>
      <c r="Q1014" s="645"/>
      <c r="R1014" s="645"/>
      <c r="S1014" s="645"/>
      <c r="T1014" s="645"/>
      <c r="U1014" s="647"/>
      <c r="W1014" s="646">
        <f t="shared" si="341"/>
        <v>0</v>
      </c>
    </row>
    <row r="1015" spans="2:23" ht="15.75" customHeight="1" x14ac:dyDescent="0.25">
      <c r="B1015" s="645">
        <f t="shared" si="346"/>
        <v>24</v>
      </c>
      <c r="C1015" s="8" t="s">
        <v>645</v>
      </c>
      <c r="D1015" s="8"/>
      <c r="E1015" s="1571" t="s">
        <v>280</v>
      </c>
      <c r="F1015" s="805"/>
      <c r="G1015" s="1571"/>
      <c r="H1015" s="1571"/>
      <c r="I1015" s="1571"/>
      <c r="J1015" s="1571"/>
      <c r="K1015" s="1571"/>
      <c r="L1015" s="1571"/>
      <c r="M1015" s="1571"/>
      <c r="N1015" s="1571"/>
      <c r="O1015" s="1571"/>
      <c r="P1015" s="1571"/>
      <c r="Q1015" s="1571"/>
      <c r="R1015" s="1571"/>
      <c r="S1015" s="1571"/>
      <c r="T1015" s="1571"/>
      <c r="U1015" s="8"/>
      <c r="W1015" s="646">
        <f t="shared" si="341"/>
        <v>0</v>
      </c>
    </row>
    <row r="1016" spans="2:23" ht="15" customHeight="1" x14ac:dyDescent="0.2">
      <c r="B1016" s="645">
        <f t="shared" si="346"/>
        <v>25</v>
      </c>
      <c r="C1016" s="647" t="s">
        <v>59</v>
      </c>
      <c r="D1016" s="647" t="s">
        <v>40</v>
      </c>
      <c r="E1016" s="645"/>
      <c r="F1016" s="646">
        <f>' WP II-I-1.4'!H1016</f>
        <v>0</v>
      </c>
      <c r="G1016" s="645">
        <v>54</v>
      </c>
      <c r="H1016" s="620" t="str">
        <f t="shared" ref="H1016:H1031" si="355">VLOOKUP(G1016,FactorTable,2)</f>
        <v>PLT 362-373</v>
      </c>
      <c r="I1016" s="645"/>
      <c r="J1016" s="648">
        <f t="shared" ref="J1016:S1025" ca="1" si="356">$F1016*HLOOKUP(J$1354,FactorTable,$G1016+1)</f>
        <v>0</v>
      </c>
      <c r="K1016" s="648">
        <f t="shared" ca="1" si="356"/>
        <v>0</v>
      </c>
      <c r="L1016" s="648">
        <f t="shared" ca="1" si="356"/>
        <v>0</v>
      </c>
      <c r="M1016" s="648">
        <f t="shared" ca="1" si="356"/>
        <v>0</v>
      </c>
      <c r="N1016" s="648">
        <f t="shared" ca="1" si="356"/>
        <v>0</v>
      </c>
      <c r="O1016" s="648">
        <f t="shared" ca="1" si="356"/>
        <v>0</v>
      </c>
      <c r="P1016" s="648">
        <f t="shared" ca="1" si="356"/>
        <v>0</v>
      </c>
      <c r="Q1016" s="648">
        <f t="shared" ca="1" si="356"/>
        <v>0</v>
      </c>
      <c r="R1016" s="648">
        <f t="shared" ca="1" si="356"/>
        <v>0</v>
      </c>
      <c r="S1016" s="648">
        <f t="shared" ca="1" si="356"/>
        <v>0</v>
      </c>
      <c r="T1016" s="645"/>
      <c r="U1016" s="646">
        <f t="shared" ref="U1016:U1032" ca="1" si="357">SUM(I1016:T1016)</f>
        <v>0</v>
      </c>
      <c r="W1016" s="646">
        <f t="shared" ca="1" si="341"/>
        <v>0</v>
      </c>
    </row>
    <row r="1017" spans="2:23" ht="14.1" customHeight="1" x14ac:dyDescent="0.2">
      <c r="B1017" s="645">
        <f t="shared" si="346"/>
        <v>26</v>
      </c>
      <c r="C1017" s="647" t="s">
        <v>60</v>
      </c>
      <c r="D1017" s="649" t="s">
        <v>42</v>
      </c>
      <c r="E1017" s="645"/>
      <c r="F1017" s="646">
        <f>' WP II-I-1.4'!H1017</f>
        <v>0</v>
      </c>
      <c r="G1017" s="645">
        <v>43</v>
      </c>
      <c r="H1017" s="620" t="str">
        <f t="shared" si="355"/>
        <v>PLT 361</v>
      </c>
      <c r="I1017" s="645"/>
      <c r="J1017" s="648">
        <f t="shared" ca="1" si="356"/>
        <v>0</v>
      </c>
      <c r="K1017" s="648">
        <f t="shared" ca="1" si="356"/>
        <v>0</v>
      </c>
      <c r="L1017" s="648">
        <f t="shared" ca="1" si="356"/>
        <v>0</v>
      </c>
      <c r="M1017" s="648">
        <f t="shared" ca="1" si="356"/>
        <v>0</v>
      </c>
      <c r="N1017" s="648">
        <f t="shared" ca="1" si="356"/>
        <v>0</v>
      </c>
      <c r="O1017" s="648">
        <f t="shared" ca="1" si="356"/>
        <v>0</v>
      </c>
      <c r="P1017" s="648">
        <f t="shared" ca="1" si="356"/>
        <v>0</v>
      </c>
      <c r="Q1017" s="648">
        <f t="shared" ca="1" si="356"/>
        <v>0</v>
      </c>
      <c r="R1017" s="648">
        <f t="shared" ca="1" si="356"/>
        <v>0</v>
      </c>
      <c r="S1017" s="648">
        <f t="shared" ca="1" si="356"/>
        <v>0</v>
      </c>
      <c r="T1017" s="645"/>
      <c r="U1017" s="646">
        <f t="shared" ca="1" si="357"/>
        <v>0</v>
      </c>
      <c r="W1017" s="646">
        <f t="shared" ca="1" si="341"/>
        <v>0</v>
      </c>
    </row>
    <row r="1018" spans="2:23" ht="12.75" customHeight="1" x14ac:dyDescent="0.2">
      <c r="B1018" s="645">
        <f t="shared" si="346"/>
        <v>27</v>
      </c>
      <c r="C1018" s="647" t="s">
        <v>61</v>
      </c>
      <c r="D1018" s="647" t="s">
        <v>44</v>
      </c>
      <c r="E1018" s="645"/>
      <c r="F1018" s="646">
        <f>' WP II-I-1.4'!H1018</f>
        <v>0</v>
      </c>
      <c r="G1018" s="645">
        <v>44</v>
      </c>
      <c r="H1018" s="620" t="str">
        <f t="shared" si="355"/>
        <v>PLT 362</v>
      </c>
      <c r="I1018" s="645"/>
      <c r="J1018" s="648">
        <f t="shared" si="356"/>
        <v>0</v>
      </c>
      <c r="K1018" s="648">
        <f t="shared" si="356"/>
        <v>0</v>
      </c>
      <c r="L1018" s="648">
        <f t="shared" si="356"/>
        <v>0</v>
      </c>
      <c r="M1018" s="648">
        <f t="shared" si="356"/>
        <v>0</v>
      </c>
      <c r="N1018" s="648">
        <f t="shared" si="356"/>
        <v>0</v>
      </c>
      <c r="O1018" s="648">
        <f t="shared" si="356"/>
        <v>0</v>
      </c>
      <c r="P1018" s="648">
        <f t="shared" si="356"/>
        <v>0</v>
      </c>
      <c r="Q1018" s="648">
        <f t="shared" si="356"/>
        <v>0</v>
      </c>
      <c r="R1018" s="648">
        <f t="shared" si="356"/>
        <v>0</v>
      </c>
      <c r="S1018" s="648">
        <f t="shared" si="356"/>
        <v>0</v>
      </c>
      <c r="T1018" s="645"/>
      <c r="U1018" s="646">
        <f t="shared" si="357"/>
        <v>0</v>
      </c>
      <c r="W1018" s="646">
        <f t="shared" si="341"/>
        <v>0</v>
      </c>
    </row>
    <row r="1019" spans="2:23" ht="18" customHeight="1" x14ac:dyDescent="0.2">
      <c r="B1019" s="645">
        <f t="shared" si="346"/>
        <v>28</v>
      </c>
      <c r="C1019" s="647" t="s">
        <v>1234</v>
      </c>
      <c r="D1019" s="647" t="s">
        <v>1230</v>
      </c>
      <c r="E1019" s="645"/>
      <c r="F1019" s="668">
        <f>' WP II-I-1.4'!H1019</f>
        <v>0</v>
      </c>
      <c r="G1019" s="645">
        <v>58</v>
      </c>
      <c r="H1019" s="620" t="str">
        <f t="shared" ref="H1019:H1021" si="358">VLOOKUP(G1019,FactorTable,2)</f>
        <v>PLTDIST_N</v>
      </c>
      <c r="I1019" s="645"/>
      <c r="J1019" s="648">
        <f t="shared" ca="1" si="356"/>
        <v>0</v>
      </c>
      <c r="K1019" s="648">
        <f t="shared" ca="1" si="356"/>
        <v>0</v>
      </c>
      <c r="L1019" s="648">
        <f t="shared" ca="1" si="356"/>
        <v>0</v>
      </c>
      <c r="M1019" s="648">
        <f t="shared" ca="1" si="356"/>
        <v>0</v>
      </c>
      <c r="N1019" s="648">
        <f t="shared" ca="1" si="356"/>
        <v>0</v>
      </c>
      <c r="O1019" s="648">
        <f t="shared" ca="1" si="356"/>
        <v>0</v>
      </c>
      <c r="P1019" s="648">
        <f t="shared" ca="1" si="356"/>
        <v>0</v>
      </c>
      <c r="Q1019" s="648">
        <f t="shared" ca="1" si="356"/>
        <v>0</v>
      </c>
      <c r="R1019" s="648">
        <f t="shared" ca="1" si="356"/>
        <v>0</v>
      </c>
      <c r="S1019" s="648">
        <f t="shared" ca="1" si="356"/>
        <v>0</v>
      </c>
      <c r="T1019" s="645"/>
      <c r="U1019" s="646">
        <f t="shared" ref="U1019:U1021" ca="1" si="359">SUM(I1019:T1019)</f>
        <v>0</v>
      </c>
      <c r="W1019" s="646">
        <f t="shared" ref="W1019:W1021" ca="1" si="360">U1019-F1019</f>
        <v>0</v>
      </c>
    </row>
    <row r="1020" spans="2:23" ht="15" customHeight="1" x14ac:dyDescent="0.2">
      <c r="B1020" s="645">
        <f t="shared" si="346"/>
        <v>29</v>
      </c>
      <c r="C1020" s="647" t="s">
        <v>1235</v>
      </c>
      <c r="D1020" s="647" t="s">
        <v>1232</v>
      </c>
      <c r="E1020" s="645"/>
      <c r="F1020" s="668">
        <f>' WP II-I-1.4'!H1020</f>
        <v>3385973.72</v>
      </c>
      <c r="G1020" s="645">
        <v>58</v>
      </c>
      <c r="H1020" s="620" t="str">
        <f t="shared" si="358"/>
        <v>PLTDIST_N</v>
      </c>
      <c r="I1020" s="645"/>
      <c r="J1020" s="648">
        <f t="shared" ca="1" si="356"/>
        <v>1767625.4819510642</v>
      </c>
      <c r="K1020" s="648">
        <f t="shared" ca="1" si="356"/>
        <v>247971.48138864958</v>
      </c>
      <c r="L1020" s="648">
        <f t="shared" ca="1" si="356"/>
        <v>975191.34264411021</v>
      </c>
      <c r="M1020" s="648">
        <f t="shared" ca="1" si="356"/>
        <v>41067.310383025215</v>
      </c>
      <c r="N1020" s="648">
        <f t="shared" ca="1" si="356"/>
        <v>316239.96936373878</v>
      </c>
      <c r="O1020" s="648">
        <f t="shared" ca="1" si="356"/>
        <v>10376.528623235923</v>
      </c>
      <c r="P1020" s="648">
        <f t="shared" ca="1" si="356"/>
        <v>21644.292833743653</v>
      </c>
      <c r="Q1020" s="648">
        <f t="shared" ca="1" si="356"/>
        <v>1802.4731604887518</v>
      </c>
      <c r="R1020" s="648">
        <f t="shared" ca="1" si="356"/>
        <v>1145.874326492311</v>
      </c>
      <c r="S1020" s="648">
        <f t="shared" ca="1" si="356"/>
        <v>2908.965325451511</v>
      </c>
      <c r="T1020" s="645"/>
      <c r="U1020" s="646">
        <f t="shared" ca="1" si="359"/>
        <v>3385973.7199999997</v>
      </c>
      <c r="W1020" s="646">
        <f t="shared" ca="1" si="360"/>
        <v>0</v>
      </c>
    </row>
    <row r="1021" spans="2:23" ht="18" customHeight="1" x14ac:dyDescent="0.2">
      <c r="B1021" s="645">
        <f t="shared" si="346"/>
        <v>30</v>
      </c>
      <c r="C1021" s="647" t="s">
        <v>1236</v>
      </c>
      <c r="D1021" s="647" t="s">
        <v>103</v>
      </c>
      <c r="E1021" s="645"/>
      <c r="F1021" s="668">
        <f>' WP II-I-1.4'!H1021</f>
        <v>0</v>
      </c>
      <c r="G1021" s="645">
        <v>58</v>
      </c>
      <c r="H1021" s="620" t="str">
        <f t="shared" si="358"/>
        <v>PLTDIST_N</v>
      </c>
      <c r="I1021" s="645"/>
      <c r="J1021" s="648">
        <f t="shared" ca="1" si="356"/>
        <v>0</v>
      </c>
      <c r="K1021" s="648">
        <f t="shared" ca="1" si="356"/>
        <v>0</v>
      </c>
      <c r="L1021" s="648">
        <f t="shared" ca="1" si="356"/>
        <v>0</v>
      </c>
      <c r="M1021" s="648">
        <f t="shared" ca="1" si="356"/>
        <v>0</v>
      </c>
      <c r="N1021" s="648">
        <f t="shared" ca="1" si="356"/>
        <v>0</v>
      </c>
      <c r="O1021" s="648">
        <f t="shared" ca="1" si="356"/>
        <v>0</v>
      </c>
      <c r="P1021" s="648">
        <f t="shared" ca="1" si="356"/>
        <v>0</v>
      </c>
      <c r="Q1021" s="648">
        <f t="shared" ca="1" si="356"/>
        <v>0</v>
      </c>
      <c r="R1021" s="648">
        <f t="shared" ca="1" si="356"/>
        <v>0</v>
      </c>
      <c r="S1021" s="648">
        <f t="shared" ca="1" si="356"/>
        <v>0</v>
      </c>
      <c r="T1021" s="645"/>
      <c r="U1021" s="646">
        <f t="shared" ca="1" si="359"/>
        <v>0</v>
      </c>
      <c r="W1021" s="646">
        <f t="shared" ca="1" si="360"/>
        <v>0</v>
      </c>
    </row>
    <row r="1022" spans="2:23" ht="15" customHeight="1" x14ac:dyDescent="0.2">
      <c r="B1022" s="645">
        <f t="shared" si="346"/>
        <v>31</v>
      </c>
      <c r="C1022" s="647" t="s">
        <v>62</v>
      </c>
      <c r="D1022" s="649" t="s">
        <v>646</v>
      </c>
      <c r="E1022" s="645"/>
      <c r="F1022" s="646">
        <f>' WP II-I-1.4'!H1022</f>
        <v>0</v>
      </c>
      <c r="G1022" s="645">
        <v>45</v>
      </c>
      <c r="H1022" s="620" t="str">
        <f t="shared" si="355"/>
        <v>PLT 364</v>
      </c>
      <c r="I1022" s="645"/>
      <c r="J1022" s="648">
        <f t="shared" si="356"/>
        <v>0</v>
      </c>
      <c r="K1022" s="648">
        <f t="shared" si="356"/>
        <v>0</v>
      </c>
      <c r="L1022" s="648">
        <f t="shared" si="356"/>
        <v>0</v>
      </c>
      <c r="M1022" s="648">
        <f t="shared" si="356"/>
        <v>0</v>
      </c>
      <c r="N1022" s="648">
        <f t="shared" si="356"/>
        <v>0</v>
      </c>
      <c r="O1022" s="648">
        <f t="shared" si="356"/>
        <v>0</v>
      </c>
      <c r="P1022" s="648">
        <f t="shared" si="356"/>
        <v>0</v>
      </c>
      <c r="Q1022" s="648">
        <f t="shared" si="356"/>
        <v>0</v>
      </c>
      <c r="R1022" s="648">
        <f t="shared" si="356"/>
        <v>0</v>
      </c>
      <c r="S1022" s="648">
        <f t="shared" si="356"/>
        <v>0</v>
      </c>
      <c r="T1022" s="645"/>
      <c r="U1022" s="646">
        <f t="shared" si="357"/>
        <v>0</v>
      </c>
      <c r="W1022" s="646">
        <f t="shared" si="341"/>
        <v>0</v>
      </c>
    </row>
    <row r="1023" spans="2:23" ht="17.25" customHeight="1" x14ac:dyDescent="0.2">
      <c r="B1023" s="645">
        <f t="shared" si="346"/>
        <v>32</v>
      </c>
      <c r="C1023" s="647" t="s">
        <v>64</v>
      </c>
      <c r="D1023" s="647" t="s">
        <v>486</v>
      </c>
      <c r="E1023" s="645"/>
      <c r="F1023" s="646">
        <f>' WP II-I-1.4'!H1023</f>
        <v>0</v>
      </c>
      <c r="G1023" s="645">
        <v>46</v>
      </c>
      <c r="H1023" s="620" t="str">
        <f t="shared" si="355"/>
        <v>PLT 365</v>
      </c>
      <c r="I1023" s="645"/>
      <c r="J1023" s="648">
        <f t="shared" si="356"/>
        <v>0</v>
      </c>
      <c r="K1023" s="648">
        <f t="shared" si="356"/>
        <v>0</v>
      </c>
      <c r="L1023" s="648">
        <f t="shared" si="356"/>
        <v>0</v>
      </c>
      <c r="M1023" s="648">
        <f t="shared" si="356"/>
        <v>0</v>
      </c>
      <c r="N1023" s="648">
        <f t="shared" si="356"/>
        <v>0</v>
      </c>
      <c r="O1023" s="648">
        <f t="shared" si="356"/>
        <v>0</v>
      </c>
      <c r="P1023" s="648">
        <f t="shared" si="356"/>
        <v>0</v>
      </c>
      <c r="Q1023" s="648">
        <f t="shared" si="356"/>
        <v>0</v>
      </c>
      <c r="R1023" s="648">
        <f t="shared" si="356"/>
        <v>0</v>
      </c>
      <c r="S1023" s="648">
        <f t="shared" si="356"/>
        <v>0</v>
      </c>
      <c r="T1023" s="645"/>
      <c r="U1023" s="646">
        <f t="shared" si="357"/>
        <v>0</v>
      </c>
      <c r="W1023" s="646">
        <f t="shared" si="341"/>
        <v>0</v>
      </c>
    </row>
    <row r="1024" spans="2:23" ht="18" customHeight="1" x14ac:dyDescent="0.2">
      <c r="B1024" s="645">
        <f t="shared" si="346"/>
        <v>33</v>
      </c>
      <c r="C1024" s="647" t="s">
        <v>66</v>
      </c>
      <c r="D1024" s="647" t="s">
        <v>647</v>
      </c>
      <c r="E1024" s="645"/>
      <c r="F1024" s="646">
        <f>' WP II-I-1.4'!H1024</f>
        <v>0</v>
      </c>
      <c r="G1024" s="645">
        <v>47</v>
      </c>
      <c r="H1024" s="620" t="str">
        <f t="shared" si="355"/>
        <v>PLT 366</v>
      </c>
      <c r="I1024" s="645"/>
      <c r="J1024" s="648">
        <f t="shared" si="356"/>
        <v>0</v>
      </c>
      <c r="K1024" s="648">
        <f t="shared" si="356"/>
        <v>0</v>
      </c>
      <c r="L1024" s="648">
        <f t="shared" si="356"/>
        <v>0</v>
      </c>
      <c r="M1024" s="648">
        <f t="shared" si="356"/>
        <v>0</v>
      </c>
      <c r="N1024" s="648">
        <f t="shared" si="356"/>
        <v>0</v>
      </c>
      <c r="O1024" s="648">
        <f t="shared" si="356"/>
        <v>0</v>
      </c>
      <c r="P1024" s="648">
        <f t="shared" si="356"/>
        <v>0</v>
      </c>
      <c r="Q1024" s="648">
        <f t="shared" si="356"/>
        <v>0</v>
      </c>
      <c r="R1024" s="648">
        <f t="shared" si="356"/>
        <v>0</v>
      </c>
      <c r="S1024" s="648">
        <f t="shared" si="356"/>
        <v>0</v>
      </c>
      <c r="T1024" s="645"/>
      <c r="U1024" s="646">
        <f t="shared" si="357"/>
        <v>0</v>
      </c>
      <c r="W1024" s="646">
        <f t="shared" si="341"/>
        <v>0</v>
      </c>
    </row>
    <row r="1025" spans="2:23" ht="15" customHeight="1" x14ac:dyDescent="0.2">
      <c r="B1025" s="645">
        <f t="shared" si="346"/>
        <v>34</v>
      </c>
      <c r="C1025" s="647" t="s">
        <v>68</v>
      </c>
      <c r="D1025" s="649" t="s">
        <v>648</v>
      </c>
      <c r="E1025" s="645"/>
      <c r="F1025" s="646">
        <f>' WP II-I-1.4'!H1025</f>
        <v>0</v>
      </c>
      <c r="G1025" s="645">
        <v>48</v>
      </c>
      <c r="H1025" s="620" t="str">
        <f t="shared" si="355"/>
        <v>PLT 367</v>
      </c>
      <c r="I1025" s="645"/>
      <c r="J1025" s="648">
        <f t="shared" si="356"/>
        <v>0</v>
      </c>
      <c r="K1025" s="648">
        <f t="shared" si="356"/>
        <v>0</v>
      </c>
      <c r="L1025" s="648">
        <f t="shared" si="356"/>
        <v>0</v>
      </c>
      <c r="M1025" s="648">
        <f t="shared" si="356"/>
        <v>0</v>
      </c>
      <c r="N1025" s="648">
        <f t="shared" si="356"/>
        <v>0</v>
      </c>
      <c r="O1025" s="648">
        <f t="shared" si="356"/>
        <v>0</v>
      </c>
      <c r="P1025" s="648">
        <f t="shared" si="356"/>
        <v>0</v>
      </c>
      <c r="Q1025" s="648">
        <f t="shared" si="356"/>
        <v>0</v>
      </c>
      <c r="R1025" s="648">
        <f t="shared" si="356"/>
        <v>0</v>
      </c>
      <c r="S1025" s="648">
        <f t="shared" si="356"/>
        <v>0</v>
      </c>
      <c r="T1025" s="645"/>
      <c r="U1025" s="646">
        <f t="shared" si="357"/>
        <v>0</v>
      </c>
      <c r="W1025" s="646">
        <f t="shared" si="341"/>
        <v>0</v>
      </c>
    </row>
    <row r="1026" spans="2:23" ht="15.75" customHeight="1" x14ac:dyDescent="0.2">
      <c r="B1026" s="645">
        <f t="shared" si="346"/>
        <v>35</v>
      </c>
      <c r="C1026" s="647" t="s">
        <v>70</v>
      </c>
      <c r="D1026" s="647" t="s">
        <v>649</v>
      </c>
      <c r="E1026" s="645"/>
      <c r="F1026" s="646">
        <f>' WP II-I-1.4'!H1026</f>
        <v>0</v>
      </c>
      <c r="G1026" s="645">
        <v>49</v>
      </c>
      <c r="H1026" s="620" t="str">
        <f t="shared" si="355"/>
        <v>PLT 368</v>
      </c>
      <c r="I1026" s="645"/>
      <c r="J1026" s="648">
        <f t="shared" ref="J1026:S1031" si="361">$F1026*HLOOKUP(J$1354,FactorTable,$G1026+1)</f>
        <v>0</v>
      </c>
      <c r="K1026" s="648">
        <f t="shared" si="361"/>
        <v>0</v>
      </c>
      <c r="L1026" s="648">
        <f t="shared" si="361"/>
        <v>0</v>
      </c>
      <c r="M1026" s="648">
        <f t="shared" si="361"/>
        <v>0</v>
      </c>
      <c r="N1026" s="648">
        <f t="shared" si="361"/>
        <v>0</v>
      </c>
      <c r="O1026" s="648">
        <f t="shared" si="361"/>
        <v>0</v>
      </c>
      <c r="P1026" s="648">
        <f t="shared" si="361"/>
        <v>0</v>
      </c>
      <c r="Q1026" s="648">
        <f t="shared" si="361"/>
        <v>0</v>
      </c>
      <c r="R1026" s="648">
        <f t="shared" si="361"/>
        <v>0</v>
      </c>
      <c r="S1026" s="648">
        <f t="shared" si="361"/>
        <v>0</v>
      </c>
      <c r="T1026" s="645"/>
      <c r="U1026" s="646">
        <f t="shared" si="357"/>
        <v>0</v>
      </c>
      <c r="W1026" s="646">
        <f t="shared" si="341"/>
        <v>0</v>
      </c>
    </row>
    <row r="1027" spans="2:23" ht="15" customHeight="1" x14ac:dyDescent="0.2">
      <c r="B1027" s="645">
        <f t="shared" si="346"/>
        <v>36</v>
      </c>
      <c r="C1027" s="647" t="s">
        <v>72</v>
      </c>
      <c r="D1027" s="649" t="s">
        <v>73</v>
      </c>
      <c r="E1027" s="645"/>
      <c r="F1027" s="646">
        <f>' WP II-I-1.4'!H1027</f>
        <v>0</v>
      </c>
      <c r="G1027" s="645">
        <v>50</v>
      </c>
      <c r="H1027" s="620" t="str">
        <f t="shared" si="355"/>
        <v>PLT 369</v>
      </c>
      <c r="I1027" s="645"/>
      <c r="J1027" s="648">
        <f t="shared" si="361"/>
        <v>0</v>
      </c>
      <c r="K1027" s="648">
        <f t="shared" si="361"/>
        <v>0</v>
      </c>
      <c r="L1027" s="648">
        <f t="shared" si="361"/>
        <v>0</v>
      </c>
      <c r="M1027" s="648">
        <f t="shared" si="361"/>
        <v>0</v>
      </c>
      <c r="N1027" s="648">
        <f t="shared" si="361"/>
        <v>0</v>
      </c>
      <c r="O1027" s="648">
        <f t="shared" si="361"/>
        <v>0</v>
      </c>
      <c r="P1027" s="648">
        <f t="shared" si="361"/>
        <v>0</v>
      </c>
      <c r="Q1027" s="648">
        <f t="shared" si="361"/>
        <v>0</v>
      </c>
      <c r="R1027" s="648">
        <f t="shared" si="361"/>
        <v>0</v>
      </c>
      <c r="S1027" s="648">
        <f t="shared" si="361"/>
        <v>0</v>
      </c>
      <c r="T1027" s="645"/>
      <c r="U1027" s="646">
        <f t="shared" si="357"/>
        <v>0</v>
      </c>
      <c r="W1027" s="646">
        <f t="shared" si="341"/>
        <v>0</v>
      </c>
    </row>
    <row r="1028" spans="2:23" ht="15.95" customHeight="1" x14ac:dyDescent="0.2">
      <c r="B1028" s="645">
        <f t="shared" si="346"/>
        <v>37</v>
      </c>
      <c r="C1028" s="647" t="s">
        <v>74</v>
      </c>
      <c r="D1028" s="647" t="s">
        <v>75</v>
      </c>
      <c r="E1028" s="645"/>
      <c r="F1028" s="646">
        <f>' WP II-I-1.4'!H1028</f>
        <v>20313009.949999999</v>
      </c>
      <c r="G1028" s="645">
        <v>6</v>
      </c>
      <c r="H1028" s="620" t="str">
        <f t="shared" si="355"/>
        <v>CUS W ALL</v>
      </c>
      <c r="I1028" s="645"/>
      <c r="J1028" s="648">
        <f t="shared" si="361"/>
        <v>10604274.271433359</v>
      </c>
      <c r="K1028" s="648">
        <f t="shared" si="361"/>
        <v>1487621.4599692395</v>
      </c>
      <c r="L1028" s="648">
        <f t="shared" si="361"/>
        <v>5850332.3074473441</v>
      </c>
      <c r="M1028" s="648">
        <f t="shared" si="361"/>
        <v>246369.5094568333</v>
      </c>
      <c r="N1028" s="648">
        <f t="shared" si="361"/>
        <v>1897175.2811694357</v>
      </c>
      <c r="O1028" s="648">
        <f t="shared" si="361"/>
        <v>62250.491764079925</v>
      </c>
      <c r="P1028" s="648">
        <f t="shared" si="361"/>
        <v>129847.65153243668</v>
      </c>
      <c r="Q1028" s="648">
        <f t="shared" si="361"/>
        <v>10813.331192545687</v>
      </c>
      <c r="R1028" s="648">
        <f t="shared" si="361"/>
        <v>6874.2874340701783</v>
      </c>
      <c r="S1028" s="648">
        <f t="shared" si="361"/>
        <v>17451.358600651372</v>
      </c>
      <c r="T1028" s="645"/>
      <c r="U1028" s="646">
        <f t="shared" si="357"/>
        <v>20313009.949999996</v>
      </c>
      <c r="W1028" s="646">
        <f t="shared" ref="W1028:W1093" si="362">U1028-F1028</f>
        <v>0</v>
      </c>
    </row>
    <row r="1029" spans="2:23" ht="17.25" customHeight="1" x14ac:dyDescent="0.2">
      <c r="B1029" s="645">
        <f t="shared" si="346"/>
        <v>38</v>
      </c>
      <c r="C1029" s="647" t="s">
        <v>76</v>
      </c>
      <c r="D1029" s="647" t="s">
        <v>495</v>
      </c>
      <c r="E1029" s="645"/>
      <c r="F1029" s="646">
        <f>' WP II-I-1.4'!H1029</f>
        <v>0</v>
      </c>
      <c r="G1029" s="645">
        <v>33</v>
      </c>
      <c r="H1029" s="620" t="str">
        <f t="shared" si="355"/>
        <v>NCP LGT</v>
      </c>
      <c r="I1029" s="645"/>
      <c r="J1029" s="648">
        <f t="shared" si="361"/>
        <v>0</v>
      </c>
      <c r="K1029" s="648">
        <f t="shared" si="361"/>
        <v>0</v>
      </c>
      <c r="L1029" s="648">
        <f t="shared" si="361"/>
        <v>0</v>
      </c>
      <c r="M1029" s="648">
        <f t="shared" si="361"/>
        <v>0</v>
      </c>
      <c r="N1029" s="648">
        <f t="shared" si="361"/>
        <v>0</v>
      </c>
      <c r="O1029" s="648">
        <f t="shared" si="361"/>
        <v>0</v>
      </c>
      <c r="P1029" s="648">
        <f t="shared" si="361"/>
        <v>0</v>
      </c>
      <c r="Q1029" s="648">
        <f t="shared" si="361"/>
        <v>0</v>
      </c>
      <c r="R1029" s="648">
        <f t="shared" si="361"/>
        <v>0</v>
      </c>
      <c r="S1029" s="648">
        <f t="shared" si="361"/>
        <v>0</v>
      </c>
      <c r="T1029" s="645"/>
      <c r="U1029" s="646">
        <f t="shared" si="357"/>
        <v>0</v>
      </c>
      <c r="W1029" s="646">
        <f t="shared" si="362"/>
        <v>0</v>
      </c>
    </row>
    <row r="1030" spans="2:23" ht="14.25" customHeight="1" x14ac:dyDescent="0.2">
      <c r="B1030" s="645">
        <f t="shared" si="346"/>
        <v>39</v>
      </c>
      <c r="C1030" s="647" t="s">
        <v>78</v>
      </c>
      <c r="D1030" s="647" t="s">
        <v>496</v>
      </c>
      <c r="E1030" s="645"/>
      <c r="F1030" s="646">
        <f>' WP II-I-1.4'!H1030</f>
        <v>0</v>
      </c>
      <c r="G1030" s="645">
        <v>6</v>
      </c>
      <c r="H1030" s="620" t="str">
        <f t="shared" si="355"/>
        <v>CUS W ALL</v>
      </c>
      <c r="I1030" s="645"/>
      <c r="J1030" s="648">
        <f t="shared" si="361"/>
        <v>0</v>
      </c>
      <c r="K1030" s="648">
        <f t="shared" si="361"/>
        <v>0</v>
      </c>
      <c r="L1030" s="648">
        <f t="shared" si="361"/>
        <v>0</v>
      </c>
      <c r="M1030" s="648">
        <f t="shared" si="361"/>
        <v>0</v>
      </c>
      <c r="N1030" s="648">
        <f t="shared" si="361"/>
        <v>0</v>
      </c>
      <c r="O1030" s="648">
        <f t="shared" si="361"/>
        <v>0</v>
      </c>
      <c r="P1030" s="648">
        <f t="shared" si="361"/>
        <v>0</v>
      </c>
      <c r="Q1030" s="648">
        <f t="shared" si="361"/>
        <v>0</v>
      </c>
      <c r="R1030" s="648">
        <f t="shared" si="361"/>
        <v>0</v>
      </c>
      <c r="S1030" s="648">
        <f t="shared" si="361"/>
        <v>0</v>
      </c>
      <c r="T1030" s="645"/>
      <c r="U1030" s="646">
        <f t="shared" si="357"/>
        <v>0</v>
      </c>
      <c r="W1030" s="646">
        <f t="shared" si="362"/>
        <v>0</v>
      </c>
    </row>
    <row r="1031" spans="2:23" ht="14.25" customHeight="1" x14ac:dyDescent="0.2">
      <c r="B1031" s="645">
        <f t="shared" si="346"/>
        <v>40</v>
      </c>
      <c r="C1031" s="647" t="s">
        <v>80</v>
      </c>
      <c r="D1031" s="647" t="s">
        <v>84</v>
      </c>
      <c r="E1031" s="645"/>
      <c r="F1031" s="646">
        <f>' WP II-I-1.4'!H1031</f>
        <v>0</v>
      </c>
      <c r="G1031" s="645">
        <v>33</v>
      </c>
      <c r="H1031" s="620" t="str">
        <f t="shared" si="355"/>
        <v>NCP LGT</v>
      </c>
      <c r="I1031" s="645"/>
      <c r="J1031" s="651">
        <f t="shared" si="361"/>
        <v>0</v>
      </c>
      <c r="K1031" s="651">
        <f t="shared" si="361"/>
        <v>0</v>
      </c>
      <c r="L1031" s="651">
        <f t="shared" si="361"/>
        <v>0</v>
      </c>
      <c r="M1031" s="651">
        <f t="shared" si="361"/>
        <v>0</v>
      </c>
      <c r="N1031" s="651">
        <f t="shared" si="361"/>
        <v>0</v>
      </c>
      <c r="O1031" s="651">
        <f t="shared" si="361"/>
        <v>0</v>
      </c>
      <c r="P1031" s="651">
        <f t="shared" si="361"/>
        <v>0</v>
      </c>
      <c r="Q1031" s="651">
        <f t="shared" si="361"/>
        <v>0</v>
      </c>
      <c r="R1031" s="651">
        <f t="shared" si="361"/>
        <v>0</v>
      </c>
      <c r="S1031" s="651">
        <f t="shared" si="361"/>
        <v>0</v>
      </c>
      <c r="T1031" s="645"/>
      <c r="U1031" s="646">
        <f t="shared" si="357"/>
        <v>0</v>
      </c>
      <c r="W1031" s="646">
        <f t="shared" si="362"/>
        <v>0</v>
      </c>
    </row>
    <row r="1032" spans="2:23" ht="18" customHeight="1" x14ac:dyDescent="0.25">
      <c r="B1032" s="645">
        <f t="shared" si="346"/>
        <v>41</v>
      </c>
      <c r="C1032" s="8"/>
      <c r="D1032" s="233" t="s">
        <v>444</v>
      </c>
      <c r="E1032" s="1571"/>
      <c r="F1032" s="805">
        <f>SUM(F1016:F1031)</f>
        <v>23698983.669999998</v>
      </c>
      <c r="G1032" s="1571"/>
      <c r="H1032" s="1571"/>
      <c r="I1032" s="1571"/>
      <c r="J1032" s="805">
        <f t="shared" ref="J1032:Q1032" ca="1" si="363">SUM(J1016:J1031)</f>
        <v>12371899.753384423</v>
      </c>
      <c r="K1032" s="805">
        <f t="shared" ca="1" si="363"/>
        <v>1735592.9413578892</v>
      </c>
      <c r="L1032" s="805">
        <f t="shared" ca="1" si="363"/>
        <v>6825523.6500914544</v>
      </c>
      <c r="M1032" s="805">
        <f t="shared" ca="1" si="363"/>
        <v>287436.81983985851</v>
      </c>
      <c r="N1032" s="805">
        <f t="shared" ca="1" si="363"/>
        <v>2213415.2505331747</v>
      </c>
      <c r="O1032" s="805">
        <f ca="1">SUM(O1016:O1031)</f>
        <v>72627.020387315846</v>
      </c>
      <c r="P1032" s="805">
        <f t="shared" ca="1" si="363"/>
        <v>151491.94436618034</v>
      </c>
      <c r="Q1032" s="805">
        <f t="shared" ca="1" si="363"/>
        <v>12615.804353034438</v>
      </c>
      <c r="R1032" s="805">
        <f ca="1">SUM(R1016:R1031)</f>
        <v>8020.1617605624888</v>
      </c>
      <c r="S1032" s="805">
        <f ca="1">SUM(S1016:S1031)</f>
        <v>20360.323926102883</v>
      </c>
      <c r="T1032" s="1571"/>
      <c r="U1032" s="235">
        <f t="shared" ca="1" si="357"/>
        <v>23698983.669999991</v>
      </c>
      <c r="W1032" s="646">
        <f t="shared" ca="1" si="362"/>
        <v>0</v>
      </c>
    </row>
    <row r="1033" spans="2:23" ht="12.75" customHeight="1" x14ac:dyDescent="0.2">
      <c r="B1033" s="645"/>
      <c r="C1033" s="647"/>
      <c r="D1033" s="647"/>
      <c r="E1033" s="645"/>
      <c r="F1033" s="803"/>
      <c r="G1033" s="645"/>
      <c r="H1033" s="645"/>
      <c r="I1033" s="645"/>
      <c r="J1033" s="645"/>
      <c r="K1033" s="645"/>
      <c r="L1033" s="645"/>
      <c r="M1033" s="645"/>
      <c r="N1033" s="645"/>
      <c r="O1033" s="645"/>
      <c r="P1033" s="645"/>
      <c r="Q1033" s="645"/>
      <c r="R1033" s="645"/>
      <c r="S1033" s="645"/>
      <c r="T1033" s="645"/>
      <c r="U1033" s="647"/>
      <c r="W1033" s="646">
        <f t="shared" si="362"/>
        <v>0</v>
      </c>
    </row>
    <row r="1034" spans="2:23" ht="12" customHeight="1" x14ac:dyDescent="0.2">
      <c r="B1034" s="645"/>
      <c r="C1034" s="647"/>
      <c r="D1034" s="647"/>
      <c r="E1034" s="645"/>
      <c r="F1034" s="803"/>
      <c r="G1034" s="645"/>
      <c r="H1034" s="653"/>
      <c r="I1034" s="645"/>
      <c r="J1034" s="645"/>
      <c r="K1034" s="645"/>
      <c r="L1034" s="645"/>
      <c r="M1034" s="645"/>
      <c r="N1034" s="645"/>
      <c r="O1034" s="645"/>
      <c r="P1034" s="645"/>
      <c r="Q1034" s="645"/>
      <c r="R1034" s="645"/>
      <c r="S1034" s="645"/>
      <c r="T1034" s="645"/>
      <c r="U1034" s="653"/>
      <c r="V1034" s="653">
        <f>$H$2</f>
        <v>0</v>
      </c>
      <c r="W1034" s="646"/>
    </row>
    <row r="1035" spans="2:23" ht="15" customHeight="1" thickBot="1" x14ac:dyDescent="0.25">
      <c r="B1035" s="645"/>
      <c r="C1035" s="647"/>
      <c r="D1035" s="647"/>
      <c r="E1035" s="645"/>
      <c r="F1035" s="803"/>
      <c r="G1035" s="645"/>
      <c r="H1035" s="645"/>
      <c r="I1035" s="645"/>
      <c r="J1035" s="645"/>
      <c r="K1035" s="645"/>
      <c r="L1035" s="645"/>
      <c r="M1035" s="645"/>
      <c r="N1035" s="645"/>
      <c r="O1035" s="645"/>
      <c r="P1035" s="645"/>
      <c r="Q1035" s="645"/>
      <c r="R1035" s="645"/>
      <c r="S1035" s="645"/>
      <c r="T1035" s="645"/>
      <c r="U1035" s="647"/>
      <c r="W1035" s="646"/>
    </row>
    <row r="1036" spans="2:23" ht="18" customHeight="1" x14ac:dyDescent="0.25">
      <c r="B1036" s="829" t="str">
        <f>+$B$4</f>
        <v>2025 RATE CASE</v>
      </c>
      <c r="C1036" s="844"/>
      <c r="D1036" s="874"/>
      <c r="F1036" s="654"/>
      <c r="U1036" s="653"/>
      <c r="W1036" s="646"/>
    </row>
    <row r="1037" spans="2:23" ht="18" customHeight="1" x14ac:dyDescent="0.25">
      <c r="B1037" s="826" t="str">
        <f>+$B$5</f>
        <v>ONCOR ELECTRIC DELIVERY COMPANY LLC</v>
      </c>
      <c r="C1037" s="8"/>
      <c r="D1037" s="875"/>
      <c r="F1037" s="654"/>
      <c r="U1037" s="653"/>
      <c r="W1037" s="646"/>
    </row>
    <row r="1038" spans="2:23" ht="18" customHeight="1" x14ac:dyDescent="0.25">
      <c r="B1038" s="826" t="str">
        <f>+$B$6</f>
        <v>II-I-1-MET:  CLASS REVENUE REQUIREMENT</v>
      </c>
      <c r="C1038" s="82"/>
      <c r="D1038" s="875"/>
      <c r="F1038" s="654"/>
      <c r="U1038" s="654"/>
      <c r="W1038" s="646"/>
    </row>
    <row r="1039" spans="2:23" ht="18" customHeight="1" x14ac:dyDescent="0.25">
      <c r="B1039" s="341" t="str">
        <f>+$B$7</f>
        <v>TEST YEAR ENDING 12/31/2024</v>
      </c>
      <c r="C1039" s="82"/>
      <c r="D1039" s="875"/>
      <c r="F1039" s="654"/>
      <c r="U1039" s="654"/>
      <c r="W1039" s="646"/>
    </row>
    <row r="1040" spans="2:23" ht="18" customHeight="1" x14ac:dyDescent="0.25">
      <c r="B1040" s="341" t="str">
        <f>+$B$8</f>
        <v>SPONSOR:  MATTHEW A. TROXLE</v>
      </c>
      <c r="C1040" s="82"/>
      <c r="D1040" s="875"/>
      <c r="F1040" s="654"/>
      <c r="U1040" s="654"/>
      <c r="W1040" s="646"/>
    </row>
    <row r="1041" spans="2:23" ht="18" customHeight="1" thickBot="1" x14ac:dyDescent="0.3">
      <c r="B1041" s="345"/>
      <c r="C1041" s="843"/>
      <c r="D1041" s="876"/>
      <c r="F1041" s="654"/>
      <c r="U1041" s="654"/>
      <c r="W1041" s="646"/>
    </row>
    <row r="1042" spans="2:23" ht="18" customHeight="1" thickBot="1" x14ac:dyDescent="0.25">
      <c r="B1042" s="655"/>
      <c r="C1042" s="656"/>
      <c r="D1042" s="656"/>
      <c r="E1042" s="656"/>
      <c r="F1042" s="655"/>
      <c r="G1042" s="656"/>
      <c r="H1042" s="656"/>
      <c r="I1042" s="656"/>
      <c r="J1042" s="657"/>
      <c r="K1042" s="657"/>
      <c r="L1042" s="656"/>
      <c r="M1042" s="657"/>
      <c r="N1042" s="657"/>
      <c r="O1042" s="657"/>
      <c r="P1042" s="657"/>
      <c r="Q1042" s="656"/>
      <c r="R1042" s="658" t="str">
        <f>R$10</f>
        <v xml:space="preserve"> </v>
      </c>
      <c r="S1042" s="659"/>
      <c r="T1042" s="657"/>
      <c r="U1042" s="655"/>
      <c r="W1042" s="646"/>
    </row>
    <row r="1043" spans="2:23" ht="18" customHeight="1" x14ac:dyDescent="0.25">
      <c r="B1043" s="660" t="s">
        <v>2</v>
      </c>
      <c r="C1043" s="660" t="s">
        <v>349</v>
      </c>
      <c r="D1043" s="226" t="s">
        <v>650</v>
      </c>
      <c r="E1043" s="660" t="s">
        <v>350</v>
      </c>
      <c r="F1043" s="226" t="str">
        <f>F$11</f>
        <v>MET</v>
      </c>
      <c r="G1043" s="661" t="s">
        <v>688</v>
      </c>
      <c r="H1043" s="661" t="s">
        <v>355</v>
      </c>
      <c r="I1043" s="660"/>
      <c r="J1043" s="661" t="s">
        <v>679</v>
      </c>
      <c r="K1043" s="661" t="s">
        <v>388</v>
      </c>
      <c r="L1043" s="660" t="s">
        <v>388</v>
      </c>
      <c r="M1043" s="661" t="s">
        <v>389</v>
      </c>
      <c r="N1043" s="661" t="s">
        <v>389</v>
      </c>
      <c r="O1043" s="661" t="s">
        <v>389</v>
      </c>
      <c r="P1043" s="661" t="s">
        <v>390</v>
      </c>
      <c r="Q1043" s="660" t="s">
        <v>391</v>
      </c>
      <c r="R1043" s="662" t="str">
        <f>R$11</f>
        <v>Wholesale</v>
      </c>
      <c r="S1043" s="655" t="str">
        <f>S$11</f>
        <v>Wholesale</v>
      </c>
      <c r="T1043" s="661"/>
      <c r="U1043" s="660" t="s">
        <v>10</v>
      </c>
      <c r="W1043" s="646"/>
    </row>
    <row r="1044" spans="2:23" ht="18" customHeight="1" x14ac:dyDescent="0.2">
      <c r="B1044" s="660"/>
      <c r="C1044" s="660"/>
      <c r="D1044" s="660"/>
      <c r="E1044" s="660"/>
      <c r="F1044" s="660"/>
      <c r="G1044" s="661" t="s">
        <v>689</v>
      </c>
      <c r="H1044" s="661" t="s">
        <v>690</v>
      </c>
      <c r="I1044" s="660"/>
      <c r="J1044" s="661"/>
      <c r="K1044" s="661" t="s">
        <v>680</v>
      </c>
      <c r="L1044" s="660" t="s">
        <v>681</v>
      </c>
      <c r="M1044" s="661" t="s">
        <v>680</v>
      </c>
      <c r="N1044" s="661" t="s">
        <v>681</v>
      </c>
      <c r="O1044" s="661" t="s">
        <v>393</v>
      </c>
      <c r="P1044" s="661"/>
      <c r="Q1044" s="660"/>
      <c r="R1044" s="663" t="str">
        <f>R$12</f>
        <v>XFMR</v>
      </c>
      <c r="S1044" s="660" t="str">
        <f>S$12</f>
        <v>DLS</v>
      </c>
      <c r="T1044" s="661"/>
      <c r="U1044" s="660"/>
      <c r="W1044" s="646"/>
    </row>
    <row r="1045" spans="2:23" ht="18" customHeight="1" thickBot="1" x14ac:dyDescent="0.25">
      <c r="B1045" s="664"/>
      <c r="C1045" s="664"/>
      <c r="D1045" s="664"/>
      <c r="E1045" s="664"/>
      <c r="F1045" s="664" t="s">
        <v>13</v>
      </c>
      <c r="G1045" s="664" t="s">
        <v>14</v>
      </c>
      <c r="H1045" s="664" t="s">
        <v>15</v>
      </c>
      <c r="I1045" s="664"/>
      <c r="J1045" s="665" t="str">
        <f t="shared" ref="J1045:Q1045" si="364">J$13</f>
        <v>(d)</v>
      </c>
      <c r="K1045" s="665" t="str">
        <f t="shared" si="364"/>
        <v>(e)</v>
      </c>
      <c r="L1045" s="664" t="str">
        <f t="shared" si="364"/>
        <v>(f)</v>
      </c>
      <c r="M1045" s="665" t="str">
        <f t="shared" si="364"/>
        <v>(g)</v>
      </c>
      <c r="N1045" s="665" t="str">
        <f t="shared" si="364"/>
        <v>(h)</v>
      </c>
      <c r="O1045" s="665" t="str">
        <f>O$13</f>
        <v>(i)</v>
      </c>
      <c r="P1045" s="665" t="str">
        <f t="shared" si="364"/>
        <v>(j)</v>
      </c>
      <c r="Q1045" s="665" t="str">
        <f t="shared" si="364"/>
        <v>(k)</v>
      </c>
      <c r="R1045" s="665" t="str">
        <f>R$13</f>
        <v>(l)</v>
      </c>
      <c r="S1045" s="664" t="str">
        <f>S$13</f>
        <v>(m)</v>
      </c>
      <c r="T1045" s="664"/>
      <c r="U1045" s="664" t="s">
        <v>683</v>
      </c>
      <c r="W1045" s="646"/>
    </row>
    <row r="1046" spans="2:23" ht="18" customHeight="1" x14ac:dyDescent="0.2">
      <c r="C1046" s="666"/>
      <c r="D1046" s="666"/>
      <c r="E1046" s="666"/>
      <c r="F1046" s="666"/>
      <c r="G1046" s="666"/>
      <c r="H1046" s="666"/>
      <c r="I1046" s="666"/>
      <c r="J1046" s="666"/>
      <c r="K1046" s="666"/>
      <c r="L1046" s="666"/>
      <c r="M1046" s="666"/>
      <c r="N1046" s="666"/>
      <c r="O1046" s="666"/>
      <c r="P1046" s="666"/>
      <c r="Q1046" s="666"/>
      <c r="R1046" s="666"/>
      <c r="S1046" s="666"/>
      <c r="T1046" s="666"/>
      <c r="U1046" s="611"/>
      <c r="W1046" s="646">
        <f t="shared" si="362"/>
        <v>0</v>
      </c>
    </row>
    <row r="1047" spans="2:23" ht="18" customHeight="1" x14ac:dyDescent="0.25">
      <c r="B1047" s="645">
        <f>B1033+1</f>
        <v>1</v>
      </c>
      <c r="C1047" s="32" t="s">
        <v>651</v>
      </c>
      <c r="D1047" s="8"/>
      <c r="E1047" s="1571" t="s">
        <v>280</v>
      </c>
      <c r="F1047" s="805"/>
      <c r="G1047" s="1571"/>
      <c r="H1047" s="1571"/>
      <c r="I1047" s="1571"/>
      <c r="J1047" s="1571"/>
      <c r="K1047" s="1571"/>
      <c r="L1047" s="1571"/>
      <c r="M1047" s="1571"/>
      <c r="N1047" s="1571"/>
      <c r="O1047" s="1571"/>
      <c r="P1047" s="1571"/>
      <c r="Q1047" s="1571"/>
      <c r="R1047" s="1571"/>
      <c r="S1047" s="1571"/>
      <c r="T1047" s="1571"/>
      <c r="U1047" s="8"/>
      <c r="W1047" s="646">
        <f t="shared" si="362"/>
        <v>0</v>
      </c>
    </row>
    <row r="1048" spans="2:23" ht="18" customHeight="1" x14ac:dyDescent="0.2">
      <c r="B1048" s="645">
        <f t="shared" ref="B1048:B1070" si="365">B1047+1</f>
        <v>2</v>
      </c>
      <c r="C1048" s="647"/>
      <c r="D1048" s="647"/>
      <c r="E1048" s="645"/>
      <c r="F1048" s="803"/>
      <c r="G1048" s="645"/>
      <c r="H1048" s="645"/>
      <c r="I1048" s="645"/>
      <c r="J1048" s="645"/>
      <c r="K1048" s="645"/>
      <c r="L1048" s="645"/>
      <c r="M1048" s="645"/>
      <c r="N1048" s="645"/>
      <c r="O1048" s="645"/>
      <c r="P1048" s="645"/>
      <c r="Q1048" s="645"/>
      <c r="R1048" s="645"/>
      <c r="S1048" s="645"/>
      <c r="T1048" s="645"/>
      <c r="U1048" s="647"/>
      <c r="W1048" s="646">
        <f t="shared" si="362"/>
        <v>0</v>
      </c>
    </row>
    <row r="1049" spans="2:23" ht="18" customHeight="1" x14ac:dyDescent="0.2">
      <c r="B1049" s="645">
        <f t="shared" si="365"/>
        <v>3</v>
      </c>
      <c r="C1049" s="647" t="s">
        <v>652</v>
      </c>
      <c r="D1049" s="647" t="s">
        <v>40</v>
      </c>
      <c r="E1049" s="645"/>
      <c r="F1049" s="646">
        <f>' WP II-I-1.4'!H1049</f>
        <v>64.39</v>
      </c>
      <c r="G1049" s="645">
        <v>63</v>
      </c>
      <c r="H1049" s="620" t="str">
        <f t="shared" ref="H1049:H1062" si="366">VLOOKUP(G1049,FactorTable,2)</f>
        <v>PLTGEN_N</v>
      </c>
      <c r="I1049" s="645"/>
      <c r="J1049" s="648">
        <f t="shared" ref="J1049:S1062" ca="1" si="367">$F1049*HLOOKUP(J$1354,FactorTable,$G1049+1)</f>
        <v>33.614379258333116</v>
      </c>
      <c r="K1049" s="648">
        <f t="shared" ca="1" si="367"/>
        <v>4.7155958690119837</v>
      </c>
      <c r="L1049" s="648">
        <f t="shared" ca="1" si="367"/>
        <v>18.544907830192564</v>
      </c>
      <c r="M1049" s="648">
        <f t="shared" ca="1" si="367"/>
        <v>0.78096415809245934</v>
      </c>
      <c r="N1049" s="648">
        <f t="shared" ca="1" si="367"/>
        <v>6.0138362879352565</v>
      </c>
      <c r="O1049" s="648">
        <f t="shared" ca="1" si="367"/>
        <v>0.19732718954775605</v>
      </c>
      <c r="P1049" s="648">
        <f t="shared" ca="1" si="367"/>
        <v>0.41160272666403108</v>
      </c>
      <c r="Q1049" s="648">
        <f t="shared" ca="1" si="367"/>
        <v>3.4277066628819151E-2</v>
      </c>
      <c r="R1049" s="648">
        <f t="shared" ca="1" si="367"/>
        <v>2.1790732588095767E-2</v>
      </c>
      <c r="S1049" s="648">
        <f t="shared" ca="1" si="367"/>
        <v>5.5318881005911265E-2</v>
      </c>
      <c r="T1049" s="645"/>
      <c r="U1049" s="646">
        <f t="shared" ref="U1049:U1063" ca="1" si="368">SUM(I1049:T1049)</f>
        <v>64.39</v>
      </c>
      <c r="W1049" s="646">
        <f t="shared" ca="1" si="362"/>
        <v>0</v>
      </c>
    </row>
    <row r="1050" spans="2:23" ht="18" customHeight="1" x14ac:dyDescent="0.2">
      <c r="B1050" s="645">
        <f t="shared" si="365"/>
        <v>4</v>
      </c>
      <c r="C1050" s="647" t="s">
        <v>89</v>
      </c>
      <c r="D1050" s="647" t="s">
        <v>42</v>
      </c>
      <c r="E1050" s="645"/>
      <c r="F1050" s="646">
        <f>' WP II-I-1.4'!H1050</f>
        <v>666116.93999999994</v>
      </c>
      <c r="G1050" s="645">
        <v>63</v>
      </c>
      <c r="H1050" s="620" t="str">
        <f t="shared" si="366"/>
        <v>PLTGEN_N</v>
      </c>
      <c r="I1050" s="645"/>
      <c r="J1050" s="648">
        <f t="shared" ca="1" si="367"/>
        <v>347742.00111135771</v>
      </c>
      <c r="K1050" s="648">
        <f t="shared" ca="1" si="367"/>
        <v>48783.014296364388</v>
      </c>
      <c r="L1050" s="648">
        <f t="shared" ca="1" si="367"/>
        <v>191847.75984516088</v>
      </c>
      <c r="M1050" s="648">
        <f t="shared" ca="1" si="367"/>
        <v>8079.1032029542657</v>
      </c>
      <c r="N1050" s="648">
        <f t="shared" ca="1" si="367"/>
        <v>62213.359617648573</v>
      </c>
      <c r="O1050" s="648">
        <f t="shared" ca="1" si="367"/>
        <v>2041.3571001762889</v>
      </c>
      <c r="P1050" s="648">
        <f t="shared" ca="1" si="367"/>
        <v>4258.0454850302958</v>
      </c>
      <c r="Q1050" s="648">
        <f t="shared" ca="1" si="367"/>
        <v>354.5975265563772</v>
      </c>
      <c r="R1050" s="648">
        <f t="shared" ca="1" si="367"/>
        <v>225.42593744278042</v>
      </c>
      <c r="S1050" s="648">
        <f t="shared" ca="1" si="367"/>
        <v>572.27587730830453</v>
      </c>
      <c r="T1050" s="645"/>
      <c r="U1050" s="646">
        <f t="shared" ca="1" si="368"/>
        <v>666116.93999999983</v>
      </c>
      <c r="W1050" s="646">
        <f t="shared" ca="1" si="362"/>
        <v>0</v>
      </c>
    </row>
    <row r="1051" spans="2:23" ht="18" customHeight="1" x14ac:dyDescent="0.2">
      <c r="B1051" s="645">
        <f t="shared" si="365"/>
        <v>5</v>
      </c>
      <c r="C1051" s="647" t="s">
        <v>90</v>
      </c>
      <c r="D1051" s="647" t="s">
        <v>91</v>
      </c>
      <c r="E1051" s="645"/>
      <c r="F1051" s="646">
        <f>' WP II-I-1.4'!H1051</f>
        <v>103421.83</v>
      </c>
      <c r="G1051" s="645">
        <v>63</v>
      </c>
      <c r="H1051" s="620" t="str">
        <f t="shared" si="366"/>
        <v>PLTGEN_N</v>
      </c>
      <c r="I1051" s="645"/>
      <c r="J1051" s="648">
        <f t="shared" ca="1" si="367"/>
        <v>53990.69136839344</v>
      </c>
      <c r="K1051" s="648">
        <f t="shared" ca="1" si="367"/>
        <v>7574.088434751664</v>
      </c>
      <c r="L1051" s="648">
        <f t="shared" ca="1" si="367"/>
        <v>29786.431200183946</v>
      </c>
      <c r="M1051" s="648">
        <f t="shared" ca="1" si="367"/>
        <v>1254.3677961536177</v>
      </c>
      <c r="N1051" s="648">
        <f t="shared" ca="1" si="367"/>
        <v>9659.2942105710699</v>
      </c>
      <c r="O1051" s="648">
        <f t="shared" ca="1" si="367"/>
        <v>316.94267823863652</v>
      </c>
      <c r="P1051" s="648">
        <f t="shared" ca="1" si="367"/>
        <v>661.10742700083699</v>
      </c>
      <c r="Q1051" s="648">
        <f t="shared" ca="1" si="367"/>
        <v>55.055085537884878</v>
      </c>
      <c r="R1051" s="648">
        <f t="shared" ca="1" si="367"/>
        <v>34.999804958867841</v>
      </c>
      <c r="S1051" s="648">
        <f t="shared" ca="1" si="367"/>
        <v>88.851994210026149</v>
      </c>
      <c r="T1051" s="645"/>
      <c r="U1051" s="646">
        <f t="shared" ca="1" si="368"/>
        <v>103421.82999999999</v>
      </c>
      <c r="W1051" s="646">
        <f t="shared" ca="1" si="362"/>
        <v>0</v>
      </c>
    </row>
    <row r="1052" spans="2:23" ht="18" customHeight="1" x14ac:dyDescent="0.2">
      <c r="B1052" s="645">
        <f t="shared" si="365"/>
        <v>6</v>
      </c>
      <c r="C1052" s="647" t="s">
        <v>92</v>
      </c>
      <c r="D1052" s="647" t="s">
        <v>653</v>
      </c>
      <c r="E1052" s="645"/>
      <c r="F1052" s="646">
        <f>' WP II-I-1.4'!H1052</f>
        <v>0</v>
      </c>
      <c r="G1052" s="645">
        <v>63</v>
      </c>
      <c r="H1052" s="620" t="str">
        <f t="shared" si="366"/>
        <v>PLTGEN_N</v>
      </c>
      <c r="I1052" s="645"/>
      <c r="J1052" s="648">
        <f t="shared" ca="1" si="367"/>
        <v>0</v>
      </c>
      <c r="K1052" s="648">
        <f t="shared" ca="1" si="367"/>
        <v>0</v>
      </c>
      <c r="L1052" s="648">
        <f t="shared" ca="1" si="367"/>
        <v>0</v>
      </c>
      <c r="M1052" s="648">
        <f t="shared" ca="1" si="367"/>
        <v>0</v>
      </c>
      <c r="N1052" s="648">
        <f t="shared" ca="1" si="367"/>
        <v>0</v>
      </c>
      <c r="O1052" s="648">
        <f t="shared" ca="1" si="367"/>
        <v>0</v>
      </c>
      <c r="P1052" s="648">
        <f t="shared" ca="1" si="367"/>
        <v>0</v>
      </c>
      <c r="Q1052" s="648">
        <f t="shared" ca="1" si="367"/>
        <v>0</v>
      </c>
      <c r="R1052" s="648">
        <f t="shared" ca="1" si="367"/>
        <v>0</v>
      </c>
      <c r="S1052" s="648">
        <f t="shared" ca="1" si="367"/>
        <v>0</v>
      </c>
      <c r="T1052" s="645"/>
      <c r="U1052" s="646">
        <f t="shared" ca="1" si="368"/>
        <v>0</v>
      </c>
      <c r="W1052" s="646">
        <f t="shared" ca="1" si="362"/>
        <v>0</v>
      </c>
    </row>
    <row r="1053" spans="2:23" ht="18" customHeight="1" x14ac:dyDescent="0.2">
      <c r="B1053" s="645">
        <f t="shared" si="365"/>
        <v>7</v>
      </c>
      <c r="C1053" s="647" t="s">
        <v>95</v>
      </c>
      <c r="D1053" s="647" t="s">
        <v>654</v>
      </c>
      <c r="E1053" s="645"/>
      <c r="F1053" s="646">
        <f>' WP II-I-1.4'!H1053</f>
        <v>18900.36</v>
      </c>
      <c r="G1053" s="645">
        <v>63</v>
      </c>
      <c r="H1053" s="620" t="str">
        <f t="shared" si="366"/>
        <v>PLTGEN_N</v>
      </c>
      <c r="I1053" s="645"/>
      <c r="J1053" s="648">
        <f t="shared" ca="1" si="367"/>
        <v>9866.8095847030418</v>
      </c>
      <c r="K1053" s="648">
        <f t="shared" ca="1" si="367"/>
        <v>1384.1661677098825</v>
      </c>
      <c r="L1053" s="648">
        <f t="shared" ca="1" si="367"/>
        <v>5443.4762254613815</v>
      </c>
      <c r="M1053" s="648">
        <f t="shared" ca="1" si="367"/>
        <v>229.23596420320538</v>
      </c>
      <c r="N1053" s="648">
        <f t="shared" ca="1" si="367"/>
        <v>1765.237937925765</v>
      </c>
      <c r="O1053" s="648">
        <f t="shared" ca="1" si="367"/>
        <v>57.92133747850329</v>
      </c>
      <c r="P1053" s="648">
        <f t="shared" ca="1" si="367"/>
        <v>120.81751375884123</v>
      </c>
      <c r="Q1053" s="648">
        <f t="shared" ca="1" si="367"/>
        <v>10.061327830853678</v>
      </c>
      <c r="R1053" s="648">
        <f t="shared" ca="1" si="367"/>
        <v>6.396221316644537</v>
      </c>
      <c r="S1053" s="648">
        <f t="shared" ca="1" si="367"/>
        <v>16.237719611878941</v>
      </c>
      <c r="T1053" s="645"/>
      <c r="U1053" s="646">
        <f t="shared" ca="1" si="368"/>
        <v>18900.359999999997</v>
      </c>
      <c r="W1053" s="646">
        <f t="shared" ca="1" si="362"/>
        <v>0</v>
      </c>
    </row>
    <row r="1054" spans="2:23" ht="18" customHeight="1" x14ac:dyDescent="0.2">
      <c r="B1054" s="645">
        <f t="shared" si="365"/>
        <v>8</v>
      </c>
      <c r="C1054" s="647" t="s">
        <v>97</v>
      </c>
      <c r="D1054" s="647" t="s">
        <v>655</v>
      </c>
      <c r="E1054" s="645"/>
      <c r="F1054" s="646">
        <f>' WP II-I-1.4'!H1054</f>
        <v>149028.20000000001</v>
      </c>
      <c r="G1054" s="645">
        <v>63</v>
      </c>
      <c r="H1054" s="620" t="str">
        <f t="shared" si="366"/>
        <v>PLTGEN_N</v>
      </c>
      <c r="I1054" s="645"/>
      <c r="J1054" s="648">
        <f t="shared" ca="1" si="367"/>
        <v>77799.199176684575</v>
      </c>
      <c r="K1054" s="648">
        <f t="shared" ca="1" si="367"/>
        <v>10914.066847123649</v>
      </c>
      <c r="L1054" s="648">
        <f t="shared" ca="1" si="367"/>
        <v>42921.482110568468</v>
      </c>
      <c r="M1054" s="648">
        <f t="shared" ca="1" si="367"/>
        <v>1807.5117680545839</v>
      </c>
      <c r="N1054" s="648">
        <f t="shared" ca="1" si="367"/>
        <v>13918.794798659312</v>
      </c>
      <c r="O1054" s="648">
        <f t="shared" ca="1" si="367"/>
        <v>456.70625670695608</v>
      </c>
      <c r="P1054" s="648">
        <f t="shared" ca="1" si="367"/>
        <v>952.63881767095143</v>
      </c>
      <c r="Q1054" s="648">
        <f t="shared" ca="1" si="367"/>
        <v>79.332963829367714</v>
      </c>
      <c r="R1054" s="648">
        <f t="shared" ca="1" si="367"/>
        <v>50.43381975905038</v>
      </c>
      <c r="S1054" s="648">
        <f t="shared" ca="1" si="367"/>
        <v>128.03344094308349</v>
      </c>
      <c r="T1054" s="645"/>
      <c r="U1054" s="646">
        <f t="shared" ca="1" si="368"/>
        <v>149028.20000000001</v>
      </c>
      <c r="W1054" s="646">
        <f t="shared" ca="1" si="362"/>
        <v>0</v>
      </c>
    </row>
    <row r="1055" spans="2:23" ht="18" customHeight="1" x14ac:dyDescent="0.2">
      <c r="B1055" s="645">
        <f t="shared" si="365"/>
        <v>9</v>
      </c>
      <c r="C1055" s="647" t="s">
        <v>99</v>
      </c>
      <c r="D1055" s="647" t="s">
        <v>656</v>
      </c>
      <c r="E1055" s="645"/>
      <c r="F1055" s="646">
        <f>' WP II-I-1.4'!H1055</f>
        <v>175526.25</v>
      </c>
      <c r="G1055" s="645">
        <v>63</v>
      </c>
      <c r="H1055" s="620" t="str">
        <f t="shared" si="366"/>
        <v>PLTGEN_N</v>
      </c>
      <c r="I1055" s="645"/>
      <c r="J1055" s="648">
        <f t="shared" ca="1" si="367"/>
        <v>91632.333239524654</v>
      </c>
      <c r="K1055" s="648">
        <f t="shared" ca="1" si="367"/>
        <v>12854.649159856574</v>
      </c>
      <c r="L1055" s="648">
        <f t="shared" ca="1" si="367"/>
        <v>50553.162416979925</v>
      </c>
      <c r="M1055" s="648">
        <f t="shared" ca="1" si="367"/>
        <v>2128.897500456228</v>
      </c>
      <c r="N1055" s="648">
        <f t="shared" ca="1" si="367"/>
        <v>16393.634597533714</v>
      </c>
      <c r="O1055" s="648">
        <f t="shared" ca="1" si="367"/>
        <v>537.91119124641739</v>
      </c>
      <c r="P1055" s="648">
        <f t="shared" ca="1" si="367"/>
        <v>1122.0233437041836</v>
      </c>
      <c r="Q1055" s="648">
        <f t="shared" ca="1" si="367"/>
        <v>93.438809851790154</v>
      </c>
      <c r="R1055" s="648">
        <f t="shared" ca="1" si="367"/>
        <v>59.401235843162674</v>
      </c>
      <c r="S1055" s="648">
        <f t="shared" ca="1" si="367"/>
        <v>150.79850500332088</v>
      </c>
      <c r="T1055" s="645"/>
      <c r="U1055" s="646">
        <f t="shared" ca="1" si="368"/>
        <v>175526.24999999997</v>
      </c>
      <c r="W1055" s="646">
        <f t="shared" ca="1" si="362"/>
        <v>0</v>
      </c>
    </row>
    <row r="1056" spans="2:23" ht="18" customHeight="1" x14ac:dyDescent="0.2">
      <c r="B1056" s="645">
        <f t="shared" si="365"/>
        <v>10</v>
      </c>
      <c r="C1056" s="647" t="s">
        <v>101</v>
      </c>
      <c r="D1056" s="647" t="s">
        <v>102</v>
      </c>
      <c r="E1056" s="645"/>
      <c r="F1056" s="646">
        <f>' WP II-I-1.4'!H1056</f>
        <v>74852.31</v>
      </c>
      <c r="G1056" s="645">
        <v>63</v>
      </c>
      <c r="H1056" s="620" t="str">
        <f t="shared" si="366"/>
        <v>PLTGEN_N</v>
      </c>
      <c r="I1056" s="645"/>
      <c r="J1056" s="648">
        <f t="shared" ca="1" si="367"/>
        <v>39076.159911512972</v>
      </c>
      <c r="K1056" s="648">
        <f t="shared" ca="1" si="367"/>
        <v>5481.8022025470473</v>
      </c>
      <c r="L1056" s="648">
        <f t="shared" ca="1" si="367"/>
        <v>21558.148622876241</v>
      </c>
      <c r="M1056" s="648">
        <f t="shared" ca="1" si="367"/>
        <v>907.85791676387282</v>
      </c>
      <c r="N1056" s="648">
        <f t="shared" ca="1" si="367"/>
        <v>6990.9852168625421</v>
      </c>
      <c r="O1056" s="648">
        <f t="shared" ca="1" si="367"/>
        <v>229.38959409003564</v>
      </c>
      <c r="P1056" s="648">
        <f t="shared" ca="1" si="367"/>
        <v>478.48136190559592</v>
      </c>
      <c r="Q1056" s="648">
        <f t="shared" ca="1" si="367"/>
        <v>39.846523018962976</v>
      </c>
      <c r="R1056" s="648">
        <f t="shared" ca="1" si="367"/>
        <v>25.331366218531553</v>
      </c>
      <c r="S1056" s="648">
        <f t="shared" ca="1" si="367"/>
        <v>64.307284204186701</v>
      </c>
      <c r="T1056" s="645"/>
      <c r="U1056" s="646">
        <f t="shared" ca="1" si="368"/>
        <v>74852.309999999969</v>
      </c>
      <c r="W1056" s="646">
        <f t="shared" ca="1" si="362"/>
        <v>0</v>
      </c>
    </row>
    <row r="1057" spans="2:23" ht="18" customHeight="1" x14ac:dyDescent="0.2">
      <c r="B1057" s="645">
        <f t="shared" si="365"/>
        <v>11</v>
      </c>
      <c r="C1057" s="647" t="s">
        <v>1237</v>
      </c>
      <c r="D1057" s="647" t="s">
        <v>1230</v>
      </c>
      <c r="E1057" s="645"/>
      <c r="F1057" s="668">
        <f>' WP II-I-1.4'!H1057</f>
        <v>3187582.92</v>
      </c>
      <c r="G1057" s="645">
        <v>63</v>
      </c>
      <c r="H1057" s="620" t="str">
        <f t="shared" ref="H1057:H1058" si="369">VLOOKUP(G1057,FactorTable,2)</f>
        <v>PLTGEN_N</v>
      </c>
      <c r="I1057" s="645"/>
      <c r="J1057" s="648">
        <f t="shared" ca="1" si="367"/>
        <v>1664056.8596096428</v>
      </c>
      <c r="K1057" s="648">
        <f t="shared" ca="1" si="367"/>
        <v>233442.34896234129</v>
      </c>
      <c r="L1057" s="648">
        <f t="shared" ca="1" si="367"/>
        <v>918052.98109172343</v>
      </c>
      <c r="M1057" s="648">
        <f t="shared" ca="1" si="367"/>
        <v>38661.096621644712</v>
      </c>
      <c r="N1057" s="648">
        <f t="shared" ca="1" si="367"/>
        <v>297710.85316196032</v>
      </c>
      <c r="O1057" s="648">
        <f t="shared" ca="1" si="367"/>
        <v>9768.5475858678328</v>
      </c>
      <c r="P1057" s="648">
        <f t="shared" ca="1" si="367"/>
        <v>20376.111528804071</v>
      </c>
      <c r="Q1057" s="648">
        <f t="shared" ca="1" si="367"/>
        <v>1696.8627447387157</v>
      </c>
      <c r="R1057" s="648">
        <f t="shared" ca="1" si="367"/>
        <v>1078.7353162308038</v>
      </c>
      <c r="S1057" s="648">
        <f t="shared" ca="1" si="367"/>
        <v>2738.5233770454288</v>
      </c>
      <c r="T1057" s="645"/>
      <c r="U1057" s="646">
        <f t="shared" ref="U1057:U1058" ca="1" si="370">SUM(I1057:T1057)</f>
        <v>3187582.9199999995</v>
      </c>
      <c r="W1057" s="646">
        <f t="shared" ref="W1057:W1058" ca="1" si="371">U1057-F1057</f>
        <v>0</v>
      </c>
    </row>
    <row r="1058" spans="2:23" ht="18" customHeight="1" x14ac:dyDescent="0.2">
      <c r="B1058" s="645">
        <f t="shared" si="365"/>
        <v>12</v>
      </c>
      <c r="C1058" s="647" t="s">
        <v>1238</v>
      </c>
      <c r="D1058" s="647" t="s">
        <v>1232</v>
      </c>
      <c r="E1058" s="645"/>
      <c r="F1058" s="668">
        <f>' WP II-I-1.4'!H1058</f>
        <v>860969.08</v>
      </c>
      <c r="G1058" s="645">
        <v>63</v>
      </c>
      <c r="H1058" s="620" t="str">
        <f t="shared" si="369"/>
        <v>PLTGEN_N</v>
      </c>
      <c r="I1058" s="645"/>
      <c r="J1058" s="648">
        <f t="shared" ca="1" si="367"/>
        <v>449463.28909486166</v>
      </c>
      <c r="K1058" s="648">
        <f t="shared" ca="1" si="367"/>
        <v>63052.993275276407</v>
      </c>
      <c r="L1058" s="648">
        <f t="shared" ca="1" si="367"/>
        <v>247966.9550123573</v>
      </c>
      <c r="M1058" s="648">
        <f t="shared" ca="1" si="367"/>
        <v>10442.39777458983</v>
      </c>
      <c r="N1058" s="648">
        <f t="shared" ca="1" si="367"/>
        <v>80411.975401370291</v>
      </c>
      <c r="O1058" s="648">
        <f t="shared" ca="1" si="367"/>
        <v>2638.4936922490624</v>
      </c>
      <c r="P1058" s="648">
        <f t="shared" ca="1" si="367"/>
        <v>5503.6064746299471</v>
      </c>
      <c r="Q1058" s="648">
        <f t="shared" ca="1" si="367"/>
        <v>458.32418885716919</v>
      </c>
      <c r="R1058" s="648">
        <f t="shared" ca="1" si="367"/>
        <v>291.36740159805606</v>
      </c>
      <c r="S1058" s="648">
        <f t="shared" ca="1" si="367"/>
        <v>739.67768421010862</v>
      </c>
      <c r="T1058" s="645"/>
      <c r="U1058" s="646">
        <f t="shared" ca="1" si="370"/>
        <v>860969.07999999984</v>
      </c>
      <c r="W1058" s="646">
        <f t="shared" ca="1" si="371"/>
        <v>0</v>
      </c>
    </row>
    <row r="1059" spans="2:23" ht="18" customHeight="1" x14ac:dyDescent="0.2">
      <c r="B1059" s="645">
        <f t="shared" si="365"/>
        <v>13</v>
      </c>
      <c r="C1059" s="647" t="s">
        <v>1239</v>
      </c>
      <c r="D1059" s="647" t="s">
        <v>103</v>
      </c>
      <c r="E1059" s="645"/>
      <c r="F1059" s="668">
        <f>' WP II-I-1.4'!H1059</f>
        <v>789978.38</v>
      </c>
      <c r="G1059" s="645">
        <v>63</v>
      </c>
      <c r="H1059" s="620" t="str">
        <f t="shared" si="366"/>
        <v>PLTGEN_N</v>
      </c>
      <c r="I1059" s="645"/>
      <c r="J1059" s="648">
        <f t="shared" ca="1" si="367"/>
        <v>412403.05748103117</v>
      </c>
      <c r="K1059" s="648">
        <f t="shared" ca="1" si="367"/>
        <v>57853.995734380791</v>
      </c>
      <c r="L1059" s="648">
        <f t="shared" ca="1" si="367"/>
        <v>227520.98532295134</v>
      </c>
      <c r="M1059" s="648">
        <f t="shared" ca="1" si="367"/>
        <v>9581.3759970173141</v>
      </c>
      <c r="N1059" s="648">
        <f t="shared" ca="1" si="367"/>
        <v>73781.653181057743</v>
      </c>
      <c r="O1059" s="648">
        <f t="shared" ca="1" si="367"/>
        <v>2420.9382439647347</v>
      </c>
      <c r="P1059" s="648">
        <f t="shared" ca="1" si="367"/>
        <v>5049.8098340368706</v>
      </c>
      <c r="Q1059" s="648">
        <f t="shared" ca="1" si="367"/>
        <v>420.53333695584121</v>
      </c>
      <c r="R1059" s="648">
        <f t="shared" ca="1" si="367"/>
        <v>267.34287356665789</v>
      </c>
      <c r="S1059" s="648">
        <f t="shared" ca="1" si="367"/>
        <v>678.68799503746777</v>
      </c>
      <c r="T1059" s="645"/>
      <c r="U1059" s="646">
        <f t="shared" ca="1" si="368"/>
        <v>789978.37999999989</v>
      </c>
      <c r="W1059" s="646">
        <f t="shared" ca="1" si="362"/>
        <v>0</v>
      </c>
    </row>
    <row r="1060" spans="2:23" ht="18" customHeight="1" x14ac:dyDescent="0.2">
      <c r="B1060" s="645">
        <f t="shared" si="365"/>
        <v>14</v>
      </c>
      <c r="C1060" s="647" t="s">
        <v>105</v>
      </c>
      <c r="D1060" s="647" t="s">
        <v>657</v>
      </c>
      <c r="E1060" s="645"/>
      <c r="F1060" s="646">
        <f>' WP II-I-1.4'!H1060</f>
        <v>88993.39</v>
      </c>
      <c r="G1060" s="645">
        <v>63</v>
      </c>
      <c r="H1060" s="620" t="str">
        <f t="shared" si="366"/>
        <v>PLTGEN_N</v>
      </c>
      <c r="I1060" s="645"/>
      <c r="J1060" s="648">
        <f t="shared" ca="1" si="367"/>
        <v>46458.418433681465</v>
      </c>
      <c r="K1060" s="648">
        <f t="shared" ca="1" si="367"/>
        <v>6517.4229267490664</v>
      </c>
      <c r="L1060" s="648">
        <f t="shared" ca="1" si="367"/>
        <v>25630.908759844395</v>
      </c>
      <c r="M1060" s="648">
        <f t="shared" ca="1" si="367"/>
        <v>1079.3702111685648</v>
      </c>
      <c r="N1060" s="648">
        <f t="shared" ca="1" si="367"/>
        <v>8311.7204250407613</v>
      </c>
      <c r="O1060" s="648">
        <f t="shared" ca="1" si="367"/>
        <v>272.72581980163653</v>
      </c>
      <c r="P1060" s="648">
        <f t="shared" ca="1" si="367"/>
        <v>568.87594314451803</v>
      </c>
      <c r="Q1060" s="648">
        <f t="shared" ca="1" si="367"/>
        <v>47.374318349968753</v>
      </c>
      <c r="R1060" s="648">
        <f t="shared" ca="1" si="367"/>
        <v>30.116961695886253</v>
      </c>
      <c r="S1060" s="648">
        <f t="shared" ca="1" si="367"/>
        <v>76.456200523725002</v>
      </c>
      <c r="T1060" s="645"/>
      <c r="U1060" s="646">
        <f t="shared" ca="1" si="368"/>
        <v>88993.39</v>
      </c>
      <c r="W1060" s="646">
        <f t="shared" ca="1" si="362"/>
        <v>0</v>
      </c>
    </row>
    <row r="1061" spans="2:23" ht="18" customHeight="1" x14ac:dyDescent="0.2">
      <c r="B1061" s="645">
        <f t="shared" si="365"/>
        <v>15</v>
      </c>
      <c r="C1061" s="647" t="s">
        <v>107</v>
      </c>
      <c r="D1061" s="647" t="s">
        <v>285</v>
      </c>
      <c r="E1061" s="645"/>
      <c r="F1061" s="646">
        <f>' WP II-I-1.4'!H1061</f>
        <v>0</v>
      </c>
      <c r="G1061" s="645">
        <v>63</v>
      </c>
      <c r="H1061" s="620" t="str">
        <f t="shared" si="366"/>
        <v>PLTGEN_N</v>
      </c>
      <c r="I1061" s="645"/>
      <c r="J1061" s="648">
        <f t="shared" ca="1" si="367"/>
        <v>0</v>
      </c>
      <c r="K1061" s="648">
        <f t="shared" ca="1" si="367"/>
        <v>0</v>
      </c>
      <c r="L1061" s="648">
        <f t="shared" ca="1" si="367"/>
        <v>0</v>
      </c>
      <c r="M1061" s="648">
        <f t="shared" ca="1" si="367"/>
        <v>0</v>
      </c>
      <c r="N1061" s="648">
        <f t="shared" ca="1" si="367"/>
        <v>0</v>
      </c>
      <c r="O1061" s="648">
        <f t="shared" ca="1" si="367"/>
        <v>0</v>
      </c>
      <c r="P1061" s="648">
        <f t="shared" ca="1" si="367"/>
        <v>0</v>
      </c>
      <c r="Q1061" s="648">
        <f t="shared" ca="1" si="367"/>
        <v>0</v>
      </c>
      <c r="R1061" s="648">
        <f t="shared" ca="1" si="367"/>
        <v>0</v>
      </c>
      <c r="S1061" s="648">
        <f t="shared" ca="1" si="367"/>
        <v>0</v>
      </c>
      <c r="T1061" s="645"/>
      <c r="U1061" s="646">
        <f t="shared" ca="1" si="368"/>
        <v>0</v>
      </c>
      <c r="W1061" s="646">
        <f t="shared" ca="1" si="362"/>
        <v>0</v>
      </c>
    </row>
    <row r="1062" spans="2:23" ht="18" customHeight="1" x14ac:dyDescent="0.2">
      <c r="B1062" s="645">
        <f t="shared" si="365"/>
        <v>16</v>
      </c>
      <c r="C1062" s="647" t="s">
        <v>107</v>
      </c>
      <c r="D1062" s="647" t="s">
        <v>286</v>
      </c>
      <c r="E1062" s="645"/>
      <c r="F1062" s="646">
        <f>' WP II-I-1.4'!H1062</f>
        <v>0</v>
      </c>
      <c r="G1062" s="645">
        <v>63</v>
      </c>
      <c r="H1062" s="620" t="str">
        <f t="shared" si="366"/>
        <v>PLTGEN_N</v>
      </c>
      <c r="I1062" s="645"/>
      <c r="J1062" s="651">
        <f t="shared" ca="1" si="367"/>
        <v>0</v>
      </c>
      <c r="K1062" s="651">
        <f t="shared" ca="1" si="367"/>
        <v>0</v>
      </c>
      <c r="L1062" s="651">
        <f t="shared" ca="1" si="367"/>
        <v>0</v>
      </c>
      <c r="M1062" s="651">
        <f t="shared" ca="1" si="367"/>
        <v>0</v>
      </c>
      <c r="N1062" s="651">
        <f t="shared" ca="1" si="367"/>
        <v>0</v>
      </c>
      <c r="O1062" s="651">
        <f t="shared" ca="1" si="367"/>
        <v>0</v>
      </c>
      <c r="P1062" s="651">
        <f t="shared" ca="1" si="367"/>
        <v>0</v>
      </c>
      <c r="Q1062" s="651">
        <f t="shared" ca="1" si="367"/>
        <v>0</v>
      </c>
      <c r="R1062" s="651">
        <f t="shared" ca="1" si="367"/>
        <v>0</v>
      </c>
      <c r="S1062" s="651">
        <f t="shared" ca="1" si="367"/>
        <v>0</v>
      </c>
      <c r="T1062" s="645"/>
      <c r="U1062" s="646">
        <f t="shared" ca="1" si="368"/>
        <v>0</v>
      </c>
      <c r="W1062" s="646">
        <f t="shared" ca="1" si="362"/>
        <v>0</v>
      </c>
    </row>
    <row r="1063" spans="2:23" ht="18" customHeight="1" x14ac:dyDescent="0.25">
      <c r="B1063" s="645">
        <f t="shared" si="365"/>
        <v>17</v>
      </c>
      <c r="C1063" s="8"/>
      <c r="D1063" s="233" t="s">
        <v>444</v>
      </c>
      <c r="E1063" s="1571"/>
      <c r="F1063" s="805">
        <f>SUM(F1049:F1062)</f>
        <v>6115434.0499999998</v>
      </c>
      <c r="G1063" s="1571"/>
      <c r="H1063" s="1571"/>
      <c r="I1063" s="1571"/>
      <c r="J1063" s="805">
        <f t="shared" ref="J1063:Q1063" ca="1" si="372">SUM(J1049:J1062)</f>
        <v>3192522.4333906514</v>
      </c>
      <c r="K1063" s="805">
        <f t="shared" ca="1" si="372"/>
        <v>447863.2636029697</v>
      </c>
      <c r="L1063" s="805">
        <f t="shared" ca="1" si="372"/>
        <v>1761300.8355159378</v>
      </c>
      <c r="M1063" s="805">
        <f t="shared" ca="1" si="372"/>
        <v>74171.995717164289</v>
      </c>
      <c r="N1063" s="805">
        <f t="shared" ca="1" si="372"/>
        <v>571163.52238491806</v>
      </c>
      <c r="O1063" s="805">
        <f ca="1">SUM(O1049:O1062)</f>
        <v>18741.130827009649</v>
      </c>
      <c r="P1063" s="805">
        <f t="shared" ca="1" si="372"/>
        <v>39091.929332412779</v>
      </c>
      <c r="Q1063" s="805">
        <f t="shared" ca="1" si="372"/>
        <v>3255.4611025935601</v>
      </c>
      <c r="R1063" s="805">
        <f ca="1">SUM(R1049:R1062)</f>
        <v>2069.5727293630298</v>
      </c>
      <c r="S1063" s="805">
        <f ca="1">SUM(S1049:S1062)</f>
        <v>5253.9053969785364</v>
      </c>
      <c r="T1063" s="1571"/>
      <c r="U1063" s="235">
        <f t="shared" ca="1" si="368"/>
        <v>6115434.0499999989</v>
      </c>
      <c r="W1063" s="646">
        <f t="shared" ca="1" si="362"/>
        <v>0</v>
      </c>
    </row>
    <row r="1064" spans="2:23" ht="18" customHeight="1" thickBot="1" x14ac:dyDescent="0.3">
      <c r="B1064" s="645">
        <f t="shared" si="365"/>
        <v>18</v>
      </c>
      <c r="C1064" s="8"/>
      <c r="D1064" s="233"/>
      <c r="E1064" s="1571"/>
      <c r="F1064" s="805"/>
      <c r="G1064" s="1571"/>
      <c r="H1064" s="1571"/>
      <c r="I1064" s="1571"/>
      <c r="J1064" s="805"/>
      <c r="K1064" s="805"/>
      <c r="L1064" s="805"/>
      <c r="M1064" s="805"/>
      <c r="N1064" s="805"/>
      <c r="O1064" s="805"/>
      <c r="P1064" s="805"/>
      <c r="Q1064" s="805"/>
      <c r="R1064" s="805"/>
      <c r="S1064" s="805"/>
      <c r="T1064" s="1571"/>
      <c r="U1064" s="235"/>
      <c r="W1064" s="646">
        <f t="shared" si="362"/>
        <v>0</v>
      </c>
    </row>
    <row r="1065" spans="2:23" ht="18" customHeight="1" thickBot="1" x14ac:dyDescent="0.3">
      <c r="B1065" s="645">
        <f t="shared" si="365"/>
        <v>19</v>
      </c>
      <c r="C1065" s="223" t="s">
        <v>658</v>
      </c>
      <c r="D1065" s="224"/>
      <c r="E1065" s="309" t="s">
        <v>280</v>
      </c>
      <c r="F1065" s="812">
        <f>F998+F1013+F1032+F1063</f>
        <v>29837695.84</v>
      </c>
      <c r="G1065" s="309"/>
      <c r="H1065" s="402"/>
      <c r="I1065" s="403"/>
      <c r="J1065" s="381">
        <f t="shared" ref="J1065:Q1065" ca="1" si="373">J998+J1013+J1032+J1063</f>
        <v>15576574.377396304</v>
      </c>
      <c r="K1065" s="812">
        <f t="shared" ca="1" si="373"/>
        <v>2185160.9759891299</v>
      </c>
      <c r="L1065" s="812">
        <f t="shared" ca="1" si="373"/>
        <v>8593528.796678368</v>
      </c>
      <c r="M1065" s="812">
        <f t="shared" ca="1" si="373"/>
        <v>361891.14786619775</v>
      </c>
      <c r="N1065" s="812">
        <f t="shared" ca="1" si="373"/>
        <v>2786752.8807418374</v>
      </c>
      <c r="O1065" s="812">
        <f ca="1">O998+O1013+O1032+O1063</f>
        <v>91439.48847162562</v>
      </c>
      <c r="P1065" s="812">
        <f t="shared" ca="1" si="373"/>
        <v>190732.67533958727</v>
      </c>
      <c r="Q1065" s="812">
        <f t="shared" ca="1" si="373"/>
        <v>15883.657219414825</v>
      </c>
      <c r="R1065" s="812">
        <f ca="1">R998+R1013+R1032+R1063</f>
        <v>10097.612223860502</v>
      </c>
      <c r="S1065" s="315">
        <f ca="1">S998+S1013+S1032+S1063</f>
        <v>25634.228073668797</v>
      </c>
      <c r="T1065" s="403"/>
      <c r="U1065" s="315">
        <f ca="1">SUM(I1065:T1065)</f>
        <v>29837695.839999992</v>
      </c>
      <c r="W1065" s="646">
        <f t="shared" ca="1" si="362"/>
        <v>0</v>
      </c>
    </row>
    <row r="1066" spans="2:23" ht="18" customHeight="1" x14ac:dyDescent="0.25">
      <c r="B1066" s="645">
        <f t="shared" si="365"/>
        <v>20</v>
      </c>
      <c r="C1066" s="8"/>
      <c r="D1066" s="233"/>
      <c r="E1066" s="1571"/>
      <c r="F1066" s="805"/>
      <c r="G1066" s="1571"/>
      <c r="H1066" s="1571"/>
      <c r="I1066" s="1571"/>
      <c r="J1066" s="1571"/>
      <c r="K1066" s="1571"/>
      <c r="L1066" s="1571"/>
      <c r="M1066" s="1571"/>
      <c r="N1066" s="1571"/>
      <c r="O1066" s="1571"/>
      <c r="P1066" s="1571"/>
      <c r="Q1066" s="1571"/>
      <c r="R1066" s="1571"/>
      <c r="S1066" s="1571"/>
      <c r="T1066" s="1571"/>
      <c r="U1066" s="235"/>
      <c r="W1066" s="646">
        <f t="shared" si="362"/>
        <v>0</v>
      </c>
    </row>
    <row r="1067" spans="2:23" ht="18" customHeight="1" x14ac:dyDescent="0.25">
      <c r="B1067" s="645">
        <f t="shared" si="365"/>
        <v>21</v>
      </c>
      <c r="C1067" s="8" t="s">
        <v>659</v>
      </c>
      <c r="D1067" s="233"/>
      <c r="E1067" s="1571" t="s">
        <v>313</v>
      </c>
      <c r="F1067" s="646">
        <f>' WP II-I-1.4'!H1067</f>
        <v>0</v>
      </c>
      <c r="G1067" s="645">
        <v>2</v>
      </c>
      <c r="H1067" s="620" t="str">
        <f>VLOOKUP(G1067,FactorTable,2)</f>
        <v>N / A</v>
      </c>
      <c r="I1067" s="1571"/>
      <c r="J1067" s="648">
        <f t="shared" ref="J1067:S1068" si="374">$F1067*HLOOKUP(J$1354,FactorTable,$G1067+1)</f>
        <v>0</v>
      </c>
      <c r="K1067" s="648">
        <f t="shared" si="374"/>
        <v>0</v>
      </c>
      <c r="L1067" s="648">
        <f t="shared" si="374"/>
        <v>0</v>
      </c>
      <c r="M1067" s="648">
        <f t="shared" si="374"/>
        <v>0</v>
      </c>
      <c r="N1067" s="648">
        <f t="shared" si="374"/>
        <v>0</v>
      </c>
      <c r="O1067" s="648">
        <f t="shared" si="374"/>
        <v>0</v>
      </c>
      <c r="P1067" s="648">
        <f t="shared" si="374"/>
        <v>0</v>
      </c>
      <c r="Q1067" s="648">
        <f t="shared" si="374"/>
        <v>0</v>
      </c>
      <c r="R1067" s="648">
        <f t="shared" si="374"/>
        <v>0</v>
      </c>
      <c r="S1067" s="648">
        <f t="shared" si="374"/>
        <v>0</v>
      </c>
      <c r="T1067" s="1571"/>
      <c r="U1067" s="646">
        <f>SUM(I1067:T1067)</f>
        <v>0</v>
      </c>
      <c r="W1067" s="646">
        <f t="shared" si="362"/>
        <v>0</v>
      </c>
    </row>
    <row r="1068" spans="2:23" ht="18" customHeight="1" x14ac:dyDescent="0.25">
      <c r="B1068" s="645">
        <f t="shared" si="365"/>
        <v>22</v>
      </c>
      <c r="C1068" s="8" t="s">
        <v>660</v>
      </c>
      <c r="D1068" s="233"/>
      <c r="E1068" s="1571" t="s">
        <v>316</v>
      </c>
      <c r="F1068" s="646">
        <f>' WP II-I-1.4'!H1068</f>
        <v>25459958.280000001</v>
      </c>
      <c r="G1068" s="645">
        <v>65</v>
      </c>
      <c r="H1068" s="620" t="str">
        <f>VLOOKUP(G1068,FactorTable,2)</f>
        <v>PLT_N XINT</v>
      </c>
      <c r="I1068" s="1571"/>
      <c r="J1068" s="648">
        <f t="shared" ca="1" si="374"/>
        <v>13291205.055525061</v>
      </c>
      <c r="K1068" s="648">
        <f t="shared" ca="1" si="374"/>
        <v>1864557.7588194676</v>
      </c>
      <c r="L1068" s="648">
        <f t="shared" ca="1" si="374"/>
        <v>7332700.4140883414</v>
      </c>
      <c r="M1068" s="648">
        <f t="shared" ca="1" si="374"/>
        <v>308795.07506149012</v>
      </c>
      <c r="N1068" s="648">
        <f t="shared" ca="1" si="374"/>
        <v>2377885.0907529397</v>
      </c>
      <c r="O1068" s="648">
        <f t="shared" ca="1" si="374"/>
        <v>78023.637418784376</v>
      </c>
      <c r="P1068" s="648">
        <f t="shared" ca="1" si="374"/>
        <v>162748.69154838461</v>
      </c>
      <c r="Q1068" s="648">
        <f t="shared" ca="1" si="374"/>
        <v>13553.233209046692</v>
      </c>
      <c r="R1068" s="648">
        <f t="shared" ca="1" si="374"/>
        <v>8616.1071996203627</v>
      </c>
      <c r="S1068" s="648">
        <f t="shared" ca="1" si="374"/>
        <v>21873.216376871969</v>
      </c>
      <c r="T1068" s="1571"/>
      <c r="U1068" s="646">
        <f ca="1">SUM(I1068:T1068)</f>
        <v>25459958.280000009</v>
      </c>
      <c r="W1068" s="646">
        <f t="shared" ca="1" si="362"/>
        <v>0</v>
      </c>
    </row>
    <row r="1069" spans="2:23" ht="18" customHeight="1" thickBot="1" x14ac:dyDescent="0.3">
      <c r="B1069" s="645">
        <f t="shared" si="365"/>
        <v>23</v>
      </c>
      <c r="C1069" s="8"/>
      <c r="D1069" s="233"/>
      <c r="E1069" s="1571"/>
      <c r="F1069" s="805"/>
      <c r="G1069" s="1571"/>
      <c r="H1069" s="1571"/>
      <c r="I1069" s="1571"/>
      <c r="J1069" s="1571"/>
      <c r="K1069" s="1571"/>
      <c r="L1069" s="1571"/>
      <c r="M1069" s="1571"/>
      <c r="N1069" s="1571"/>
      <c r="O1069" s="1571"/>
      <c r="P1069" s="1571"/>
      <c r="Q1069" s="1571"/>
      <c r="R1069" s="1571"/>
      <c r="S1069" s="1571"/>
      <c r="T1069" s="1571"/>
      <c r="U1069" s="235"/>
      <c r="W1069" s="646">
        <f t="shared" si="362"/>
        <v>0</v>
      </c>
    </row>
    <row r="1070" spans="2:23" ht="18" customHeight="1" thickBot="1" x14ac:dyDescent="0.3">
      <c r="B1070" s="645">
        <f t="shared" si="365"/>
        <v>24</v>
      </c>
      <c r="C1070" s="223" t="s">
        <v>661</v>
      </c>
      <c r="D1070" s="224"/>
      <c r="E1070" s="309"/>
      <c r="F1070" s="812">
        <f>SUM(F1065:F1068)</f>
        <v>55297654.120000005</v>
      </c>
      <c r="G1070" s="309"/>
      <c r="H1070" s="402"/>
      <c r="I1070" s="403"/>
      <c r="J1070" s="381">
        <f t="shared" ref="J1070:Q1070" ca="1" si="375">SUM(J1065:J1068)</f>
        <v>28867779.432921365</v>
      </c>
      <c r="K1070" s="812">
        <f t="shared" ca="1" si="375"/>
        <v>4049718.7348085977</v>
      </c>
      <c r="L1070" s="812">
        <f t="shared" ca="1" si="375"/>
        <v>15926229.21076671</v>
      </c>
      <c r="M1070" s="812">
        <f t="shared" ca="1" si="375"/>
        <v>670686.22292768792</v>
      </c>
      <c r="N1070" s="812">
        <f t="shared" ca="1" si="375"/>
        <v>5164637.9714947771</v>
      </c>
      <c r="O1070" s="812">
        <f ca="1">SUM(O1065:O1068)</f>
        <v>169463.12589040998</v>
      </c>
      <c r="P1070" s="812">
        <f t="shared" ca="1" si="375"/>
        <v>353481.36688797188</v>
      </c>
      <c r="Q1070" s="812">
        <f t="shared" ca="1" si="375"/>
        <v>29436.890428461516</v>
      </c>
      <c r="R1070" s="812">
        <f ca="1">SUM(R1065:R1068)</f>
        <v>18713.719423480863</v>
      </c>
      <c r="S1070" s="315">
        <f ca="1">SUM(S1065:S1068)</f>
        <v>47507.444450540766</v>
      </c>
      <c r="T1070" s="403"/>
      <c r="U1070" s="315">
        <f ca="1">SUM(I1070:T1070)</f>
        <v>55297654.120000012</v>
      </c>
      <c r="W1070" s="646">
        <f t="shared" ca="1" si="362"/>
        <v>0</v>
      </c>
    </row>
    <row r="1071" spans="2:23" ht="18" customHeight="1" x14ac:dyDescent="0.2">
      <c r="W1071" s="646">
        <f t="shared" si="362"/>
        <v>0</v>
      </c>
    </row>
    <row r="1072" spans="2:23" ht="18" customHeight="1" x14ac:dyDescent="0.2">
      <c r="H1072" s="653"/>
      <c r="U1072" s="653"/>
      <c r="V1072" s="653">
        <f>$H$2</f>
        <v>0</v>
      </c>
      <c r="W1072" s="646"/>
    </row>
    <row r="1073" spans="2:23" ht="18" customHeight="1" thickBot="1" x14ac:dyDescent="0.25">
      <c r="W1073" s="646"/>
    </row>
    <row r="1074" spans="2:23" ht="18" customHeight="1" x14ac:dyDescent="0.25">
      <c r="B1074" s="829" t="str">
        <f>+$B$4</f>
        <v>2025 RATE CASE</v>
      </c>
      <c r="C1074" s="844"/>
      <c r="D1074" s="874"/>
      <c r="F1074" s="654"/>
      <c r="U1074" s="653"/>
      <c r="W1074" s="646"/>
    </row>
    <row r="1075" spans="2:23" ht="18" customHeight="1" x14ac:dyDescent="0.25">
      <c r="B1075" s="826" t="str">
        <f>+$B$5</f>
        <v>ONCOR ELECTRIC DELIVERY COMPANY LLC</v>
      </c>
      <c r="C1075" s="8"/>
      <c r="D1075" s="875"/>
      <c r="F1075" s="654"/>
      <c r="U1075" s="653"/>
      <c r="W1075" s="646"/>
    </row>
    <row r="1076" spans="2:23" ht="18" customHeight="1" x14ac:dyDescent="0.25">
      <c r="B1076" s="826" t="str">
        <f>+$B$6</f>
        <v>II-I-1-MET:  CLASS REVENUE REQUIREMENT</v>
      </c>
      <c r="C1076" s="82"/>
      <c r="D1076" s="875"/>
      <c r="F1076" s="654"/>
      <c r="U1076" s="654"/>
      <c r="W1076" s="646"/>
    </row>
    <row r="1077" spans="2:23" ht="18" customHeight="1" x14ac:dyDescent="0.25">
      <c r="B1077" s="341" t="str">
        <f>+$B$7</f>
        <v>TEST YEAR ENDING 12/31/2024</v>
      </c>
      <c r="C1077" s="82"/>
      <c r="D1077" s="875"/>
      <c r="F1077" s="654"/>
      <c r="U1077" s="654"/>
      <c r="W1077" s="646"/>
    </row>
    <row r="1078" spans="2:23" ht="18" customHeight="1" x14ac:dyDescent="0.25">
      <c r="B1078" s="341" t="str">
        <f>+$B$8</f>
        <v>SPONSOR:  MATTHEW A. TROXLE</v>
      </c>
      <c r="C1078" s="82"/>
      <c r="D1078" s="875"/>
      <c r="F1078" s="654"/>
      <c r="U1078" s="654"/>
      <c r="W1078" s="646"/>
    </row>
    <row r="1079" spans="2:23" ht="18" customHeight="1" thickBot="1" x14ac:dyDescent="0.3">
      <c r="B1079" s="345"/>
      <c r="C1079" s="843"/>
      <c r="D1079" s="876"/>
      <c r="F1079" s="654"/>
      <c r="U1079" s="654"/>
      <c r="W1079" s="646"/>
    </row>
    <row r="1080" spans="2:23" ht="18" customHeight="1" thickBot="1" x14ac:dyDescent="0.25">
      <c r="B1080" s="655"/>
      <c r="C1080" s="656"/>
      <c r="D1080" s="656"/>
      <c r="E1080" s="656"/>
      <c r="F1080" s="655"/>
      <c r="G1080" s="656"/>
      <c r="H1080" s="656"/>
      <c r="I1080" s="656"/>
      <c r="J1080" s="657"/>
      <c r="K1080" s="657"/>
      <c r="L1080" s="656"/>
      <c r="M1080" s="657"/>
      <c r="N1080" s="657"/>
      <c r="O1080" s="657"/>
      <c r="P1080" s="657"/>
      <c r="Q1080" s="656"/>
      <c r="R1080" s="658" t="str">
        <f>R$10</f>
        <v xml:space="preserve"> </v>
      </c>
      <c r="S1080" s="659"/>
      <c r="T1080" s="657"/>
      <c r="U1080" s="655"/>
      <c r="W1080" s="646"/>
    </row>
    <row r="1081" spans="2:23" ht="18" customHeight="1" x14ac:dyDescent="0.25">
      <c r="B1081" s="660" t="s">
        <v>2</v>
      </c>
      <c r="C1081" s="660" t="s">
        <v>349</v>
      </c>
      <c r="D1081" s="226" t="s">
        <v>287</v>
      </c>
      <c r="E1081" s="660" t="s">
        <v>350</v>
      </c>
      <c r="F1081" s="226" t="str">
        <f>F$11</f>
        <v>MET</v>
      </c>
      <c r="G1081" s="661" t="s">
        <v>688</v>
      </c>
      <c r="H1081" s="661" t="s">
        <v>355</v>
      </c>
      <c r="I1081" s="660"/>
      <c r="J1081" s="661" t="s">
        <v>679</v>
      </c>
      <c r="K1081" s="661" t="s">
        <v>388</v>
      </c>
      <c r="L1081" s="660" t="s">
        <v>388</v>
      </c>
      <c r="M1081" s="661" t="s">
        <v>389</v>
      </c>
      <c r="N1081" s="661" t="s">
        <v>389</v>
      </c>
      <c r="O1081" s="661" t="s">
        <v>389</v>
      </c>
      <c r="P1081" s="661" t="s">
        <v>390</v>
      </c>
      <c r="Q1081" s="660" t="s">
        <v>391</v>
      </c>
      <c r="R1081" s="662" t="str">
        <f>R$11</f>
        <v>Wholesale</v>
      </c>
      <c r="S1081" s="655" t="str">
        <f>S$11</f>
        <v>Wholesale</v>
      </c>
      <c r="T1081" s="661"/>
      <c r="U1081" s="660" t="s">
        <v>10</v>
      </c>
      <c r="W1081" s="646"/>
    </row>
    <row r="1082" spans="2:23" ht="18" customHeight="1" x14ac:dyDescent="0.2">
      <c r="B1082" s="660"/>
      <c r="C1082" s="660"/>
      <c r="D1082" s="660"/>
      <c r="E1082" s="660"/>
      <c r="F1082" s="660"/>
      <c r="G1082" s="661" t="s">
        <v>689</v>
      </c>
      <c r="H1082" s="661" t="s">
        <v>690</v>
      </c>
      <c r="I1082" s="660"/>
      <c r="J1082" s="661"/>
      <c r="K1082" s="661" t="s">
        <v>680</v>
      </c>
      <c r="L1082" s="660" t="s">
        <v>681</v>
      </c>
      <c r="M1082" s="661" t="s">
        <v>680</v>
      </c>
      <c r="N1082" s="661" t="s">
        <v>681</v>
      </c>
      <c r="O1082" s="661" t="s">
        <v>393</v>
      </c>
      <c r="P1082" s="661"/>
      <c r="Q1082" s="660"/>
      <c r="R1082" s="663" t="str">
        <f>R$12</f>
        <v>XFMR</v>
      </c>
      <c r="S1082" s="660" t="str">
        <f>S$12</f>
        <v>DLS</v>
      </c>
      <c r="T1082" s="661"/>
      <c r="U1082" s="660"/>
      <c r="W1082" s="646"/>
    </row>
    <row r="1083" spans="2:23" ht="18" customHeight="1" thickBot="1" x14ac:dyDescent="0.25">
      <c r="B1083" s="664"/>
      <c r="C1083" s="664"/>
      <c r="D1083" s="664"/>
      <c r="E1083" s="664"/>
      <c r="F1083" s="664" t="s">
        <v>13</v>
      </c>
      <c r="G1083" s="664" t="s">
        <v>14</v>
      </c>
      <c r="H1083" s="664" t="s">
        <v>15</v>
      </c>
      <c r="I1083" s="664"/>
      <c r="J1083" s="665" t="str">
        <f t="shared" ref="J1083:Q1083" si="376">J$13</f>
        <v>(d)</v>
      </c>
      <c r="K1083" s="665" t="str">
        <f t="shared" si="376"/>
        <v>(e)</v>
      </c>
      <c r="L1083" s="664" t="str">
        <f t="shared" si="376"/>
        <v>(f)</v>
      </c>
      <c r="M1083" s="665" t="str">
        <f t="shared" si="376"/>
        <v>(g)</v>
      </c>
      <c r="N1083" s="665" t="str">
        <f t="shared" si="376"/>
        <v>(h)</v>
      </c>
      <c r="O1083" s="665" t="str">
        <f>O$13</f>
        <v>(i)</v>
      </c>
      <c r="P1083" s="665" t="str">
        <f t="shared" si="376"/>
        <v>(j)</v>
      </c>
      <c r="Q1083" s="665" t="str">
        <f t="shared" si="376"/>
        <v>(k)</v>
      </c>
      <c r="R1083" s="665" t="str">
        <f>R$13</f>
        <v>(l)</v>
      </c>
      <c r="S1083" s="664" t="str">
        <f>S$13</f>
        <v>(m)</v>
      </c>
      <c r="T1083" s="664"/>
      <c r="U1083" s="664" t="s">
        <v>683</v>
      </c>
      <c r="W1083" s="646"/>
    </row>
    <row r="1084" spans="2:23" ht="18" customHeight="1" x14ac:dyDescent="0.2">
      <c r="C1084" s="666"/>
      <c r="D1084" s="666"/>
      <c r="E1084" s="666"/>
      <c r="F1084" s="666"/>
      <c r="G1084" s="666"/>
      <c r="H1084" s="666"/>
      <c r="I1084" s="666"/>
      <c r="J1084" s="666"/>
      <c r="K1084" s="666"/>
      <c r="L1084" s="666"/>
      <c r="M1084" s="666"/>
      <c r="N1084" s="666"/>
      <c r="O1084" s="666"/>
      <c r="P1084" s="666"/>
      <c r="Q1084" s="666"/>
      <c r="R1084" s="666"/>
      <c r="S1084" s="666"/>
      <c r="T1084" s="666"/>
      <c r="U1084" s="611"/>
      <c r="W1084" s="646">
        <f t="shared" si="362"/>
        <v>0</v>
      </c>
    </row>
    <row r="1085" spans="2:23" ht="18" customHeight="1" x14ac:dyDescent="0.25">
      <c r="B1085" s="645">
        <f t="shared" ref="B1085:B1103" si="377">B1084+1</f>
        <v>1</v>
      </c>
      <c r="C1085" s="301" t="s">
        <v>287</v>
      </c>
      <c r="D1085" s="301"/>
      <c r="E1085" s="1571"/>
      <c r="F1085" s="805"/>
      <c r="G1085" s="1571"/>
      <c r="H1085" s="1571"/>
      <c r="I1085" s="1571"/>
      <c r="J1085" s="1571"/>
      <c r="K1085" s="1571"/>
      <c r="L1085" s="1571"/>
      <c r="M1085" s="1571"/>
      <c r="N1085" s="1571"/>
      <c r="O1085" s="1571"/>
      <c r="P1085" s="1571"/>
      <c r="Q1085" s="1571"/>
      <c r="R1085" s="1571"/>
      <c r="S1085" s="1571"/>
      <c r="T1085" s="1571"/>
      <c r="U1085" s="8"/>
      <c r="W1085" s="646">
        <f t="shared" si="362"/>
        <v>0</v>
      </c>
    </row>
    <row r="1086" spans="2:23" ht="18" customHeight="1" x14ac:dyDescent="0.2">
      <c r="B1086" s="645">
        <f t="shared" si="377"/>
        <v>2</v>
      </c>
      <c r="C1086" s="647"/>
      <c r="D1086" s="647"/>
      <c r="E1086" s="645"/>
      <c r="F1086" s="803"/>
      <c r="G1086" s="645"/>
      <c r="H1086" s="645"/>
      <c r="I1086" s="645"/>
      <c r="J1086" s="645"/>
      <c r="K1086" s="645"/>
      <c r="L1086" s="645"/>
      <c r="M1086" s="645"/>
      <c r="N1086" s="645"/>
      <c r="O1086" s="645"/>
      <c r="P1086" s="645"/>
      <c r="Q1086" s="645"/>
      <c r="R1086" s="645"/>
      <c r="S1086" s="645"/>
      <c r="T1086" s="645"/>
      <c r="U1086" s="647"/>
      <c r="W1086" s="646">
        <f t="shared" si="362"/>
        <v>0</v>
      </c>
    </row>
    <row r="1087" spans="2:23" ht="18" customHeight="1" x14ac:dyDescent="0.25">
      <c r="B1087" s="645">
        <f t="shared" si="377"/>
        <v>3</v>
      </c>
      <c r="C1087" s="8" t="s">
        <v>289</v>
      </c>
      <c r="D1087" s="8"/>
      <c r="E1087" s="1571" t="s">
        <v>288</v>
      </c>
      <c r="F1087" s="805"/>
      <c r="G1087" s="1571"/>
      <c r="H1087" s="1571"/>
      <c r="I1087" s="1571"/>
      <c r="J1087" s="1571"/>
      <c r="K1087" s="1571"/>
      <c r="L1087" s="1571"/>
      <c r="M1087" s="1571"/>
      <c r="N1087" s="1571"/>
      <c r="O1087" s="1571"/>
      <c r="P1087" s="1571"/>
      <c r="Q1087" s="1571"/>
      <c r="R1087" s="1571"/>
      <c r="S1087" s="1571"/>
      <c r="T1087" s="1571"/>
      <c r="U1087" s="8"/>
      <c r="W1087" s="646">
        <f t="shared" si="362"/>
        <v>0</v>
      </c>
    </row>
    <row r="1088" spans="2:23" ht="18" customHeight="1" x14ac:dyDescent="0.2">
      <c r="B1088" s="645">
        <f t="shared" si="377"/>
        <v>4</v>
      </c>
      <c r="C1088" s="647"/>
      <c r="D1088" s="647" t="s">
        <v>290</v>
      </c>
      <c r="E1088" s="645"/>
      <c r="F1088" s="646">
        <f>' WP II-I-1.4'!H1088</f>
        <v>3419493.17</v>
      </c>
      <c r="G1088" s="645">
        <v>88</v>
      </c>
      <c r="H1088" s="620" t="str">
        <f>VLOOKUP(G1088,FactorTable,2)</f>
        <v>PAYROLL</v>
      </c>
      <c r="I1088" s="645"/>
      <c r="J1088" s="648">
        <f t="shared" ref="J1088:S1090" ca="1" si="378">$F1088*HLOOKUP(J$1354,FactorTable,$G1088+1)</f>
        <v>1784942.6581816671</v>
      </c>
      <c r="K1088" s="648">
        <f t="shared" ca="1" si="378"/>
        <v>250391.89445893161</v>
      </c>
      <c r="L1088" s="648">
        <f t="shared" ca="1" si="378"/>
        <v>984749.93925118842</v>
      </c>
      <c r="M1088" s="648">
        <f t="shared" ca="1" si="378"/>
        <v>41467.913315003629</v>
      </c>
      <c r="N1088" s="648">
        <f t="shared" ca="1" si="378"/>
        <v>319338.21673632931</v>
      </c>
      <c r="O1088" s="648">
        <f t="shared" ca="1" si="378"/>
        <v>10483.579147420145</v>
      </c>
      <c r="P1088" s="648">
        <f t="shared" ca="1" si="378"/>
        <v>21855.415599029857</v>
      </c>
      <c r="Q1088" s="648">
        <f t="shared" ca="1" si="378"/>
        <v>2168.2375778677097</v>
      </c>
      <c r="R1088" s="648">
        <f t="shared" ca="1" si="378"/>
        <v>1157.4548064431226</v>
      </c>
      <c r="S1088" s="648">
        <f t="shared" ca="1" si="378"/>
        <v>2937.8609261193969</v>
      </c>
      <c r="T1088" s="645"/>
      <c r="U1088" s="646">
        <f ca="1">SUM(I1088:T1088)</f>
        <v>3419493.1700000013</v>
      </c>
      <c r="W1088" s="646">
        <f t="shared" ca="1" si="362"/>
        <v>0</v>
      </c>
    </row>
    <row r="1089" spans="2:23" ht="18" customHeight="1" x14ac:dyDescent="0.2">
      <c r="B1089" s="645">
        <f t="shared" si="377"/>
        <v>5</v>
      </c>
      <c r="C1089" s="647"/>
      <c r="D1089" s="647" t="s">
        <v>291</v>
      </c>
      <c r="E1089" s="645"/>
      <c r="F1089" s="646">
        <f>' WP II-I-1.4'!H1089</f>
        <v>74228.44</v>
      </c>
      <c r="G1089" s="645">
        <v>88</v>
      </c>
      <c r="H1089" s="620" t="str">
        <f>VLOOKUP(G1089,FactorTable,2)</f>
        <v>PAYROLL</v>
      </c>
      <c r="I1089" s="645"/>
      <c r="J1089" s="648">
        <f t="shared" ca="1" si="378"/>
        <v>38746.534184853597</v>
      </c>
      <c r="K1089" s="648">
        <f t="shared" ca="1" si="378"/>
        <v>5435.3668190924145</v>
      </c>
      <c r="L1089" s="648">
        <f t="shared" ca="1" si="378"/>
        <v>21376.39940971442</v>
      </c>
      <c r="M1089" s="648">
        <f t="shared" ca="1" si="378"/>
        <v>900.16220603474642</v>
      </c>
      <c r="N1089" s="648">
        <f t="shared" ca="1" si="378"/>
        <v>6932.0149163273863</v>
      </c>
      <c r="O1089" s="648">
        <f t="shared" ca="1" si="378"/>
        <v>227.57165668780308</v>
      </c>
      <c r="P1089" s="648">
        <f t="shared" ca="1" si="378"/>
        <v>474.42510477880319</v>
      </c>
      <c r="Q1089" s="648">
        <f t="shared" ca="1" si="378"/>
        <v>47.066885340349607</v>
      </c>
      <c r="R1089" s="648">
        <f t="shared" ca="1" si="378"/>
        <v>25.125379809656106</v>
      </c>
      <c r="S1089" s="648">
        <f t="shared" ca="1" si="378"/>
        <v>63.77343736083499</v>
      </c>
      <c r="T1089" s="645"/>
      <c r="U1089" s="646">
        <f ca="1">SUM(I1089:T1089)</f>
        <v>74228.44</v>
      </c>
      <c r="W1089" s="646">
        <f t="shared" ca="1" si="362"/>
        <v>0</v>
      </c>
    </row>
    <row r="1090" spans="2:23" ht="18" customHeight="1" x14ac:dyDescent="0.2">
      <c r="B1090" s="645">
        <f t="shared" si="377"/>
        <v>6</v>
      </c>
      <c r="C1090" s="647"/>
      <c r="D1090" s="647" t="s">
        <v>292</v>
      </c>
      <c r="E1090" s="645"/>
      <c r="F1090" s="646">
        <f>' WP II-I-1.4'!H1090</f>
        <v>70560.639999999999</v>
      </c>
      <c r="G1090" s="645">
        <v>88</v>
      </c>
      <c r="H1090" s="620" t="str">
        <f>VLOOKUP(G1090,FactorTable,2)</f>
        <v>PAYROLL</v>
      </c>
      <c r="I1090" s="645"/>
      <c r="J1090" s="651">
        <f t="shared" ca="1" si="378"/>
        <v>36831.977741484909</v>
      </c>
      <c r="K1090" s="651">
        <f t="shared" ca="1" si="378"/>
        <v>5166.7926927997541</v>
      </c>
      <c r="L1090" s="651">
        <f t="shared" ca="1" si="378"/>
        <v>20320.141757594145</v>
      </c>
      <c r="M1090" s="651">
        <f t="shared" ca="1" si="378"/>
        <v>855.68309615052624</v>
      </c>
      <c r="N1090" s="651">
        <f t="shared" ca="1" si="378"/>
        <v>6589.4879238416806</v>
      </c>
      <c r="O1090" s="651">
        <f t="shared" ca="1" si="378"/>
        <v>216.32681141826049</v>
      </c>
      <c r="P1090" s="651">
        <f t="shared" ca="1" si="378"/>
        <v>450.98265604476416</v>
      </c>
      <c r="Q1090" s="651">
        <f t="shared" ca="1" si="378"/>
        <v>44.741200979323914</v>
      </c>
      <c r="R1090" s="651">
        <f t="shared" ca="1" si="378"/>
        <v>23.883876309571008</v>
      </c>
      <c r="S1090" s="651">
        <f t="shared" ca="1" si="378"/>
        <v>60.622243377072557</v>
      </c>
      <c r="T1090" s="645"/>
      <c r="U1090" s="646">
        <f ca="1">SUM(I1090:T1090)</f>
        <v>70560.639999999999</v>
      </c>
      <c r="W1090" s="646">
        <f t="shared" ca="1" si="362"/>
        <v>0</v>
      </c>
    </row>
    <row r="1091" spans="2:23" ht="18" customHeight="1" x14ac:dyDescent="0.25">
      <c r="B1091" s="645">
        <f t="shared" si="377"/>
        <v>7</v>
      </c>
      <c r="C1091" s="8"/>
      <c r="D1091" s="233" t="s">
        <v>662</v>
      </c>
      <c r="E1091" s="1571"/>
      <c r="F1091" s="191">
        <f>SUM(F1088:F1090)</f>
        <v>3564282.25</v>
      </c>
      <c r="G1091" s="1571"/>
      <c r="H1091" s="1571"/>
      <c r="I1091" s="1571"/>
      <c r="J1091" s="191">
        <f t="shared" ref="J1091:Q1091" ca="1" si="379">SUM(J1088:J1090)</f>
        <v>1860521.1701080056</v>
      </c>
      <c r="K1091" s="191">
        <f t="shared" ca="1" si="379"/>
        <v>260994.05397082379</v>
      </c>
      <c r="L1091" s="191">
        <f t="shared" ca="1" si="379"/>
        <v>1026446.480418497</v>
      </c>
      <c r="M1091" s="191">
        <f t="shared" ca="1" si="379"/>
        <v>43223.758617188898</v>
      </c>
      <c r="N1091" s="191">
        <f t="shared" ca="1" si="379"/>
        <v>332859.71957649838</v>
      </c>
      <c r="O1091" s="191">
        <f ca="1">SUM(O1088:O1090)</f>
        <v>10927.47761552621</v>
      </c>
      <c r="P1091" s="191">
        <f t="shared" ca="1" si="379"/>
        <v>22780.823359853424</v>
      </c>
      <c r="Q1091" s="191">
        <f t="shared" ca="1" si="379"/>
        <v>2260.045664187383</v>
      </c>
      <c r="R1091" s="191">
        <f ca="1">SUM(R1088:R1090)</f>
        <v>1206.4640625623497</v>
      </c>
      <c r="S1091" s="191">
        <f ca="1">SUM(S1088:S1090)</f>
        <v>3062.2566068573046</v>
      </c>
      <c r="T1091" s="1571"/>
      <c r="U1091" s="235">
        <f ca="1">SUM(I1091:T1091)</f>
        <v>3564282.2500000005</v>
      </c>
      <c r="W1091" s="646">
        <f t="shared" ca="1" si="362"/>
        <v>0</v>
      </c>
    </row>
    <row r="1092" spans="2:23" ht="18" customHeight="1" x14ac:dyDescent="0.2">
      <c r="B1092" s="645">
        <f t="shared" si="377"/>
        <v>8</v>
      </c>
      <c r="C1092" s="647"/>
      <c r="D1092" s="647"/>
      <c r="E1092" s="645"/>
      <c r="F1092" s="803"/>
      <c r="G1092" s="645"/>
      <c r="H1092" s="645"/>
      <c r="I1092" s="645"/>
      <c r="J1092" s="645"/>
      <c r="K1092" s="645"/>
      <c r="L1092" s="645"/>
      <c r="M1092" s="645"/>
      <c r="N1092" s="645"/>
      <c r="O1092" s="645"/>
      <c r="P1092" s="645"/>
      <c r="Q1092" s="645"/>
      <c r="R1092" s="645"/>
      <c r="S1092" s="645"/>
      <c r="T1092" s="645"/>
      <c r="U1092" s="647"/>
      <c r="W1092" s="646">
        <f t="shared" si="362"/>
        <v>0</v>
      </c>
    </row>
    <row r="1093" spans="2:23" ht="18" customHeight="1" x14ac:dyDescent="0.25">
      <c r="B1093" s="645">
        <f t="shared" si="377"/>
        <v>9</v>
      </c>
      <c r="C1093" s="8" t="s">
        <v>293</v>
      </c>
      <c r="D1093" s="8"/>
      <c r="E1093" s="1571" t="s">
        <v>288</v>
      </c>
      <c r="F1093" s="805"/>
      <c r="G1093" s="1571"/>
      <c r="H1093" s="1571"/>
      <c r="I1093" s="1571"/>
      <c r="J1093" s="1571"/>
      <c r="K1093" s="1571"/>
      <c r="L1093" s="1571"/>
      <c r="M1093" s="1571"/>
      <c r="N1093" s="1571"/>
      <c r="O1093" s="1571"/>
      <c r="P1093" s="1571"/>
      <c r="Q1093" s="1571"/>
      <c r="R1093" s="1571"/>
      <c r="S1093" s="1571"/>
      <c r="T1093" s="1571"/>
      <c r="U1093" s="316"/>
      <c r="W1093" s="646">
        <f t="shared" si="362"/>
        <v>0</v>
      </c>
    </row>
    <row r="1094" spans="2:23" ht="18" customHeight="1" x14ac:dyDescent="0.2">
      <c r="B1094" s="645">
        <f t="shared" si="377"/>
        <v>10</v>
      </c>
      <c r="C1094" s="318"/>
      <c r="D1094" s="647" t="s">
        <v>294</v>
      </c>
      <c r="E1094" s="803"/>
      <c r="F1094" s="646">
        <f>' WP II-I-1.4'!H1094</f>
        <v>4193051.07</v>
      </c>
      <c r="G1094" s="645">
        <v>64</v>
      </c>
      <c r="H1094" s="620" t="str">
        <f>VLOOKUP(G1094,FactorTable,2)</f>
        <v>PLANT</v>
      </c>
      <c r="I1094" s="803"/>
      <c r="J1094" s="651">
        <f t="shared" ref="J1094:S1094" ca="1" si="380">$F1094*HLOOKUP(J$1354,FactorTable,$G1094+1)</f>
        <v>2188954.945124079</v>
      </c>
      <c r="K1094" s="651">
        <f t="shared" ca="1" si="380"/>
        <v>307077.71865582047</v>
      </c>
      <c r="L1094" s="651">
        <f t="shared" ca="1" si="380"/>
        <v>1207636.9874272451</v>
      </c>
      <c r="M1094" s="651">
        <f t="shared" ca="1" si="380"/>
        <v>50856.073904662757</v>
      </c>
      <c r="N1094" s="651">
        <f t="shared" ca="1" si="380"/>
        <v>391618.61596415221</v>
      </c>
      <c r="O1094" s="651">
        <f t="shared" ca="1" si="380"/>
        <v>12849.867732152687</v>
      </c>
      <c r="P1094" s="651">
        <f t="shared" ca="1" si="380"/>
        <v>26803.405085471873</v>
      </c>
      <c r="Q1094" s="651">
        <f t="shared" ca="1" si="380"/>
        <v>2232.1088818827689</v>
      </c>
      <c r="R1094" s="651">
        <f t="shared" ca="1" si="380"/>
        <v>1419.0037986426287</v>
      </c>
      <c r="S1094" s="651">
        <f t="shared" ca="1" si="380"/>
        <v>3602.3434258897178</v>
      </c>
      <c r="T1094" s="803"/>
      <c r="U1094" s="646">
        <f ca="1">SUM(I1094:T1094)</f>
        <v>4193051.0699999994</v>
      </c>
      <c r="V1094" s="317"/>
      <c r="W1094" s="646">
        <f t="shared" ref="W1094:W1162" ca="1" si="381">U1094-F1094</f>
        <v>0</v>
      </c>
    </row>
    <row r="1095" spans="2:23" ht="18" customHeight="1" x14ac:dyDescent="0.25">
      <c r="B1095" s="645">
        <f t="shared" si="377"/>
        <v>11</v>
      </c>
      <c r="C1095" s="8"/>
      <c r="D1095" s="233" t="s">
        <v>663</v>
      </c>
      <c r="E1095" s="1571"/>
      <c r="F1095" s="805">
        <f>+F1094</f>
        <v>4193051.07</v>
      </c>
      <c r="G1095" s="1571"/>
      <c r="H1095" s="1571"/>
      <c r="I1095" s="1571"/>
      <c r="J1095" s="805">
        <f t="shared" ref="J1095:Q1095" ca="1" si="382">+J1094</f>
        <v>2188954.945124079</v>
      </c>
      <c r="K1095" s="805">
        <f t="shared" ca="1" si="382"/>
        <v>307077.71865582047</v>
      </c>
      <c r="L1095" s="805">
        <f t="shared" ca="1" si="382"/>
        <v>1207636.9874272451</v>
      </c>
      <c r="M1095" s="805">
        <f t="shared" ca="1" si="382"/>
        <v>50856.073904662757</v>
      </c>
      <c r="N1095" s="805">
        <f t="shared" ca="1" si="382"/>
        <v>391618.61596415221</v>
      </c>
      <c r="O1095" s="805">
        <f ca="1">+O1094</f>
        <v>12849.867732152687</v>
      </c>
      <c r="P1095" s="805">
        <f t="shared" ca="1" si="382"/>
        <v>26803.405085471873</v>
      </c>
      <c r="Q1095" s="805">
        <f t="shared" ca="1" si="382"/>
        <v>2232.1088818827689</v>
      </c>
      <c r="R1095" s="805">
        <f ca="1">+R1094</f>
        <v>1419.0037986426287</v>
      </c>
      <c r="S1095" s="805">
        <f ca="1">+S1094</f>
        <v>3602.3434258897178</v>
      </c>
      <c r="T1095" s="1571"/>
      <c r="U1095" s="235">
        <f ca="1">SUM(I1095:T1095)</f>
        <v>4193051.0699999994</v>
      </c>
      <c r="W1095" s="646">
        <f t="shared" ca="1" si="381"/>
        <v>0</v>
      </c>
    </row>
    <row r="1096" spans="2:23" ht="18" customHeight="1" x14ac:dyDescent="0.2">
      <c r="B1096" s="645">
        <f t="shared" si="377"/>
        <v>12</v>
      </c>
      <c r="C1096" s="647"/>
      <c r="D1096" s="647"/>
      <c r="E1096" s="645"/>
      <c r="F1096" s="803"/>
      <c r="G1096" s="645"/>
      <c r="H1096" s="645"/>
      <c r="I1096" s="645"/>
      <c r="J1096" s="645"/>
      <c r="K1096" s="645"/>
      <c r="L1096" s="645"/>
      <c r="M1096" s="645"/>
      <c r="N1096" s="645"/>
      <c r="O1096" s="645"/>
      <c r="P1096" s="645"/>
      <c r="Q1096" s="645"/>
      <c r="R1096" s="645"/>
      <c r="S1096" s="645"/>
      <c r="T1096" s="645"/>
      <c r="U1096" s="647"/>
      <c r="W1096" s="646">
        <f t="shared" si="381"/>
        <v>0</v>
      </c>
    </row>
    <row r="1097" spans="2:23" ht="18" customHeight="1" x14ac:dyDescent="0.25">
      <c r="B1097" s="645">
        <f t="shared" si="377"/>
        <v>13</v>
      </c>
      <c r="C1097" s="8" t="s">
        <v>295</v>
      </c>
      <c r="D1097" s="8"/>
      <c r="E1097" s="1571" t="s">
        <v>288</v>
      </c>
      <c r="F1097" s="805"/>
      <c r="G1097" s="1571"/>
      <c r="H1097" s="1571"/>
      <c r="I1097" s="1571"/>
      <c r="J1097" s="1571"/>
      <c r="K1097" s="1571"/>
      <c r="L1097" s="1571"/>
      <c r="M1097" s="1571"/>
      <c r="N1097" s="1571"/>
      <c r="O1097" s="1571"/>
      <c r="P1097" s="1571"/>
      <c r="Q1097" s="1571"/>
      <c r="R1097" s="1571"/>
      <c r="S1097" s="1571"/>
      <c r="T1097" s="1571"/>
      <c r="U1097" s="8"/>
      <c r="W1097" s="646">
        <f t="shared" si="381"/>
        <v>0</v>
      </c>
    </row>
    <row r="1098" spans="2:23" ht="18" customHeight="1" x14ac:dyDescent="0.2">
      <c r="B1098" s="645">
        <f t="shared" si="377"/>
        <v>14</v>
      </c>
      <c r="C1098" s="647"/>
      <c r="D1098" s="647" t="s">
        <v>296</v>
      </c>
      <c r="E1098" s="645"/>
      <c r="F1098" s="646">
        <f>' WP II-I-1.4'!H1098</f>
        <v>1151630.57</v>
      </c>
      <c r="G1098" s="645">
        <v>91</v>
      </c>
      <c r="H1098" s="620" t="str">
        <f>VLOOKUP(G1098,FactorTable,2)</f>
        <v>TAX INC</v>
      </c>
      <c r="I1098" s="645"/>
      <c r="J1098" s="648">
        <f t="shared" ref="J1098:S1100" ca="1" si="383">$F1098*HLOOKUP(J$1354,FactorTable,$G1098+1)</f>
        <v>601054.41703443835</v>
      </c>
      <c r="K1098" s="648">
        <f t="shared" ca="1" si="383"/>
        <v>84292.792857156979</v>
      </c>
      <c r="L1098" s="648">
        <f t="shared" ca="1" si="383"/>
        <v>331914.92533797456</v>
      </c>
      <c r="M1098" s="648">
        <f t="shared" ca="1" si="383"/>
        <v>13957.704846857074</v>
      </c>
      <c r="N1098" s="648">
        <f t="shared" ca="1" si="383"/>
        <v>107526.80470093992</v>
      </c>
      <c r="O1098" s="648">
        <f t="shared" ca="1" si="383"/>
        <v>3516.7862801948677</v>
      </c>
      <c r="P1098" s="648">
        <f t="shared" ca="1" si="383"/>
        <v>7395.8653818183475</v>
      </c>
      <c r="Q1098" s="648">
        <f t="shared" ca="1" si="383"/>
        <v>598.67018485586766</v>
      </c>
      <c r="R1098" s="648">
        <f t="shared" ca="1" si="383"/>
        <v>387.75545950775211</v>
      </c>
      <c r="S1098" s="648">
        <f t="shared" ca="1" si="383"/>
        <v>984.84791625641549</v>
      </c>
      <c r="T1098" s="645"/>
      <c r="U1098" s="646">
        <f ca="1">SUM(I1098:T1098)</f>
        <v>1151630.5699999998</v>
      </c>
      <c r="W1098" s="646">
        <f t="shared" ca="1" si="381"/>
        <v>0</v>
      </c>
    </row>
    <row r="1099" spans="2:23" ht="18" customHeight="1" x14ac:dyDescent="0.2">
      <c r="B1099" s="645">
        <f t="shared" si="377"/>
        <v>15</v>
      </c>
      <c r="C1099" s="647"/>
      <c r="D1099" s="647" t="s">
        <v>297</v>
      </c>
      <c r="E1099" s="645"/>
      <c r="F1099" s="646">
        <f>' WP II-I-1.4'!H1099</f>
        <v>0</v>
      </c>
      <c r="G1099" s="645">
        <v>19</v>
      </c>
      <c r="H1099" s="620" t="str">
        <f>VLOOKUP(G1099,FactorTable,2)</f>
        <v>ENERGY ICL</v>
      </c>
      <c r="I1099" s="645"/>
      <c r="J1099" s="648">
        <f t="shared" si="383"/>
        <v>0</v>
      </c>
      <c r="K1099" s="648">
        <f t="shared" si="383"/>
        <v>0</v>
      </c>
      <c r="L1099" s="648">
        <f t="shared" si="383"/>
        <v>0</v>
      </c>
      <c r="M1099" s="648">
        <f t="shared" si="383"/>
        <v>0</v>
      </c>
      <c r="N1099" s="648">
        <f t="shared" si="383"/>
        <v>0</v>
      </c>
      <c r="O1099" s="648">
        <f t="shared" si="383"/>
        <v>0</v>
      </c>
      <c r="P1099" s="648">
        <f t="shared" si="383"/>
        <v>0</v>
      </c>
      <c r="Q1099" s="648">
        <f t="shared" si="383"/>
        <v>0</v>
      </c>
      <c r="R1099" s="648">
        <f t="shared" si="383"/>
        <v>0</v>
      </c>
      <c r="S1099" s="648">
        <f t="shared" si="383"/>
        <v>0</v>
      </c>
      <c r="T1099" s="645"/>
      <c r="U1099" s="646">
        <f>SUM(I1099:T1099)</f>
        <v>0</v>
      </c>
      <c r="W1099" s="646">
        <f t="shared" si="381"/>
        <v>0</v>
      </c>
    </row>
    <row r="1100" spans="2:23" ht="18" customHeight="1" x14ac:dyDescent="0.2">
      <c r="B1100" s="645">
        <f t="shared" si="377"/>
        <v>16</v>
      </c>
      <c r="C1100" s="647"/>
      <c r="D1100" s="647" t="s">
        <v>1313</v>
      </c>
      <c r="E1100" s="645"/>
      <c r="F1100" s="646">
        <f>' WP II-I-1.4'!H1100</f>
        <v>4.67</v>
      </c>
      <c r="G1100" s="645">
        <v>19</v>
      </c>
      <c r="H1100" s="620" t="str">
        <f>VLOOKUP(G1100,FactorTable,2)</f>
        <v>ENERGY ICL</v>
      </c>
      <c r="I1100" s="645"/>
      <c r="J1100" s="651">
        <f t="shared" si="383"/>
        <v>1.8310075641874859</v>
      </c>
      <c r="K1100" s="651">
        <f t="shared" si="383"/>
        <v>5.547217566600593E-2</v>
      </c>
      <c r="L1100" s="651">
        <f t="shared" si="383"/>
        <v>1.9495918348777204</v>
      </c>
      <c r="M1100" s="651">
        <f t="shared" si="383"/>
        <v>3.753711769633902E-5</v>
      </c>
      <c r="N1100" s="651">
        <f t="shared" si="383"/>
        <v>0.32282141210859933</v>
      </c>
      <c r="O1100" s="651">
        <f t="shared" si="383"/>
        <v>6.1535657062681111E-2</v>
      </c>
      <c r="P1100" s="651">
        <f t="shared" si="383"/>
        <v>0.4244076815559415</v>
      </c>
      <c r="Q1100" s="651">
        <f t="shared" si="383"/>
        <v>1.4981940863939742E-2</v>
      </c>
      <c r="R1100" s="651">
        <f t="shared" si="383"/>
        <v>4.6538882774867169E-3</v>
      </c>
      <c r="S1100" s="651">
        <f t="shared" si="383"/>
        <v>5.4903082824412242E-3</v>
      </c>
      <c r="T1100" s="645"/>
      <c r="U1100" s="646">
        <f>SUM(I1100:T1100)</f>
        <v>4.6699999999999982</v>
      </c>
      <c r="W1100" s="646"/>
    </row>
    <row r="1101" spans="2:23" ht="18" customHeight="1" x14ac:dyDescent="0.25">
      <c r="B1101" s="645">
        <f t="shared" si="377"/>
        <v>17</v>
      </c>
      <c r="C1101" s="8"/>
      <c r="D1101" s="233" t="s">
        <v>664</v>
      </c>
      <c r="E1101" s="1571"/>
      <c r="F1101" s="805">
        <f>SUM(F1098:F1100)</f>
        <v>1151635.24</v>
      </c>
      <c r="G1101" s="1571"/>
      <c r="H1101" s="1571"/>
      <c r="I1101" s="1571"/>
      <c r="J1101" s="805">
        <f ca="1">SUM(J1098:J1100)</f>
        <v>601056.24804200255</v>
      </c>
      <c r="K1101" s="805">
        <f t="shared" ref="K1101:S1101" ca="1" si="384">SUM(K1098:K1100)</f>
        <v>84292.848329332643</v>
      </c>
      <c r="L1101" s="805">
        <f t="shared" ca="1" si="384"/>
        <v>331916.87492980942</v>
      </c>
      <c r="M1101" s="805">
        <f t="shared" ca="1" si="384"/>
        <v>13957.704884394192</v>
      </c>
      <c r="N1101" s="805">
        <f t="shared" ca="1" si="384"/>
        <v>107527.12752235202</v>
      </c>
      <c r="O1101" s="805">
        <f t="shared" ca="1" si="384"/>
        <v>3516.8478158519306</v>
      </c>
      <c r="P1101" s="805">
        <f t="shared" ca="1" si="384"/>
        <v>7396.2897894999032</v>
      </c>
      <c r="Q1101" s="805">
        <f t="shared" ca="1" si="384"/>
        <v>598.68516679673155</v>
      </c>
      <c r="R1101" s="805">
        <f t="shared" ca="1" si="384"/>
        <v>387.76011339602957</v>
      </c>
      <c r="S1101" s="805">
        <f t="shared" ca="1" si="384"/>
        <v>984.85340656469793</v>
      </c>
      <c r="T1101" s="1571"/>
      <c r="U1101" s="235">
        <f ca="1">SUM(I1101:T1101)</f>
        <v>1151635.2400000002</v>
      </c>
      <c r="W1101" s="646">
        <f t="shared" ca="1" si="381"/>
        <v>0</v>
      </c>
    </row>
    <row r="1102" spans="2:23" ht="18" customHeight="1" thickBot="1" x14ac:dyDescent="0.25">
      <c r="B1102" s="645">
        <f t="shared" si="377"/>
        <v>18</v>
      </c>
      <c r="C1102" s="647"/>
      <c r="D1102" s="647"/>
      <c r="E1102" s="645"/>
      <c r="F1102" s="320"/>
      <c r="G1102" s="645"/>
      <c r="H1102" s="645"/>
      <c r="I1102" s="645"/>
      <c r="J1102" s="320"/>
      <c r="K1102" s="320"/>
      <c r="L1102" s="320"/>
      <c r="M1102" s="320"/>
      <c r="N1102" s="320"/>
      <c r="O1102" s="320"/>
      <c r="P1102" s="320"/>
      <c r="Q1102" s="320"/>
      <c r="R1102" s="320"/>
      <c r="S1102" s="320"/>
      <c r="T1102" s="645"/>
      <c r="U1102" s="320"/>
      <c r="W1102" s="646">
        <f t="shared" si="381"/>
        <v>0</v>
      </c>
    </row>
    <row r="1103" spans="2:23" ht="18" customHeight="1" thickBot="1" x14ac:dyDescent="0.3">
      <c r="B1103" s="645">
        <f t="shared" si="377"/>
        <v>19</v>
      </c>
      <c r="C1103" s="223" t="s">
        <v>665</v>
      </c>
      <c r="D1103" s="224"/>
      <c r="E1103" s="309" t="s">
        <v>288</v>
      </c>
      <c r="F1103" s="812">
        <f>+F1101+F1095+F1091</f>
        <v>8908968.5599999987</v>
      </c>
      <c r="G1103" s="309"/>
      <c r="H1103" s="402"/>
      <c r="I1103" s="968"/>
      <c r="J1103" s="381">
        <f t="shared" ref="J1103:Q1103" ca="1" si="385">+J1101+J1095+J1091</f>
        <v>4650532.3632740872</v>
      </c>
      <c r="K1103" s="812">
        <f t="shared" ca="1" si="385"/>
        <v>652364.62095597689</v>
      </c>
      <c r="L1103" s="812">
        <f t="shared" ca="1" si="385"/>
        <v>2566000.3427755516</v>
      </c>
      <c r="M1103" s="812">
        <f t="shared" ca="1" si="385"/>
        <v>108037.53740624584</v>
      </c>
      <c r="N1103" s="812">
        <f t="shared" ca="1" si="385"/>
        <v>832005.46306300256</v>
      </c>
      <c r="O1103" s="812">
        <f ca="1">+O1101+O1095+O1091</f>
        <v>27294.193163530828</v>
      </c>
      <c r="P1103" s="812">
        <f t="shared" ca="1" si="385"/>
        <v>56980.518234825198</v>
      </c>
      <c r="Q1103" s="812">
        <f t="shared" ca="1" si="385"/>
        <v>5090.8397128668839</v>
      </c>
      <c r="R1103" s="812">
        <f ca="1">+R1101+R1095+R1091</f>
        <v>3013.2279746010081</v>
      </c>
      <c r="S1103" s="315">
        <f ca="1">+S1101+S1095+S1091</f>
        <v>7649.453439311721</v>
      </c>
      <c r="T1103" s="402"/>
      <c r="U1103" s="195">
        <f ca="1">SUM(I1103:T1103)</f>
        <v>8908968.5600000005</v>
      </c>
      <c r="W1103" s="646">
        <f t="shared" ca="1" si="381"/>
        <v>0</v>
      </c>
    </row>
    <row r="1104" spans="2:23" ht="18" customHeight="1" thickBot="1" x14ac:dyDescent="0.25">
      <c r="W1104" s="646">
        <f t="shared" si="381"/>
        <v>0</v>
      </c>
    </row>
    <row r="1105" spans="2:23" ht="18" customHeight="1" x14ac:dyDescent="0.25">
      <c r="B1105" s="829" t="str">
        <f>+$B$4</f>
        <v>2025 RATE CASE</v>
      </c>
      <c r="C1105" s="844"/>
      <c r="D1105" s="874"/>
      <c r="F1105" s="654"/>
      <c r="H1105" s="653"/>
      <c r="U1105" s="653"/>
      <c r="V1105" s="653">
        <f>$H$2</f>
        <v>0</v>
      </c>
      <c r="W1105" s="646"/>
    </row>
    <row r="1106" spans="2:23" ht="18" customHeight="1" x14ac:dyDescent="0.25">
      <c r="B1106" s="826" t="str">
        <f>+$B$5</f>
        <v>ONCOR ELECTRIC DELIVERY COMPANY LLC</v>
      </c>
      <c r="C1106" s="8"/>
      <c r="D1106" s="875"/>
      <c r="F1106" s="654"/>
      <c r="U1106" s="653"/>
      <c r="W1106" s="646"/>
    </row>
    <row r="1107" spans="2:23" ht="18" customHeight="1" x14ac:dyDescent="0.25">
      <c r="B1107" s="826" t="str">
        <f>+$B$6</f>
        <v>II-I-1-MET:  CLASS REVENUE REQUIREMENT</v>
      </c>
      <c r="C1107" s="82"/>
      <c r="D1107" s="875"/>
      <c r="F1107" s="654"/>
      <c r="U1107" s="654"/>
      <c r="W1107" s="646"/>
    </row>
    <row r="1108" spans="2:23" ht="18" customHeight="1" x14ac:dyDescent="0.25">
      <c r="B1108" s="341" t="str">
        <f>+$B$7</f>
        <v>TEST YEAR ENDING 12/31/2024</v>
      </c>
      <c r="C1108" s="82"/>
      <c r="D1108" s="875"/>
      <c r="F1108" s="803"/>
      <c r="U1108" s="654"/>
      <c r="W1108" s="646"/>
    </row>
    <row r="1109" spans="2:23" ht="18" customHeight="1" x14ac:dyDescent="0.25">
      <c r="B1109" s="341" t="str">
        <f>+$B$8</f>
        <v>SPONSOR:  MATTHEW A. TROXLE</v>
      </c>
      <c r="C1109" s="82"/>
      <c r="D1109" s="875"/>
      <c r="F1109" s="654"/>
      <c r="U1109" s="654"/>
      <c r="W1109" s="646"/>
    </row>
    <row r="1110" spans="2:23" ht="9" customHeight="1" thickBot="1" x14ac:dyDescent="0.3">
      <c r="B1110" s="345"/>
      <c r="C1110" s="843"/>
      <c r="D1110" s="876"/>
      <c r="F1110" s="654"/>
      <c r="U1110" s="654"/>
      <c r="W1110" s="646"/>
    </row>
    <row r="1111" spans="2:23" ht="18" customHeight="1" thickBot="1" x14ac:dyDescent="0.25">
      <c r="B1111" s="655"/>
      <c r="C1111" s="656"/>
      <c r="D1111" s="656"/>
      <c r="E1111" s="656"/>
      <c r="F1111" s="655"/>
      <c r="G1111" s="656"/>
      <c r="H1111" s="656"/>
      <c r="I1111" s="656"/>
      <c r="J1111" s="657"/>
      <c r="K1111" s="657"/>
      <c r="L1111" s="656"/>
      <c r="M1111" s="657"/>
      <c r="N1111" s="657"/>
      <c r="O1111" s="657"/>
      <c r="P1111" s="657"/>
      <c r="Q1111" s="656"/>
      <c r="R1111" s="658" t="str">
        <f>R$10</f>
        <v xml:space="preserve"> </v>
      </c>
      <c r="S1111" s="659"/>
      <c r="T1111" s="657"/>
      <c r="U1111" s="655"/>
      <c r="W1111" s="646"/>
    </row>
    <row r="1112" spans="2:23" ht="18" customHeight="1" x14ac:dyDescent="0.25">
      <c r="B1112" s="660" t="s">
        <v>2</v>
      </c>
      <c r="C1112" s="660" t="s">
        <v>349</v>
      </c>
      <c r="D1112" s="226" t="s">
        <v>298</v>
      </c>
      <c r="E1112" s="660" t="s">
        <v>350</v>
      </c>
      <c r="F1112" s="226" t="str">
        <f>F$11</f>
        <v>MET</v>
      </c>
      <c r="G1112" s="661" t="s">
        <v>688</v>
      </c>
      <c r="H1112" s="661" t="s">
        <v>355</v>
      </c>
      <c r="I1112" s="660"/>
      <c r="J1112" s="661" t="s">
        <v>679</v>
      </c>
      <c r="K1112" s="661" t="s">
        <v>388</v>
      </c>
      <c r="L1112" s="660" t="s">
        <v>388</v>
      </c>
      <c r="M1112" s="661" t="s">
        <v>389</v>
      </c>
      <c r="N1112" s="661" t="s">
        <v>389</v>
      </c>
      <c r="O1112" s="661" t="s">
        <v>389</v>
      </c>
      <c r="P1112" s="661" t="s">
        <v>390</v>
      </c>
      <c r="Q1112" s="660" t="s">
        <v>391</v>
      </c>
      <c r="R1112" s="662" t="str">
        <f>R$11</f>
        <v>Wholesale</v>
      </c>
      <c r="S1112" s="655" t="str">
        <f>S$11</f>
        <v>Wholesale</v>
      </c>
      <c r="T1112" s="661"/>
      <c r="U1112" s="660" t="s">
        <v>10</v>
      </c>
      <c r="W1112" s="646"/>
    </row>
    <row r="1113" spans="2:23" ht="18" customHeight="1" x14ac:dyDescent="0.2">
      <c r="B1113" s="660"/>
      <c r="C1113" s="660"/>
      <c r="D1113" s="660"/>
      <c r="E1113" s="660"/>
      <c r="F1113" s="660"/>
      <c r="G1113" s="661" t="s">
        <v>689</v>
      </c>
      <c r="H1113" s="661" t="s">
        <v>690</v>
      </c>
      <c r="I1113" s="660"/>
      <c r="J1113" s="661"/>
      <c r="K1113" s="661" t="s">
        <v>680</v>
      </c>
      <c r="L1113" s="660" t="s">
        <v>681</v>
      </c>
      <c r="M1113" s="661" t="s">
        <v>680</v>
      </c>
      <c r="N1113" s="661" t="s">
        <v>681</v>
      </c>
      <c r="O1113" s="661" t="s">
        <v>393</v>
      </c>
      <c r="P1113" s="661"/>
      <c r="Q1113" s="660"/>
      <c r="R1113" s="663" t="str">
        <f>R$12</f>
        <v>XFMR</v>
      </c>
      <c r="S1113" s="660" t="str">
        <f>S$12</f>
        <v>DLS</v>
      </c>
      <c r="T1113" s="661"/>
      <c r="U1113" s="660"/>
      <c r="W1113" s="646"/>
    </row>
    <row r="1114" spans="2:23" ht="18" customHeight="1" thickBot="1" x14ac:dyDescent="0.25">
      <c r="B1114" s="664"/>
      <c r="C1114" s="664"/>
      <c r="D1114" s="664"/>
      <c r="E1114" s="664"/>
      <c r="F1114" s="664" t="s">
        <v>13</v>
      </c>
      <c r="G1114" s="664" t="s">
        <v>14</v>
      </c>
      <c r="H1114" s="664" t="s">
        <v>15</v>
      </c>
      <c r="I1114" s="664"/>
      <c r="J1114" s="665" t="str">
        <f t="shared" ref="J1114:Q1114" si="386">J$13</f>
        <v>(d)</v>
      </c>
      <c r="K1114" s="665" t="str">
        <f t="shared" si="386"/>
        <v>(e)</v>
      </c>
      <c r="L1114" s="664" t="str">
        <f t="shared" si="386"/>
        <v>(f)</v>
      </c>
      <c r="M1114" s="665" t="str">
        <f t="shared" si="386"/>
        <v>(g)</v>
      </c>
      <c r="N1114" s="665" t="str">
        <f t="shared" si="386"/>
        <v>(h)</v>
      </c>
      <c r="O1114" s="665" t="str">
        <f>O$13</f>
        <v>(i)</v>
      </c>
      <c r="P1114" s="665" t="str">
        <f t="shared" si="386"/>
        <v>(j)</v>
      </c>
      <c r="Q1114" s="665" t="str">
        <f t="shared" si="386"/>
        <v>(k)</v>
      </c>
      <c r="R1114" s="665" t="str">
        <f>R$13</f>
        <v>(l)</v>
      </c>
      <c r="S1114" s="664" t="str">
        <f>S$13</f>
        <v>(m)</v>
      </c>
      <c r="T1114" s="664"/>
      <c r="U1114" s="664" t="s">
        <v>683</v>
      </c>
      <c r="W1114" s="646"/>
    </row>
    <row r="1115" spans="2:23" ht="11.1" customHeight="1" x14ac:dyDescent="0.2">
      <c r="C1115" s="666"/>
      <c r="D1115" s="666"/>
      <c r="E1115" s="666"/>
      <c r="F1115" s="666"/>
      <c r="G1115" s="666"/>
      <c r="H1115" s="666"/>
      <c r="I1115" s="666"/>
      <c r="J1115" s="666"/>
      <c r="K1115" s="666"/>
      <c r="L1115" s="666"/>
      <c r="M1115" s="666"/>
      <c r="N1115" s="666"/>
      <c r="O1115" s="666"/>
      <c r="P1115" s="666"/>
      <c r="Q1115" s="666"/>
      <c r="R1115" s="666"/>
      <c r="S1115" s="666"/>
      <c r="T1115" s="666"/>
      <c r="U1115" s="611"/>
      <c r="W1115" s="646">
        <f t="shared" si="381"/>
        <v>0</v>
      </c>
    </row>
    <row r="1116" spans="2:23" ht="18" customHeight="1" x14ac:dyDescent="0.25">
      <c r="B1116" s="645">
        <f t="shared" ref="B1116:B1162" si="387">B1115+1</f>
        <v>1</v>
      </c>
      <c r="C1116" s="301" t="s">
        <v>298</v>
      </c>
      <c r="D1116" s="8"/>
      <c r="E1116" s="1571"/>
      <c r="F1116" s="805"/>
      <c r="G1116" s="1571"/>
      <c r="H1116" s="1571"/>
      <c r="I1116" s="1571"/>
      <c r="J1116" s="1571"/>
      <c r="K1116" s="1571"/>
      <c r="L1116" s="1571"/>
      <c r="M1116" s="1571"/>
      <c r="N1116" s="1571"/>
      <c r="O1116" s="1571"/>
      <c r="P1116" s="1571"/>
      <c r="Q1116" s="1571"/>
      <c r="R1116" s="1571"/>
      <c r="S1116" s="1571"/>
      <c r="T1116" s="1571"/>
      <c r="U1116" s="8"/>
      <c r="W1116" s="646">
        <f t="shared" si="381"/>
        <v>0</v>
      </c>
    </row>
    <row r="1117" spans="2:23" ht="14.1" customHeight="1" x14ac:dyDescent="0.2">
      <c r="B1117" s="645">
        <f t="shared" si="387"/>
        <v>2</v>
      </c>
      <c r="C1117" s="647"/>
      <c r="D1117" s="647"/>
      <c r="E1117" s="645"/>
      <c r="F1117" s="803"/>
      <c r="G1117" s="645"/>
      <c r="H1117" s="645"/>
      <c r="I1117" s="645"/>
      <c r="J1117" s="645"/>
      <c r="K1117" s="645"/>
      <c r="L1117" s="645"/>
      <c r="M1117" s="645"/>
      <c r="N1117" s="645"/>
      <c r="O1117" s="645"/>
      <c r="P1117" s="645"/>
      <c r="Q1117" s="645"/>
      <c r="R1117" s="645"/>
      <c r="S1117" s="645"/>
      <c r="T1117" s="645"/>
      <c r="U1117" s="647"/>
      <c r="W1117" s="646">
        <f t="shared" si="381"/>
        <v>0</v>
      </c>
    </row>
    <row r="1118" spans="2:23" ht="18" customHeight="1" x14ac:dyDescent="0.25">
      <c r="B1118" s="645">
        <f t="shared" si="387"/>
        <v>3</v>
      </c>
      <c r="C1118" s="8"/>
      <c r="D1118" s="32" t="s">
        <v>340</v>
      </c>
      <c r="E1118" s="1571" t="s">
        <v>462</v>
      </c>
      <c r="F1118" s="805">
        <f>+F622</f>
        <v>32952955.556200724</v>
      </c>
      <c r="G1118" s="1571"/>
      <c r="H1118" s="1571"/>
      <c r="I1118" s="1571"/>
      <c r="J1118" s="805">
        <f t="shared" ref="J1118:Q1118" ca="1" si="388">+J622</f>
        <v>17198989.176777769</v>
      </c>
      <c r="K1118" s="805">
        <f t="shared" ca="1" si="388"/>
        <v>2412097.9239839069</v>
      </c>
      <c r="L1118" s="805">
        <f t="shared" ca="1" si="388"/>
        <v>9496486.7122405805</v>
      </c>
      <c r="M1118" s="805">
        <f t="shared" ca="1" si="388"/>
        <v>399417.69886621484</v>
      </c>
      <c r="N1118" s="805">
        <f t="shared" ca="1" si="388"/>
        <v>3076868.391676181</v>
      </c>
      <c r="O1118" s="805">
        <f ca="1">+O622</f>
        <v>100681.23349007641</v>
      </c>
      <c r="P1118" s="805">
        <f t="shared" ca="1" si="388"/>
        <v>211496.43132881151</v>
      </c>
      <c r="Q1118" s="805">
        <f t="shared" ca="1" si="388"/>
        <v>17617.633501912576</v>
      </c>
      <c r="R1118" s="805">
        <f ca="1">+R622</f>
        <v>11102.881958605987</v>
      </c>
      <c r="S1118" s="805">
        <f ca="1">+S622</f>
        <v>28197.472376665235</v>
      </c>
      <c r="T1118" s="1571"/>
      <c r="U1118" s="804">
        <f ca="1">SUM(I1118:T1118)</f>
        <v>32952955.556200724</v>
      </c>
      <c r="V1118" s="620"/>
      <c r="W1118" s="646">
        <f t="shared" ca="1" si="381"/>
        <v>0</v>
      </c>
    </row>
    <row r="1119" spans="2:23" ht="18" customHeight="1" x14ac:dyDescent="0.2">
      <c r="B1119" s="645">
        <f t="shared" si="387"/>
        <v>4</v>
      </c>
      <c r="C1119" s="647"/>
      <c r="D1119" s="647"/>
      <c r="E1119" s="645"/>
      <c r="F1119" s="803"/>
      <c r="G1119" s="645"/>
      <c r="H1119" s="645"/>
      <c r="I1119" s="645"/>
      <c r="J1119" s="645"/>
      <c r="K1119" s="645"/>
      <c r="L1119" s="645"/>
      <c r="M1119" s="645"/>
      <c r="N1119" s="645"/>
      <c r="O1119" s="645"/>
      <c r="P1119" s="645"/>
      <c r="Q1119" s="645"/>
      <c r="R1119" s="645"/>
      <c r="S1119" s="645"/>
      <c r="T1119" s="645"/>
      <c r="U1119" s="802"/>
      <c r="W1119" s="646">
        <f t="shared" si="381"/>
        <v>0</v>
      </c>
    </row>
    <row r="1120" spans="2:23" ht="18" customHeight="1" x14ac:dyDescent="0.25">
      <c r="B1120" s="645">
        <f t="shared" si="387"/>
        <v>5</v>
      </c>
      <c r="C1120" s="647"/>
      <c r="D1120" s="8" t="s">
        <v>300</v>
      </c>
      <c r="E1120" s="1571" t="s">
        <v>299</v>
      </c>
      <c r="F1120" s="803"/>
      <c r="G1120" s="1571"/>
      <c r="H1120" s="1571"/>
      <c r="I1120" s="1571"/>
      <c r="J1120" s="1571"/>
      <c r="K1120" s="1571"/>
      <c r="L1120" s="1571"/>
      <c r="M1120" s="1571"/>
      <c r="N1120" s="1571"/>
      <c r="O1120" s="1571"/>
      <c r="P1120" s="1571"/>
      <c r="Q1120" s="1571"/>
      <c r="R1120" s="1571"/>
      <c r="S1120" s="1571"/>
      <c r="T1120" s="1571"/>
      <c r="U1120" s="802"/>
      <c r="W1120" s="646">
        <f t="shared" si="381"/>
        <v>0</v>
      </c>
    </row>
    <row r="1121" spans="2:23" ht="18" customHeight="1" x14ac:dyDescent="0.2">
      <c r="B1121" s="645">
        <f t="shared" si="387"/>
        <v>6</v>
      </c>
      <c r="C1121" s="647"/>
      <c r="D1121" s="803" t="s">
        <v>301</v>
      </c>
      <c r="E1121" s="645"/>
      <c r="F1121" s="646">
        <f>' WP II-I-1.4'!H1121</f>
        <v>11998934.289999999</v>
      </c>
      <c r="G1121" s="645">
        <v>68</v>
      </c>
      <c r="H1121" s="620" t="str">
        <f t="shared" ref="H1121:H1126" si="389">VLOOKUP(G1121,FactorTable,2)</f>
        <v>RATEBASE</v>
      </c>
      <c r="I1121" s="645"/>
      <c r="J1121" s="648">
        <f t="shared" ref="J1121:S1129" ca="1" si="390">$F1121*HLOOKUP(J$1354,FactorTable,$G1121+1)</f>
        <v>6262550.2782176174</v>
      </c>
      <c r="K1121" s="648">
        <f t="shared" ca="1" si="390"/>
        <v>878300.71695897437</v>
      </c>
      <c r="L1121" s="648">
        <f t="shared" ca="1" si="390"/>
        <v>3457890.7452382189</v>
      </c>
      <c r="M1121" s="648">
        <f t="shared" ca="1" si="390"/>
        <v>145437.23444730294</v>
      </c>
      <c r="N1121" s="648">
        <f t="shared" ca="1" si="390"/>
        <v>1120359.0399572956</v>
      </c>
      <c r="O1121" s="648">
        <f t="shared" ca="1" si="390"/>
        <v>36660.368834693283</v>
      </c>
      <c r="P1121" s="648">
        <f t="shared" ca="1" si="390"/>
        <v>77010.748785669537</v>
      </c>
      <c r="Q1121" s="648">
        <f t="shared" ca="1" si="390"/>
        <v>6414.9883725672071</v>
      </c>
      <c r="R1121" s="648">
        <f t="shared" ca="1" si="390"/>
        <v>4042.8164576537142</v>
      </c>
      <c r="S1121" s="648">
        <f t="shared" ca="1" si="390"/>
        <v>10267.352730005161</v>
      </c>
      <c r="T1121" s="645"/>
      <c r="U1121" s="802">
        <f t="shared" ref="U1121:U1130" ca="1" si="391">SUM(I1121:T1121)</f>
        <v>11998934.289999999</v>
      </c>
      <c r="W1121" s="646">
        <f t="shared" ca="1" si="381"/>
        <v>0</v>
      </c>
    </row>
    <row r="1122" spans="2:23" ht="18" customHeight="1" x14ac:dyDescent="0.2">
      <c r="B1122" s="645">
        <f t="shared" si="387"/>
        <v>7</v>
      </c>
      <c r="C1122" s="647"/>
      <c r="D1122" s="803" t="s">
        <v>302</v>
      </c>
      <c r="E1122" s="645"/>
      <c r="F1122" s="646">
        <f>' WP II-I-1.4'!H1122</f>
        <v>0</v>
      </c>
      <c r="G1122" s="645">
        <v>59</v>
      </c>
      <c r="H1122" s="620" t="str">
        <f t="shared" si="389"/>
        <v>PLANT_N</v>
      </c>
      <c r="I1122" s="645"/>
      <c r="J1122" s="648">
        <f t="shared" ca="1" si="390"/>
        <v>0</v>
      </c>
      <c r="K1122" s="648">
        <f t="shared" ca="1" si="390"/>
        <v>0</v>
      </c>
      <c r="L1122" s="648">
        <f t="shared" ca="1" si="390"/>
        <v>0</v>
      </c>
      <c r="M1122" s="648">
        <f t="shared" ca="1" si="390"/>
        <v>0</v>
      </c>
      <c r="N1122" s="648">
        <f t="shared" ca="1" si="390"/>
        <v>0</v>
      </c>
      <c r="O1122" s="648">
        <f t="shared" ca="1" si="390"/>
        <v>0</v>
      </c>
      <c r="P1122" s="648">
        <f t="shared" ca="1" si="390"/>
        <v>0</v>
      </c>
      <c r="Q1122" s="648">
        <f t="shared" ca="1" si="390"/>
        <v>0</v>
      </c>
      <c r="R1122" s="648">
        <f t="shared" ca="1" si="390"/>
        <v>0</v>
      </c>
      <c r="S1122" s="648">
        <f t="shared" ca="1" si="390"/>
        <v>0</v>
      </c>
      <c r="T1122" s="645"/>
      <c r="U1122" s="802">
        <f t="shared" ca="1" si="391"/>
        <v>0</v>
      </c>
      <c r="W1122" s="646">
        <f t="shared" ca="1" si="381"/>
        <v>0</v>
      </c>
    </row>
    <row r="1123" spans="2:23" ht="18" customHeight="1" x14ac:dyDescent="0.2">
      <c r="B1123" s="645">
        <f t="shared" si="387"/>
        <v>8</v>
      </c>
      <c r="C1123" s="647"/>
      <c r="D1123" s="803" t="s">
        <v>1128</v>
      </c>
      <c r="E1123" s="645"/>
      <c r="F1123" s="646">
        <f>' WP II-I-1.4'!H1123</f>
        <v>237864.14</v>
      </c>
      <c r="G1123" s="645">
        <v>68</v>
      </c>
      <c r="H1123" s="620" t="str">
        <f t="shared" si="389"/>
        <v>RATEBASE</v>
      </c>
      <c r="I1123" s="645"/>
      <c r="J1123" s="648">
        <f t="shared" ca="1" si="390"/>
        <v>124147.37010239887</v>
      </c>
      <c r="K1123" s="648">
        <f t="shared" ca="1" si="390"/>
        <v>17411.233335525656</v>
      </c>
      <c r="L1123" s="648">
        <f t="shared" ca="1" si="390"/>
        <v>68548.438423863408</v>
      </c>
      <c r="M1123" s="648">
        <f t="shared" ca="1" si="390"/>
        <v>2883.1146049876479</v>
      </c>
      <c r="N1123" s="648">
        <f t="shared" ca="1" si="390"/>
        <v>22209.742389602485</v>
      </c>
      <c r="O1123" s="648">
        <f t="shared" ca="1" si="390"/>
        <v>726.74680052332553</v>
      </c>
      <c r="P1123" s="648">
        <f t="shared" ca="1" si="390"/>
        <v>1526.6435408289356</v>
      </c>
      <c r="Q1123" s="648">
        <f t="shared" ca="1" si="390"/>
        <v>127.16926815928905</v>
      </c>
      <c r="R1123" s="648">
        <f t="shared" ca="1" si="390"/>
        <v>80.14387250033414</v>
      </c>
      <c r="S1123" s="648">
        <f t="shared" ca="1" si="390"/>
        <v>203.53766161005706</v>
      </c>
      <c r="T1123" s="645"/>
      <c r="U1123" s="802">
        <f t="shared" ca="1" si="391"/>
        <v>237864.13999999998</v>
      </c>
      <c r="W1123" s="646">
        <f t="shared" ca="1" si="381"/>
        <v>0</v>
      </c>
    </row>
    <row r="1124" spans="2:23" ht="18" customHeight="1" x14ac:dyDescent="0.2">
      <c r="B1124" s="645">
        <f t="shared" si="387"/>
        <v>9</v>
      </c>
      <c r="C1124" s="647"/>
      <c r="D1124" s="803" t="s">
        <v>1129</v>
      </c>
      <c r="E1124" s="645"/>
      <c r="F1124" s="646">
        <f>' WP II-I-1.4'!H1124</f>
        <v>2497334.4699999997</v>
      </c>
      <c r="G1124" s="645">
        <v>68</v>
      </c>
      <c r="H1124" s="620" t="str">
        <f t="shared" si="389"/>
        <v>RATEBASE</v>
      </c>
      <c r="I1124" s="645"/>
      <c r="J1124" s="648">
        <f t="shared" ca="1" si="390"/>
        <v>1303422.6458707398</v>
      </c>
      <c r="K1124" s="648">
        <f t="shared" ca="1" si="390"/>
        <v>182800.45564674563</v>
      </c>
      <c r="L1124" s="648">
        <f t="shared" ca="1" si="390"/>
        <v>719689.72767642292</v>
      </c>
      <c r="M1124" s="648">
        <f t="shared" ca="1" si="390"/>
        <v>30269.806470181196</v>
      </c>
      <c r="N1124" s="648">
        <f t="shared" ca="1" si="390"/>
        <v>233179.97929143268</v>
      </c>
      <c r="O1124" s="648">
        <f t="shared" ca="1" si="390"/>
        <v>7630.111188298979</v>
      </c>
      <c r="P1124" s="648">
        <f t="shared" ca="1" si="390"/>
        <v>16028.223245063138</v>
      </c>
      <c r="Q1124" s="648">
        <f t="shared" ca="1" si="390"/>
        <v>1335.1495391397204</v>
      </c>
      <c r="R1124" s="648">
        <f t="shared" ca="1" si="390"/>
        <v>841.43013467422827</v>
      </c>
      <c r="S1124" s="648">
        <f t="shared" ca="1" si="390"/>
        <v>2136.9409373013987</v>
      </c>
      <c r="T1124" s="645"/>
      <c r="U1124" s="802">
        <f t="shared" ca="1" si="391"/>
        <v>2497334.4699999997</v>
      </c>
      <c r="W1124" s="646">
        <f t="shared" ca="1" si="381"/>
        <v>0</v>
      </c>
    </row>
    <row r="1125" spans="2:23" ht="18" customHeight="1" x14ac:dyDescent="0.2">
      <c r="B1125" s="645">
        <f t="shared" si="387"/>
        <v>10</v>
      </c>
      <c r="C1125" s="647"/>
      <c r="D1125" s="803" t="s">
        <v>1130</v>
      </c>
      <c r="E1125" s="645"/>
      <c r="F1125" s="646">
        <f>' WP II-I-1.4'!H1125</f>
        <v>-94892.49</v>
      </c>
      <c r="G1125" s="645">
        <v>68</v>
      </c>
      <c r="H1125" s="620" t="str">
        <f t="shared" si="389"/>
        <v>RATEBASE</v>
      </c>
      <c r="I1125" s="645"/>
      <c r="J1125" s="648">
        <f t="shared" ca="1" si="390"/>
        <v>-49526.814239288789</v>
      </c>
      <c r="K1125" s="648">
        <f t="shared" ca="1" si="390"/>
        <v>-6945.9620318516063</v>
      </c>
      <c r="L1125" s="648">
        <f t="shared" ca="1" si="390"/>
        <v>-27346.417192823072</v>
      </c>
      <c r="M1125" s="648">
        <f t="shared" ca="1" si="390"/>
        <v>-1150.1772559018116</v>
      </c>
      <c r="N1125" s="648">
        <f t="shared" ca="1" si="390"/>
        <v>-8860.2584551329583</v>
      </c>
      <c r="O1125" s="648">
        <f t="shared" ca="1" si="390"/>
        <v>-289.92522160419668</v>
      </c>
      <c r="P1125" s="648">
        <f t="shared" ca="1" si="390"/>
        <v>-609.0325634274858</v>
      </c>
      <c r="Q1125" s="648">
        <f t="shared" ca="1" si="390"/>
        <v>-50.732357164525318</v>
      </c>
      <c r="R1125" s="648">
        <f t="shared" ca="1" si="390"/>
        <v>-31.972249452142016</v>
      </c>
      <c r="S1125" s="648">
        <f t="shared" ca="1" si="390"/>
        <v>-81.198433353408063</v>
      </c>
      <c r="T1125" s="645"/>
      <c r="U1125" s="802">
        <f t="shared" ca="1" si="391"/>
        <v>-94892.489999999991</v>
      </c>
      <c r="W1125" s="646">
        <f t="shared" ca="1" si="381"/>
        <v>0</v>
      </c>
    </row>
    <row r="1126" spans="2:23" ht="18" customHeight="1" x14ac:dyDescent="0.2">
      <c r="B1126" s="645">
        <f t="shared" si="387"/>
        <v>11</v>
      </c>
      <c r="C1126" s="647"/>
      <c r="D1126" s="589" t="s">
        <v>1295</v>
      </c>
      <c r="E1126" s="645"/>
      <c r="F1126" s="646">
        <f>' WP II-I-1.4'!H1126</f>
        <v>1235.02</v>
      </c>
      <c r="G1126" s="645">
        <v>68</v>
      </c>
      <c r="H1126" s="620" t="str">
        <f t="shared" si="389"/>
        <v>RATEBASE</v>
      </c>
      <c r="I1126" s="645"/>
      <c r="J1126" s="648">
        <f t="shared" ca="1" si="390"/>
        <v>644.58848241632654</v>
      </c>
      <c r="K1126" s="648">
        <f t="shared" ca="1" si="390"/>
        <v>90.40127441673593</v>
      </c>
      <c r="L1126" s="648">
        <f t="shared" ca="1" si="390"/>
        <v>355.91196059330247</v>
      </c>
      <c r="M1126" s="648">
        <f t="shared" ca="1" si="390"/>
        <v>14.969487201609477</v>
      </c>
      <c r="N1126" s="648">
        <f t="shared" ca="1" si="390"/>
        <v>115.31572622088751</v>
      </c>
      <c r="O1126" s="648">
        <f t="shared" ca="1" si="390"/>
        <v>3.7733591687352179</v>
      </c>
      <c r="P1126" s="648">
        <f t="shared" ca="1" si="390"/>
        <v>7.9265218615742246</v>
      </c>
      <c r="Q1126" s="648">
        <f t="shared" ca="1" si="390"/>
        <v>0.66027855044516226</v>
      </c>
      <c r="R1126" s="648">
        <f t="shared" ca="1" si="390"/>
        <v>0.41611688678824249</v>
      </c>
      <c r="S1126" s="648">
        <f t="shared" ca="1" si="390"/>
        <v>1.0567926835951509</v>
      </c>
      <c r="T1126" s="645"/>
      <c r="U1126" s="802">
        <f t="shared" ca="1" si="391"/>
        <v>1235.0199999999998</v>
      </c>
      <c r="W1126" s="646">
        <f t="shared" ca="1" si="381"/>
        <v>0</v>
      </c>
    </row>
    <row r="1127" spans="2:23" ht="18" customHeight="1" x14ac:dyDescent="0.2">
      <c r="B1127" s="645">
        <f t="shared" si="387"/>
        <v>12</v>
      </c>
      <c r="C1127" s="647"/>
      <c r="D1127" s="620"/>
      <c r="E1127" s="645"/>
      <c r="F1127" s="646"/>
      <c r="G1127" s="645"/>
      <c r="H1127" s="620"/>
      <c r="I1127" s="645"/>
      <c r="J1127" s="648">
        <f t="shared" si="390"/>
        <v>0</v>
      </c>
      <c r="K1127" s="648">
        <f t="shared" si="390"/>
        <v>0</v>
      </c>
      <c r="L1127" s="648">
        <f t="shared" si="390"/>
        <v>0</v>
      </c>
      <c r="M1127" s="648">
        <f t="shared" si="390"/>
        <v>0</v>
      </c>
      <c r="N1127" s="648">
        <f t="shared" si="390"/>
        <v>0</v>
      </c>
      <c r="O1127" s="648">
        <f t="shared" si="390"/>
        <v>0</v>
      </c>
      <c r="P1127" s="648">
        <f t="shared" si="390"/>
        <v>0</v>
      </c>
      <c r="Q1127" s="648">
        <f t="shared" si="390"/>
        <v>0</v>
      </c>
      <c r="R1127" s="648">
        <f t="shared" si="390"/>
        <v>0</v>
      </c>
      <c r="S1127" s="648">
        <f t="shared" si="390"/>
        <v>0</v>
      </c>
      <c r="T1127" s="645"/>
      <c r="U1127" s="802">
        <f t="shared" si="391"/>
        <v>0</v>
      </c>
      <c r="V1127" s="646"/>
      <c r="W1127" s="646">
        <f t="shared" si="381"/>
        <v>0</v>
      </c>
    </row>
    <row r="1128" spans="2:23" ht="18" customHeight="1" x14ac:dyDescent="0.2">
      <c r="B1128" s="645">
        <f t="shared" si="387"/>
        <v>13</v>
      </c>
      <c r="C1128" s="647"/>
      <c r="D1128" s="647"/>
      <c r="E1128" s="645"/>
      <c r="F1128" s="646"/>
      <c r="G1128" s="645"/>
      <c r="H1128" s="620"/>
      <c r="I1128" s="645"/>
      <c r="J1128" s="648">
        <f t="shared" si="390"/>
        <v>0</v>
      </c>
      <c r="K1128" s="648">
        <f t="shared" si="390"/>
        <v>0</v>
      </c>
      <c r="L1128" s="648">
        <f t="shared" si="390"/>
        <v>0</v>
      </c>
      <c r="M1128" s="648">
        <f t="shared" si="390"/>
        <v>0</v>
      </c>
      <c r="N1128" s="648">
        <f t="shared" si="390"/>
        <v>0</v>
      </c>
      <c r="O1128" s="648">
        <f t="shared" si="390"/>
        <v>0</v>
      </c>
      <c r="P1128" s="648">
        <f t="shared" si="390"/>
        <v>0</v>
      </c>
      <c r="Q1128" s="648">
        <f t="shared" si="390"/>
        <v>0</v>
      </c>
      <c r="R1128" s="648">
        <f t="shared" si="390"/>
        <v>0</v>
      </c>
      <c r="S1128" s="648">
        <f t="shared" si="390"/>
        <v>0</v>
      </c>
      <c r="T1128" s="645"/>
      <c r="U1128" s="802">
        <f t="shared" si="391"/>
        <v>0</v>
      </c>
      <c r="W1128" s="646">
        <f t="shared" si="381"/>
        <v>0</v>
      </c>
    </row>
    <row r="1129" spans="2:23" ht="18" customHeight="1" x14ac:dyDescent="0.2">
      <c r="B1129" s="645">
        <f t="shared" si="387"/>
        <v>14</v>
      </c>
      <c r="C1129" s="647"/>
      <c r="D1129" s="647"/>
      <c r="E1129" s="645"/>
      <c r="F1129" s="646"/>
      <c r="G1129" s="645"/>
      <c r="H1129" s="620"/>
      <c r="I1129" s="645"/>
      <c r="J1129" s="651">
        <f t="shared" si="390"/>
        <v>0</v>
      </c>
      <c r="K1129" s="651">
        <f t="shared" si="390"/>
        <v>0</v>
      </c>
      <c r="L1129" s="651">
        <f t="shared" si="390"/>
        <v>0</v>
      </c>
      <c r="M1129" s="651">
        <f t="shared" si="390"/>
        <v>0</v>
      </c>
      <c r="N1129" s="651">
        <f t="shared" si="390"/>
        <v>0</v>
      </c>
      <c r="O1129" s="651">
        <f t="shared" si="390"/>
        <v>0</v>
      </c>
      <c r="P1129" s="651">
        <f t="shared" si="390"/>
        <v>0</v>
      </c>
      <c r="Q1129" s="651">
        <f t="shared" si="390"/>
        <v>0</v>
      </c>
      <c r="R1129" s="651">
        <f t="shared" si="390"/>
        <v>0</v>
      </c>
      <c r="S1129" s="651">
        <f t="shared" si="390"/>
        <v>0</v>
      </c>
      <c r="T1129" s="645"/>
      <c r="U1129" s="802">
        <f t="shared" si="391"/>
        <v>0</v>
      </c>
      <c r="V1129" s="646"/>
      <c r="W1129" s="646">
        <f t="shared" si="381"/>
        <v>0</v>
      </c>
    </row>
    <row r="1130" spans="2:23" ht="18" customHeight="1" x14ac:dyDescent="0.25">
      <c r="B1130" s="645">
        <f t="shared" si="387"/>
        <v>15</v>
      </c>
      <c r="C1130" s="8"/>
      <c r="D1130" s="233" t="s">
        <v>444</v>
      </c>
      <c r="E1130" s="1571"/>
      <c r="F1130" s="805">
        <f>SUM(F1121:F1129)</f>
        <v>14640475.429999998</v>
      </c>
      <c r="G1130" s="1571"/>
      <c r="H1130" s="1571"/>
      <c r="I1130" s="1571"/>
      <c r="J1130" s="805">
        <f t="shared" ref="J1130:Q1130" ca="1" si="392">SUM(J1121:J1129)</f>
        <v>7641238.0684338836</v>
      </c>
      <c r="K1130" s="805">
        <f t="shared" ca="1" si="392"/>
        <v>1071656.8451838109</v>
      </c>
      <c r="L1130" s="805">
        <f t="shared" ca="1" si="392"/>
        <v>4219138.4061062755</v>
      </c>
      <c r="M1130" s="805">
        <f t="shared" ca="1" si="392"/>
        <v>177454.94775377156</v>
      </c>
      <c r="N1130" s="805">
        <f t="shared" ca="1" si="392"/>
        <v>1367003.8189094188</v>
      </c>
      <c r="O1130" s="805">
        <f ca="1">SUM(O1121:O1129)</f>
        <v>44731.074961080129</v>
      </c>
      <c r="P1130" s="805">
        <f t="shared" ca="1" si="392"/>
        <v>93964.509529995703</v>
      </c>
      <c r="Q1130" s="805">
        <f t="shared" ca="1" si="392"/>
        <v>7827.2351012521367</v>
      </c>
      <c r="R1130" s="805">
        <f ca="1">SUM(R1121:R1129)</f>
        <v>4932.8343322629235</v>
      </c>
      <c r="S1130" s="805">
        <f ca="1">SUM(S1121:S1129)</f>
        <v>12527.689688246805</v>
      </c>
      <c r="T1130" s="1571"/>
      <c r="U1130" s="235">
        <f t="shared" ca="1" si="391"/>
        <v>14640475.429999998</v>
      </c>
      <c r="W1130" s="646">
        <f t="shared" ca="1" si="381"/>
        <v>0</v>
      </c>
    </row>
    <row r="1131" spans="2:23" ht="11.1" customHeight="1" x14ac:dyDescent="0.2">
      <c r="B1131" s="645">
        <f t="shared" si="387"/>
        <v>16</v>
      </c>
      <c r="C1131" s="647"/>
      <c r="D1131" s="647"/>
      <c r="E1131" s="645"/>
      <c r="F1131" s="670"/>
      <c r="G1131" s="645"/>
      <c r="H1131" s="645"/>
      <c r="I1131" s="645"/>
      <c r="J1131" s="645"/>
      <c r="K1131" s="645"/>
      <c r="L1131" s="645"/>
      <c r="M1131" s="645"/>
      <c r="N1131" s="645"/>
      <c r="O1131" s="645"/>
      <c r="P1131" s="645"/>
      <c r="Q1131" s="645"/>
      <c r="R1131" s="645"/>
      <c r="S1131" s="645"/>
      <c r="T1131" s="645"/>
      <c r="U1131" s="670"/>
      <c r="W1131" s="646">
        <f t="shared" si="381"/>
        <v>0</v>
      </c>
    </row>
    <row r="1132" spans="2:23" ht="18" customHeight="1" x14ac:dyDescent="0.25">
      <c r="B1132" s="645">
        <f t="shared" si="387"/>
        <v>17</v>
      </c>
      <c r="C1132" s="8"/>
      <c r="D1132" s="8" t="s">
        <v>304</v>
      </c>
      <c r="E1132" s="1571" t="s">
        <v>299</v>
      </c>
      <c r="F1132" s="805"/>
      <c r="G1132" s="1571"/>
      <c r="H1132" s="1571"/>
      <c r="I1132" s="1571"/>
      <c r="J1132" s="1571"/>
      <c r="K1132" s="1571"/>
      <c r="L1132" s="1571"/>
      <c r="M1132" s="1571"/>
      <c r="N1132" s="1571"/>
      <c r="O1132" s="1571"/>
      <c r="P1132" s="1571"/>
      <c r="Q1132" s="1571"/>
      <c r="R1132" s="1571"/>
      <c r="S1132" s="1571"/>
      <c r="T1132" s="1571"/>
      <c r="U1132" s="8"/>
      <c r="W1132" s="646">
        <f t="shared" si="381"/>
        <v>0</v>
      </c>
    </row>
    <row r="1133" spans="2:23" ht="18" customHeight="1" x14ac:dyDescent="0.2">
      <c r="B1133" s="645">
        <f t="shared" si="387"/>
        <v>18</v>
      </c>
      <c r="C1133" s="647"/>
      <c r="D1133" s="647" t="s">
        <v>306</v>
      </c>
      <c r="E1133" s="645"/>
      <c r="F1133" s="646">
        <f>' WP II-I-1.4'!H1133</f>
        <v>13766.05</v>
      </c>
      <c r="G1133" s="645">
        <v>59</v>
      </c>
      <c r="H1133" s="620" t="str">
        <f t="shared" ref="H1133:H1137" si="393">VLOOKUP(G1133,FactorTable,2)</f>
        <v>PLANT_N</v>
      </c>
      <c r="I1133" s="645"/>
      <c r="J1133" s="648">
        <f t="shared" ref="J1133:S1139" ca="1" si="394">$F1133*HLOOKUP(J$1354,FactorTable,$G1133+1)</f>
        <v>7186.4765583037206</v>
      </c>
      <c r="K1133" s="648">
        <f t="shared" ca="1" si="394"/>
        <v>1008.1554358225256</v>
      </c>
      <c r="L1133" s="648">
        <f t="shared" ca="1" si="394"/>
        <v>3964.7480732384279</v>
      </c>
      <c r="M1133" s="648">
        <f t="shared" ca="1" si="394"/>
        <v>166.96368455519024</v>
      </c>
      <c r="N1133" s="648">
        <f t="shared" ca="1" si="394"/>
        <v>1285.7085111279882</v>
      </c>
      <c r="O1133" s="648">
        <f t="shared" ca="1" si="394"/>
        <v>42.186922777976214</v>
      </c>
      <c r="P1133" s="648">
        <f t="shared" ca="1" si="394"/>
        <v>87.997262236269435</v>
      </c>
      <c r="Q1133" s="648">
        <f t="shared" ca="1" si="394"/>
        <v>7.328153642889518</v>
      </c>
      <c r="R1133" s="648">
        <f t="shared" ca="1" si="394"/>
        <v>4.6586785889789688</v>
      </c>
      <c r="S1133" s="648">
        <f t="shared" ca="1" si="394"/>
        <v>11.82671970603238</v>
      </c>
      <c r="T1133" s="645"/>
      <c r="U1133" s="802">
        <f t="shared" ref="U1133:U1137" ca="1" si="395">SUM(I1133:T1133)</f>
        <v>13766.050000000001</v>
      </c>
      <c r="W1133" s="646">
        <f ca="1">U1133-F1133</f>
        <v>0</v>
      </c>
    </row>
    <row r="1134" spans="2:23" ht="18" customHeight="1" x14ac:dyDescent="0.2">
      <c r="B1134" s="645">
        <f t="shared" si="387"/>
        <v>19</v>
      </c>
      <c r="C1134" s="647"/>
      <c r="D1134" s="647" t="s">
        <v>1131</v>
      </c>
      <c r="E1134" s="645"/>
      <c r="F1134" s="668">
        <f>' WP II-I-1.4'!H1134</f>
        <v>723694.89</v>
      </c>
      <c r="G1134" s="645">
        <v>68</v>
      </c>
      <c r="H1134" s="620" t="str">
        <f t="shared" si="393"/>
        <v>RATEBASE</v>
      </c>
      <c r="I1134" s="645"/>
      <c r="J1134" s="648">
        <f t="shared" ca="1" si="394"/>
        <v>377714.84743368562</v>
      </c>
      <c r="K1134" s="648">
        <f t="shared" ca="1" si="394"/>
        <v>52973.182899774518</v>
      </c>
      <c r="L1134" s="648">
        <f t="shared" ca="1" si="394"/>
        <v>208556.67695361562</v>
      </c>
      <c r="M1134" s="648">
        <f t="shared" ca="1" si="394"/>
        <v>8771.794297845523</v>
      </c>
      <c r="N1134" s="648">
        <f t="shared" ca="1" si="394"/>
        <v>67572.510406872199</v>
      </c>
      <c r="O1134" s="648">
        <f t="shared" ca="1" si="394"/>
        <v>2211.1064991241642</v>
      </c>
      <c r="P1134" s="648">
        <f t="shared" ca="1" si="394"/>
        <v>4644.7696123905307</v>
      </c>
      <c r="Q1134" s="648">
        <f t="shared" ca="1" si="394"/>
        <v>386.90888644213953</v>
      </c>
      <c r="R1134" s="648">
        <f t="shared" ca="1" si="394"/>
        <v>243.83545579129051</v>
      </c>
      <c r="S1134" s="648">
        <f t="shared" ca="1" si="394"/>
        <v>619.25755445838729</v>
      </c>
      <c r="T1134" s="645"/>
      <c r="U1134" s="802">
        <f t="shared" ca="1" si="395"/>
        <v>723694.89000000013</v>
      </c>
      <c r="W1134" s="646">
        <f t="shared" ca="1" si="381"/>
        <v>0</v>
      </c>
    </row>
    <row r="1135" spans="2:23" ht="18" customHeight="1" x14ac:dyDescent="0.2">
      <c r="B1135" s="645">
        <f t="shared" si="387"/>
        <v>20</v>
      </c>
      <c r="C1135" s="647"/>
      <c r="D1135" s="647" t="s">
        <v>1132</v>
      </c>
      <c r="E1135" s="645"/>
      <c r="F1135" s="668">
        <f>' WP II-I-1.4'!H1135</f>
        <v>0</v>
      </c>
      <c r="G1135" s="645">
        <v>68</v>
      </c>
      <c r="H1135" s="620" t="str">
        <f t="shared" si="393"/>
        <v>RATEBASE</v>
      </c>
      <c r="I1135" s="645"/>
      <c r="J1135" s="648">
        <f t="shared" ca="1" si="394"/>
        <v>0</v>
      </c>
      <c r="K1135" s="648">
        <f t="shared" ca="1" si="394"/>
        <v>0</v>
      </c>
      <c r="L1135" s="648">
        <f t="shared" ca="1" si="394"/>
        <v>0</v>
      </c>
      <c r="M1135" s="648">
        <f t="shared" ca="1" si="394"/>
        <v>0</v>
      </c>
      <c r="N1135" s="648">
        <f t="shared" ca="1" si="394"/>
        <v>0</v>
      </c>
      <c r="O1135" s="648">
        <f t="shared" ca="1" si="394"/>
        <v>0</v>
      </c>
      <c r="P1135" s="648">
        <f t="shared" ca="1" si="394"/>
        <v>0</v>
      </c>
      <c r="Q1135" s="648">
        <f t="shared" ca="1" si="394"/>
        <v>0</v>
      </c>
      <c r="R1135" s="648">
        <f t="shared" ca="1" si="394"/>
        <v>0</v>
      </c>
      <c r="S1135" s="648">
        <f t="shared" ca="1" si="394"/>
        <v>0</v>
      </c>
      <c r="T1135" s="645"/>
      <c r="U1135" s="802">
        <f t="shared" ca="1" si="395"/>
        <v>0</v>
      </c>
      <c r="W1135" s="646">
        <f t="shared" ca="1" si="381"/>
        <v>0</v>
      </c>
    </row>
    <row r="1136" spans="2:23" ht="18" customHeight="1" x14ac:dyDescent="0.2">
      <c r="B1136" s="645">
        <f t="shared" si="387"/>
        <v>21</v>
      </c>
      <c r="C1136" s="647"/>
      <c r="D1136" s="647" t="s">
        <v>1133</v>
      </c>
      <c r="E1136" s="645"/>
      <c r="F1136" s="668">
        <f>' WP II-I-1.4'!H1136</f>
        <v>256016.27</v>
      </c>
      <c r="G1136" s="645">
        <v>88</v>
      </c>
      <c r="H1136" s="620" t="str">
        <f t="shared" si="393"/>
        <v>PAYROLL</v>
      </c>
      <c r="I1136" s="645"/>
      <c r="J1136" s="648">
        <f t="shared" ca="1" si="394"/>
        <v>133638.03897042305</v>
      </c>
      <c r="K1136" s="648">
        <f t="shared" ca="1" si="394"/>
        <v>18746.754466425602</v>
      </c>
      <c r="L1136" s="648">
        <f t="shared" ca="1" si="394"/>
        <v>73727.887086206945</v>
      </c>
      <c r="M1136" s="648">
        <f t="shared" ca="1" si="394"/>
        <v>3104.6883160145526</v>
      </c>
      <c r="N1136" s="648">
        <f t="shared" ca="1" si="394"/>
        <v>23908.741749961326</v>
      </c>
      <c r="O1136" s="648">
        <f t="shared" ca="1" si="394"/>
        <v>784.90194193670095</v>
      </c>
      <c r="P1136" s="648">
        <f t="shared" ca="1" si="394"/>
        <v>1636.3074007729163</v>
      </c>
      <c r="Q1136" s="648">
        <f t="shared" ca="1" si="394"/>
        <v>162.33519693198437</v>
      </c>
      <c r="R1136" s="648">
        <f t="shared" ca="1" si="394"/>
        <v>86.658240712070267</v>
      </c>
      <c r="S1136" s="648">
        <f t="shared" ca="1" si="394"/>
        <v>219.95663061489125</v>
      </c>
      <c r="T1136" s="645"/>
      <c r="U1136" s="802">
        <f t="shared" ca="1" si="395"/>
        <v>256016.27000000008</v>
      </c>
      <c r="W1136" s="646">
        <f t="shared" ca="1" si="381"/>
        <v>0</v>
      </c>
    </row>
    <row r="1137" spans="2:23" ht="18" customHeight="1" x14ac:dyDescent="0.2">
      <c r="B1137" s="645">
        <f t="shared" si="387"/>
        <v>22</v>
      </c>
      <c r="C1137" s="647"/>
      <c r="D1137" s="650" t="s">
        <v>1134</v>
      </c>
      <c r="E1137" s="645"/>
      <c r="F1137" s="668">
        <f>' WP II-I-1.4'!H1137</f>
        <v>-2721141.47</v>
      </c>
      <c r="G1137" s="645">
        <v>36</v>
      </c>
      <c r="H1137" s="620" t="str">
        <f t="shared" si="393"/>
        <v>OPEB MED</v>
      </c>
      <c r="I1137" s="645"/>
      <c r="J1137" s="648">
        <f t="shared" ca="1" si="394"/>
        <v>-1420409.7646289989</v>
      </c>
      <c r="K1137" s="648">
        <f t="shared" ca="1" si="394"/>
        <v>-199255.191892681</v>
      </c>
      <c r="L1137" s="648">
        <f t="shared" ca="1" si="394"/>
        <v>-783637.73929584713</v>
      </c>
      <c r="M1137" s="648">
        <f t="shared" ca="1" si="394"/>
        <v>-32999.059505599645</v>
      </c>
      <c r="N1137" s="648">
        <f t="shared" ca="1" si="394"/>
        <v>-254120.83642707608</v>
      </c>
      <c r="O1137" s="648">
        <f t="shared" ca="1" si="394"/>
        <v>-8342.552698262065</v>
      </c>
      <c r="P1137" s="648">
        <f t="shared" ca="1" si="394"/>
        <v>-17391.956870206308</v>
      </c>
      <c r="Q1137" s="648">
        <f t="shared" ca="1" si="394"/>
        <v>-1725.4256395979814</v>
      </c>
      <c r="R1137" s="648">
        <f t="shared" ca="1" si="394"/>
        <v>-921.0716667298401</v>
      </c>
      <c r="S1137" s="648">
        <f t="shared" ca="1" si="394"/>
        <v>-2337.8713750014881</v>
      </c>
      <c r="T1137" s="645"/>
      <c r="U1137" s="802">
        <f t="shared" ca="1" si="395"/>
        <v>-2721141.47</v>
      </c>
      <c r="W1137" s="646">
        <f t="shared" ca="1" si="381"/>
        <v>0</v>
      </c>
    </row>
    <row r="1138" spans="2:23" ht="18" customHeight="1" x14ac:dyDescent="0.2">
      <c r="B1138" s="645">
        <f t="shared" si="387"/>
        <v>23</v>
      </c>
      <c r="C1138" s="647"/>
      <c r="D1138" s="589" t="s">
        <v>1296</v>
      </c>
      <c r="E1138" s="645"/>
      <c r="F1138" s="668">
        <f>' WP II-I-1.4'!H1138</f>
        <v>0</v>
      </c>
      <c r="G1138" s="645">
        <v>68</v>
      </c>
      <c r="H1138" s="620" t="str">
        <f t="shared" ref="H1138:H1139" si="396">VLOOKUP(G1138,FactorTable,2)</f>
        <v>RATEBASE</v>
      </c>
      <c r="I1138" s="645"/>
      <c r="J1138" s="648">
        <f t="shared" ca="1" si="394"/>
        <v>0</v>
      </c>
      <c r="K1138" s="648">
        <f t="shared" ca="1" si="394"/>
        <v>0</v>
      </c>
      <c r="L1138" s="648">
        <f t="shared" ca="1" si="394"/>
        <v>0</v>
      </c>
      <c r="M1138" s="648">
        <f t="shared" ca="1" si="394"/>
        <v>0</v>
      </c>
      <c r="N1138" s="648">
        <f t="shared" ca="1" si="394"/>
        <v>0</v>
      </c>
      <c r="O1138" s="648">
        <f t="shared" ca="1" si="394"/>
        <v>0</v>
      </c>
      <c r="P1138" s="648">
        <f t="shared" ca="1" si="394"/>
        <v>0</v>
      </c>
      <c r="Q1138" s="648">
        <f t="shared" ca="1" si="394"/>
        <v>0</v>
      </c>
      <c r="R1138" s="648">
        <f t="shared" ca="1" si="394"/>
        <v>0</v>
      </c>
      <c r="S1138" s="648">
        <f t="shared" ca="1" si="394"/>
        <v>0</v>
      </c>
      <c r="T1138" s="645"/>
      <c r="U1138" s="802">
        <f t="shared" ref="U1138:U1139" ca="1" si="397">SUM(I1138:T1138)</f>
        <v>0</v>
      </c>
      <c r="W1138" s="646">
        <f t="shared" ca="1" si="381"/>
        <v>0</v>
      </c>
    </row>
    <row r="1139" spans="2:23" ht="18" customHeight="1" x14ac:dyDescent="0.2">
      <c r="B1139" s="645">
        <f t="shared" si="387"/>
        <v>24</v>
      </c>
      <c r="C1139" s="647"/>
      <c r="D1139" s="589" t="s">
        <v>305</v>
      </c>
      <c r="F1139" s="668">
        <f>' WP II-I-1.4'!H1139</f>
        <v>0</v>
      </c>
      <c r="G1139" s="645">
        <v>68</v>
      </c>
      <c r="H1139" s="620" t="str">
        <f t="shared" si="396"/>
        <v>RATEBASE</v>
      </c>
      <c r="I1139" s="645"/>
      <c r="J1139" s="651">
        <f t="shared" ca="1" si="394"/>
        <v>0</v>
      </c>
      <c r="K1139" s="651">
        <f t="shared" ca="1" si="394"/>
        <v>0</v>
      </c>
      <c r="L1139" s="651">
        <f t="shared" ca="1" si="394"/>
        <v>0</v>
      </c>
      <c r="M1139" s="651">
        <f t="shared" ca="1" si="394"/>
        <v>0</v>
      </c>
      <c r="N1139" s="651">
        <f t="shared" ca="1" si="394"/>
        <v>0</v>
      </c>
      <c r="O1139" s="651">
        <f t="shared" ca="1" si="394"/>
        <v>0</v>
      </c>
      <c r="P1139" s="651">
        <f t="shared" ca="1" si="394"/>
        <v>0</v>
      </c>
      <c r="Q1139" s="651">
        <f t="shared" ca="1" si="394"/>
        <v>0</v>
      </c>
      <c r="R1139" s="651">
        <f t="shared" ca="1" si="394"/>
        <v>0</v>
      </c>
      <c r="S1139" s="651">
        <f t="shared" ca="1" si="394"/>
        <v>0</v>
      </c>
      <c r="T1139" s="645"/>
      <c r="U1139" s="802">
        <f t="shared" ca="1" si="397"/>
        <v>0</v>
      </c>
      <c r="W1139" s="646">
        <f ca="1">U1140-F1140</f>
        <v>0</v>
      </c>
    </row>
    <row r="1140" spans="2:23" ht="18" customHeight="1" x14ac:dyDescent="0.25">
      <c r="B1140" s="645">
        <f t="shared" si="387"/>
        <v>25</v>
      </c>
      <c r="C1140" s="647"/>
      <c r="D1140" s="233" t="s">
        <v>444</v>
      </c>
      <c r="E1140" s="645"/>
      <c r="F1140" s="805">
        <f>SUM(F1133:F1139)</f>
        <v>-1727664.2600000002</v>
      </c>
      <c r="G1140" s="645"/>
      <c r="H1140" s="645"/>
      <c r="I1140" s="645"/>
      <c r="J1140" s="805">
        <f t="shared" ref="J1140:U1140" ca="1" si="398">SUM(J1133:J1139)</f>
        <v>-901870.40166658652</v>
      </c>
      <c r="K1140" s="805">
        <f t="shared" ca="1" si="398"/>
        <v>-126527.09909065836</v>
      </c>
      <c r="L1140" s="805">
        <f t="shared" ca="1" si="398"/>
        <v>-497388.42718278617</v>
      </c>
      <c r="M1140" s="805">
        <f t="shared" ca="1" si="398"/>
        <v>-20955.613207184379</v>
      </c>
      <c r="N1140" s="805">
        <f t="shared" ca="1" si="398"/>
        <v>-161353.87575911457</v>
      </c>
      <c r="O1140" s="805">
        <f t="shared" ca="1" si="398"/>
        <v>-5304.3573344232236</v>
      </c>
      <c r="P1140" s="805">
        <f t="shared" ca="1" si="398"/>
        <v>-11022.882594806591</v>
      </c>
      <c r="Q1140" s="805">
        <f t="shared" ca="1" si="398"/>
        <v>-1168.8534025809681</v>
      </c>
      <c r="R1140" s="805">
        <f t="shared" ca="1" si="398"/>
        <v>-585.91929163750035</v>
      </c>
      <c r="S1140" s="805">
        <f t="shared" ca="1" si="398"/>
        <v>-1486.8304702221772</v>
      </c>
      <c r="T1140" s="805">
        <f t="shared" si="398"/>
        <v>0</v>
      </c>
      <c r="U1140" s="805">
        <f t="shared" ca="1" si="398"/>
        <v>-1727664.26</v>
      </c>
      <c r="W1140" s="646" t="b">
        <f>' WP II-I-1.4'!$H$1140=F1140</f>
        <v>1</v>
      </c>
    </row>
    <row r="1141" spans="2:23" ht="18" customHeight="1" x14ac:dyDescent="0.25">
      <c r="B1141" s="645">
        <f t="shared" si="387"/>
        <v>26</v>
      </c>
      <c r="C1141" s="647"/>
      <c r="D1141" s="233"/>
      <c r="E1141" s="645"/>
      <c r="F1141" s="805"/>
      <c r="G1141" s="645"/>
      <c r="H1141" s="645"/>
      <c r="I1141" s="645"/>
      <c r="J1141" s="805"/>
      <c r="K1141" s="805"/>
      <c r="L1141" s="805"/>
      <c r="M1141" s="805"/>
      <c r="N1141" s="805"/>
      <c r="O1141" s="805"/>
      <c r="P1141" s="805"/>
      <c r="Q1141" s="805"/>
      <c r="R1141" s="805"/>
      <c r="S1141" s="805"/>
      <c r="T1141" s="805"/>
      <c r="U1141" s="805"/>
      <c r="W1141" s="646"/>
    </row>
    <row r="1142" spans="2:23" ht="18" customHeight="1" x14ac:dyDescent="0.25">
      <c r="B1142" s="645">
        <f t="shared" si="387"/>
        <v>27</v>
      </c>
      <c r="C1142" s="8"/>
      <c r="D1142" s="8" t="s">
        <v>402</v>
      </c>
      <c r="E1142" s="1571"/>
      <c r="F1142" s="805">
        <f>+F1118-F1130+F1140</f>
        <v>16584815.866200728</v>
      </c>
      <c r="G1142" s="1571"/>
      <c r="H1142" s="1571"/>
      <c r="I1142" s="1571"/>
      <c r="J1142" s="805">
        <f t="shared" ref="J1142:S1142" ca="1" si="399">+J1118-J1130+J1140</f>
        <v>8655880.7066772971</v>
      </c>
      <c r="K1142" s="805">
        <f t="shared" ca="1" si="399"/>
        <v>1213913.9797094376</v>
      </c>
      <c r="L1142" s="805">
        <f t="shared" ca="1" si="399"/>
        <v>4779959.8789515188</v>
      </c>
      <c r="M1142" s="805">
        <f t="shared" ca="1" si="399"/>
        <v>201007.13790525889</v>
      </c>
      <c r="N1142" s="805">
        <f t="shared" ca="1" si="399"/>
        <v>1548510.6970076477</v>
      </c>
      <c r="O1142" s="805">
        <f t="shared" ca="1" si="399"/>
        <v>50645.801194573061</v>
      </c>
      <c r="P1142" s="805">
        <f t="shared" ca="1" si="399"/>
        <v>106509.03920400921</v>
      </c>
      <c r="Q1142" s="805">
        <f t="shared" ca="1" si="399"/>
        <v>8621.5449980794729</v>
      </c>
      <c r="R1142" s="805">
        <f t="shared" ca="1" si="399"/>
        <v>5584.1283347055632</v>
      </c>
      <c r="S1142" s="805">
        <f t="shared" ca="1" si="399"/>
        <v>14182.952218196253</v>
      </c>
      <c r="T1142" s="1571"/>
      <c r="U1142" s="235">
        <f ca="1">SUM(I1142:T1142)</f>
        <v>16584815.866200723</v>
      </c>
      <c r="W1142" s="646">
        <f t="shared" ca="1" si="381"/>
        <v>0</v>
      </c>
    </row>
    <row r="1143" spans="2:23" ht="18" customHeight="1" x14ac:dyDescent="0.25">
      <c r="B1143" s="645">
        <f t="shared" si="387"/>
        <v>28</v>
      </c>
      <c r="C1143" s="8"/>
      <c r="D1143" s="8" t="s">
        <v>403</v>
      </c>
      <c r="E1143" s="1571" t="s">
        <v>299</v>
      </c>
      <c r="F1143" s="811">
        <f>0.21/(1-0.21)</f>
        <v>0.26582278481012656</v>
      </c>
      <c r="G1143" s="1571"/>
      <c r="H1143" s="1571"/>
      <c r="I1143" s="1571"/>
      <c r="J1143" s="811">
        <f>0.21/(1-0.21)</f>
        <v>0.26582278481012656</v>
      </c>
      <c r="K1143" s="811">
        <f t="shared" ref="K1143:S1143" si="400">0.21/(1-0.21)</f>
        <v>0.26582278481012656</v>
      </c>
      <c r="L1143" s="811">
        <f t="shared" si="400"/>
        <v>0.26582278481012656</v>
      </c>
      <c r="M1143" s="811">
        <f t="shared" si="400"/>
        <v>0.26582278481012656</v>
      </c>
      <c r="N1143" s="811">
        <f t="shared" si="400"/>
        <v>0.26582278481012656</v>
      </c>
      <c r="O1143" s="811">
        <f t="shared" si="400"/>
        <v>0.26582278481012656</v>
      </c>
      <c r="P1143" s="811">
        <f t="shared" si="400"/>
        <v>0.26582278481012656</v>
      </c>
      <c r="Q1143" s="811">
        <f t="shared" si="400"/>
        <v>0.26582278481012656</v>
      </c>
      <c r="R1143" s="811">
        <f t="shared" si="400"/>
        <v>0.26582278481012656</v>
      </c>
      <c r="S1143" s="811">
        <f t="shared" si="400"/>
        <v>0.26582278481012656</v>
      </c>
      <c r="T1143" s="1571"/>
      <c r="U1143" s="811">
        <f ca="1">U1145/U1142</f>
        <v>0.26582278481012656</v>
      </c>
      <c r="W1143" s="646">
        <f t="shared" ca="1" si="381"/>
        <v>0</v>
      </c>
    </row>
    <row r="1144" spans="2:23" ht="18" customHeight="1" x14ac:dyDescent="0.25">
      <c r="B1144" s="645">
        <f t="shared" si="387"/>
        <v>29</v>
      </c>
      <c r="C1144" s="647"/>
      <c r="D1144" s="647"/>
      <c r="E1144" s="645"/>
      <c r="F1144" s="803"/>
      <c r="G1144" s="645"/>
      <c r="H1144" s="645"/>
      <c r="I1144" s="645"/>
      <c r="J1144" s="803"/>
      <c r="K1144" s="803"/>
      <c r="L1144" s="803"/>
      <c r="M1144" s="803"/>
      <c r="N1144" s="803"/>
      <c r="O1144" s="803"/>
      <c r="P1144" s="803"/>
      <c r="Q1144" s="803"/>
      <c r="R1144" s="803"/>
      <c r="S1144" s="803"/>
      <c r="T1144" s="645"/>
      <c r="U1144" s="8"/>
      <c r="W1144" s="646">
        <f t="shared" si="381"/>
        <v>0</v>
      </c>
    </row>
    <row r="1145" spans="2:23" ht="18" customHeight="1" x14ac:dyDescent="0.25">
      <c r="B1145" s="645">
        <f t="shared" si="387"/>
        <v>30</v>
      </c>
      <c r="C1145" s="8"/>
      <c r="D1145" s="8" t="s">
        <v>666</v>
      </c>
      <c r="E1145" s="1571"/>
      <c r="F1145" s="805">
        <f>+F1142*F1143</f>
        <v>4408621.9391166484</v>
      </c>
      <c r="G1145" s="1571"/>
      <c r="H1145" s="1571"/>
      <c r="I1145" s="1571"/>
      <c r="J1145" s="805">
        <f t="shared" ref="J1145:Q1145" ca="1" si="401">+J1142*J1143</f>
        <v>2300930.3144332054</v>
      </c>
      <c r="K1145" s="805">
        <f t="shared" ca="1" si="401"/>
        <v>322685.99460630614</v>
      </c>
      <c r="L1145" s="805">
        <f t="shared" ca="1" si="401"/>
        <v>1270622.2463035681</v>
      </c>
      <c r="M1145" s="805">
        <f t="shared" ca="1" si="401"/>
        <v>53432.277164689069</v>
      </c>
      <c r="N1145" s="805">
        <f t="shared" ca="1" si="401"/>
        <v>411629.425786843</v>
      </c>
      <c r="O1145" s="805">
        <f ca="1">+O1142*O1143</f>
        <v>13462.807912481445</v>
      </c>
      <c r="P1145" s="805">
        <f t="shared" ca="1" si="401"/>
        <v>28312.529408660674</v>
      </c>
      <c r="Q1145" s="805">
        <f t="shared" ca="1" si="401"/>
        <v>2291.8031007553027</v>
      </c>
      <c r="R1145" s="805">
        <f ca="1">+R1142*R1143</f>
        <v>1484.3885446685672</v>
      </c>
      <c r="S1145" s="805">
        <f ca="1">+S1142*S1143</f>
        <v>3770.1518554698896</v>
      </c>
      <c r="T1145" s="1571"/>
      <c r="U1145" s="235">
        <f ca="1">SUM(I1145:T1145)</f>
        <v>4408621.9391166475</v>
      </c>
      <c r="W1145" s="646">
        <f t="shared" ca="1" si="381"/>
        <v>0</v>
      </c>
    </row>
    <row r="1146" spans="2:23" ht="18" customHeight="1" x14ac:dyDescent="0.2">
      <c r="B1146" s="645">
        <f t="shared" si="387"/>
        <v>31</v>
      </c>
      <c r="C1146" s="647"/>
      <c r="D1146" s="647"/>
      <c r="E1146" s="645"/>
      <c r="F1146" s="803"/>
      <c r="G1146" s="645"/>
      <c r="H1146" s="645"/>
      <c r="I1146" s="645"/>
      <c r="J1146" s="645"/>
      <c r="K1146" s="645"/>
      <c r="L1146" s="645"/>
      <c r="M1146" s="645"/>
      <c r="N1146" s="645"/>
      <c r="O1146" s="645"/>
      <c r="P1146" s="645"/>
      <c r="Q1146" s="645"/>
      <c r="R1146" s="645"/>
      <c r="S1146" s="645"/>
      <c r="T1146" s="645"/>
      <c r="U1146" s="647"/>
      <c r="W1146" s="646">
        <f t="shared" si="381"/>
        <v>0</v>
      </c>
    </row>
    <row r="1147" spans="2:23" ht="18" customHeight="1" x14ac:dyDescent="0.25">
      <c r="B1147" s="645">
        <f t="shared" si="387"/>
        <v>32</v>
      </c>
      <c r="C1147" s="8"/>
      <c r="D1147" s="8" t="s">
        <v>307</v>
      </c>
      <c r="E1147" s="1571" t="s">
        <v>299</v>
      </c>
      <c r="F1147" s="805"/>
      <c r="G1147" s="1571"/>
      <c r="H1147" s="1571"/>
      <c r="I1147" s="1571"/>
      <c r="J1147" s="1571"/>
      <c r="K1147" s="1571"/>
      <c r="L1147" s="1571"/>
      <c r="M1147" s="1571"/>
      <c r="N1147" s="1571"/>
      <c r="O1147" s="1571"/>
      <c r="P1147" s="1571"/>
      <c r="Q1147" s="1571"/>
      <c r="R1147" s="1571"/>
      <c r="S1147" s="1571"/>
      <c r="T1147" s="1571"/>
      <c r="U1147" s="8"/>
      <c r="W1147" s="646">
        <f t="shared" si="381"/>
        <v>0</v>
      </c>
    </row>
    <row r="1148" spans="2:23" ht="18" customHeight="1" x14ac:dyDescent="0.2">
      <c r="B1148" s="645">
        <f t="shared" si="387"/>
        <v>33</v>
      </c>
      <c r="C1148" s="647"/>
      <c r="D1148" s="1500" t="s">
        <v>302</v>
      </c>
      <c r="E1148" s="645"/>
      <c r="F1148" s="646">
        <f>' WP II-I-1.4'!H1148</f>
        <v>0</v>
      </c>
      <c r="G1148" s="645">
        <v>59</v>
      </c>
      <c r="H1148" s="620" t="str">
        <f>VLOOKUP(G1148,FactorTable,2)</f>
        <v>PLANT_N</v>
      </c>
      <c r="I1148" s="645"/>
      <c r="J1148" s="648">
        <f t="shared" ref="J1148:S1152" ca="1" si="402">$F1148*HLOOKUP(J$1354,FactorTable,$G1148+1)</f>
        <v>0</v>
      </c>
      <c r="K1148" s="648">
        <f t="shared" ca="1" si="402"/>
        <v>0</v>
      </c>
      <c r="L1148" s="648">
        <f t="shared" ca="1" si="402"/>
        <v>0</v>
      </c>
      <c r="M1148" s="648">
        <f t="shared" ca="1" si="402"/>
        <v>0</v>
      </c>
      <c r="N1148" s="648">
        <f t="shared" ca="1" si="402"/>
        <v>0</v>
      </c>
      <c r="O1148" s="648">
        <f t="shared" ca="1" si="402"/>
        <v>0</v>
      </c>
      <c r="P1148" s="648">
        <f t="shared" ca="1" si="402"/>
        <v>0</v>
      </c>
      <c r="Q1148" s="648">
        <f t="shared" ca="1" si="402"/>
        <v>0</v>
      </c>
      <c r="R1148" s="648">
        <f t="shared" ca="1" si="402"/>
        <v>0</v>
      </c>
      <c r="S1148" s="648">
        <f t="shared" ca="1" si="402"/>
        <v>0</v>
      </c>
      <c r="T1148" s="645"/>
      <c r="U1148" s="802">
        <f ca="1">SUM(I1148:T1148)</f>
        <v>0</v>
      </c>
      <c r="W1148" s="646">
        <f t="shared" ca="1" si="381"/>
        <v>0</v>
      </c>
    </row>
    <row r="1149" spans="2:23" ht="18" customHeight="1" x14ac:dyDescent="0.2">
      <c r="B1149" s="645">
        <f t="shared" si="387"/>
        <v>34</v>
      </c>
      <c r="C1149" s="647"/>
      <c r="D1149" s="1500" t="s">
        <v>1128</v>
      </c>
      <c r="E1149" s="645"/>
      <c r="F1149" s="646">
        <f>' WP II-I-1.4'!H1149</f>
        <v>237864.14</v>
      </c>
      <c r="G1149" s="645">
        <v>68</v>
      </c>
      <c r="H1149" s="620" t="str">
        <f>VLOOKUP(G1149,FactorTable,2)</f>
        <v>RATEBASE</v>
      </c>
      <c r="I1149" s="645"/>
      <c r="J1149" s="648">
        <f t="shared" ca="1" si="402"/>
        <v>124147.37010239887</v>
      </c>
      <c r="K1149" s="648">
        <f t="shared" ca="1" si="402"/>
        <v>17411.233335525656</v>
      </c>
      <c r="L1149" s="648">
        <f t="shared" ca="1" si="402"/>
        <v>68548.438423863408</v>
      </c>
      <c r="M1149" s="648">
        <f t="shared" ca="1" si="402"/>
        <v>2883.1146049876479</v>
      </c>
      <c r="N1149" s="648">
        <f t="shared" ca="1" si="402"/>
        <v>22209.742389602485</v>
      </c>
      <c r="O1149" s="648">
        <f t="shared" ca="1" si="402"/>
        <v>726.74680052332553</v>
      </c>
      <c r="P1149" s="648">
        <f t="shared" ca="1" si="402"/>
        <v>1526.6435408289356</v>
      </c>
      <c r="Q1149" s="648">
        <f t="shared" ca="1" si="402"/>
        <v>127.16926815928905</v>
      </c>
      <c r="R1149" s="648">
        <f t="shared" ca="1" si="402"/>
        <v>80.14387250033414</v>
      </c>
      <c r="S1149" s="648">
        <f t="shared" ca="1" si="402"/>
        <v>203.53766161005706</v>
      </c>
      <c r="T1149" s="645"/>
      <c r="U1149" s="802">
        <f ca="1">SUM(I1149:T1149)</f>
        <v>237864.13999999998</v>
      </c>
      <c r="W1149" s="646">
        <f t="shared" ca="1" si="381"/>
        <v>0</v>
      </c>
    </row>
    <row r="1150" spans="2:23" ht="18" customHeight="1" x14ac:dyDescent="0.2">
      <c r="B1150" s="645">
        <f t="shared" si="387"/>
        <v>35</v>
      </c>
      <c r="C1150" s="647"/>
      <c r="D1150" s="1500" t="s">
        <v>1129</v>
      </c>
      <c r="E1150" s="645"/>
      <c r="F1150" s="646">
        <f>' WP II-I-1.4'!H1150</f>
        <v>2497334.4699999997</v>
      </c>
      <c r="G1150" s="645">
        <v>68</v>
      </c>
      <c r="H1150" s="620" t="str">
        <f>VLOOKUP(G1150,FactorTable,2)</f>
        <v>RATEBASE</v>
      </c>
      <c r="I1150" s="645"/>
      <c r="J1150" s="648">
        <f t="shared" ca="1" si="402"/>
        <v>1303422.6458707398</v>
      </c>
      <c r="K1150" s="648">
        <f t="shared" ca="1" si="402"/>
        <v>182800.45564674563</v>
      </c>
      <c r="L1150" s="648">
        <f t="shared" ca="1" si="402"/>
        <v>719689.72767642292</v>
      </c>
      <c r="M1150" s="648">
        <f t="shared" ca="1" si="402"/>
        <v>30269.806470181196</v>
      </c>
      <c r="N1150" s="648">
        <f t="shared" ca="1" si="402"/>
        <v>233179.97929143268</v>
      </c>
      <c r="O1150" s="648">
        <f t="shared" ca="1" si="402"/>
        <v>7630.111188298979</v>
      </c>
      <c r="P1150" s="648">
        <f t="shared" ca="1" si="402"/>
        <v>16028.223245063138</v>
      </c>
      <c r="Q1150" s="648">
        <f t="shared" ca="1" si="402"/>
        <v>1335.1495391397204</v>
      </c>
      <c r="R1150" s="648">
        <f t="shared" ca="1" si="402"/>
        <v>841.43013467422827</v>
      </c>
      <c r="S1150" s="648">
        <f t="shared" ca="1" si="402"/>
        <v>2136.9409373013987</v>
      </c>
      <c r="T1150" s="645"/>
      <c r="U1150" s="802">
        <f ca="1">SUM(I1150:T1150)</f>
        <v>2497334.4699999997</v>
      </c>
      <c r="W1150" s="646">
        <f t="shared" ca="1" si="381"/>
        <v>0</v>
      </c>
    </row>
    <row r="1151" spans="2:23" ht="18" customHeight="1" x14ac:dyDescent="0.2">
      <c r="B1151" s="645">
        <f t="shared" si="387"/>
        <v>36</v>
      </c>
      <c r="C1151" s="647"/>
      <c r="D1151" s="1500" t="s">
        <v>1130</v>
      </c>
      <c r="E1151" s="645"/>
      <c r="F1151" s="646">
        <f>' WP II-I-1.4'!H1151</f>
        <v>-94892.49</v>
      </c>
      <c r="G1151" s="645">
        <v>68</v>
      </c>
      <c r="H1151" s="620" t="str">
        <f>VLOOKUP(G1151,FactorTable,2)</f>
        <v>RATEBASE</v>
      </c>
      <c r="I1151" s="645"/>
      <c r="J1151" s="648">
        <f t="shared" ca="1" si="402"/>
        <v>-49526.814239288789</v>
      </c>
      <c r="K1151" s="648">
        <f t="shared" ca="1" si="402"/>
        <v>-6945.9620318516063</v>
      </c>
      <c r="L1151" s="648">
        <f t="shared" ca="1" si="402"/>
        <v>-27346.417192823072</v>
      </c>
      <c r="M1151" s="648">
        <f t="shared" ca="1" si="402"/>
        <v>-1150.1772559018116</v>
      </c>
      <c r="N1151" s="648">
        <f t="shared" ca="1" si="402"/>
        <v>-8860.2584551329583</v>
      </c>
      <c r="O1151" s="648">
        <f t="shared" ca="1" si="402"/>
        <v>-289.92522160419668</v>
      </c>
      <c r="P1151" s="648">
        <f t="shared" ca="1" si="402"/>
        <v>-609.0325634274858</v>
      </c>
      <c r="Q1151" s="648">
        <f t="shared" ca="1" si="402"/>
        <v>-50.732357164525318</v>
      </c>
      <c r="R1151" s="648">
        <f t="shared" ca="1" si="402"/>
        <v>-31.972249452142016</v>
      </c>
      <c r="S1151" s="648">
        <f t="shared" ca="1" si="402"/>
        <v>-81.198433353408063</v>
      </c>
      <c r="T1151" s="645"/>
      <c r="U1151" s="802">
        <f t="shared" ref="U1151:U1152" ca="1" si="403">SUM(I1151:T1151)</f>
        <v>-94892.489999999991</v>
      </c>
      <c r="W1151" s="646">
        <f t="shared" ref="W1151:W1152" ca="1" si="404">U1151-F1151</f>
        <v>0</v>
      </c>
    </row>
    <row r="1152" spans="2:23" ht="18" customHeight="1" x14ac:dyDescent="0.2">
      <c r="B1152" s="645">
        <f t="shared" si="387"/>
        <v>37</v>
      </c>
      <c r="C1152" s="647"/>
      <c r="D1152" s="589" t="s">
        <v>1295</v>
      </c>
      <c r="E1152" s="645"/>
      <c r="F1152" s="646">
        <f>' WP II-I-1.4'!H1152</f>
        <v>1235.02</v>
      </c>
      <c r="G1152" s="645">
        <v>68</v>
      </c>
      <c r="H1152" s="620" t="str">
        <f>VLOOKUP(G1152,FactorTable,2)</f>
        <v>RATEBASE</v>
      </c>
      <c r="I1152" s="645"/>
      <c r="J1152" s="651">
        <f t="shared" ca="1" si="402"/>
        <v>644.58848241632654</v>
      </c>
      <c r="K1152" s="651">
        <f t="shared" ca="1" si="402"/>
        <v>90.40127441673593</v>
      </c>
      <c r="L1152" s="651">
        <f t="shared" ca="1" si="402"/>
        <v>355.91196059330247</v>
      </c>
      <c r="M1152" s="651">
        <f t="shared" ca="1" si="402"/>
        <v>14.969487201609477</v>
      </c>
      <c r="N1152" s="651">
        <f t="shared" ca="1" si="402"/>
        <v>115.31572622088751</v>
      </c>
      <c r="O1152" s="651">
        <f t="shared" ca="1" si="402"/>
        <v>3.7733591687352179</v>
      </c>
      <c r="P1152" s="651">
        <f t="shared" ca="1" si="402"/>
        <v>7.9265218615742246</v>
      </c>
      <c r="Q1152" s="651">
        <f t="shared" ca="1" si="402"/>
        <v>0.66027855044516226</v>
      </c>
      <c r="R1152" s="651">
        <f t="shared" ca="1" si="402"/>
        <v>0.41611688678824249</v>
      </c>
      <c r="S1152" s="651">
        <f t="shared" ca="1" si="402"/>
        <v>1.0567926835951509</v>
      </c>
      <c r="T1152" s="645"/>
      <c r="U1152" s="802">
        <f t="shared" ca="1" si="403"/>
        <v>1235.0199999999998</v>
      </c>
      <c r="W1152" s="646">
        <f t="shared" ca="1" si="404"/>
        <v>0</v>
      </c>
    </row>
    <row r="1153" spans="2:23" ht="18" customHeight="1" x14ac:dyDescent="0.25">
      <c r="B1153" s="645">
        <f t="shared" si="387"/>
        <v>38</v>
      </c>
      <c r="C1153" s="647"/>
      <c r="D1153" s="233" t="s">
        <v>444</v>
      </c>
      <c r="E1153" s="645"/>
      <c r="F1153" s="805">
        <f>SUM(F1148:F1152)</f>
        <v>2641541.1399999997</v>
      </c>
      <c r="G1153" s="645"/>
      <c r="H1153" s="645"/>
      <c r="I1153" s="645"/>
      <c r="J1153" s="805">
        <f ca="1">SUM(J1148:J1152)</f>
        <v>1378687.7902162662</v>
      </c>
      <c r="K1153" s="805">
        <f t="shared" ref="K1153:S1153" ca="1" si="405">SUM(K1148:K1152)</f>
        <v>193356.12822483643</v>
      </c>
      <c r="L1153" s="805">
        <f t="shared" ca="1" si="405"/>
        <v>761247.66086805658</v>
      </c>
      <c r="M1153" s="805">
        <f t="shared" ca="1" si="405"/>
        <v>32017.713306468642</v>
      </c>
      <c r="N1153" s="805">
        <f t="shared" ca="1" si="405"/>
        <v>246644.77895212313</v>
      </c>
      <c r="O1153" s="805">
        <f t="shared" ca="1" si="405"/>
        <v>8070.7061263868436</v>
      </c>
      <c r="P1153" s="805">
        <f t="shared" ca="1" si="405"/>
        <v>16953.760744326162</v>
      </c>
      <c r="Q1153" s="805">
        <f t="shared" ca="1" si="405"/>
        <v>1412.2467286849292</v>
      </c>
      <c r="R1153" s="805">
        <f t="shared" ca="1" si="405"/>
        <v>890.01787460920866</v>
      </c>
      <c r="S1153" s="805">
        <f t="shared" ca="1" si="405"/>
        <v>2260.3369582416431</v>
      </c>
      <c r="T1153" s="645"/>
      <c r="U1153" s="235">
        <f ca="1">SUM(I1153:T1153)</f>
        <v>2641541.1399999992</v>
      </c>
      <c r="W1153" s="646">
        <f t="shared" ca="1" si="381"/>
        <v>0</v>
      </c>
    </row>
    <row r="1154" spans="2:23" ht="18" customHeight="1" x14ac:dyDescent="0.2">
      <c r="B1154" s="645">
        <f t="shared" si="387"/>
        <v>39</v>
      </c>
      <c r="C1154" s="647"/>
      <c r="D1154" s="647"/>
      <c r="E1154" s="645"/>
      <c r="F1154" s="230"/>
      <c r="G1154" s="645"/>
      <c r="H1154" s="645"/>
      <c r="I1154" s="645"/>
      <c r="J1154" s="645"/>
      <c r="K1154" s="645"/>
      <c r="L1154" s="645"/>
      <c r="M1154" s="645"/>
      <c r="N1154" s="645"/>
      <c r="O1154" s="645"/>
      <c r="P1154" s="645"/>
      <c r="Q1154" s="645"/>
      <c r="R1154" s="645"/>
      <c r="S1154" s="645"/>
      <c r="T1154" s="645"/>
      <c r="U1154" s="802"/>
      <c r="W1154" s="646">
        <f t="shared" si="381"/>
        <v>0</v>
      </c>
    </row>
    <row r="1155" spans="2:23" ht="18" customHeight="1" x14ac:dyDescent="0.25">
      <c r="B1155" s="645">
        <f t="shared" si="387"/>
        <v>40</v>
      </c>
      <c r="C1155" s="8"/>
      <c r="D1155" s="8" t="s">
        <v>308</v>
      </c>
      <c r="E1155" s="1571" t="s">
        <v>299</v>
      </c>
      <c r="F1155" s="805"/>
      <c r="G1155" s="1571"/>
      <c r="H1155" s="1571"/>
      <c r="I1155" s="1571"/>
      <c r="J1155" s="1571"/>
      <c r="K1155" s="1571"/>
      <c r="L1155" s="1571"/>
      <c r="M1155" s="1571"/>
      <c r="N1155" s="1571"/>
      <c r="O1155" s="1571"/>
      <c r="P1155" s="1571"/>
      <c r="Q1155" s="1571"/>
      <c r="R1155" s="1571"/>
      <c r="S1155" s="1571"/>
      <c r="T1155" s="1571"/>
      <c r="U1155" s="802"/>
      <c r="W1155" s="646">
        <f t="shared" si="381"/>
        <v>0</v>
      </c>
    </row>
    <row r="1156" spans="2:23" ht="18" customHeight="1" x14ac:dyDescent="0.2">
      <c r="B1156" s="645">
        <f t="shared" si="387"/>
        <v>41</v>
      </c>
      <c r="C1156" s="647"/>
      <c r="D1156" s="1500" t="s">
        <v>306</v>
      </c>
      <c r="E1156" s="645"/>
      <c r="F1156" s="646">
        <f>' WP II-I-1.4'!H1156</f>
        <v>13766.05</v>
      </c>
      <c r="G1156" s="645">
        <v>68</v>
      </c>
      <c r="H1156" s="620" t="str">
        <f>VLOOKUP(G1156,FactorTable,2)</f>
        <v>RATEBASE</v>
      </c>
      <c r="I1156" s="645"/>
      <c r="J1156" s="648">
        <f t="shared" ref="J1156:S1159" ca="1" si="406">$F1156*HLOOKUP(J$1354,FactorTable,$G1156+1)</f>
        <v>7184.8531022714378</v>
      </c>
      <c r="K1156" s="648">
        <f t="shared" ca="1" si="406"/>
        <v>1007.6504539882008</v>
      </c>
      <c r="L1156" s="648">
        <f t="shared" ca="1" si="406"/>
        <v>3967.1437265189479</v>
      </c>
      <c r="M1156" s="648">
        <f t="shared" ca="1" si="406"/>
        <v>166.8561717961783</v>
      </c>
      <c r="N1156" s="648">
        <f t="shared" ca="1" si="406"/>
        <v>1285.3573650168</v>
      </c>
      <c r="O1156" s="648">
        <f t="shared" ca="1" si="406"/>
        <v>42.059441130319705</v>
      </c>
      <c r="P1156" s="648">
        <f t="shared" ca="1" si="406"/>
        <v>88.352331357001376</v>
      </c>
      <c r="Q1156" s="648">
        <f t="shared" ca="1" si="406"/>
        <v>7.359741169661727</v>
      </c>
      <c r="R1156" s="648">
        <f t="shared" ca="1" si="406"/>
        <v>4.6382130405752822</v>
      </c>
      <c r="S1156" s="648">
        <f t="shared" ca="1" si="406"/>
        <v>11.779453710875147</v>
      </c>
      <c r="T1156" s="645"/>
      <c r="U1156" s="802">
        <f ca="1">SUM(I1156:T1156)</f>
        <v>13766.049999999997</v>
      </c>
      <c r="W1156" s="646">
        <f t="shared" ca="1" si="381"/>
        <v>0</v>
      </c>
    </row>
    <row r="1157" spans="2:23" ht="18" customHeight="1" x14ac:dyDescent="0.2">
      <c r="B1157" s="645">
        <f t="shared" si="387"/>
        <v>42</v>
      </c>
      <c r="C1157" s="647"/>
      <c r="D1157" s="1109" t="s">
        <v>1181</v>
      </c>
      <c r="E1157" s="645"/>
      <c r="F1157" s="646">
        <f>' WP II-I-1.4'!H1157</f>
        <v>0</v>
      </c>
      <c r="G1157" s="645">
        <v>68</v>
      </c>
      <c r="H1157" s="620" t="str">
        <f>VLOOKUP(G1157,FactorTable,2)</f>
        <v>RATEBASE</v>
      </c>
      <c r="I1157" s="645"/>
      <c r="J1157" s="648">
        <f t="shared" ca="1" si="406"/>
        <v>0</v>
      </c>
      <c r="K1157" s="648">
        <f t="shared" ca="1" si="406"/>
        <v>0</v>
      </c>
      <c r="L1157" s="648">
        <f t="shared" ca="1" si="406"/>
        <v>0</v>
      </c>
      <c r="M1157" s="648">
        <f t="shared" ca="1" si="406"/>
        <v>0</v>
      </c>
      <c r="N1157" s="648">
        <f t="shared" ca="1" si="406"/>
        <v>0</v>
      </c>
      <c r="O1157" s="648">
        <f t="shared" ca="1" si="406"/>
        <v>0</v>
      </c>
      <c r="P1157" s="648">
        <f t="shared" ca="1" si="406"/>
        <v>0</v>
      </c>
      <c r="Q1157" s="648">
        <f t="shared" ca="1" si="406"/>
        <v>0</v>
      </c>
      <c r="R1157" s="648">
        <f t="shared" ca="1" si="406"/>
        <v>0</v>
      </c>
      <c r="S1157" s="648">
        <f t="shared" ca="1" si="406"/>
        <v>0</v>
      </c>
      <c r="T1157" s="645"/>
      <c r="U1157" s="802">
        <f ca="1">SUM(I1157:T1157)</f>
        <v>0</v>
      </c>
      <c r="W1157" s="646">
        <f ca="1">U1157-F1157</f>
        <v>0</v>
      </c>
    </row>
    <row r="1158" spans="2:23" ht="18" customHeight="1" x14ac:dyDescent="0.2">
      <c r="B1158" s="645">
        <f t="shared" si="387"/>
        <v>43</v>
      </c>
      <c r="C1158" s="647"/>
      <c r="D1158" s="1500" t="s">
        <v>309</v>
      </c>
      <c r="F1158" s="646">
        <f>' WP II-I-1.4'!H1158</f>
        <v>0</v>
      </c>
      <c r="G1158" s="589">
        <v>59</v>
      </c>
      <c r="H1158" s="620" t="str">
        <f>VLOOKUP(G1158,FactorTable,2)</f>
        <v>PLANT_N</v>
      </c>
      <c r="J1158" s="648">
        <f t="shared" ca="1" si="406"/>
        <v>0</v>
      </c>
      <c r="K1158" s="648">
        <f t="shared" ca="1" si="406"/>
        <v>0</v>
      </c>
      <c r="L1158" s="648">
        <f t="shared" ca="1" si="406"/>
        <v>0</v>
      </c>
      <c r="M1158" s="648">
        <f t="shared" ca="1" si="406"/>
        <v>0</v>
      </c>
      <c r="N1158" s="648">
        <f t="shared" ca="1" si="406"/>
        <v>0</v>
      </c>
      <c r="O1158" s="648">
        <f t="shared" ca="1" si="406"/>
        <v>0</v>
      </c>
      <c r="P1158" s="648">
        <f t="shared" ca="1" si="406"/>
        <v>0</v>
      </c>
      <c r="Q1158" s="648">
        <f t="shared" ca="1" si="406"/>
        <v>0</v>
      </c>
      <c r="R1158" s="648">
        <f t="shared" ca="1" si="406"/>
        <v>0</v>
      </c>
      <c r="S1158" s="648">
        <f t="shared" ca="1" si="406"/>
        <v>0</v>
      </c>
      <c r="U1158" s="802">
        <f ca="1">SUM(I1158:T1158)</f>
        <v>0</v>
      </c>
      <c r="W1158" s="646">
        <f ca="1">U1158-F1158</f>
        <v>0</v>
      </c>
    </row>
    <row r="1159" spans="2:23" ht="18" customHeight="1" x14ac:dyDescent="0.2">
      <c r="B1159" s="645">
        <f t="shared" si="387"/>
        <v>44</v>
      </c>
      <c r="C1159" s="647"/>
      <c r="D1159" s="803"/>
      <c r="E1159" s="645"/>
      <c r="F1159" s="646"/>
      <c r="G1159" s="645"/>
      <c r="H1159" s="620"/>
      <c r="I1159" s="645"/>
      <c r="J1159" s="651">
        <f t="shared" si="406"/>
        <v>0</v>
      </c>
      <c r="K1159" s="651">
        <f t="shared" si="406"/>
        <v>0</v>
      </c>
      <c r="L1159" s="651">
        <f t="shared" si="406"/>
        <v>0</v>
      </c>
      <c r="M1159" s="651">
        <f t="shared" si="406"/>
        <v>0</v>
      </c>
      <c r="N1159" s="651">
        <f t="shared" si="406"/>
        <v>0</v>
      </c>
      <c r="O1159" s="651">
        <f t="shared" si="406"/>
        <v>0</v>
      </c>
      <c r="P1159" s="651">
        <f t="shared" si="406"/>
        <v>0</v>
      </c>
      <c r="Q1159" s="651">
        <f t="shared" si="406"/>
        <v>0</v>
      </c>
      <c r="R1159" s="651">
        <f t="shared" si="406"/>
        <v>0</v>
      </c>
      <c r="S1159" s="651">
        <f t="shared" si="406"/>
        <v>0</v>
      </c>
      <c r="T1159" s="645"/>
      <c r="U1159" s="802">
        <f>SUM(I1159:T1159)</f>
        <v>0</v>
      </c>
      <c r="W1159" s="646">
        <f t="shared" si="381"/>
        <v>0</v>
      </c>
    </row>
    <row r="1160" spans="2:23" ht="18" customHeight="1" x14ac:dyDescent="0.25">
      <c r="B1160" s="645">
        <f t="shared" si="387"/>
        <v>45</v>
      </c>
      <c r="C1160" s="647"/>
      <c r="D1160" s="233" t="s">
        <v>444</v>
      </c>
      <c r="E1160" s="645"/>
      <c r="F1160" s="805">
        <f>SUM(F1156:F1159)</f>
        <v>13766.05</v>
      </c>
      <c r="G1160" s="645"/>
      <c r="H1160" s="645"/>
      <c r="I1160" s="645"/>
      <c r="J1160" s="805">
        <f t="shared" ref="J1160:Q1160" ca="1" si="407">SUM(J1156:J1159)</f>
        <v>7184.8531022714378</v>
      </c>
      <c r="K1160" s="805">
        <f t="shared" ca="1" si="407"/>
        <v>1007.6504539882008</v>
      </c>
      <c r="L1160" s="805">
        <f t="shared" ca="1" si="407"/>
        <v>3967.1437265189479</v>
      </c>
      <c r="M1160" s="805">
        <f t="shared" ca="1" si="407"/>
        <v>166.8561717961783</v>
      </c>
      <c r="N1160" s="805">
        <f t="shared" ca="1" si="407"/>
        <v>1285.3573650168</v>
      </c>
      <c r="O1160" s="805">
        <f ca="1">SUM(O1156:O1159)</f>
        <v>42.059441130319705</v>
      </c>
      <c r="P1160" s="805">
        <f t="shared" ca="1" si="407"/>
        <v>88.352331357001376</v>
      </c>
      <c r="Q1160" s="805">
        <f t="shared" ca="1" si="407"/>
        <v>7.359741169661727</v>
      </c>
      <c r="R1160" s="805">
        <f ca="1">SUM(R1156:R1159)</f>
        <v>4.6382130405752822</v>
      </c>
      <c r="S1160" s="805">
        <f ca="1">SUM(S1156:S1159)</f>
        <v>11.779453710875147</v>
      </c>
      <c r="T1160" s="645"/>
      <c r="U1160" s="235">
        <f ca="1">SUM(I1160:T1160)</f>
        <v>13766.049999999997</v>
      </c>
      <c r="W1160" s="646">
        <f t="shared" ca="1" si="381"/>
        <v>0</v>
      </c>
    </row>
    <row r="1161" spans="2:23" ht="18" customHeight="1" thickBot="1" x14ac:dyDescent="0.25">
      <c r="B1161" s="645">
        <f t="shared" si="387"/>
        <v>46</v>
      </c>
      <c r="C1161" s="647"/>
      <c r="D1161" s="647"/>
      <c r="E1161" s="645"/>
      <c r="F1161" s="803"/>
      <c r="G1161" s="645"/>
      <c r="H1161" s="645"/>
      <c r="I1161" s="645"/>
      <c r="J1161" s="645"/>
      <c r="K1161" s="645"/>
      <c r="L1161" s="645"/>
      <c r="M1161" s="645"/>
      <c r="N1161" s="645"/>
      <c r="O1161" s="645"/>
      <c r="P1161" s="645"/>
      <c r="Q1161" s="645"/>
      <c r="R1161" s="645"/>
      <c r="S1161" s="645"/>
      <c r="T1161" s="645"/>
      <c r="U1161" s="647"/>
      <c r="W1161" s="646">
        <f t="shared" si="381"/>
        <v>0</v>
      </c>
    </row>
    <row r="1162" spans="2:23" ht="18" customHeight="1" thickBot="1" x14ac:dyDescent="0.3">
      <c r="B1162" s="645">
        <f t="shared" si="387"/>
        <v>47</v>
      </c>
      <c r="C1162" s="223" t="s">
        <v>667</v>
      </c>
      <c r="D1162" s="224"/>
      <c r="E1162" s="309" t="s">
        <v>299</v>
      </c>
      <c r="F1162" s="812">
        <f>+F1145-SUM(F1148:F1152)+SUM(F1156:F1159)</f>
        <v>1780846.8491166488</v>
      </c>
      <c r="G1162" s="309"/>
      <c r="H1162" s="402"/>
      <c r="I1162" s="968"/>
      <c r="J1162" s="812">
        <f t="shared" ref="J1162:S1162" ca="1" si="408">+J1145-SUM(J1148:J1152)+SUM(J1156:J1159)</f>
        <v>929427.37731921067</v>
      </c>
      <c r="K1162" s="812">
        <f t="shared" ca="1" si="408"/>
        <v>130337.51683545791</v>
      </c>
      <c r="L1162" s="812">
        <f t="shared" ca="1" si="408"/>
        <v>513341.7291620305</v>
      </c>
      <c r="M1162" s="812">
        <f t="shared" ca="1" si="408"/>
        <v>21581.420030016605</v>
      </c>
      <c r="N1162" s="812">
        <f t="shared" ca="1" si="408"/>
        <v>166270.00419973666</v>
      </c>
      <c r="O1162" s="812">
        <f t="shared" ca="1" si="408"/>
        <v>5434.1612272249213</v>
      </c>
      <c r="P1162" s="812">
        <f t="shared" ca="1" si="408"/>
        <v>11447.120995691514</v>
      </c>
      <c r="Q1162" s="812">
        <f t="shared" ca="1" si="408"/>
        <v>886.9161132400352</v>
      </c>
      <c r="R1162" s="812">
        <f t="shared" ca="1" si="408"/>
        <v>599.00888309993377</v>
      </c>
      <c r="S1162" s="812">
        <f t="shared" ca="1" si="408"/>
        <v>1521.5943509391218</v>
      </c>
      <c r="T1162" s="402"/>
      <c r="U1162" s="315">
        <f ca="1">SUM(I1162:T1162)</f>
        <v>1780846.8491166481</v>
      </c>
      <c r="W1162" s="646">
        <f t="shared" ca="1" si="381"/>
        <v>0</v>
      </c>
    </row>
    <row r="1163" spans="2:23" ht="18" customHeight="1" x14ac:dyDescent="0.2">
      <c r="W1163" s="646">
        <f t="shared" ref="W1163:W1230" si="409">U1163-F1163</f>
        <v>0</v>
      </c>
    </row>
    <row r="1164" spans="2:23" ht="18" customHeight="1" x14ac:dyDescent="0.2">
      <c r="H1164" s="653"/>
      <c r="U1164" s="653"/>
      <c r="V1164" s="653">
        <f>$H$2</f>
        <v>0</v>
      </c>
      <c r="W1164" s="646"/>
    </row>
    <row r="1165" spans="2:23" ht="18" customHeight="1" thickBot="1" x14ac:dyDescent="0.25">
      <c r="W1165" s="646"/>
    </row>
    <row r="1166" spans="2:23" ht="18" customHeight="1" x14ac:dyDescent="0.25">
      <c r="B1166" s="829" t="str">
        <f>+$B$4</f>
        <v>2025 RATE CASE</v>
      </c>
      <c r="C1166" s="844"/>
      <c r="D1166" s="874"/>
      <c r="F1166" s="654"/>
      <c r="U1166" s="653"/>
      <c r="W1166" s="646"/>
    </row>
    <row r="1167" spans="2:23" ht="18" customHeight="1" x14ac:dyDescent="0.25">
      <c r="B1167" s="826" t="str">
        <f>+$B$5</f>
        <v>ONCOR ELECTRIC DELIVERY COMPANY LLC</v>
      </c>
      <c r="C1167" s="8"/>
      <c r="D1167" s="875"/>
      <c r="F1167" s="654"/>
      <c r="U1167" s="653"/>
      <c r="W1167" s="646"/>
    </row>
    <row r="1168" spans="2:23" ht="18" customHeight="1" x14ac:dyDescent="0.25">
      <c r="B1168" s="826" t="str">
        <f>+$B$6</f>
        <v>II-I-1-MET:  CLASS REVENUE REQUIREMENT</v>
      </c>
      <c r="C1168" s="82"/>
      <c r="D1168" s="875"/>
      <c r="F1168" s="654"/>
      <c r="U1168" s="654"/>
      <c r="W1168" s="646"/>
    </row>
    <row r="1169" spans="2:23" ht="18" customHeight="1" x14ac:dyDescent="0.25">
      <c r="B1169" s="341" t="str">
        <f>+$B$7</f>
        <v>TEST YEAR ENDING 12/31/2024</v>
      </c>
      <c r="C1169" s="82"/>
      <c r="D1169" s="875"/>
      <c r="F1169" s="654"/>
      <c r="U1169" s="654"/>
      <c r="W1169" s="646"/>
    </row>
    <row r="1170" spans="2:23" ht="18" customHeight="1" x14ac:dyDescent="0.25">
      <c r="B1170" s="341" t="str">
        <f>+$B$8</f>
        <v>SPONSOR:  MATTHEW A. TROXLE</v>
      </c>
      <c r="C1170" s="82"/>
      <c r="D1170" s="875"/>
      <c r="F1170" s="654"/>
      <c r="U1170" s="654"/>
      <c r="W1170" s="646"/>
    </row>
    <row r="1171" spans="2:23" ht="18" customHeight="1" thickBot="1" x14ac:dyDescent="0.3">
      <c r="B1171" s="345"/>
      <c r="C1171" s="843"/>
      <c r="D1171" s="876"/>
      <c r="F1171" s="654"/>
      <c r="U1171" s="654"/>
      <c r="W1171" s="646"/>
    </row>
    <row r="1172" spans="2:23" ht="18" customHeight="1" thickBot="1" x14ac:dyDescent="0.25">
      <c r="B1172" s="655"/>
      <c r="C1172" s="656"/>
      <c r="D1172" s="656"/>
      <c r="E1172" s="656"/>
      <c r="F1172" s="655"/>
      <c r="G1172" s="656"/>
      <c r="H1172" s="656"/>
      <c r="I1172" s="656"/>
      <c r="J1172" s="657"/>
      <c r="K1172" s="657"/>
      <c r="L1172" s="656"/>
      <c r="M1172" s="657"/>
      <c r="N1172" s="657"/>
      <c r="O1172" s="657"/>
      <c r="P1172" s="657"/>
      <c r="Q1172" s="656"/>
      <c r="R1172" s="658" t="str">
        <f>R$10</f>
        <v xml:space="preserve"> </v>
      </c>
      <c r="S1172" s="659"/>
      <c r="T1172" s="657"/>
      <c r="U1172" s="655"/>
      <c r="W1172" s="646"/>
    </row>
    <row r="1173" spans="2:23" ht="18" customHeight="1" x14ac:dyDescent="0.25">
      <c r="B1173" s="660" t="s">
        <v>2</v>
      </c>
      <c r="C1173" s="660" t="s">
        <v>349</v>
      </c>
      <c r="D1173" s="226" t="s">
        <v>668</v>
      </c>
      <c r="E1173" s="660" t="s">
        <v>350</v>
      </c>
      <c r="F1173" s="226" t="str">
        <f>F$11</f>
        <v>MET</v>
      </c>
      <c r="G1173" s="661" t="s">
        <v>688</v>
      </c>
      <c r="H1173" s="661" t="s">
        <v>355</v>
      </c>
      <c r="I1173" s="660"/>
      <c r="J1173" s="661" t="s">
        <v>679</v>
      </c>
      <c r="K1173" s="661" t="s">
        <v>388</v>
      </c>
      <c r="L1173" s="660" t="s">
        <v>388</v>
      </c>
      <c r="M1173" s="661" t="s">
        <v>389</v>
      </c>
      <c r="N1173" s="661" t="s">
        <v>389</v>
      </c>
      <c r="O1173" s="661" t="s">
        <v>389</v>
      </c>
      <c r="P1173" s="661" t="s">
        <v>390</v>
      </c>
      <c r="Q1173" s="660" t="s">
        <v>391</v>
      </c>
      <c r="R1173" s="662" t="str">
        <f>R$11</f>
        <v>Wholesale</v>
      </c>
      <c r="S1173" s="655" t="str">
        <f>S$11</f>
        <v>Wholesale</v>
      </c>
      <c r="T1173" s="661"/>
      <c r="U1173" s="660" t="s">
        <v>10</v>
      </c>
      <c r="W1173" s="646"/>
    </row>
    <row r="1174" spans="2:23" ht="18" customHeight="1" x14ac:dyDescent="0.2">
      <c r="B1174" s="660"/>
      <c r="C1174" s="660"/>
      <c r="D1174" s="660"/>
      <c r="E1174" s="660"/>
      <c r="F1174" s="660"/>
      <c r="G1174" s="661" t="s">
        <v>689</v>
      </c>
      <c r="H1174" s="661" t="s">
        <v>690</v>
      </c>
      <c r="I1174" s="660"/>
      <c r="J1174" s="661"/>
      <c r="K1174" s="661" t="s">
        <v>680</v>
      </c>
      <c r="L1174" s="660" t="s">
        <v>681</v>
      </c>
      <c r="M1174" s="661" t="s">
        <v>680</v>
      </c>
      <c r="N1174" s="661" t="s">
        <v>681</v>
      </c>
      <c r="O1174" s="661" t="s">
        <v>393</v>
      </c>
      <c r="P1174" s="661"/>
      <c r="Q1174" s="660"/>
      <c r="R1174" s="663" t="str">
        <f>R$12</f>
        <v>XFMR</v>
      </c>
      <c r="S1174" s="660" t="str">
        <f>S$12</f>
        <v>DLS</v>
      </c>
      <c r="T1174" s="661"/>
      <c r="U1174" s="660"/>
      <c r="W1174" s="646"/>
    </row>
    <row r="1175" spans="2:23" ht="18" customHeight="1" thickBot="1" x14ac:dyDescent="0.25">
      <c r="B1175" s="664"/>
      <c r="C1175" s="664"/>
      <c r="D1175" s="664"/>
      <c r="E1175" s="664"/>
      <c r="F1175" s="664" t="s">
        <v>13</v>
      </c>
      <c r="G1175" s="664" t="s">
        <v>14</v>
      </c>
      <c r="H1175" s="664" t="s">
        <v>15</v>
      </c>
      <c r="I1175" s="664"/>
      <c r="J1175" s="665" t="str">
        <f t="shared" ref="J1175:Q1175" si="410">J$13</f>
        <v>(d)</v>
      </c>
      <c r="K1175" s="665" t="str">
        <f t="shared" si="410"/>
        <v>(e)</v>
      </c>
      <c r="L1175" s="664" t="str">
        <f t="shared" si="410"/>
        <v>(f)</v>
      </c>
      <c r="M1175" s="665" t="str">
        <f t="shared" si="410"/>
        <v>(g)</v>
      </c>
      <c r="N1175" s="665" t="str">
        <f t="shared" si="410"/>
        <v>(h)</v>
      </c>
      <c r="O1175" s="665" t="str">
        <f>O$13</f>
        <v>(i)</v>
      </c>
      <c r="P1175" s="665" t="str">
        <f t="shared" si="410"/>
        <v>(j)</v>
      </c>
      <c r="Q1175" s="665" t="str">
        <f t="shared" si="410"/>
        <v>(k)</v>
      </c>
      <c r="R1175" s="665" t="str">
        <f>R$13</f>
        <v>(l)</v>
      </c>
      <c r="S1175" s="664" t="str">
        <f>S$13</f>
        <v>(m)</v>
      </c>
      <c r="T1175" s="664"/>
      <c r="U1175" s="664" t="s">
        <v>683</v>
      </c>
      <c r="W1175" s="646"/>
    </row>
    <row r="1176" spans="2:23" ht="18" customHeight="1" x14ac:dyDescent="0.2">
      <c r="C1176" s="666"/>
      <c r="D1176" s="666"/>
      <c r="E1176" s="666"/>
      <c r="F1176" s="666"/>
      <c r="G1176" s="666"/>
      <c r="H1176" s="666"/>
      <c r="I1176" s="666"/>
      <c r="J1176" s="666"/>
      <c r="K1176" s="666"/>
      <c r="L1176" s="666"/>
      <c r="M1176" s="666"/>
      <c r="N1176" s="666"/>
      <c r="O1176" s="666"/>
      <c r="P1176" s="666"/>
      <c r="Q1176" s="666"/>
      <c r="R1176" s="666"/>
      <c r="S1176" s="666"/>
      <c r="T1176" s="666"/>
      <c r="U1176" s="611"/>
      <c r="W1176" s="646">
        <f t="shared" si="409"/>
        <v>0</v>
      </c>
    </row>
    <row r="1177" spans="2:23" ht="18" customHeight="1" x14ac:dyDescent="0.25">
      <c r="B1177" s="645">
        <f t="shared" ref="B1177:B1188" si="411">B1176+1</f>
        <v>1</v>
      </c>
      <c r="C1177" s="301" t="s">
        <v>668</v>
      </c>
      <c r="D1177" s="8"/>
      <c r="E1177" s="1571"/>
      <c r="F1177" s="805"/>
      <c r="G1177" s="1571"/>
      <c r="H1177" s="1571"/>
      <c r="I1177" s="1571"/>
      <c r="J1177" s="1571"/>
      <c r="K1177" s="1571"/>
      <c r="L1177" s="1571"/>
      <c r="M1177" s="1571"/>
      <c r="N1177" s="1571"/>
      <c r="O1177" s="1571"/>
      <c r="P1177" s="1571"/>
      <c r="Q1177" s="1571"/>
      <c r="R1177" s="1571"/>
      <c r="S1177" s="1571"/>
      <c r="T1177" s="1571"/>
      <c r="U1177" s="8"/>
      <c r="W1177" s="646">
        <f t="shared" si="409"/>
        <v>0</v>
      </c>
    </row>
    <row r="1178" spans="2:23" ht="18" customHeight="1" x14ac:dyDescent="0.25">
      <c r="B1178" s="645">
        <f t="shared" si="411"/>
        <v>2</v>
      </c>
      <c r="C1178" s="8"/>
      <c r="D1178" s="647"/>
      <c r="E1178" s="645"/>
      <c r="F1178" s="803"/>
      <c r="G1178" s="645"/>
      <c r="H1178" s="645"/>
      <c r="I1178" s="645"/>
      <c r="J1178" s="645"/>
      <c r="K1178" s="645"/>
      <c r="L1178" s="645"/>
      <c r="M1178" s="645"/>
      <c r="N1178" s="645"/>
      <c r="O1178" s="645"/>
      <c r="P1178" s="645"/>
      <c r="Q1178" s="645"/>
      <c r="R1178" s="645"/>
      <c r="S1178" s="645"/>
      <c r="T1178" s="645"/>
      <c r="U1178" s="647"/>
      <c r="W1178" s="646">
        <f t="shared" si="409"/>
        <v>0</v>
      </c>
    </row>
    <row r="1179" spans="2:23" ht="18" customHeight="1" x14ac:dyDescent="0.25">
      <c r="B1179" s="645">
        <f t="shared" si="411"/>
        <v>3</v>
      </c>
      <c r="C1179" s="8" t="s">
        <v>669</v>
      </c>
      <c r="D1179" s="8"/>
      <c r="E1179" s="1571"/>
      <c r="F1179" s="805"/>
      <c r="G1179" s="1571"/>
      <c r="H1179" s="1571"/>
      <c r="I1179" s="1571"/>
      <c r="J1179" s="1571"/>
      <c r="K1179" s="1571"/>
      <c r="L1179" s="1571"/>
      <c r="M1179" s="1571"/>
      <c r="N1179" s="1571"/>
      <c r="O1179" s="1571"/>
      <c r="P1179" s="1571"/>
      <c r="Q1179" s="1571"/>
      <c r="R1179" s="1571"/>
      <c r="S1179" s="1571"/>
      <c r="T1179" s="1571"/>
      <c r="U1179" s="8"/>
      <c r="W1179" s="646">
        <f t="shared" si="409"/>
        <v>0</v>
      </c>
    </row>
    <row r="1180" spans="2:23" ht="18" customHeight="1" x14ac:dyDescent="0.25">
      <c r="B1180" s="645">
        <f t="shared" si="411"/>
        <v>4</v>
      </c>
      <c r="C1180" s="647" t="s">
        <v>311</v>
      </c>
      <c r="D1180" s="647" t="s">
        <v>312</v>
      </c>
      <c r="E1180" s="1571" t="s">
        <v>313</v>
      </c>
      <c r="F1180" s="646">
        <f>' WP II-I-1.4'!H1181</f>
        <v>0</v>
      </c>
      <c r="G1180" s="645">
        <v>10</v>
      </c>
      <c r="H1180" s="620" t="str">
        <f>VLOOKUP(G1180,FactorTable,2)</f>
        <v>CUS U RTL</v>
      </c>
      <c r="I1180" s="1571"/>
      <c r="J1180" s="648">
        <f t="shared" ref="J1180:S1180" si="412">$F1180*HLOOKUP(J$1354,FactorTable,$G1180+1)</f>
        <v>0</v>
      </c>
      <c r="K1180" s="648">
        <f t="shared" si="412"/>
        <v>0</v>
      </c>
      <c r="L1180" s="648">
        <f t="shared" si="412"/>
        <v>0</v>
      </c>
      <c r="M1180" s="648">
        <f t="shared" si="412"/>
        <v>0</v>
      </c>
      <c r="N1180" s="648">
        <f t="shared" si="412"/>
        <v>0</v>
      </c>
      <c r="O1180" s="648">
        <f t="shared" si="412"/>
        <v>0</v>
      </c>
      <c r="P1180" s="648">
        <f t="shared" si="412"/>
        <v>0</v>
      </c>
      <c r="Q1180" s="648">
        <f t="shared" si="412"/>
        <v>0</v>
      </c>
      <c r="R1180" s="648">
        <f t="shared" si="412"/>
        <v>0</v>
      </c>
      <c r="S1180" s="648">
        <f t="shared" si="412"/>
        <v>0</v>
      </c>
      <c r="T1180" s="1571"/>
      <c r="U1180" s="646">
        <f>SUM(I1180:T1180)</f>
        <v>0</v>
      </c>
      <c r="W1180" s="646">
        <f t="shared" si="409"/>
        <v>0</v>
      </c>
    </row>
    <row r="1181" spans="2:23" ht="18" customHeight="1" thickBot="1" x14ac:dyDescent="0.25">
      <c r="B1181" s="645">
        <f t="shared" si="411"/>
        <v>5</v>
      </c>
      <c r="C1181" s="647"/>
      <c r="D1181" s="647"/>
      <c r="E1181" s="645"/>
      <c r="F1181" s="803"/>
      <c r="G1181" s="645"/>
      <c r="H1181" s="645"/>
      <c r="I1181" s="645"/>
      <c r="J1181" s="645"/>
      <c r="K1181" s="645"/>
      <c r="L1181" s="645"/>
      <c r="M1181" s="645"/>
      <c r="N1181" s="645"/>
      <c r="O1181" s="645"/>
      <c r="P1181" s="645"/>
      <c r="Q1181" s="645"/>
      <c r="R1181" s="645"/>
      <c r="S1181" s="645"/>
      <c r="T1181" s="645"/>
      <c r="U1181" s="647"/>
      <c r="W1181" s="646">
        <f t="shared" si="409"/>
        <v>0</v>
      </c>
    </row>
    <row r="1182" spans="2:23" ht="18" customHeight="1" thickBot="1" x14ac:dyDescent="0.3">
      <c r="B1182" s="645">
        <f t="shared" si="411"/>
        <v>6</v>
      </c>
      <c r="C1182" s="223" t="s">
        <v>670</v>
      </c>
      <c r="D1182" s="271"/>
      <c r="E1182" s="272"/>
      <c r="F1182" s="814">
        <f>+F1180+F1103+F1070-F1068-F1067</f>
        <v>38746664.400000006</v>
      </c>
      <c r="G1182" s="272"/>
      <c r="H1182" s="392"/>
      <c r="I1182" s="393"/>
      <c r="J1182" s="291">
        <f t="shared" ref="J1182:Q1182" ca="1" si="413">+J1180+J1103+J1070-J1068-J1067</f>
        <v>20227106.74067039</v>
      </c>
      <c r="K1182" s="814">
        <f t="shared" ca="1" si="413"/>
        <v>2837525.596945107</v>
      </c>
      <c r="L1182" s="814">
        <f t="shared" ca="1" si="413"/>
        <v>11159529.139453921</v>
      </c>
      <c r="M1182" s="814">
        <f t="shared" ca="1" si="413"/>
        <v>469928.68527244363</v>
      </c>
      <c r="N1182" s="814">
        <f t="shared" ca="1" si="413"/>
        <v>3618758.34380484</v>
      </c>
      <c r="O1182" s="814">
        <f ca="1">+O1180+O1103+O1070-O1068-O1067</f>
        <v>118733.68163515645</v>
      </c>
      <c r="P1182" s="814">
        <f t="shared" ca="1" si="413"/>
        <v>247713.19357441249</v>
      </c>
      <c r="Q1182" s="814">
        <f t="shared" ca="1" si="413"/>
        <v>20974.496932281709</v>
      </c>
      <c r="R1182" s="814">
        <f ca="1">+R1180+R1103+R1070-R1068-R1067</f>
        <v>13110.84019846151</v>
      </c>
      <c r="S1182" s="218">
        <f ca="1">+S1180+S1103+S1070-S1068-S1067</f>
        <v>33283.681512980518</v>
      </c>
      <c r="T1182" s="393"/>
      <c r="U1182" s="218">
        <f ca="1">SUM(I1182:T1182)</f>
        <v>38746664.399999999</v>
      </c>
      <c r="W1182" s="646">
        <f t="shared" ca="1" si="409"/>
        <v>0</v>
      </c>
    </row>
    <row r="1183" spans="2:23" ht="18" customHeight="1" thickBot="1" x14ac:dyDescent="0.3">
      <c r="B1183" s="645">
        <f t="shared" si="411"/>
        <v>7</v>
      </c>
      <c r="C1183" s="8"/>
      <c r="D1183" s="34"/>
      <c r="E1183" s="806"/>
      <c r="F1183" s="807"/>
      <c r="G1183" s="806"/>
      <c r="H1183" s="806"/>
      <c r="I1183" s="806"/>
      <c r="J1183" s="807"/>
      <c r="K1183" s="807"/>
      <c r="L1183" s="807"/>
      <c r="M1183" s="807"/>
      <c r="N1183" s="807"/>
      <c r="O1183" s="807"/>
      <c r="P1183" s="807"/>
      <c r="Q1183" s="807"/>
      <c r="R1183" s="807"/>
      <c r="S1183" s="807"/>
      <c r="T1183" s="806"/>
      <c r="U1183" s="668"/>
      <c r="V1183" s="620"/>
      <c r="W1183" s="646">
        <f t="shared" si="409"/>
        <v>0</v>
      </c>
    </row>
    <row r="1184" spans="2:23" ht="18" customHeight="1" thickBot="1" x14ac:dyDescent="0.3">
      <c r="B1184" s="645">
        <f t="shared" si="411"/>
        <v>8</v>
      </c>
      <c r="C1184" s="223" t="s">
        <v>671</v>
      </c>
      <c r="D1184" s="271"/>
      <c r="E1184" s="272"/>
      <c r="F1184" s="814">
        <f>F1182+F1162</f>
        <v>40527511.249116652</v>
      </c>
      <c r="G1184" s="272"/>
      <c r="H1184" s="392"/>
      <c r="I1184" s="393"/>
      <c r="J1184" s="291">
        <f t="shared" ref="J1184:Q1184" ca="1" si="414">J1182+J1162</f>
        <v>21156534.1179896</v>
      </c>
      <c r="K1184" s="814">
        <f t="shared" ca="1" si="414"/>
        <v>2967863.1137805651</v>
      </c>
      <c r="L1184" s="814">
        <f t="shared" ca="1" si="414"/>
        <v>11672870.868615951</v>
      </c>
      <c r="M1184" s="814">
        <f t="shared" ca="1" si="414"/>
        <v>491510.10530246026</v>
      </c>
      <c r="N1184" s="814">
        <f t="shared" ca="1" si="414"/>
        <v>3785028.3480045768</v>
      </c>
      <c r="O1184" s="814">
        <f ca="1">O1182+O1162</f>
        <v>124167.84286238137</v>
      </c>
      <c r="P1184" s="814">
        <f t="shared" ca="1" si="414"/>
        <v>259160.314570104</v>
      </c>
      <c r="Q1184" s="814">
        <f t="shared" ca="1" si="414"/>
        <v>21861.413045521746</v>
      </c>
      <c r="R1184" s="814">
        <f ca="1">R1182+R1162</f>
        <v>13709.849081561444</v>
      </c>
      <c r="S1184" s="218">
        <f ca="1">S1182+S1162</f>
        <v>34805.27586391964</v>
      </c>
      <c r="T1184" s="393"/>
      <c r="U1184" s="218">
        <f ca="1">SUM(I1184:T1184)</f>
        <v>40527511.249116644</v>
      </c>
      <c r="W1184" s="646">
        <f t="shared" ca="1" si="409"/>
        <v>0</v>
      </c>
    </row>
    <row r="1185" spans="2:23" ht="18" customHeight="1" thickBot="1" x14ac:dyDescent="0.3">
      <c r="B1185" s="645">
        <f t="shared" si="411"/>
        <v>9</v>
      </c>
      <c r="C1185" s="8"/>
      <c r="D1185" s="34"/>
      <c r="E1185" s="806"/>
      <c r="F1185" s="807"/>
      <c r="G1185" s="806"/>
      <c r="H1185" s="806"/>
      <c r="I1185" s="806"/>
      <c r="J1185" s="807"/>
      <c r="K1185" s="807"/>
      <c r="L1185" s="807"/>
      <c r="M1185" s="807"/>
      <c r="N1185" s="807"/>
      <c r="O1185" s="807"/>
      <c r="P1185" s="807"/>
      <c r="Q1185" s="807"/>
      <c r="R1185" s="807"/>
      <c r="S1185" s="807"/>
      <c r="T1185" s="806"/>
      <c r="U1185" s="668"/>
      <c r="V1185" s="620"/>
      <c r="W1185" s="646">
        <f t="shared" si="409"/>
        <v>0</v>
      </c>
    </row>
    <row r="1186" spans="2:23" ht="18" customHeight="1" thickBot="1" x14ac:dyDescent="0.3">
      <c r="B1186" s="645">
        <f t="shared" si="411"/>
        <v>10</v>
      </c>
      <c r="C1186" s="223" t="s">
        <v>672</v>
      </c>
      <c r="D1186" s="271"/>
      <c r="E1186" s="272"/>
      <c r="F1186" s="814">
        <f>F1162+F1103+F1070+F785</f>
        <v>186405248.59911665</v>
      </c>
      <c r="G1186" s="272"/>
      <c r="H1186" s="392"/>
      <c r="I1186" s="393"/>
      <c r="J1186" s="291">
        <f t="shared" ref="J1186:Q1186" ca="1" si="415">J1162+J1103+J1070+J785</f>
        <v>97307167.892790779</v>
      </c>
      <c r="K1186" s="814">
        <f t="shared" ca="1" si="415"/>
        <v>13647722.637182089</v>
      </c>
      <c r="L1186" s="814">
        <f t="shared" ca="1" si="415"/>
        <v>53667952.024439931</v>
      </c>
      <c r="M1186" s="814">
        <f t="shared" ca="1" si="415"/>
        <v>2259749.0371786579</v>
      </c>
      <c r="N1186" s="814">
        <f t="shared" ca="1" si="415"/>
        <v>17402544.956519548</v>
      </c>
      <c r="O1186" s="814">
        <f ca="1">O1162+O1103+O1070+O785</f>
        <v>571519.39509866224</v>
      </c>
      <c r="P1186" s="814">
        <f t="shared" ca="1" si="415"/>
        <v>1191085.7481593261</v>
      </c>
      <c r="Q1186" s="814">
        <f t="shared" ca="1" si="415"/>
        <v>134314.4633478648</v>
      </c>
      <c r="R1186" s="814">
        <f ca="1">R1162+R1103+R1070+R785</f>
        <v>63086.674602946165</v>
      </c>
      <c r="S1186" s="218">
        <f ca="1">S1162+S1103+S1070+S785</f>
        <v>160105.76979684987</v>
      </c>
      <c r="T1186" s="393"/>
      <c r="U1186" s="218">
        <f ca="1">SUM(I1186:T1186)</f>
        <v>186405248.59911662</v>
      </c>
      <c r="W1186" s="646">
        <f t="shared" ca="1" si="409"/>
        <v>0</v>
      </c>
    </row>
    <row r="1187" spans="2:23" ht="18" customHeight="1" thickBot="1" x14ac:dyDescent="0.3">
      <c r="B1187" s="645">
        <f t="shared" si="411"/>
        <v>11</v>
      </c>
      <c r="C1187" s="8"/>
      <c r="D1187" s="34"/>
      <c r="E1187" s="806"/>
      <c r="F1187" s="807"/>
      <c r="G1187" s="806"/>
      <c r="H1187" s="806"/>
      <c r="I1187" s="806"/>
      <c r="J1187" s="807"/>
      <c r="K1187" s="807"/>
      <c r="L1187" s="807"/>
      <c r="M1187" s="807"/>
      <c r="N1187" s="807"/>
      <c r="O1187" s="807"/>
      <c r="P1187" s="807"/>
      <c r="Q1187" s="807"/>
      <c r="R1187" s="807"/>
      <c r="S1187" s="807"/>
      <c r="T1187" s="806"/>
      <c r="U1187" s="668"/>
      <c r="V1187" s="620"/>
      <c r="W1187" s="646">
        <f t="shared" si="409"/>
        <v>0</v>
      </c>
    </row>
    <row r="1188" spans="2:23" ht="18" customHeight="1" thickBot="1" x14ac:dyDescent="0.3">
      <c r="B1188" s="645">
        <f t="shared" si="411"/>
        <v>12</v>
      </c>
      <c r="C1188" s="223" t="s">
        <v>1146</v>
      </c>
      <c r="D1188" s="271"/>
      <c r="E1188" s="272"/>
      <c r="F1188" s="814">
        <f>F1186-F645</f>
        <v>186405248.59911665</v>
      </c>
      <c r="G1188" s="272"/>
      <c r="H1188" s="392"/>
      <c r="I1188" s="393"/>
      <c r="J1188" s="291">
        <f t="shared" ref="J1188:Q1188" ca="1" si="416">J1186-J645</f>
        <v>97307167.892790779</v>
      </c>
      <c r="K1188" s="814">
        <f t="shared" ca="1" si="416"/>
        <v>13647722.637182089</v>
      </c>
      <c r="L1188" s="814">
        <f t="shared" ca="1" si="416"/>
        <v>53667952.024439931</v>
      </c>
      <c r="M1188" s="814">
        <f t="shared" ca="1" si="416"/>
        <v>2259749.0371786579</v>
      </c>
      <c r="N1188" s="814">
        <f t="shared" ca="1" si="416"/>
        <v>17402544.956519548</v>
      </c>
      <c r="O1188" s="814">
        <f ca="1">O1186-O645</f>
        <v>571519.39509866224</v>
      </c>
      <c r="P1188" s="814">
        <f t="shared" ca="1" si="416"/>
        <v>1191085.7481593261</v>
      </c>
      <c r="Q1188" s="814">
        <f t="shared" ca="1" si="416"/>
        <v>134314.4633478648</v>
      </c>
      <c r="R1188" s="814">
        <f ca="1">R1186-R645</f>
        <v>63086.674602946165</v>
      </c>
      <c r="S1188" s="218">
        <f ca="1">S1186-S645</f>
        <v>160105.76979684987</v>
      </c>
      <c r="T1188" s="393"/>
      <c r="U1188" s="218">
        <f ca="1">SUM(I1188:T1188)</f>
        <v>186405248.59911662</v>
      </c>
      <c r="W1188" s="646">
        <f t="shared" ca="1" si="409"/>
        <v>0</v>
      </c>
    </row>
    <row r="1189" spans="2:23" ht="18" customHeight="1" x14ac:dyDescent="0.2">
      <c r="W1189" s="646">
        <f t="shared" si="409"/>
        <v>0</v>
      </c>
    </row>
    <row r="1190" spans="2:23" ht="18" customHeight="1" x14ac:dyDescent="0.2">
      <c r="H1190" s="653"/>
      <c r="U1190" s="653"/>
      <c r="V1190" s="653">
        <f>$H$2</f>
        <v>0</v>
      </c>
      <c r="W1190" s="646"/>
    </row>
    <row r="1191" spans="2:23" ht="18" customHeight="1" thickBot="1" x14ac:dyDescent="0.25">
      <c r="W1191" s="646"/>
    </row>
    <row r="1192" spans="2:23" ht="18" customHeight="1" x14ac:dyDescent="0.25">
      <c r="B1192" s="829" t="str">
        <f>+$B$4</f>
        <v>2025 RATE CASE</v>
      </c>
      <c r="C1192" s="844"/>
      <c r="D1192" s="877"/>
      <c r="F1192" s="571"/>
      <c r="U1192" s="653"/>
      <c r="W1192" s="646"/>
    </row>
    <row r="1193" spans="2:23" ht="18" customHeight="1" x14ac:dyDescent="0.25">
      <c r="B1193" s="826" t="str">
        <f>+$B$5</f>
        <v>ONCOR ELECTRIC DELIVERY COMPANY LLC</v>
      </c>
      <c r="C1193" s="8"/>
      <c r="D1193" s="878"/>
      <c r="F1193" s="571"/>
      <c r="U1193" s="653"/>
      <c r="W1193" s="646"/>
    </row>
    <row r="1194" spans="2:23" ht="18" customHeight="1" x14ac:dyDescent="0.25">
      <c r="B1194" s="826" t="str">
        <f>+$B$6</f>
        <v>II-I-1-MET:  CLASS REVENUE REQUIREMENT</v>
      </c>
      <c r="C1194" s="82"/>
      <c r="D1194" s="878"/>
      <c r="F1194" s="571"/>
      <c r="U1194" s="571"/>
      <c r="W1194" s="646"/>
    </row>
    <row r="1195" spans="2:23" ht="18" customHeight="1" x14ac:dyDescent="0.25">
      <c r="B1195" s="341" t="str">
        <f>+$B$7</f>
        <v>TEST YEAR ENDING 12/31/2024</v>
      </c>
      <c r="C1195" s="82"/>
      <c r="D1195" s="878"/>
      <c r="F1195" s="571"/>
      <c r="U1195" s="571"/>
      <c r="W1195" s="646"/>
    </row>
    <row r="1196" spans="2:23" ht="18" customHeight="1" x14ac:dyDescent="0.25">
      <c r="B1196" s="341" t="str">
        <f>+$B$8</f>
        <v>SPONSOR:  MATTHEW A. TROXLE</v>
      </c>
      <c r="C1196" s="82"/>
      <c r="D1196" s="878"/>
      <c r="F1196" s="571"/>
      <c r="U1196" s="571"/>
      <c r="W1196" s="646"/>
    </row>
    <row r="1197" spans="2:23" ht="18" customHeight="1" thickBot="1" x14ac:dyDescent="0.3">
      <c r="B1197" s="345"/>
      <c r="C1197" s="843"/>
      <c r="D1197" s="879"/>
      <c r="F1197" s="571"/>
      <c r="U1197" s="571"/>
      <c r="W1197" s="646"/>
    </row>
    <row r="1198" spans="2:23" ht="18" customHeight="1" thickBot="1" x14ac:dyDescent="0.25">
      <c r="B1198" s="655"/>
      <c r="C1198" s="656"/>
      <c r="D1198" s="656"/>
      <c r="E1198" s="656"/>
      <c r="F1198" s="655"/>
      <c r="G1198" s="656"/>
      <c r="H1198" s="656"/>
      <c r="I1198" s="656"/>
      <c r="J1198" s="657"/>
      <c r="K1198" s="657"/>
      <c r="L1198" s="656"/>
      <c r="M1198" s="657"/>
      <c r="N1198" s="657"/>
      <c r="O1198" s="657"/>
      <c r="P1198" s="657"/>
      <c r="Q1198" s="656"/>
      <c r="R1198" s="658" t="str">
        <f>R$10</f>
        <v xml:space="preserve"> </v>
      </c>
      <c r="S1198" s="659"/>
      <c r="T1198" s="657"/>
      <c r="U1198" s="655"/>
      <c r="W1198" s="646"/>
    </row>
    <row r="1199" spans="2:23" ht="18" customHeight="1" x14ac:dyDescent="0.25">
      <c r="B1199" s="660" t="s">
        <v>2</v>
      </c>
      <c r="C1199" s="660" t="s">
        <v>349</v>
      </c>
      <c r="D1199" s="226" t="s">
        <v>317</v>
      </c>
      <c r="E1199" s="660" t="s">
        <v>350</v>
      </c>
      <c r="F1199" s="226" t="str">
        <f>F$11</f>
        <v>MET</v>
      </c>
      <c r="G1199" s="661" t="s">
        <v>688</v>
      </c>
      <c r="H1199" s="661" t="s">
        <v>355</v>
      </c>
      <c r="I1199" s="660"/>
      <c r="J1199" s="661" t="s">
        <v>679</v>
      </c>
      <c r="K1199" s="661" t="s">
        <v>388</v>
      </c>
      <c r="L1199" s="660" t="s">
        <v>388</v>
      </c>
      <c r="M1199" s="661" t="s">
        <v>389</v>
      </c>
      <c r="N1199" s="661" t="s">
        <v>389</v>
      </c>
      <c r="O1199" s="661" t="s">
        <v>389</v>
      </c>
      <c r="P1199" s="661" t="s">
        <v>390</v>
      </c>
      <c r="Q1199" s="660" t="s">
        <v>391</v>
      </c>
      <c r="R1199" s="662" t="str">
        <f>R$11</f>
        <v>Wholesale</v>
      </c>
      <c r="S1199" s="655" t="str">
        <f>S$11</f>
        <v>Wholesale</v>
      </c>
      <c r="T1199" s="661"/>
      <c r="U1199" s="660" t="s">
        <v>10</v>
      </c>
      <c r="W1199" s="646"/>
    </row>
    <row r="1200" spans="2:23" ht="18" customHeight="1" x14ac:dyDescent="0.2">
      <c r="B1200" s="660"/>
      <c r="C1200" s="660"/>
      <c r="D1200" s="660"/>
      <c r="E1200" s="660"/>
      <c r="F1200" s="660"/>
      <c r="G1200" s="661" t="s">
        <v>689</v>
      </c>
      <c r="H1200" s="661" t="s">
        <v>690</v>
      </c>
      <c r="I1200" s="660"/>
      <c r="J1200" s="661"/>
      <c r="K1200" s="661" t="s">
        <v>680</v>
      </c>
      <c r="L1200" s="660" t="s">
        <v>681</v>
      </c>
      <c r="M1200" s="661" t="s">
        <v>680</v>
      </c>
      <c r="N1200" s="661" t="s">
        <v>681</v>
      </c>
      <c r="O1200" s="661" t="s">
        <v>393</v>
      </c>
      <c r="P1200" s="661"/>
      <c r="Q1200" s="660"/>
      <c r="R1200" s="663" t="str">
        <f>R$12</f>
        <v>XFMR</v>
      </c>
      <c r="S1200" s="660" t="str">
        <f>S$12</f>
        <v>DLS</v>
      </c>
      <c r="T1200" s="661"/>
      <c r="U1200" s="660"/>
      <c r="W1200" s="646"/>
    </row>
    <row r="1201" spans="2:23" ht="18" customHeight="1" thickBot="1" x14ac:dyDescent="0.25">
      <c r="B1201" s="664"/>
      <c r="C1201" s="664"/>
      <c r="D1201" s="664"/>
      <c r="E1201" s="664"/>
      <c r="F1201" s="664" t="s">
        <v>13</v>
      </c>
      <c r="G1201" s="664" t="s">
        <v>14</v>
      </c>
      <c r="H1201" s="664" t="s">
        <v>15</v>
      </c>
      <c r="I1201" s="664"/>
      <c r="J1201" s="665" t="str">
        <f t="shared" ref="J1201:Q1201" si="417">J$13</f>
        <v>(d)</v>
      </c>
      <c r="K1201" s="665" t="str">
        <f t="shared" si="417"/>
        <v>(e)</v>
      </c>
      <c r="L1201" s="664" t="str">
        <f t="shared" si="417"/>
        <v>(f)</v>
      </c>
      <c r="M1201" s="665" t="str">
        <f t="shared" si="417"/>
        <v>(g)</v>
      </c>
      <c r="N1201" s="665" t="str">
        <f t="shared" si="417"/>
        <v>(h)</v>
      </c>
      <c r="O1201" s="665" t="str">
        <f>O$13</f>
        <v>(i)</v>
      </c>
      <c r="P1201" s="665" t="str">
        <f t="shared" si="417"/>
        <v>(j)</v>
      </c>
      <c r="Q1201" s="665" t="str">
        <f t="shared" si="417"/>
        <v>(k)</v>
      </c>
      <c r="R1201" s="665" t="str">
        <f>R$13</f>
        <v>(l)</v>
      </c>
      <c r="S1201" s="664" t="str">
        <f>S$13</f>
        <v>(m)</v>
      </c>
      <c r="T1201" s="664"/>
      <c r="U1201" s="664" t="s">
        <v>683</v>
      </c>
      <c r="W1201" s="646"/>
    </row>
    <row r="1202" spans="2:23" ht="18" customHeight="1" x14ac:dyDescent="0.2">
      <c r="C1202" s="672"/>
      <c r="D1202" s="672"/>
      <c r="E1202" s="673"/>
      <c r="F1202" s="674"/>
      <c r="G1202" s="645"/>
      <c r="H1202" s="673"/>
      <c r="I1202" s="673"/>
      <c r="J1202" s="673"/>
      <c r="K1202" s="673"/>
      <c r="L1202" s="673"/>
      <c r="M1202" s="673"/>
      <c r="N1202" s="673"/>
      <c r="O1202" s="673"/>
      <c r="P1202" s="673"/>
      <c r="Q1202" s="673"/>
      <c r="R1202" s="673"/>
      <c r="S1202" s="673"/>
      <c r="T1202" s="673"/>
      <c r="U1202" s="647"/>
      <c r="W1202" s="646">
        <f t="shared" si="409"/>
        <v>0</v>
      </c>
    </row>
    <row r="1203" spans="2:23" ht="18" customHeight="1" x14ac:dyDescent="0.25">
      <c r="B1203" s="645">
        <f t="shared" ref="B1203:B1205" si="418">B1202+1</f>
        <v>1</v>
      </c>
      <c r="C1203" s="8" t="s">
        <v>673</v>
      </c>
      <c r="D1203" s="8"/>
      <c r="E1203" s="1571" t="s">
        <v>318</v>
      </c>
      <c r="F1203" s="805"/>
      <c r="G1203" s="645"/>
      <c r="H1203" s="1571"/>
      <c r="I1203" s="1571"/>
      <c r="J1203" s="1571"/>
      <c r="K1203" s="1571"/>
      <c r="L1203" s="1571"/>
      <c r="M1203" s="1571"/>
      <c r="N1203" s="1571"/>
      <c r="O1203" s="1571"/>
      <c r="P1203" s="1571"/>
      <c r="Q1203" s="1571"/>
      <c r="R1203" s="1571"/>
      <c r="S1203" s="1571"/>
      <c r="T1203" s="1571"/>
      <c r="U1203" s="8"/>
      <c r="W1203" s="646">
        <f t="shared" si="409"/>
        <v>0</v>
      </c>
    </row>
    <row r="1204" spans="2:23" ht="18" customHeight="1" x14ac:dyDescent="0.25">
      <c r="B1204" s="645">
        <f t="shared" si="418"/>
        <v>2</v>
      </c>
      <c r="C1204" s="8" t="s">
        <v>319</v>
      </c>
      <c r="D1204" s="8"/>
      <c r="E1204" s="1571"/>
      <c r="F1204" s="805"/>
      <c r="G1204" s="645"/>
      <c r="H1204" s="1571"/>
      <c r="I1204" s="1571"/>
      <c r="J1204" s="1571"/>
      <c r="K1204" s="1571"/>
      <c r="L1204" s="1571"/>
      <c r="M1204" s="1571"/>
      <c r="N1204" s="1571"/>
      <c r="O1204" s="1571"/>
      <c r="P1204" s="1571"/>
      <c r="Q1204" s="1571"/>
      <c r="R1204" s="1571"/>
      <c r="S1204" s="1571"/>
      <c r="T1204" s="1571"/>
      <c r="U1204" s="8"/>
      <c r="W1204" s="646">
        <f t="shared" si="409"/>
        <v>0</v>
      </c>
    </row>
    <row r="1205" spans="2:23" ht="18" customHeight="1" x14ac:dyDescent="0.2">
      <c r="B1205" s="645">
        <f t="shared" si="418"/>
        <v>3</v>
      </c>
      <c r="C1205" s="647" t="s">
        <v>320</v>
      </c>
      <c r="D1205" s="647" t="s">
        <v>321</v>
      </c>
      <c r="E1205" s="645"/>
      <c r="F1205" s="646">
        <f>' WP II-I-1.4'!H1206</f>
        <v>0</v>
      </c>
      <c r="G1205" s="645">
        <v>26</v>
      </c>
      <c r="H1205" s="620" t="str">
        <f t="shared" ref="H1205:H1217" si="419">VLOOKUP(G1205,FactorTable,2)</f>
        <v>NCP ALL</v>
      </c>
      <c r="I1205" s="645"/>
      <c r="J1205" s="648">
        <f t="shared" ref="J1205:S1207" si="420">$F1205*HLOOKUP(J$1354,FactorTable,$G1205+1)</f>
        <v>0</v>
      </c>
      <c r="K1205" s="648">
        <f t="shared" si="420"/>
        <v>0</v>
      </c>
      <c r="L1205" s="648">
        <f t="shared" si="420"/>
        <v>0</v>
      </c>
      <c r="M1205" s="648">
        <f t="shared" si="420"/>
        <v>0</v>
      </c>
      <c r="N1205" s="648">
        <f t="shared" si="420"/>
        <v>0</v>
      </c>
      <c r="O1205" s="648">
        <f t="shared" si="420"/>
        <v>0</v>
      </c>
      <c r="P1205" s="648">
        <f t="shared" si="420"/>
        <v>0</v>
      </c>
      <c r="Q1205" s="648">
        <f t="shared" si="420"/>
        <v>0</v>
      </c>
      <c r="R1205" s="648">
        <f t="shared" si="420"/>
        <v>0</v>
      </c>
      <c r="S1205" s="648">
        <f t="shared" si="420"/>
        <v>0</v>
      </c>
      <c r="T1205" s="645"/>
      <c r="U1205" s="646">
        <f t="shared" ref="U1205:U1220" si="421">SUM(I1205:T1205)</f>
        <v>0</v>
      </c>
      <c r="W1205" s="646">
        <f t="shared" si="409"/>
        <v>0</v>
      </c>
    </row>
    <row r="1206" spans="2:23" ht="18" customHeight="1" x14ac:dyDescent="0.2">
      <c r="B1206" s="645">
        <f>B1205+1</f>
        <v>4</v>
      </c>
      <c r="C1206" s="647" t="s">
        <v>322</v>
      </c>
      <c r="D1206" s="647" t="s">
        <v>323</v>
      </c>
      <c r="E1206" s="645"/>
      <c r="F1206" s="668">
        <f>' WP II-I-1.4'!H1207</f>
        <v>0</v>
      </c>
      <c r="G1206" s="645">
        <v>92</v>
      </c>
      <c r="H1206" s="620" t="str">
        <f t="shared" si="419"/>
        <v>RCOS x565</v>
      </c>
      <c r="I1206" s="645"/>
      <c r="J1206" s="648">
        <f t="shared" ca="1" si="420"/>
        <v>0</v>
      </c>
      <c r="K1206" s="648">
        <f t="shared" ca="1" si="420"/>
        <v>0</v>
      </c>
      <c r="L1206" s="648">
        <f t="shared" ca="1" si="420"/>
        <v>0</v>
      </c>
      <c r="M1206" s="648">
        <f t="shared" ca="1" si="420"/>
        <v>0</v>
      </c>
      <c r="N1206" s="648">
        <f t="shared" ca="1" si="420"/>
        <v>0</v>
      </c>
      <c r="O1206" s="648">
        <f t="shared" ca="1" si="420"/>
        <v>0</v>
      </c>
      <c r="P1206" s="648">
        <f t="shared" ca="1" si="420"/>
        <v>0</v>
      </c>
      <c r="Q1206" s="648">
        <f t="shared" ca="1" si="420"/>
        <v>0</v>
      </c>
      <c r="R1206" s="648">
        <f t="shared" si="420"/>
        <v>0</v>
      </c>
      <c r="S1206" s="648">
        <f t="shared" si="420"/>
        <v>0</v>
      </c>
      <c r="T1206" s="645"/>
      <c r="U1206" s="646">
        <f t="shared" ca="1" si="421"/>
        <v>0</v>
      </c>
      <c r="W1206" s="646">
        <f t="shared" ca="1" si="409"/>
        <v>0</v>
      </c>
    </row>
    <row r="1207" spans="2:23" ht="18" customHeight="1" x14ac:dyDescent="0.2">
      <c r="B1207" s="645">
        <f>B1206+1</f>
        <v>5</v>
      </c>
      <c r="C1207" s="620" t="s">
        <v>322</v>
      </c>
      <c r="D1207" s="620" t="s">
        <v>1297</v>
      </c>
      <c r="E1207" s="620"/>
      <c r="F1207" s="668">
        <f>' WP II-I-1.4'!H1208</f>
        <v>0</v>
      </c>
      <c r="G1207" s="645">
        <v>6</v>
      </c>
      <c r="H1207" s="620" t="str">
        <f t="shared" ref="H1207" si="422">VLOOKUP(G1207,FactorTable,2)</f>
        <v>CUS W ALL</v>
      </c>
      <c r="I1207" s="645"/>
      <c r="J1207" s="648">
        <f t="shared" si="420"/>
        <v>0</v>
      </c>
      <c r="K1207" s="648">
        <f t="shared" si="420"/>
        <v>0</v>
      </c>
      <c r="L1207" s="648">
        <f t="shared" si="420"/>
        <v>0</v>
      </c>
      <c r="M1207" s="648">
        <f t="shared" si="420"/>
        <v>0</v>
      </c>
      <c r="N1207" s="648">
        <f t="shared" si="420"/>
        <v>0</v>
      </c>
      <c r="O1207" s="648">
        <f t="shared" si="420"/>
        <v>0</v>
      </c>
      <c r="P1207" s="648">
        <f t="shared" si="420"/>
        <v>0</v>
      </c>
      <c r="Q1207" s="648">
        <f t="shared" si="420"/>
        <v>0</v>
      </c>
      <c r="R1207" s="648">
        <f t="shared" si="420"/>
        <v>0</v>
      </c>
      <c r="S1207" s="648">
        <f t="shared" si="420"/>
        <v>0</v>
      </c>
      <c r="T1207" s="645"/>
      <c r="U1207" s="646">
        <f t="shared" ref="U1207" si="423">SUM(I1207:T1207)</f>
        <v>0</v>
      </c>
      <c r="W1207" s="646">
        <f t="shared" ref="W1207" si="424">U1207-F1207</f>
        <v>0</v>
      </c>
    </row>
    <row r="1208" spans="2:23" ht="18" customHeight="1" x14ac:dyDescent="0.2">
      <c r="B1208" s="645">
        <f t="shared" ref="B1208:B1230" si="425">B1207+1</f>
        <v>6</v>
      </c>
      <c r="C1208" s="647" t="s">
        <v>674</v>
      </c>
      <c r="D1208" s="650" t="s">
        <v>324</v>
      </c>
      <c r="E1208" s="645"/>
      <c r="F1208" s="668">
        <f>' WP II-I-1.4'!H1209</f>
        <v>14115591</v>
      </c>
      <c r="G1208" s="645">
        <v>8</v>
      </c>
      <c r="H1208" s="620" t="str">
        <f t="shared" si="419"/>
        <v>CUS W RTL</v>
      </c>
      <c r="I1208" s="645"/>
      <c r="J1208" s="648">
        <f t="shared" ref="J1208:S1215" si="426">$F1208*HLOOKUP(J$1354,FactorTable,$G1208+1)</f>
        <v>7377787.3530281754</v>
      </c>
      <c r="K1208" s="648">
        <f t="shared" si="426"/>
        <v>1034993.4858833906</v>
      </c>
      <c r="L1208" s="648">
        <f t="shared" si="426"/>
        <v>4070293.4122678973</v>
      </c>
      <c r="M1208" s="648">
        <f t="shared" si="426"/>
        <v>171408.41556116132</v>
      </c>
      <c r="N1208" s="648">
        <f t="shared" si="426"/>
        <v>1319935.286245439</v>
      </c>
      <c r="O1208" s="648">
        <f t="shared" si="426"/>
        <v>43309.978514421688</v>
      </c>
      <c r="P1208" s="648">
        <f t="shared" si="426"/>
        <v>90339.832484069804</v>
      </c>
      <c r="Q1208" s="648">
        <f t="shared" si="426"/>
        <v>7523.2360154416447</v>
      </c>
      <c r="R1208" s="648">
        <f t="shared" si="426"/>
        <v>0</v>
      </c>
      <c r="S1208" s="648">
        <f t="shared" si="426"/>
        <v>0</v>
      </c>
      <c r="T1208" s="645"/>
      <c r="U1208" s="646">
        <f t="shared" si="421"/>
        <v>14115590.999999998</v>
      </c>
      <c r="W1208" s="646">
        <f t="shared" si="409"/>
        <v>0</v>
      </c>
    </row>
    <row r="1209" spans="2:23" ht="18" customHeight="1" x14ac:dyDescent="0.2">
      <c r="B1209" s="645">
        <f t="shared" si="425"/>
        <v>7</v>
      </c>
      <c r="C1209" s="647" t="s">
        <v>674</v>
      </c>
      <c r="D1209" s="647" t="s">
        <v>325</v>
      </c>
      <c r="E1209" s="645"/>
      <c r="F1209" s="668">
        <f>' WP II-I-1.4'!H1210</f>
        <v>0</v>
      </c>
      <c r="G1209" s="645">
        <v>58</v>
      </c>
      <c r="H1209" s="620" t="str">
        <f t="shared" si="419"/>
        <v>PLTDIST_N</v>
      </c>
      <c r="I1209" s="645"/>
      <c r="J1209" s="648">
        <f t="shared" ca="1" si="426"/>
        <v>0</v>
      </c>
      <c r="K1209" s="648">
        <f t="shared" ca="1" si="426"/>
        <v>0</v>
      </c>
      <c r="L1209" s="648">
        <f t="shared" ca="1" si="426"/>
        <v>0</v>
      </c>
      <c r="M1209" s="648">
        <f t="shared" ca="1" si="426"/>
        <v>0</v>
      </c>
      <c r="N1209" s="648">
        <f t="shared" ca="1" si="426"/>
        <v>0</v>
      </c>
      <c r="O1209" s="648">
        <f t="shared" ca="1" si="426"/>
        <v>0</v>
      </c>
      <c r="P1209" s="648">
        <f t="shared" ca="1" si="426"/>
        <v>0</v>
      </c>
      <c r="Q1209" s="648">
        <f t="shared" ca="1" si="426"/>
        <v>0</v>
      </c>
      <c r="R1209" s="648">
        <f t="shared" ca="1" si="426"/>
        <v>0</v>
      </c>
      <c r="S1209" s="648">
        <f t="shared" ca="1" si="426"/>
        <v>0</v>
      </c>
      <c r="T1209" s="645"/>
      <c r="U1209" s="646">
        <f t="shared" ca="1" si="421"/>
        <v>0</v>
      </c>
      <c r="W1209" s="646">
        <f t="shared" ca="1" si="409"/>
        <v>0</v>
      </c>
    </row>
    <row r="1210" spans="2:23" ht="18.95" customHeight="1" x14ac:dyDescent="0.2">
      <c r="B1210" s="645">
        <f t="shared" si="425"/>
        <v>8</v>
      </c>
      <c r="C1210" s="647" t="s">
        <v>326</v>
      </c>
      <c r="D1210" s="647" t="s">
        <v>327</v>
      </c>
      <c r="E1210" s="645"/>
      <c r="F1210" s="668">
        <f>' WP II-I-1.4'!H1211</f>
        <v>0</v>
      </c>
      <c r="G1210" s="645">
        <v>45</v>
      </c>
      <c r="H1210" s="620" t="str">
        <f t="shared" si="419"/>
        <v>PLT 364</v>
      </c>
      <c r="I1210" s="645"/>
      <c r="J1210" s="648">
        <f t="shared" si="426"/>
        <v>0</v>
      </c>
      <c r="K1210" s="648">
        <f t="shared" si="426"/>
        <v>0</v>
      </c>
      <c r="L1210" s="648">
        <f t="shared" si="426"/>
        <v>0</v>
      </c>
      <c r="M1210" s="648">
        <f t="shared" si="426"/>
        <v>0</v>
      </c>
      <c r="N1210" s="648">
        <f t="shared" si="426"/>
        <v>0</v>
      </c>
      <c r="O1210" s="648">
        <f t="shared" si="426"/>
        <v>0</v>
      </c>
      <c r="P1210" s="648">
        <f t="shared" si="426"/>
        <v>0</v>
      </c>
      <c r="Q1210" s="648">
        <f t="shared" si="426"/>
        <v>0</v>
      </c>
      <c r="R1210" s="648">
        <f t="shared" si="426"/>
        <v>0</v>
      </c>
      <c r="S1210" s="648">
        <f t="shared" si="426"/>
        <v>0</v>
      </c>
      <c r="T1210" s="645"/>
      <c r="U1210" s="646">
        <f t="shared" si="421"/>
        <v>0</v>
      </c>
      <c r="W1210" s="646">
        <f t="shared" si="409"/>
        <v>0</v>
      </c>
    </row>
    <row r="1211" spans="2:23" ht="18" customHeight="1" x14ac:dyDescent="0.2">
      <c r="B1211" s="645">
        <f t="shared" si="425"/>
        <v>9</v>
      </c>
      <c r="C1211" s="647" t="s">
        <v>351</v>
      </c>
      <c r="D1211" s="647" t="s">
        <v>900</v>
      </c>
      <c r="E1211" s="645" t="s">
        <v>902</v>
      </c>
      <c r="F1211" s="668">
        <f>' WP II-I-1.4'!H1212</f>
        <v>0</v>
      </c>
      <c r="G1211" s="645">
        <v>45</v>
      </c>
      <c r="H1211" s="620" t="str">
        <f t="shared" si="419"/>
        <v>PLT 364</v>
      </c>
      <c r="I1211" s="645"/>
      <c r="J1211" s="648">
        <f t="shared" si="426"/>
        <v>0</v>
      </c>
      <c r="K1211" s="648">
        <f t="shared" si="426"/>
        <v>0</v>
      </c>
      <c r="L1211" s="648">
        <f t="shared" si="426"/>
        <v>0</v>
      </c>
      <c r="M1211" s="648">
        <f t="shared" si="426"/>
        <v>0</v>
      </c>
      <c r="N1211" s="648">
        <f t="shared" si="426"/>
        <v>0</v>
      </c>
      <c r="O1211" s="648">
        <f t="shared" si="426"/>
        <v>0</v>
      </c>
      <c r="P1211" s="648">
        <f t="shared" si="426"/>
        <v>0</v>
      </c>
      <c r="Q1211" s="648">
        <f t="shared" si="426"/>
        <v>0</v>
      </c>
      <c r="R1211" s="648">
        <f t="shared" si="426"/>
        <v>0</v>
      </c>
      <c r="S1211" s="648">
        <f t="shared" si="426"/>
        <v>0</v>
      </c>
      <c r="T1211" s="645"/>
      <c r="U1211" s="646">
        <f t="shared" si="421"/>
        <v>0</v>
      </c>
      <c r="W1211" s="646">
        <f t="shared" si="409"/>
        <v>0</v>
      </c>
    </row>
    <row r="1212" spans="2:23" ht="18" customHeight="1" x14ac:dyDescent="0.2">
      <c r="B1212" s="645">
        <f t="shared" si="425"/>
        <v>10</v>
      </c>
      <c r="C1212" s="647" t="s">
        <v>353</v>
      </c>
      <c r="D1212" s="647" t="s">
        <v>901</v>
      </c>
      <c r="E1212" s="645" t="s">
        <v>902</v>
      </c>
      <c r="F1212" s="668">
        <f>' WP II-I-1.4'!H1213</f>
        <v>0</v>
      </c>
      <c r="G1212" s="645">
        <v>47</v>
      </c>
      <c r="H1212" s="620" t="str">
        <f t="shared" si="419"/>
        <v>PLT 366</v>
      </c>
      <c r="I1212" s="645"/>
      <c r="J1212" s="648">
        <f t="shared" si="426"/>
        <v>0</v>
      </c>
      <c r="K1212" s="648">
        <f t="shared" si="426"/>
        <v>0</v>
      </c>
      <c r="L1212" s="648">
        <f t="shared" si="426"/>
        <v>0</v>
      </c>
      <c r="M1212" s="648">
        <f t="shared" si="426"/>
        <v>0</v>
      </c>
      <c r="N1212" s="648">
        <f t="shared" si="426"/>
        <v>0</v>
      </c>
      <c r="O1212" s="648">
        <f t="shared" si="426"/>
        <v>0</v>
      </c>
      <c r="P1212" s="648">
        <f t="shared" si="426"/>
        <v>0</v>
      </c>
      <c r="Q1212" s="648">
        <f t="shared" si="426"/>
        <v>0</v>
      </c>
      <c r="R1212" s="648">
        <f t="shared" si="426"/>
        <v>0</v>
      </c>
      <c r="S1212" s="648">
        <f t="shared" si="426"/>
        <v>0</v>
      </c>
      <c r="T1212" s="645"/>
      <c r="U1212" s="646">
        <f>SUM(I1212:T1212)</f>
        <v>0</v>
      </c>
      <c r="W1212" s="646">
        <f t="shared" si="409"/>
        <v>0</v>
      </c>
    </row>
    <row r="1213" spans="2:23" ht="18" customHeight="1" x14ac:dyDescent="0.2">
      <c r="B1213" s="645">
        <f t="shared" si="425"/>
        <v>11</v>
      </c>
      <c r="C1213" s="647" t="s">
        <v>330</v>
      </c>
      <c r="D1213" s="647" t="s">
        <v>331</v>
      </c>
      <c r="E1213" s="645"/>
      <c r="F1213" s="668">
        <f>' WP II-I-1.4'!H1214</f>
        <v>0</v>
      </c>
      <c r="G1213" s="645">
        <v>45</v>
      </c>
      <c r="H1213" s="620" t="str">
        <f t="shared" si="419"/>
        <v>PLT 364</v>
      </c>
      <c r="I1213" s="645"/>
      <c r="J1213" s="648">
        <f t="shared" si="426"/>
        <v>0</v>
      </c>
      <c r="K1213" s="648">
        <f t="shared" si="426"/>
        <v>0</v>
      </c>
      <c r="L1213" s="648">
        <f t="shared" si="426"/>
        <v>0</v>
      </c>
      <c r="M1213" s="648">
        <f t="shared" si="426"/>
        <v>0</v>
      </c>
      <c r="N1213" s="648">
        <f t="shared" si="426"/>
        <v>0</v>
      </c>
      <c r="O1213" s="648">
        <f t="shared" si="426"/>
        <v>0</v>
      </c>
      <c r="P1213" s="648">
        <f t="shared" si="426"/>
        <v>0</v>
      </c>
      <c r="Q1213" s="648">
        <f t="shared" si="426"/>
        <v>0</v>
      </c>
      <c r="R1213" s="648">
        <f t="shared" si="426"/>
        <v>0</v>
      </c>
      <c r="S1213" s="648">
        <f t="shared" si="426"/>
        <v>0</v>
      </c>
      <c r="T1213" s="645"/>
      <c r="U1213" s="646">
        <f t="shared" si="421"/>
        <v>0</v>
      </c>
      <c r="W1213" s="646">
        <f t="shared" si="409"/>
        <v>0</v>
      </c>
    </row>
    <row r="1214" spans="2:23" ht="18" customHeight="1" x14ac:dyDescent="0.2">
      <c r="B1214" s="645">
        <f t="shared" si="425"/>
        <v>12</v>
      </c>
      <c r="C1214" s="647" t="s">
        <v>332</v>
      </c>
      <c r="D1214" s="647" t="s">
        <v>1304</v>
      </c>
      <c r="E1214" s="645"/>
      <c r="F1214" s="668">
        <f>' WP II-I-1.4'!H1215</f>
        <v>0</v>
      </c>
      <c r="G1214" s="645">
        <v>62</v>
      </c>
      <c r="H1214" s="620" t="str">
        <f t="shared" si="419"/>
        <v>PLTGEN</v>
      </c>
      <c r="I1214" s="645"/>
      <c r="J1214" s="648">
        <f t="shared" ca="1" si="426"/>
        <v>0</v>
      </c>
      <c r="K1214" s="648">
        <f t="shared" ca="1" si="426"/>
        <v>0</v>
      </c>
      <c r="L1214" s="648">
        <f t="shared" ca="1" si="426"/>
        <v>0</v>
      </c>
      <c r="M1214" s="648">
        <f t="shared" ca="1" si="426"/>
        <v>0</v>
      </c>
      <c r="N1214" s="648">
        <f t="shared" ca="1" si="426"/>
        <v>0</v>
      </c>
      <c r="O1214" s="648">
        <f t="shared" ca="1" si="426"/>
        <v>0</v>
      </c>
      <c r="P1214" s="648">
        <f t="shared" ca="1" si="426"/>
        <v>0</v>
      </c>
      <c r="Q1214" s="648">
        <f t="shared" ca="1" si="426"/>
        <v>0</v>
      </c>
      <c r="R1214" s="648">
        <f t="shared" ca="1" si="426"/>
        <v>0</v>
      </c>
      <c r="S1214" s="648">
        <f t="shared" ca="1" si="426"/>
        <v>0</v>
      </c>
      <c r="T1214" s="645"/>
      <c r="U1214" s="646">
        <f t="shared" ca="1" si="421"/>
        <v>0</v>
      </c>
      <c r="W1214" s="646">
        <f t="shared" ca="1" si="409"/>
        <v>0</v>
      </c>
    </row>
    <row r="1215" spans="2:23" ht="18" customHeight="1" x14ac:dyDescent="0.2">
      <c r="B1215" s="645">
        <f t="shared" si="425"/>
        <v>13</v>
      </c>
      <c r="C1215" s="647" t="s">
        <v>1135</v>
      </c>
      <c r="D1215" s="647" t="s">
        <v>1305</v>
      </c>
      <c r="E1215" s="645"/>
      <c r="F1215" s="668">
        <f>' WP II-I-1.4'!H1216</f>
        <v>0</v>
      </c>
      <c r="G1215" s="645">
        <v>6</v>
      </c>
      <c r="H1215" s="620" t="str">
        <f t="shared" ref="H1215" si="427">VLOOKUP(G1215,FactorTable,2)</f>
        <v>CUS W ALL</v>
      </c>
      <c r="I1215" s="645"/>
      <c r="J1215" s="648">
        <f t="shared" si="426"/>
        <v>0</v>
      </c>
      <c r="K1215" s="648">
        <f t="shared" si="426"/>
        <v>0</v>
      </c>
      <c r="L1215" s="648">
        <f t="shared" si="426"/>
        <v>0</v>
      </c>
      <c r="M1215" s="648">
        <f t="shared" si="426"/>
        <v>0</v>
      </c>
      <c r="N1215" s="648">
        <f t="shared" si="426"/>
        <v>0</v>
      </c>
      <c r="O1215" s="648">
        <f t="shared" si="426"/>
        <v>0</v>
      </c>
      <c r="P1215" s="648">
        <f t="shared" si="426"/>
        <v>0</v>
      </c>
      <c r="Q1215" s="648">
        <f t="shared" si="426"/>
        <v>0</v>
      </c>
      <c r="R1215" s="648">
        <f t="shared" si="426"/>
        <v>0</v>
      </c>
      <c r="S1215" s="648">
        <f t="shared" si="426"/>
        <v>0</v>
      </c>
      <c r="T1215" s="645"/>
      <c r="U1215" s="646">
        <f t="shared" ref="U1215" si="428">SUM(I1215:T1215)</f>
        <v>0</v>
      </c>
      <c r="W1215" s="646">
        <f t="shared" ref="W1215" si="429">U1215-F1215</f>
        <v>0</v>
      </c>
    </row>
    <row r="1216" spans="2:23" ht="18" customHeight="1" x14ac:dyDescent="0.2">
      <c r="B1216" s="645">
        <f t="shared" si="425"/>
        <v>14</v>
      </c>
      <c r="C1216" s="647" t="s">
        <v>1135</v>
      </c>
      <c r="D1216" s="647" t="s">
        <v>1306</v>
      </c>
      <c r="E1216" s="645"/>
      <c r="F1216" s="668">
        <f>' WP II-I-1.4'!H1217</f>
        <v>0</v>
      </c>
      <c r="G1216" s="645">
        <v>6</v>
      </c>
      <c r="H1216" s="620" t="str">
        <f t="shared" si="419"/>
        <v>CUS W ALL</v>
      </c>
      <c r="I1216" s="645"/>
      <c r="J1216" s="648">
        <f t="shared" ref="J1216:S1219" si="430">$F1216*HLOOKUP(J$1354,FactorTable,$G1216+1)</f>
        <v>0</v>
      </c>
      <c r="K1216" s="648">
        <f t="shared" si="430"/>
        <v>0</v>
      </c>
      <c r="L1216" s="648">
        <f t="shared" si="430"/>
        <v>0</v>
      </c>
      <c r="M1216" s="648">
        <f t="shared" si="430"/>
        <v>0</v>
      </c>
      <c r="N1216" s="648">
        <f t="shared" si="430"/>
        <v>0</v>
      </c>
      <c r="O1216" s="648">
        <f t="shared" si="430"/>
        <v>0</v>
      </c>
      <c r="P1216" s="648">
        <f t="shared" si="430"/>
        <v>0</v>
      </c>
      <c r="Q1216" s="648">
        <f t="shared" si="430"/>
        <v>0</v>
      </c>
      <c r="R1216" s="648">
        <f t="shared" si="430"/>
        <v>0</v>
      </c>
      <c r="S1216" s="648">
        <f t="shared" si="430"/>
        <v>0</v>
      </c>
      <c r="T1216" s="645"/>
      <c r="U1216" s="646">
        <f t="shared" si="421"/>
        <v>0</v>
      </c>
      <c r="W1216" s="646">
        <f t="shared" si="409"/>
        <v>0</v>
      </c>
    </row>
    <row r="1217" spans="2:23" ht="18" customHeight="1" x14ac:dyDescent="0.2">
      <c r="B1217" s="645">
        <f t="shared" si="425"/>
        <v>15</v>
      </c>
      <c r="C1217" s="647" t="s">
        <v>334</v>
      </c>
      <c r="D1217" s="647" t="s">
        <v>335</v>
      </c>
      <c r="E1217" s="645"/>
      <c r="F1217" s="668">
        <f>' WP II-I-1.4'!H1218</f>
        <v>0</v>
      </c>
      <c r="G1217" s="645">
        <v>58</v>
      </c>
      <c r="H1217" s="620" t="str">
        <f t="shared" si="419"/>
        <v>PLTDIST_N</v>
      </c>
      <c r="I1217" s="645"/>
      <c r="J1217" s="648">
        <f t="shared" ca="1" si="430"/>
        <v>0</v>
      </c>
      <c r="K1217" s="648">
        <f t="shared" ca="1" si="430"/>
        <v>0</v>
      </c>
      <c r="L1217" s="648">
        <f t="shared" ca="1" si="430"/>
        <v>0</v>
      </c>
      <c r="M1217" s="648">
        <f t="shared" ca="1" si="430"/>
        <v>0</v>
      </c>
      <c r="N1217" s="648">
        <f t="shared" ca="1" si="430"/>
        <v>0</v>
      </c>
      <c r="O1217" s="648">
        <f t="shared" ca="1" si="430"/>
        <v>0</v>
      </c>
      <c r="P1217" s="648">
        <f t="shared" ca="1" si="430"/>
        <v>0</v>
      </c>
      <c r="Q1217" s="648">
        <f t="shared" ca="1" si="430"/>
        <v>0</v>
      </c>
      <c r="R1217" s="648">
        <f t="shared" ca="1" si="430"/>
        <v>0</v>
      </c>
      <c r="S1217" s="648">
        <f t="shared" ca="1" si="430"/>
        <v>0</v>
      </c>
      <c r="T1217" s="645"/>
      <c r="U1217" s="646">
        <f t="shared" ca="1" si="421"/>
        <v>0</v>
      </c>
      <c r="W1217" s="646">
        <f t="shared" ca="1" si="409"/>
        <v>0</v>
      </c>
    </row>
    <row r="1218" spans="2:23" ht="18" customHeight="1" x14ac:dyDescent="0.2">
      <c r="B1218" s="645">
        <f t="shared" si="425"/>
        <v>16</v>
      </c>
      <c r="C1218" s="647" t="s">
        <v>334</v>
      </c>
      <c r="D1218" s="647" t="s">
        <v>1301</v>
      </c>
      <c r="E1218" s="645"/>
      <c r="F1218" s="668">
        <f>' WP II-I-1.4'!H1219</f>
        <v>0</v>
      </c>
      <c r="G1218" s="645">
        <v>6</v>
      </c>
      <c r="H1218" s="620" t="str">
        <f t="shared" ref="H1218:H1219" si="431">VLOOKUP(G1218,FactorTable,2)</f>
        <v>CUS W ALL</v>
      </c>
      <c r="I1218" s="645"/>
      <c r="J1218" s="648">
        <f t="shared" si="430"/>
        <v>0</v>
      </c>
      <c r="K1218" s="648">
        <f t="shared" si="430"/>
        <v>0</v>
      </c>
      <c r="L1218" s="648">
        <f t="shared" si="430"/>
        <v>0</v>
      </c>
      <c r="M1218" s="648">
        <f t="shared" si="430"/>
        <v>0</v>
      </c>
      <c r="N1218" s="648">
        <f t="shared" si="430"/>
        <v>0</v>
      </c>
      <c r="O1218" s="648">
        <f t="shared" si="430"/>
        <v>0</v>
      </c>
      <c r="P1218" s="648">
        <f t="shared" si="430"/>
        <v>0</v>
      </c>
      <c r="Q1218" s="648">
        <f t="shared" si="430"/>
        <v>0</v>
      </c>
      <c r="R1218" s="648">
        <f t="shared" si="430"/>
        <v>0</v>
      </c>
      <c r="S1218" s="648">
        <f t="shared" si="430"/>
        <v>0</v>
      </c>
      <c r="T1218" s="645"/>
      <c r="U1218" s="646">
        <f t="shared" ref="U1218:U1219" si="432">SUM(I1218:T1218)</f>
        <v>0</v>
      </c>
      <c r="W1218" s="646">
        <f t="shared" ref="W1218:W1219" si="433">U1218-F1218</f>
        <v>0</v>
      </c>
    </row>
    <row r="1219" spans="2:23" ht="18" customHeight="1" x14ac:dyDescent="0.2">
      <c r="B1219" s="645">
        <f t="shared" si="425"/>
        <v>17</v>
      </c>
      <c r="C1219" s="647" t="s">
        <v>334</v>
      </c>
      <c r="D1219" s="647" t="s">
        <v>1302</v>
      </c>
      <c r="E1219" s="645"/>
      <c r="F1219" s="668">
        <f>' WP II-I-1.4'!H1220</f>
        <v>0</v>
      </c>
      <c r="G1219" s="645">
        <v>6</v>
      </c>
      <c r="H1219" s="620" t="str">
        <f t="shared" si="431"/>
        <v>CUS W ALL</v>
      </c>
      <c r="I1219" s="645"/>
      <c r="J1219" s="648">
        <f t="shared" si="430"/>
        <v>0</v>
      </c>
      <c r="K1219" s="648">
        <f t="shared" si="430"/>
        <v>0</v>
      </c>
      <c r="L1219" s="648">
        <f t="shared" si="430"/>
        <v>0</v>
      </c>
      <c r="M1219" s="648">
        <f t="shared" si="430"/>
        <v>0</v>
      </c>
      <c r="N1219" s="648">
        <f t="shared" si="430"/>
        <v>0</v>
      </c>
      <c r="O1219" s="648">
        <f t="shared" si="430"/>
        <v>0</v>
      </c>
      <c r="P1219" s="648">
        <f t="shared" si="430"/>
        <v>0</v>
      </c>
      <c r="Q1219" s="648">
        <f t="shared" si="430"/>
        <v>0</v>
      </c>
      <c r="R1219" s="648">
        <f t="shared" si="430"/>
        <v>0</v>
      </c>
      <c r="S1219" s="648">
        <f t="shared" si="430"/>
        <v>0</v>
      </c>
      <c r="T1219" s="645"/>
      <c r="U1219" s="646">
        <f t="shared" si="432"/>
        <v>0</v>
      </c>
      <c r="W1219" s="646">
        <f t="shared" si="433"/>
        <v>0</v>
      </c>
    </row>
    <row r="1220" spans="2:23" ht="18" customHeight="1" x14ac:dyDescent="0.25">
      <c r="B1220" s="645">
        <f t="shared" si="425"/>
        <v>18</v>
      </c>
      <c r="C1220" s="191"/>
      <c r="D1220" s="323" t="s">
        <v>444</v>
      </c>
      <c r="E1220" s="191"/>
      <c r="F1220" s="805">
        <f>SUM(F1205:F1219)</f>
        <v>14115591</v>
      </c>
      <c r="G1220" s="191"/>
      <c r="H1220" s="191"/>
      <c r="I1220" s="191"/>
      <c r="J1220" s="805">
        <f ca="1">SUM(J1205:J1219)</f>
        <v>7377787.3530281754</v>
      </c>
      <c r="K1220" s="805">
        <f t="shared" ref="K1220:S1220" ca="1" si="434">SUM(K1205:K1219)</f>
        <v>1034993.4858833906</v>
      </c>
      <c r="L1220" s="805">
        <f t="shared" ca="1" si="434"/>
        <v>4070293.4122678973</v>
      </c>
      <c r="M1220" s="805">
        <f t="shared" ca="1" si="434"/>
        <v>171408.41556116132</v>
      </c>
      <c r="N1220" s="805">
        <f t="shared" ca="1" si="434"/>
        <v>1319935.286245439</v>
      </c>
      <c r="O1220" s="805">
        <f t="shared" ca="1" si="434"/>
        <v>43309.978514421688</v>
      </c>
      <c r="P1220" s="805">
        <f t="shared" ca="1" si="434"/>
        <v>90339.832484069804</v>
      </c>
      <c r="Q1220" s="805">
        <f t="shared" ca="1" si="434"/>
        <v>7523.2360154416447</v>
      </c>
      <c r="R1220" s="805">
        <f t="shared" ca="1" si="434"/>
        <v>0</v>
      </c>
      <c r="S1220" s="805">
        <f t="shared" ca="1" si="434"/>
        <v>0</v>
      </c>
      <c r="T1220" s="191"/>
      <c r="U1220" s="805">
        <f t="shared" ca="1" si="421"/>
        <v>14115590.999999998</v>
      </c>
      <c r="W1220" s="646">
        <f t="shared" ca="1" si="409"/>
        <v>0</v>
      </c>
    </row>
    <row r="1221" spans="2:23" ht="18" customHeight="1" thickBot="1" x14ac:dyDescent="0.25">
      <c r="B1221" s="645">
        <f t="shared" si="425"/>
        <v>19</v>
      </c>
      <c r="C1221" s="647"/>
      <c r="D1221" s="647"/>
      <c r="E1221" s="645"/>
      <c r="F1221" s="803"/>
      <c r="G1221" s="645"/>
      <c r="H1221" s="645"/>
      <c r="I1221" s="645"/>
      <c r="J1221" s="803"/>
      <c r="K1221" s="803"/>
      <c r="L1221" s="803"/>
      <c r="M1221" s="803"/>
      <c r="N1221" s="803"/>
      <c r="O1221" s="803"/>
      <c r="P1221" s="803"/>
      <c r="Q1221" s="803"/>
      <c r="R1221" s="803"/>
      <c r="S1221" s="803"/>
      <c r="T1221" s="645"/>
      <c r="U1221" s="692"/>
      <c r="W1221" s="646">
        <f t="shared" si="409"/>
        <v>0</v>
      </c>
    </row>
    <row r="1222" spans="2:23" ht="18" customHeight="1" thickBot="1" x14ac:dyDescent="0.3">
      <c r="B1222" s="645">
        <f t="shared" si="425"/>
        <v>20</v>
      </c>
      <c r="C1222" s="223" t="s">
        <v>676</v>
      </c>
      <c r="D1222" s="252"/>
      <c r="E1222" s="252" t="s">
        <v>318</v>
      </c>
      <c r="F1222" s="812">
        <f>+F1220</f>
        <v>14115591</v>
      </c>
      <c r="G1222" s="252"/>
      <c r="H1222" s="379"/>
      <c r="I1222" s="380"/>
      <c r="J1222" s="381">
        <f t="shared" ref="J1222:Q1222" ca="1" si="435">+J1220</f>
        <v>7377787.3530281754</v>
      </c>
      <c r="K1222" s="812">
        <f t="shared" ca="1" si="435"/>
        <v>1034993.4858833906</v>
      </c>
      <c r="L1222" s="812">
        <f t="shared" ca="1" si="435"/>
        <v>4070293.4122678973</v>
      </c>
      <c r="M1222" s="812">
        <f t="shared" ca="1" si="435"/>
        <v>171408.41556116132</v>
      </c>
      <c r="N1222" s="812">
        <f t="shared" ca="1" si="435"/>
        <v>1319935.286245439</v>
      </c>
      <c r="O1222" s="812">
        <f ca="1">+O1220</f>
        <v>43309.978514421688</v>
      </c>
      <c r="P1222" s="812">
        <f t="shared" ca="1" si="435"/>
        <v>90339.832484069804</v>
      </c>
      <c r="Q1222" s="812">
        <f t="shared" ca="1" si="435"/>
        <v>7523.2360154416447</v>
      </c>
      <c r="R1222" s="812">
        <f ca="1">+R1220</f>
        <v>0</v>
      </c>
      <c r="S1222" s="315">
        <f ca="1">+S1220</f>
        <v>0</v>
      </c>
      <c r="T1222" s="380"/>
      <c r="U1222" s="195">
        <f ca="1">SUM(I1222:T1222)</f>
        <v>14115590.999999998</v>
      </c>
      <c r="W1222" s="646">
        <f t="shared" ca="1" si="409"/>
        <v>0</v>
      </c>
    </row>
    <row r="1223" spans="2:23" ht="18" customHeight="1" thickBot="1" x14ac:dyDescent="0.25">
      <c r="B1223" s="645">
        <f t="shared" si="425"/>
        <v>21</v>
      </c>
      <c r="W1223" s="646">
        <f t="shared" si="409"/>
        <v>0</v>
      </c>
    </row>
    <row r="1224" spans="2:23" ht="18" customHeight="1" thickBot="1" x14ac:dyDescent="0.3">
      <c r="B1224" s="645">
        <f t="shared" si="425"/>
        <v>22</v>
      </c>
      <c r="C1224" s="223" t="s">
        <v>463</v>
      </c>
      <c r="D1224" s="252"/>
      <c r="E1224" s="252"/>
      <c r="F1224" s="812">
        <f>F622+F1186</f>
        <v>219358204.15531737</v>
      </c>
      <c r="G1224" s="252"/>
      <c r="H1224" s="379"/>
      <c r="I1224" s="380"/>
      <c r="J1224" s="381">
        <f t="shared" ref="J1224:S1224" ca="1" si="436">J622+J1186</f>
        <v>114506157.06956854</v>
      </c>
      <c r="K1224" s="812">
        <f t="shared" ca="1" si="436"/>
        <v>16059820.561165996</v>
      </c>
      <c r="L1224" s="812">
        <f t="shared" ca="1" si="436"/>
        <v>63164438.736680508</v>
      </c>
      <c r="M1224" s="812">
        <f t="shared" ca="1" si="436"/>
        <v>2659166.7360448726</v>
      </c>
      <c r="N1224" s="812">
        <f t="shared" ca="1" si="436"/>
        <v>20479413.348195728</v>
      </c>
      <c r="O1224" s="812">
        <f t="shared" ca="1" si="436"/>
        <v>672200.62858873862</v>
      </c>
      <c r="P1224" s="812">
        <f t="shared" ca="1" si="436"/>
        <v>1402582.1794881376</v>
      </c>
      <c r="Q1224" s="812">
        <f t="shared" ca="1" si="436"/>
        <v>151932.09684977739</v>
      </c>
      <c r="R1224" s="812">
        <f t="shared" ca="1" si="436"/>
        <v>74189.556561552148</v>
      </c>
      <c r="S1224" s="315">
        <f t="shared" ca="1" si="436"/>
        <v>188303.24217351511</v>
      </c>
      <c r="T1224" s="380"/>
      <c r="U1224" s="195">
        <f ca="1">SUM(I1224:T1224)</f>
        <v>219358204.1553174</v>
      </c>
      <c r="W1224" s="646">
        <f t="shared" ca="1" si="409"/>
        <v>0</v>
      </c>
    </row>
    <row r="1225" spans="2:23" ht="18" customHeight="1" thickBot="1" x14ac:dyDescent="0.25">
      <c r="B1225" s="645">
        <f t="shared" si="425"/>
        <v>23</v>
      </c>
      <c r="J1225" s="571"/>
      <c r="K1225" s="571"/>
      <c r="L1225" s="571"/>
      <c r="M1225" s="571"/>
      <c r="N1225" s="571"/>
      <c r="O1225" s="571"/>
      <c r="P1225" s="571"/>
      <c r="Q1225" s="571"/>
      <c r="R1225" s="571"/>
      <c r="S1225" s="571"/>
      <c r="T1225" s="571"/>
      <c r="W1225" s="646">
        <f t="shared" si="409"/>
        <v>0</v>
      </c>
    </row>
    <row r="1226" spans="2:23" ht="18" customHeight="1" thickBot="1" x14ac:dyDescent="0.3">
      <c r="B1226" s="645">
        <f t="shared" si="425"/>
        <v>24</v>
      </c>
      <c r="C1226" s="223" t="s">
        <v>677</v>
      </c>
      <c r="D1226" s="252"/>
      <c r="E1226" s="252"/>
      <c r="F1226" s="812">
        <f>F1224-F1222</f>
        <v>205242613.15531737</v>
      </c>
      <c r="G1226" s="252"/>
      <c r="H1226" s="379"/>
      <c r="I1226" s="963"/>
      <c r="J1226" s="381">
        <f t="shared" ref="J1226:Q1226" ca="1" si="437">J1224-J1222</f>
        <v>107128369.71654037</v>
      </c>
      <c r="K1226" s="812">
        <f t="shared" ca="1" si="437"/>
        <v>15024827.075282605</v>
      </c>
      <c r="L1226" s="812">
        <f t="shared" ca="1" si="437"/>
        <v>59094145.324412614</v>
      </c>
      <c r="M1226" s="812">
        <f t="shared" ca="1" si="437"/>
        <v>2487758.3204837111</v>
      </c>
      <c r="N1226" s="812">
        <f t="shared" ca="1" si="437"/>
        <v>19159478.061950289</v>
      </c>
      <c r="O1226" s="812">
        <f ca="1">O1224-O1222</f>
        <v>628890.65007431689</v>
      </c>
      <c r="P1226" s="812">
        <f t="shared" ca="1" si="437"/>
        <v>1312242.3470040679</v>
      </c>
      <c r="Q1226" s="812">
        <f t="shared" ca="1" si="437"/>
        <v>144408.86083433573</v>
      </c>
      <c r="R1226" s="812">
        <f ca="1">R1224-R1222</f>
        <v>74189.556561552148</v>
      </c>
      <c r="S1226" s="315">
        <f ca="1">S1224-S1222</f>
        <v>188303.24217351511</v>
      </c>
      <c r="T1226" s="380"/>
      <c r="U1226" s="195">
        <f ca="1">SUM(I1226:T1226)</f>
        <v>205242613.15531737</v>
      </c>
      <c r="W1226" s="646">
        <f t="shared" ca="1" si="409"/>
        <v>0</v>
      </c>
    </row>
    <row r="1227" spans="2:23" ht="18" customHeight="1" thickBot="1" x14ac:dyDescent="0.25">
      <c r="B1227" s="645">
        <f t="shared" si="425"/>
        <v>25</v>
      </c>
      <c r="W1227" s="646">
        <f t="shared" si="409"/>
        <v>0</v>
      </c>
    </row>
    <row r="1228" spans="2:23" ht="18" customHeight="1" x14ac:dyDescent="0.25">
      <c r="B1228" s="645">
        <f t="shared" si="425"/>
        <v>26</v>
      </c>
      <c r="C1228" s="255" t="s">
        <v>1144</v>
      </c>
      <c r="D1228" s="241"/>
      <c r="E1228" s="241"/>
      <c r="F1228" s="817">
        <f>F1224-F645</f>
        <v>219358204.15531737</v>
      </c>
      <c r="G1228" s="241"/>
      <c r="H1228" s="372"/>
      <c r="I1228" s="769"/>
      <c r="J1228" s="374">
        <f t="shared" ref="J1228:S1228" ca="1" si="438">J1224-J645</f>
        <v>114506157.06956854</v>
      </c>
      <c r="K1228" s="817">
        <f t="shared" ca="1" si="438"/>
        <v>16059820.561165996</v>
      </c>
      <c r="L1228" s="817">
        <f t="shared" ca="1" si="438"/>
        <v>63164438.736680508</v>
      </c>
      <c r="M1228" s="817">
        <f t="shared" ca="1" si="438"/>
        <v>2659166.7360448726</v>
      </c>
      <c r="N1228" s="817">
        <f t="shared" ca="1" si="438"/>
        <v>20479413.348195728</v>
      </c>
      <c r="O1228" s="817">
        <f t="shared" ca="1" si="438"/>
        <v>672200.62858873862</v>
      </c>
      <c r="P1228" s="817">
        <f t="shared" ca="1" si="438"/>
        <v>1402582.1794881376</v>
      </c>
      <c r="Q1228" s="817">
        <f t="shared" ca="1" si="438"/>
        <v>151932.09684977739</v>
      </c>
      <c r="R1228" s="817">
        <f t="shared" ca="1" si="438"/>
        <v>74189.556561552148</v>
      </c>
      <c r="S1228" s="566">
        <f t="shared" ca="1" si="438"/>
        <v>188303.24217351511</v>
      </c>
      <c r="T1228" s="372"/>
      <c r="U1228" s="243">
        <f ca="1">SUM(I1228:T1228)</f>
        <v>219358204.1553174</v>
      </c>
      <c r="W1228" s="646">
        <f t="shared" ca="1" si="409"/>
        <v>0</v>
      </c>
    </row>
    <row r="1229" spans="2:23" ht="18" customHeight="1" x14ac:dyDescent="0.2">
      <c r="B1229" s="645">
        <f t="shared" si="425"/>
        <v>27</v>
      </c>
      <c r="C1229" s="1577"/>
      <c r="D1229" s="853"/>
      <c r="E1229" s="853"/>
      <c r="F1229" s="853"/>
      <c r="G1229" s="853"/>
      <c r="H1229" s="1610"/>
      <c r="I1229" s="1577"/>
      <c r="J1229" s="1577"/>
      <c r="K1229" s="853"/>
      <c r="L1229" s="853"/>
      <c r="M1229" s="853"/>
      <c r="N1229" s="853"/>
      <c r="O1229" s="853"/>
      <c r="P1229" s="853"/>
      <c r="Q1229" s="853"/>
      <c r="R1229" s="853"/>
      <c r="S1229" s="1610"/>
      <c r="T1229" s="1610"/>
      <c r="U1229" s="1610"/>
      <c r="W1229" s="646">
        <f t="shared" si="409"/>
        <v>0</v>
      </c>
    </row>
    <row r="1230" spans="2:23" ht="18" customHeight="1" thickBot="1" x14ac:dyDescent="0.3">
      <c r="B1230" s="645">
        <f t="shared" si="425"/>
        <v>28</v>
      </c>
      <c r="C1230" s="262" t="s">
        <v>1148</v>
      </c>
      <c r="D1230" s="247"/>
      <c r="E1230" s="247"/>
      <c r="F1230" s="248">
        <f>F1228-F1222</f>
        <v>205242613.15531737</v>
      </c>
      <c r="G1230" s="247"/>
      <c r="H1230" s="375"/>
      <c r="I1230" s="964"/>
      <c r="J1230" s="377">
        <f t="shared" ref="J1230:Q1230" ca="1" si="439">J1228-J1222</f>
        <v>107128369.71654037</v>
      </c>
      <c r="K1230" s="248">
        <f t="shared" ca="1" si="439"/>
        <v>15024827.075282605</v>
      </c>
      <c r="L1230" s="248">
        <f t="shared" ca="1" si="439"/>
        <v>59094145.324412614</v>
      </c>
      <c r="M1230" s="248">
        <f t="shared" ca="1" si="439"/>
        <v>2487758.3204837111</v>
      </c>
      <c r="N1230" s="248">
        <f t="shared" ca="1" si="439"/>
        <v>19159478.061950289</v>
      </c>
      <c r="O1230" s="248">
        <f ca="1">O1228-O1222</f>
        <v>628890.65007431689</v>
      </c>
      <c r="P1230" s="248">
        <f t="shared" ca="1" si="439"/>
        <v>1312242.3470040679</v>
      </c>
      <c r="Q1230" s="248">
        <f t="shared" ca="1" si="439"/>
        <v>144408.86083433573</v>
      </c>
      <c r="R1230" s="248">
        <f ca="1">R1228-R1222</f>
        <v>74189.556561552148</v>
      </c>
      <c r="S1230" s="378">
        <f ca="1">S1228-S1222</f>
        <v>188303.24217351511</v>
      </c>
      <c r="T1230" s="375"/>
      <c r="U1230" s="249">
        <f ca="1">SUM(I1230:T1230)</f>
        <v>205242613.15531737</v>
      </c>
      <c r="W1230" s="646">
        <f t="shared" ca="1" si="409"/>
        <v>0</v>
      </c>
    </row>
    <row r="1231" spans="2:23" ht="18" customHeight="1" x14ac:dyDescent="0.25">
      <c r="B1231" s="645"/>
      <c r="U1231" s="1572"/>
      <c r="W1231" s="646"/>
    </row>
    <row r="1232" spans="2:23" ht="18" customHeight="1" x14ac:dyDescent="0.25">
      <c r="B1232" s="645"/>
      <c r="U1232" s="1572"/>
      <c r="W1232" s="646"/>
    </row>
    <row r="1233" spans="2:23" ht="18" customHeight="1" x14ac:dyDescent="0.2">
      <c r="B1233" s="645"/>
      <c r="F1233" s="854"/>
      <c r="U1233" s="854"/>
      <c r="W1233" s="646"/>
    </row>
    <row r="1234" spans="2:23" ht="18" customHeight="1" x14ac:dyDescent="0.25">
      <c r="U1234" s="1572"/>
      <c r="W1234" s="646">
        <f>U1234-F1234</f>
        <v>0</v>
      </c>
    </row>
    <row r="1235" spans="2:23" ht="6" customHeight="1" thickBot="1" x14ac:dyDescent="0.25">
      <c r="H1235" s="653"/>
      <c r="U1235" s="653"/>
      <c r="W1235" s="646"/>
    </row>
    <row r="1236" spans="2:23" ht="18" customHeight="1" x14ac:dyDescent="0.25">
      <c r="B1236" s="829" t="str">
        <f>+$B$4</f>
        <v>2025 RATE CASE</v>
      </c>
      <c r="C1236" s="844"/>
      <c r="D1236" s="877"/>
      <c r="F1236" s="571"/>
      <c r="U1236" s="653"/>
      <c r="W1236" s="646"/>
    </row>
    <row r="1237" spans="2:23" ht="18" customHeight="1" x14ac:dyDescent="0.25">
      <c r="B1237" s="826" t="str">
        <f>+$B$5</f>
        <v>ONCOR ELECTRIC DELIVERY COMPANY LLC</v>
      </c>
      <c r="C1237" s="8"/>
      <c r="D1237" s="878"/>
      <c r="F1237" s="571"/>
      <c r="U1237" s="653"/>
      <c r="W1237" s="646"/>
    </row>
    <row r="1238" spans="2:23" ht="18" customHeight="1" x14ac:dyDescent="0.25">
      <c r="B1238" s="826" t="s">
        <v>903</v>
      </c>
      <c r="C1238" s="82"/>
      <c r="D1238" s="878"/>
      <c r="F1238" s="571"/>
      <c r="U1238" s="571"/>
      <c r="W1238" s="646"/>
    </row>
    <row r="1239" spans="2:23" ht="18" customHeight="1" x14ac:dyDescent="0.25">
      <c r="B1239" s="341" t="str">
        <f>+$B$7</f>
        <v>TEST YEAR ENDING 12/31/2024</v>
      </c>
      <c r="C1239" s="82"/>
      <c r="D1239" s="878"/>
      <c r="F1239" s="571"/>
      <c r="U1239" s="571"/>
      <c r="W1239" s="646"/>
    </row>
    <row r="1240" spans="2:23" ht="18" customHeight="1" x14ac:dyDescent="0.25">
      <c r="B1240" s="341" t="str">
        <f>+$B$8</f>
        <v>SPONSOR:  MATTHEW A. TROXLE</v>
      </c>
      <c r="C1240" s="82"/>
      <c r="D1240" s="878"/>
      <c r="F1240" s="571"/>
      <c r="U1240" s="571"/>
      <c r="W1240" s="646"/>
    </row>
    <row r="1241" spans="2:23" ht="18" customHeight="1" thickBot="1" x14ac:dyDescent="0.3">
      <c r="B1241" s="345"/>
      <c r="C1241" s="82"/>
      <c r="D1241" s="878"/>
      <c r="F1241" s="571"/>
      <c r="U1241" s="571"/>
    </row>
    <row r="1242" spans="2:23" ht="18" customHeight="1" thickBot="1" x14ac:dyDescent="0.3">
      <c r="B1242" s="662"/>
      <c r="C1242" s="1575"/>
      <c r="D1242" s="1576"/>
      <c r="E1242" s="1576"/>
      <c r="F1242" s="988"/>
      <c r="G1242" s="657"/>
      <c r="H1242" s="373" t="str">
        <f>F$11</f>
        <v>MET</v>
      </c>
      <c r="I1242" s="656"/>
      <c r="J1242" s="656"/>
      <c r="K1242" s="657"/>
      <c r="L1242" s="656"/>
      <c r="M1242" s="656"/>
      <c r="N1242" s="657"/>
      <c r="O1242" s="657"/>
      <c r="P1242" s="657"/>
      <c r="Q1242" s="656"/>
      <c r="R1242" s="658" t="str">
        <f>R$10</f>
        <v xml:space="preserve"> </v>
      </c>
      <c r="S1242" s="659"/>
      <c r="T1242" s="657"/>
      <c r="U1242" s="655"/>
    </row>
    <row r="1243" spans="2:23" ht="18" customHeight="1" x14ac:dyDescent="0.25">
      <c r="B1243" s="663" t="s">
        <v>2</v>
      </c>
      <c r="C1243" s="663"/>
      <c r="D1243" s="407" t="s">
        <v>691</v>
      </c>
      <c r="E1243" s="1578"/>
      <c r="F1243" s="661"/>
      <c r="G1243" s="661" t="s">
        <v>688</v>
      </c>
      <c r="H1243" s="660" t="s">
        <v>355</v>
      </c>
      <c r="I1243" s="660"/>
      <c r="J1243" s="660" t="s">
        <v>679</v>
      </c>
      <c r="K1243" s="661" t="s">
        <v>388</v>
      </c>
      <c r="L1243" s="660" t="s">
        <v>388</v>
      </c>
      <c r="M1243" s="660" t="s">
        <v>389</v>
      </c>
      <c r="N1243" s="661" t="s">
        <v>389</v>
      </c>
      <c r="O1243" s="661" t="s">
        <v>389</v>
      </c>
      <c r="P1243" s="661" t="s">
        <v>390</v>
      </c>
      <c r="Q1243" s="660" t="s">
        <v>391</v>
      </c>
      <c r="R1243" s="662" t="str">
        <f>R$11</f>
        <v>Wholesale</v>
      </c>
      <c r="S1243" s="655" t="str">
        <f>S$11</f>
        <v>Wholesale</v>
      </c>
      <c r="T1243" s="661"/>
      <c r="U1243" s="660" t="s">
        <v>10</v>
      </c>
    </row>
    <row r="1244" spans="2:23" ht="18" customHeight="1" x14ac:dyDescent="0.2">
      <c r="B1244" s="663"/>
      <c r="C1244" s="663"/>
      <c r="D1244" s="1578"/>
      <c r="E1244" s="1578"/>
      <c r="F1244" s="661"/>
      <c r="G1244" s="661" t="s">
        <v>689</v>
      </c>
      <c r="H1244" s="660" t="s">
        <v>690</v>
      </c>
      <c r="I1244" s="660"/>
      <c r="J1244" s="660"/>
      <c r="K1244" s="661" t="s">
        <v>680</v>
      </c>
      <c r="L1244" s="660" t="s">
        <v>681</v>
      </c>
      <c r="M1244" s="660" t="s">
        <v>680</v>
      </c>
      <c r="N1244" s="661" t="s">
        <v>681</v>
      </c>
      <c r="O1244" s="661" t="s">
        <v>393</v>
      </c>
      <c r="P1244" s="661"/>
      <c r="Q1244" s="660"/>
      <c r="R1244" s="663" t="str">
        <f>R$12</f>
        <v>XFMR</v>
      </c>
      <c r="S1244" s="660" t="str">
        <f>S$12</f>
        <v>DLS</v>
      </c>
      <c r="T1244" s="661"/>
      <c r="U1244" s="660"/>
    </row>
    <row r="1245" spans="2:23" ht="18" customHeight="1" thickBot="1" x14ac:dyDescent="0.25">
      <c r="B1245" s="665"/>
      <c r="C1245" s="665"/>
      <c r="D1245" s="1611" t="s">
        <v>13</v>
      </c>
      <c r="E1245" s="1611"/>
      <c r="F1245" s="1579"/>
      <c r="G1245" s="1579" t="s">
        <v>14</v>
      </c>
      <c r="H1245" s="664" t="s">
        <v>15</v>
      </c>
      <c r="I1245" s="664"/>
      <c r="J1245" s="664" t="str">
        <f t="shared" ref="J1245:Q1245" si="440">J$13</f>
        <v>(d)</v>
      </c>
      <c r="K1245" s="665" t="str">
        <f t="shared" si="440"/>
        <v>(e)</v>
      </c>
      <c r="L1245" s="664" t="str">
        <f t="shared" si="440"/>
        <v>(f)</v>
      </c>
      <c r="M1245" s="664" t="str">
        <f t="shared" si="440"/>
        <v>(g)</v>
      </c>
      <c r="N1245" s="665" t="str">
        <f t="shared" si="440"/>
        <v>(h)</v>
      </c>
      <c r="O1245" s="665" t="str">
        <f>O$13</f>
        <v>(i)</v>
      </c>
      <c r="P1245" s="665" t="str">
        <f t="shared" si="440"/>
        <v>(j)</v>
      </c>
      <c r="Q1245" s="665" t="str">
        <f t="shared" si="440"/>
        <v>(k)</v>
      </c>
      <c r="R1245" s="665" t="str">
        <f>R$13</f>
        <v>(l)</v>
      </c>
      <c r="S1245" s="664" t="str">
        <f>S$13</f>
        <v>(m)</v>
      </c>
      <c r="T1245" s="664"/>
      <c r="U1245" s="664" t="s">
        <v>683</v>
      </c>
    </row>
    <row r="1246" spans="2:23" ht="18" customHeight="1" x14ac:dyDescent="0.25">
      <c r="B1246" s="645"/>
      <c r="U1246" s="1572"/>
    </row>
    <row r="1247" spans="2:23" ht="18" customHeight="1" x14ac:dyDescent="0.25">
      <c r="B1247" s="645"/>
      <c r="U1247" s="1572"/>
    </row>
    <row r="1248" spans="2:23" ht="18" customHeight="1" x14ac:dyDescent="0.2">
      <c r="B1248" s="645">
        <f t="shared" ref="B1248:B1311" si="441">B1247+1</f>
        <v>1</v>
      </c>
      <c r="D1248" s="589" t="s">
        <v>692</v>
      </c>
      <c r="G1248" s="645">
        <f t="shared" ref="G1248:G1311" si="442">G1247+1</f>
        <v>1</v>
      </c>
      <c r="H1248" s="589" t="str">
        <f>VLOOKUP(G1248,FactorTable,2)</f>
        <v>ASSIGNED</v>
      </c>
      <c r="J1248" s="802">
        <v>0</v>
      </c>
      <c r="K1248" s="802">
        <v>0</v>
      </c>
      <c r="L1248" s="802">
        <v>0</v>
      </c>
      <c r="M1248" s="802">
        <v>0</v>
      </c>
      <c r="N1248" s="802">
        <v>0</v>
      </c>
      <c r="O1248" s="802">
        <v>0</v>
      </c>
      <c r="P1248" s="802">
        <v>0</v>
      </c>
      <c r="Q1248" s="802">
        <v>0</v>
      </c>
      <c r="R1248" s="802">
        <v>0</v>
      </c>
      <c r="S1248" s="802">
        <v>0</v>
      </c>
      <c r="T1248" s="620"/>
      <c r="U1248" s="802">
        <v>0</v>
      </c>
    </row>
    <row r="1249" spans="2:21" ht="18" customHeight="1" x14ac:dyDescent="0.2">
      <c r="B1249" s="645">
        <f t="shared" si="441"/>
        <v>2</v>
      </c>
      <c r="D1249" s="589" t="s">
        <v>693</v>
      </c>
      <c r="G1249" s="645">
        <f t="shared" si="442"/>
        <v>2</v>
      </c>
      <c r="H1249" s="589" t="str">
        <f>VLOOKUP(G1249,FactorTable,2)</f>
        <v>N / A</v>
      </c>
      <c r="J1249" s="802">
        <v>0</v>
      </c>
      <c r="K1249" s="802">
        <v>0</v>
      </c>
      <c r="L1249" s="802">
        <v>0</v>
      </c>
      <c r="M1249" s="802">
        <v>0</v>
      </c>
      <c r="N1249" s="802">
        <v>0</v>
      </c>
      <c r="O1249" s="802">
        <v>0</v>
      </c>
      <c r="P1249" s="802">
        <v>0</v>
      </c>
      <c r="Q1249" s="802">
        <v>0</v>
      </c>
      <c r="R1249" s="802">
        <v>0</v>
      </c>
      <c r="S1249" s="802">
        <v>0</v>
      </c>
      <c r="T1249" s="620"/>
      <c r="U1249" s="802">
        <v>0</v>
      </c>
    </row>
    <row r="1250" spans="2:21" ht="18" customHeight="1" x14ac:dyDescent="0.25">
      <c r="B1250" s="645">
        <f t="shared" si="441"/>
        <v>3</v>
      </c>
      <c r="G1250" s="645">
        <f t="shared" si="442"/>
        <v>3</v>
      </c>
      <c r="U1250" s="1572"/>
    </row>
    <row r="1251" spans="2:21" ht="18" customHeight="1" x14ac:dyDescent="0.25">
      <c r="B1251" s="645">
        <f t="shared" si="441"/>
        <v>4</v>
      </c>
      <c r="G1251" s="645">
        <f t="shared" si="442"/>
        <v>4</v>
      </c>
      <c r="U1251" s="1572"/>
    </row>
    <row r="1252" spans="2:21" ht="18" customHeight="1" x14ac:dyDescent="0.25">
      <c r="B1252" s="645">
        <f t="shared" si="441"/>
        <v>5</v>
      </c>
      <c r="G1252" s="645">
        <f t="shared" si="442"/>
        <v>5</v>
      </c>
      <c r="U1252" s="1572"/>
    </row>
    <row r="1253" spans="2:21" ht="18" customHeight="1" x14ac:dyDescent="0.2">
      <c r="B1253" s="645">
        <f t="shared" si="441"/>
        <v>6</v>
      </c>
      <c r="D1253" s="589" t="s">
        <v>694</v>
      </c>
      <c r="E1253" s="589" t="s">
        <v>0</v>
      </c>
      <c r="G1253" s="645">
        <f t="shared" si="442"/>
        <v>6</v>
      </c>
      <c r="H1253" s="620" t="str">
        <f>VLOOKUP(G1253,FactorTable,2)</f>
        <v>CUS W ALL</v>
      </c>
      <c r="J1253" s="1612">
        <f>'WP II-I-2.2'!E17</f>
        <v>0.5220434734948457</v>
      </c>
      <c r="K1253" s="1612">
        <f>'WP II-I-2.2'!F17</f>
        <v>7.3234910219164243E-2</v>
      </c>
      <c r="L1253" s="1612">
        <f>'WP II-I-2.2'!G17</f>
        <v>0.28800912921560134</v>
      </c>
      <c r="M1253" s="1612">
        <f>'WP II-I-2.2'!H17</f>
        <v>1.2128655972860062E-2</v>
      </c>
      <c r="N1253" s="1612">
        <f>'WP II-I-2.2'!I17</f>
        <v>9.3397053702985858E-2</v>
      </c>
      <c r="O1253" s="1612">
        <f>'WP II-I-2.2'!J17</f>
        <v>3.0645626579865848E-3</v>
      </c>
      <c r="P1253" s="1612">
        <f>'WP II-I-2.2'!K17</f>
        <v>6.3923392865977858E-3</v>
      </c>
      <c r="Q1253" s="1612">
        <f>'WP II-I-2.2'!L17</f>
        <v>5.3233524815684392E-4</v>
      </c>
      <c r="R1253" s="1612">
        <f>'WP II-I-2.2'!M17</f>
        <v>3.3841796223164748E-4</v>
      </c>
      <c r="S1253" s="1612">
        <f>'WP II-I-2.2'!N17</f>
        <v>8.5912223956998443E-4</v>
      </c>
      <c r="U1253" s="828">
        <f>MAX(0.0000001,SUM(I1253:T1253))</f>
        <v>1.0000000000000002</v>
      </c>
    </row>
    <row r="1254" spans="2:21" ht="18" customHeight="1" x14ac:dyDescent="0.2">
      <c r="B1254" s="645">
        <f t="shared" si="441"/>
        <v>7</v>
      </c>
      <c r="D1254" s="589" t="s">
        <v>695</v>
      </c>
      <c r="G1254" s="645">
        <f t="shared" si="442"/>
        <v>7</v>
      </c>
      <c r="H1254" s="589" t="str">
        <f>VLOOKUP(G1254,FactorTable,2)</f>
        <v>CUS W SEC</v>
      </c>
      <c r="J1254" s="589">
        <f>J1253</f>
        <v>0.5220434734948457</v>
      </c>
      <c r="K1254" s="589">
        <f>K1253</f>
        <v>7.3234910219164243E-2</v>
      </c>
      <c r="L1254" s="589">
        <f>L1253</f>
        <v>0.28800912921560134</v>
      </c>
      <c r="M1254" s="802">
        <v>0</v>
      </c>
      <c r="N1254" s="802">
        <v>0</v>
      </c>
      <c r="O1254" s="802">
        <v>0</v>
      </c>
      <c r="P1254" s="802">
        <v>0</v>
      </c>
      <c r="Q1254" s="589">
        <f>Q1253</f>
        <v>5.3233524815684392E-4</v>
      </c>
      <c r="R1254" s="802">
        <v>0</v>
      </c>
      <c r="S1254" s="802">
        <v>0</v>
      </c>
      <c r="U1254" s="828">
        <f>MAX(0.0000001,SUM(I1254:T1254))</f>
        <v>0.88381984817776826</v>
      </c>
    </row>
    <row r="1255" spans="2:21" ht="18" customHeight="1" x14ac:dyDescent="0.2">
      <c r="B1255" s="645">
        <f t="shared" si="441"/>
        <v>8</v>
      </c>
      <c r="D1255" s="589" t="s">
        <v>696</v>
      </c>
      <c r="G1255" s="645">
        <f t="shared" si="442"/>
        <v>8</v>
      </c>
      <c r="H1255" s="589" t="str">
        <f>VLOOKUP(G1255,FactorTable,2)</f>
        <v>CUS W RTL</v>
      </c>
      <c r="J1255" s="589">
        <f t="shared" ref="J1255:Q1255" si="443">J1253</f>
        <v>0.5220434734948457</v>
      </c>
      <c r="K1255" s="589">
        <f t="shared" si="443"/>
        <v>7.3234910219164243E-2</v>
      </c>
      <c r="L1255" s="589">
        <f t="shared" si="443"/>
        <v>0.28800912921560134</v>
      </c>
      <c r="M1255" s="589">
        <f t="shared" si="443"/>
        <v>1.2128655972860062E-2</v>
      </c>
      <c r="N1255" s="589">
        <f t="shared" si="443"/>
        <v>9.3397053702985858E-2</v>
      </c>
      <c r="O1255" s="589">
        <f>O1253</f>
        <v>3.0645626579865848E-3</v>
      </c>
      <c r="P1255" s="589">
        <f t="shared" si="443"/>
        <v>6.3923392865977858E-3</v>
      </c>
      <c r="Q1255" s="589">
        <f t="shared" si="443"/>
        <v>5.3233524815684392E-4</v>
      </c>
      <c r="R1255" s="25"/>
      <c r="S1255" s="25"/>
      <c r="U1255" s="828">
        <f>MAX(0.0000001,SUM(I1255:T1255))</f>
        <v>0.99880245979819859</v>
      </c>
    </row>
    <row r="1256" spans="2:21" ht="18" customHeight="1" x14ac:dyDescent="0.2">
      <c r="B1256" s="645">
        <f t="shared" si="441"/>
        <v>9</v>
      </c>
      <c r="D1256" s="589" t="s">
        <v>697</v>
      </c>
      <c r="G1256" s="645">
        <f t="shared" si="442"/>
        <v>9</v>
      </c>
      <c r="H1256" s="589" t="str">
        <f>VLOOKUP(G1256,FactorTable,2)</f>
        <v>CUS U ALL</v>
      </c>
      <c r="J1256" s="1613">
        <f>'WP II-I-2.2'!E14</f>
        <v>3462111</v>
      </c>
      <c r="K1256" s="1613">
        <f>'WP II-I-2.2'!F14</f>
        <v>287174</v>
      </c>
      <c r="L1256" s="1613">
        <f>'WP II-I-2.2'!G14</f>
        <v>234639</v>
      </c>
      <c r="M1256" s="1613">
        <f>'WP II-I-2.2'!H14</f>
        <v>3135</v>
      </c>
      <c r="N1256" s="1613">
        <f>'WP II-I-2.2'!I14</f>
        <v>7018</v>
      </c>
      <c r="O1256" s="1613">
        <f>'WP II-I-2.2'!J14</f>
        <v>163</v>
      </c>
      <c r="P1256" s="1613">
        <f>'WP II-I-2.2'!K14</f>
        <v>340</v>
      </c>
      <c r="Q1256" s="1613">
        <f>'WP II-I-2.2'!L14</f>
        <v>51221</v>
      </c>
      <c r="R1256" s="1613">
        <f>'WP II-I-2.2'!M14</f>
        <v>18</v>
      </c>
      <c r="S1256" s="1613">
        <f>'WP II-I-2.2'!N14</f>
        <v>52</v>
      </c>
      <c r="U1256" s="621">
        <f>MAX(0.0000001,SUM(I1256:T1256))</f>
        <v>4045871</v>
      </c>
    </row>
    <row r="1257" spans="2:21" ht="18" customHeight="1" x14ac:dyDescent="0.2">
      <c r="B1257" s="645">
        <f t="shared" si="441"/>
        <v>10</v>
      </c>
      <c r="D1257" s="589" t="s">
        <v>698</v>
      </c>
      <c r="G1257" s="645">
        <f t="shared" si="442"/>
        <v>10</v>
      </c>
      <c r="H1257" s="589" t="str">
        <f>VLOOKUP(G1257,FactorTable,2)</f>
        <v>CUS U RTL</v>
      </c>
      <c r="J1257" s="621">
        <f t="shared" ref="J1257:Q1257" si="444">J1256</f>
        <v>3462111</v>
      </c>
      <c r="K1257" s="621">
        <f t="shared" si="444"/>
        <v>287174</v>
      </c>
      <c r="L1257" s="621">
        <f t="shared" si="444"/>
        <v>234639</v>
      </c>
      <c r="M1257" s="621">
        <f t="shared" si="444"/>
        <v>3135</v>
      </c>
      <c r="N1257" s="621">
        <f t="shared" si="444"/>
        <v>7018</v>
      </c>
      <c r="O1257" s="621">
        <f>O1256</f>
        <v>163</v>
      </c>
      <c r="P1257" s="621">
        <f t="shared" si="444"/>
        <v>340</v>
      </c>
      <c r="Q1257" s="621">
        <f t="shared" si="444"/>
        <v>51221</v>
      </c>
      <c r="R1257" s="802">
        <v>0</v>
      </c>
      <c r="S1257" s="802">
        <v>0</v>
      </c>
      <c r="U1257" s="621">
        <f>MAX(0.0000001,SUM(I1257:T1257))</f>
        <v>4045801</v>
      </c>
    </row>
    <row r="1258" spans="2:21" ht="18" customHeight="1" x14ac:dyDescent="0.25">
      <c r="B1258" s="645">
        <f t="shared" si="441"/>
        <v>11</v>
      </c>
      <c r="G1258" s="645">
        <f t="shared" si="442"/>
        <v>11</v>
      </c>
      <c r="U1258" s="1572"/>
    </row>
    <row r="1259" spans="2:21" ht="18" customHeight="1" x14ac:dyDescent="0.25">
      <c r="B1259" s="645">
        <f t="shared" si="441"/>
        <v>12</v>
      </c>
      <c r="G1259" s="645">
        <f t="shared" si="442"/>
        <v>12</v>
      </c>
      <c r="U1259" s="1572"/>
    </row>
    <row r="1260" spans="2:21" ht="18" customHeight="1" x14ac:dyDescent="0.25">
      <c r="B1260" s="645">
        <f t="shared" si="441"/>
        <v>13</v>
      </c>
      <c r="G1260" s="645">
        <f t="shared" si="442"/>
        <v>13</v>
      </c>
      <c r="U1260" s="1572"/>
    </row>
    <row r="1261" spans="2:21" ht="18" customHeight="1" x14ac:dyDescent="0.2">
      <c r="B1261" s="645">
        <f t="shared" si="441"/>
        <v>14</v>
      </c>
      <c r="D1261" s="620" t="s">
        <v>699</v>
      </c>
      <c r="G1261" s="645">
        <f t="shared" si="442"/>
        <v>14</v>
      </c>
      <c r="H1261" s="589" t="str">
        <f>VLOOKUP(G1261,FactorTable,2)</f>
        <v>REVENUE</v>
      </c>
      <c r="J1261" s="1613">
        <f>'WP II-I-2.2'!E77</f>
        <v>2580905272.3055363</v>
      </c>
      <c r="K1261" s="1613">
        <f>'WP II-I-2.2'!F77</f>
        <v>93725156.992601186</v>
      </c>
      <c r="L1261" s="1613">
        <f>'WP II-I-2.2'!G77</f>
        <v>1772278110.3614011</v>
      </c>
      <c r="M1261" s="1613">
        <f>'WP II-I-2.2'!H77</f>
        <v>1756235.0368453022</v>
      </c>
      <c r="N1261" s="1613">
        <f>'WP II-I-2.2'!I77</f>
        <v>388717915.32085443</v>
      </c>
      <c r="O1261" s="1613">
        <f>'WP II-I-2.2'!J77</f>
        <v>78824110.817420691</v>
      </c>
      <c r="P1261" s="1613">
        <f>'WP II-I-2.2'!K77</f>
        <v>211271320.41081285</v>
      </c>
      <c r="Q1261" s="1613">
        <f>'WP II-I-2.2'!L77</f>
        <v>64581935.083779074</v>
      </c>
      <c r="R1261" s="1613">
        <f>'WP II-I-2.2'!M77</f>
        <v>1796210.6128</v>
      </c>
      <c r="S1261" s="1613">
        <f>'WP II-I-2.2'!N77</f>
        <v>8861400.7717400007</v>
      </c>
      <c r="U1261" s="621">
        <f>MAX(0.0000001,SUM(I1261:T1261))</f>
        <v>5202717667.7137909</v>
      </c>
    </row>
    <row r="1262" spans="2:21" ht="18" customHeight="1" x14ac:dyDescent="0.2">
      <c r="B1262" s="645">
        <f t="shared" si="441"/>
        <v>15</v>
      </c>
      <c r="D1262" s="589" t="s">
        <v>700</v>
      </c>
      <c r="G1262" s="645">
        <f t="shared" si="442"/>
        <v>15</v>
      </c>
      <c r="H1262" s="589" t="str">
        <f>VLOOKUP(G1262,FactorTable,2)</f>
        <v>REVENUE RTL</v>
      </c>
      <c r="J1262" s="621">
        <f t="shared" ref="J1262:Q1262" si="445">J1261</f>
        <v>2580905272.3055363</v>
      </c>
      <c r="K1262" s="621">
        <f t="shared" si="445"/>
        <v>93725156.992601186</v>
      </c>
      <c r="L1262" s="621">
        <f t="shared" si="445"/>
        <v>1772278110.3614011</v>
      </c>
      <c r="M1262" s="621">
        <f t="shared" si="445"/>
        <v>1756235.0368453022</v>
      </c>
      <c r="N1262" s="621">
        <f t="shared" si="445"/>
        <v>388717915.32085443</v>
      </c>
      <c r="O1262" s="621">
        <f>O1261</f>
        <v>78824110.817420691</v>
      </c>
      <c r="P1262" s="621">
        <f t="shared" si="445"/>
        <v>211271320.41081285</v>
      </c>
      <c r="Q1262" s="621">
        <f t="shared" si="445"/>
        <v>64581935.083779074</v>
      </c>
      <c r="R1262" s="25"/>
      <c r="S1262" s="25"/>
      <c r="U1262" s="621">
        <f>MAX(0.0000001,SUM(I1262:T1262))</f>
        <v>5192060056.3292513</v>
      </c>
    </row>
    <row r="1263" spans="2:21" ht="18" customHeight="1" x14ac:dyDescent="0.25">
      <c r="B1263" s="645">
        <f t="shared" si="441"/>
        <v>16</v>
      </c>
      <c r="G1263" s="645">
        <f t="shared" si="442"/>
        <v>16</v>
      </c>
      <c r="U1263" s="1572"/>
    </row>
    <row r="1264" spans="2:21" ht="18" customHeight="1" x14ac:dyDescent="0.2">
      <c r="B1264" s="645">
        <f t="shared" si="441"/>
        <v>17</v>
      </c>
      <c r="D1264" s="589" t="s">
        <v>969</v>
      </c>
      <c r="G1264" s="645">
        <f t="shared" si="442"/>
        <v>17</v>
      </c>
      <c r="H1264" s="589" t="s">
        <v>968</v>
      </c>
      <c r="J1264" s="854">
        <v>1763132764.6525154</v>
      </c>
      <c r="K1264" s="854">
        <v>85777399.683401302</v>
      </c>
      <c r="L1264" s="854">
        <v>1315632476.0922151</v>
      </c>
      <c r="M1264" s="854">
        <v>1119414.9323867427</v>
      </c>
      <c r="N1264" s="854">
        <v>195186930.40355563</v>
      </c>
      <c r="O1264" s="854">
        <v>26040677.805835228</v>
      </c>
      <c r="P1264" s="854">
        <v>97405783.661392704</v>
      </c>
      <c r="Q1264" s="854">
        <v>58143116.429203786</v>
      </c>
      <c r="R1264" s="854">
        <v>1058649.2683363492</v>
      </c>
      <c r="S1264" s="854">
        <v>4712912.5541264359</v>
      </c>
      <c r="U1264" s="621">
        <f>MAX(0.0000001,SUM(I1264:T1264))</f>
        <v>3548210125.4829688</v>
      </c>
    </row>
    <row r="1265" spans="2:21" ht="18" customHeight="1" x14ac:dyDescent="0.25">
      <c r="B1265" s="645">
        <f t="shared" si="441"/>
        <v>18</v>
      </c>
      <c r="D1265" s="620"/>
      <c r="G1265" s="645">
        <f t="shared" si="442"/>
        <v>18</v>
      </c>
      <c r="U1265" s="1572"/>
    </row>
    <row r="1266" spans="2:21" ht="18" customHeight="1" x14ac:dyDescent="0.2">
      <c r="B1266" s="645">
        <f t="shared" si="441"/>
        <v>19</v>
      </c>
      <c r="D1266" s="589" t="s">
        <v>961</v>
      </c>
      <c r="G1266" s="645">
        <f t="shared" si="442"/>
        <v>19</v>
      </c>
      <c r="H1266" s="589" t="str">
        <f>VLOOKUP(G1266,FactorTable,2)</f>
        <v>ENERGY ICL</v>
      </c>
      <c r="J1266" s="1614">
        <f>'WP II-I-2.2'!E20</f>
        <v>40817970.445</v>
      </c>
      <c r="K1266" s="1614">
        <f>'WP II-I-2.2'!F20</f>
        <v>1236620.575</v>
      </c>
      <c r="L1266" s="1614">
        <f>'WP II-I-2.2'!G20</f>
        <v>43461525.475000001</v>
      </c>
      <c r="M1266" s="1614">
        <f>'WP II-I-2.2'!H20</f>
        <v>836.80100000000004</v>
      </c>
      <c r="N1266" s="1614">
        <f>'WP II-I-2.2'!I20</f>
        <v>7196537.642</v>
      </c>
      <c r="O1266" s="1614">
        <f>'WP II-I-2.2'!J20</f>
        <v>1371791.51</v>
      </c>
      <c r="P1266" s="1614">
        <f>'WP II-I-2.2'!K20</f>
        <v>9461162.5539999995</v>
      </c>
      <c r="Q1266" s="1614">
        <f>'WP II-I-2.2'!L20</f>
        <v>333986.83399999997</v>
      </c>
      <c r="R1266" s="1614">
        <f>'WP II-I-2.2'!M20</f>
        <v>103747.4</v>
      </c>
      <c r="S1266" s="1614">
        <f>'WP II-I-2.2'!N20</f>
        <v>122393.4</v>
      </c>
      <c r="U1266" s="621">
        <f>MAX(0.0000001,SUM(I1266:T1266))</f>
        <v>104106572.63600004</v>
      </c>
    </row>
    <row r="1267" spans="2:21" ht="18" customHeight="1" x14ac:dyDescent="0.25">
      <c r="B1267" s="645">
        <f t="shared" si="441"/>
        <v>20</v>
      </c>
      <c r="G1267" s="645">
        <f t="shared" si="442"/>
        <v>20</v>
      </c>
      <c r="U1267" s="1572"/>
    </row>
    <row r="1268" spans="2:21" ht="18" customHeight="1" x14ac:dyDescent="0.25">
      <c r="B1268" s="645">
        <f t="shared" si="441"/>
        <v>21</v>
      </c>
      <c r="G1268" s="645">
        <f t="shared" si="442"/>
        <v>21</v>
      </c>
      <c r="U1268" s="1572"/>
    </row>
    <row r="1269" spans="2:21" ht="18" customHeight="1" x14ac:dyDescent="0.25">
      <c r="B1269" s="645">
        <f t="shared" si="441"/>
        <v>22</v>
      </c>
      <c r="D1269" s="620"/>
      <c r="G1269" s="645">
        <f t="shared" si="442"/>
        <v>22</v>
      </c>
      <c r="U1269" s="1572"/>
    </row>
    <row r="1270" spans="2:21" ht="18" customHeight="1" x14ac:dyDescent="0.2">
      <c r="B1270" s="645">
        <f t="shared" si="441"/>
        <v>23</v>
      </c>
      <c r="D1270" s="589" t="s">
        <v>702</v>
      </c>
      <c r="G1270" s="645">
        <f t="shared" si="442"/>
        <v>23</v>
      </c>
      <c r="H1270" s="589" t="str">
        <f>VLOOKUP(G1270,FactorTable,2)</f>
        <v>4CP RTL</v>
      </c>
      <c r="J1270" s="1614">
        <f>'WP II-I-2.2'!E40</f>
        <v>12679094.989879329</v>
      </c>
      <c r="K1270" s="1614">
        <f>'WP II-I-2.2'!F40</f>
        <v>255601.64743040886</v>
      </c>
      <c r="L1270" s="1614">
        <f>'WP II-I-2.2'!G40</f>
        <v>8826874.5016730912</v>
      </c>
      <c r="M1270" s="1614">
        <f>'WP II-I-2.2'!H40</f>
        <v>2792.4322421174811</v>
      </c>
      <c r="N1270" s="1614">
        <f>'WP II-I-2.2'!I40</f>
        <v>2744545.7438364113</v>
      </c>
      <c r="O1270" s="1614">
        <f>'WP II-I-2.2'!J40</f>
        <v>996379.58746995602</v>
      </c>
      <c r="P1270" s="1614">
        <f>'WP II-I-2.2'!K40</f>
        <v>3403571.9674686831</v>
      </c>
      <c r="Q1270" s="1614">
        <f>'WP II-I-2.2'!L40</f>
        <v>0</v>
      </c>
      <c r="R1270" s="25">
        <v>0</v>
      </c>
      <c r="S1270" s="25">
        <v>0</v>
      </c>
      <c r="U1270" s="621">
        <f>MAX(0.0000001,SUM(I1270:T1270))</f>
        <v>28908860.869999997</v>
      </c>
    </row>
    <row r="1271" spans="2:21" ht="18" customHeight="1" x14ac:dyDescent="0.25">
      <c r="B1271" s="645">
        <f t="shared" si="441"/>
        <v>24</v>
      </c>
      <c r="G1271" s="645">
        <f t="shared" si="442"/>
        <v>24</v>
      </c>
      <c r="U1271" s="1572"/>
    </row>
    <row r="1272" spans="2:21" ht="18" customHeight="1" x14ac:dyDescent="0.25">
      <c r="B1272" s="645">
        <f t="shared" si="441"/>
        <v>25</v>
      </c>
      <c r="G1272" s="645">
        <f t="shared" si="442"/>
        <v>25</v>
      </c>
      <c r="U1272" s="1572"/>
    </row>
    <row r="1273" spans="2:21" ht="18" customHeight="1" x14ac:dyDescent="0.2">
      <c r="B1273" s="645">
        <f t="shared" si="441"/>
        <v>26</v>
      </c>
      <c r="D1273" s="589" t="s">
        <v>703</v>
      </c>
      <c r="G1273" s="645">
        <f t="shared" si="442"/>
        <v>26</v>
      </c>
      <c r="H1273" s="589" t="str">
        <f t="shared" ref="H1273:H1280" si="446">VLOOKUP(G1273,FactorTable,2)</f>
        <v>NCP ALL</v>
      </c>
      <c r="J1273" s="1613">
        <f>'WP II-I-2.2'!E37</f>
        <v>15919713.533920208</v>
      </c>
      <c r="K1273" s="1613">
        <f>'WP II-I-2.2'!F37</f>
        <v>300765.84980009048</v>
      </c>
      <c r="L1273" s="1613">
        <f>'WP II-I-2.2'!G37</f>
        <v>10225299.230063109</v>
      </c>
      <c r="M1273" s="1613">
        <f>'WP II-I-2.2'!H37</f>
        <v>4784.8338942797454</v>
      </c>
      <c r="N1273" s="1613">
        <f>'WP II-I-2.2'!I37</f>
        <v>3007684.7612368348</v>
      </c>
      <c r="O1273" s="1613">
        <f>'WP II-I-2.2'!J37</f>
        <v>1292762.1114743971</v>
      </c>
      <c r="P1273" s="1613">
        <f>'WP II-I-2.2'!K37</f>
        <v>4728173.3532934133</v>
      </c>
      <c r="Q1273" s="1613">
        <f>'WP II-I-2.2'!L37</f>
        <v>90934.292990564922</v>
      </c>
      <c r="R1273" s="1613">
        <f>'WP II-I-2.2'!M37</f>
        <v>89360.767768842663</v>
      </c>
      <c r="S1273" s="1613">
        <f>'WP II-I-2.2'!N37</f>
        <v>115405.61806833629</v>
      </c>
      <c r="U1273" s="621">
        <f t="shared" ref="U1273:U1280" si="447">MAX(0.0000001,SUM(I1273:T1273))</f>
        <v>35774884.35251008</v>
      </c>
    </row>
    <row r="1274" spans="2:21" ht="18" customHeight="1" x14ac:dyDescent="0.25">
      <c r="B1274" s="645">
        <f t="shared" si="441"/>
        <v>27</v>
      </c>
      <c r="G1274" s="645">
        <f>G1273+1</f>
        <v>27</v>
      </c>
      <c r="U1274" s="1572"/>
    </row>
    <row r="1275" spans="2:21" ht="18" customHeight="1" x14ac:dyDescent="0.2">
      <c r="B1275" s="645">
        <f t="shared" si="441"/>
        <v>28</v>
      </c>
      <c r="D1275" s="589" t="s">
        <v>704</v>
      </c>
      <c r="G1275" s="645">
        <f t="shared" si="442"/>
        <v>28</v>
      </c>
      <c r="H1275" s="589" t="str">
        <f t="shared" si="446"/>
        <v>NCP XHV</v>
      </c>
      <c r="J1275" s="1581">
        <f t="shared" ref="J1275:O1275" si="448">J1273</f>
        <v>15919713.533920208</v>
      </c>
      <c r="K1275" s="1581">
        <f t="shared" si="448"/>
        <v>300765.84980009048</v>
      </c>
      <c r="L1275" s="1581">
        <f t="shared" si="448"/>
        <v>10225299.230063109</v>
      </c>
      <c r="M1275" s="1581">
        <f t="shared" si="448"/>
        <v>4784.8338942797454</v>
      </c>
      <c r="N1275" s="1581">
        <f t="shared" si="448"/>
        <v>3007684.7612368348</v>
      </c>
      <c r="O1275" s="1581">
        <f t="shared" si="448"/>
        <v>1292762.1114743971</v>
      </c>
      <c r="P1275" s="802">
        <v>0</v>
      </c>
      <c r="Q1275" s="1581">
        <f>Q1273</f>
        <v>90934.292990564922</v>
      </c>
      <c r="R1275" s="693">
        <f>R1273</f>
        <v>89360.767768842663</v>
      </c>
      <c r="S1275" s="693">
        <f>S1273</f>
        <v>115405.61806833629</v>
      </c>
      <c r="U1275" s="621">
        <f t="shared" si="447"/>
        <v>31046710.999216665</v>
      </c>
    </row>
    <row r="1276" spans="2:21" ht="18" customHeight="1" x14ac:dyDescent="0.25">
      <c r="B1276" s="645">
        <f t="shared" si="441"/>
        <v>29</v>
      </c>
      <c r="G1276" s="645">
        <f>G1275+1</f>
        <v>29</v>
      </c>
      <c r="U1276" s="1572"/>
    </row>
    <row r="1277" spans="2:21" ht="18" customHeight="1" x14ac:dyDescent="0.2">
      <c r="B1277" s="645">
        <f t="shared" si="441"/>
        <v>30</v>
      </c>
      <c r="D1277" s="589" t="s">
        <v>705</v>
      </c>
      <c r="G1277" s="645">
        <f t="shared" si="442"/>
        <v>30</v>
      </c>
      <c r="H1277" s="589" t="str">
        <f t="shared" si="446"/>
        <v>NCP XSS</v>
      </c>
      <c r="J1277" s="1581">
        <f>J1273</f>
        <v>15919713.533920208</v>
      </c>
      <c r="K1277" s="1581">
        <f>K1273</f>
        <v>300765.84980009048</v>
      </c>
      <c r="L1277" s="1581">
        <f>L1273</f>
        <v>10225299.230063109</v>
      </c>
      <c r="M1277" s="1581">
        <f>M1273</f>
        <v>4784.8338942797454</v>
      </c>
      <c r="N1277" s="1581">
        <f>N1273</f>
        <v>3007684.7612368348</v>
      </c>
      <c r="O1277" s="802">
        <v>0</v>
      </c>
      <c r="P1277" s="802">
        <v>0</v>
      </c>
      <c r="Q1277" s="1581">
        <f>Q1273</f>
        <v>90934.292990564922</v>
      </c>
      <c r="R1277" s="802">
        <v>0</v>
      </c>
      <c r="S1277" s="693">
        <f>S1273</f>
        <v>115405.61806833629</v>
      </c>
      <c r="U1277" s="621">
        <f t="shared" si="447"/>
        <v>29664588.119973425</v>
      </c>
    </row>
    <row r="1278" spans="2:21" ht="18" customHeight="1" x14ac:dyDescent="0.25">
      <c r="B1278" s="645">
        <f t="shared" si="441"/>
        <v>31</v>
      </c>
      <c r="G1278" s="645">
        <f>G1277+1</f>
        <v>31</v>
      </c>
      <c r="U1278" s="1572"/>
    </row>
    <row r="1279" spans="2:21" ht="18" customHeight="1" x14ac:dyDescent="0.2">
      <c r="B1279" s="645">
        <f t="shared" si="441"/>
        <v>32</v>
      </c>
      <c r="D1279" s="589" t="s">
        <v>706</v>
      </c>
      <c r="G1279" s="645">
        <f t="shared" si="442"/>
        <v>32</v>
      </c>
      <c r="H1279" s="589" t="str">
        <f t="shared" si="446"/>
        <v>NCP SEC</v>
      </c>
      <c r="J1279" s="1581">
        <f>J1273</f>
        <v>15919713.533920208</v>
      </c>
      <c r="K1279" s="1581">
        <f>K1273</f>
        <v>300765.84980009048</v>
      </c>
      <c r="L1279" s="1581">
        <f>L1273</f>
        <v>10225299.230063109</v>
      </c>
      <c r="M1279" s="802">
        <v>0</v>
      </c>
      <c r="N1279" s="802">
        <v>0</v>
      </c>
      <c r="O1279" s="802">
        <v>0</v>
      </c>
      <c r="P1279" s="802">
        <v>0</v>
      </c>
      <c r="Q1279" s="1581">
        <f>Q1273</f>
        <v>90934.292990564922</v>
      </c>
      <c r="R1279" s="802">
        <v>0</v>
      </c>
      <c r="S1279" s="802">
        <v>0</v>
      </c>
      <c r="U1279" s="621">
        <f t="shared" si="447"/>
        <v>26536712.906773973</v>
      </c>
    </row>
    <row r="1280" spans="2:21" ht="18" customHeight="1" x14ac:dyDescent="0.2">
      <c r="B1280" s="645">
        <f t="shared" si="441"/>
        <v>33</v>
      </c>
      <c r="D1280" s="589" t="s">
        <v>707</v>
      </c>
      <c r="G1280" s="645">
        <f t="shared" si="442"/>
        <v>33</v>
      </c>
      <c r="H1280" s="589" t="str">
        <f t="shared" si="446"/>
        <v>NCP LGT</v>
      </c>
      <c r="J1280" s="802">
        <v>0</v>
      </c>
      <c r="K1280" s="802">
        <v>0</v>
      </c>
      <c r="L1280" s="802">
        <v>0</v>
      </c>
      <c r="M1280" s="802">
        <v>0</v>
      </c>
      <c r="N1280" s="802">
        <v>0</v>
      </c>
      <c r="O1280" s="802">
        <v>0</v>
      </c>
      <c r="P1280" s="802">
        <v>0</v>
      </c>
      <c r="Q1280" s="1581">
        <f>Q1273</f>
        <v>90934.292990564922</v>
      </c>
      <c r="R1280" s="802">
        <v>0</v>
      </c>
      <c r="S1280" s="802">
        <v>0</v>
      </c>
      <c r="U1280" s="621">
        <f t="shared" si="447"/>
        <v>90934.292990564922</v>
      </c>
    </row>
    <row r="1281" spans="2:21" ht="18" customHeight="1" x14ac:dyDescent="0.25">
      <c r="B1281" s="645">
        <f t="shared" si="441"/>
        <v>34</v>
      </c>
      <c r="D1281" s="620"/>
      <c r="E1281" s="620"/>
      <c r="F1281" s="620"/>
      <c r="G1281" s="645">
        <f t="shared" si="442"/>
        <v>34</v>
      </c>
      <c r="U1281" s="1572"/>
    </row>
    <row r="1282" spans="2:21" ht="18" customHeight="1" x14ac:dyDescent="0.25">
      <c r="B1282" s="645">
        <f t="shared" si="441"/>
        <v>35</v>
      </c>
      <c r="G1282" s="645">
        <f t="shared" si="442"/>
        <v>35</v>
      </c>
      <c r="U1282" s="1572"/>
    </row>
    <row r="1283" spans="2:21" ht="18" customHeight="1" x14ac:dyDescent="0.2">
      <c r="B1283" s="645">
        <f t="shared" si="441"/>
        <v>36</v>
      </c>
      <c r="D1283" s="620" t="s">
        <v>881</v>
      </c>
      <c r="G1283" s="645">
        <f t="shared" si="442"/>
        <v>36</v>
      </c>
      <c r="H1283" s="589" t="str">
        <f>VLOOKUP(G1283,FactorTable,2)</f>
        <v>OPEB MED</v>
      </c>
      <c r="J1283" s="1613">
        <f ca="1">J1335</f>
        <v>30162656.685883239</v>
      </c>
      <c r="K1283" s="1613">
        <f t="shared" ref="K1283:Q1283" ca="1" si="449">K1335</f>
        <v>4231219.8181124935</v>
      </c>
      <c r="L1283" s="1613">
        <f t="shared" ca="1" si="449"/>
        <v>16640688.261289179</v>
      </c>
      <c r="M1283" s="1613">
        <f t="shared" ca="1" si="449"/>
        <v>700740.96053853142</v>
      </c>
      <c r="N1283" s="1613">
        <f t="shared" ca="1" si="449"/>
        <v>5396301.6424921723</v>
      </c>
      <c r="O1283" s="1613">
        <f ca="1">O1335</f>
        <v>177155.60621148816</v>
      </c>
      <c r="P1283" s="1613">
        <f t="shared" ca="1" si="449"/>
        <v>369321.33053079917</v>
      </c>
      <c r="Q1283" s="1613">
        <f t="shared" ca="1" si="449"/>
        <v>36639.72362074531</v>
      </c>
      <c r="R1283" s="1613">
        <f ca="1">R1335*(1-'WP II-I-2.2'!$G$42)</f>
        <v>19559.122415581878</v>
      </c>
      <c r="S1283" s="1613">
        <f ca="1">S1335*(1-'WP II-I-2.2'!$G$42)</f>
        <v>49645.11890577017</v>
      </c>
      <c r="U1283" s="621">
        <f ca="1">MAX(0.0000001,SUM(I1283:T1283))</f>
        <v>57783928.269999996</v>
      </c>
    </row>
    <row r="1284" spans="2:21" ht="18" customHeight="1" x14ac:dyDescent="0.2">
      <c r="B1284" s="645">
        <f t="shared" si="441"/>
        <v>37</v>
      </c>
      <c r="D1284" s="589" t="s">
        <v>890</v>
      </c>
      <c r="G1284" s="645">
        <f t="shared" si="442"/>
        <v>37</v>
      </c>
      <c r="H1284" s="589" t="str">
        <f>VLOOKUP(G1284,FactorTable,2)</f>
        <v>OPEB TOTAL</v>
      </c>
      <c r="J1284" s="1613">
        <f ca="1">J1335</f>
        <v>30162656.685883239</v>
      </c>
      <c r="K1284" s="1613">
        <f t="shared" ref="K1284:Q1284" ca="1" si="450">K1335</f>
        <v>4231219.8181124935</v>
      </c>
      <c r="L1284" s="1613">
        <f t="shared" ca="1" si="450"/>
        <v>16640688.261289179</v>
      </c>
      <c r="M1284" s="1613">
        <f t="shared" ca="1" si="450"/>
        <v>700740.96053853142</v>
      </c>
      <c r="N1284" s="1613">
        <f t="shared" ca="1" si="450"/>
        <v>5396301.6424921723</v>
      </c>
      <c r="O1284" s="1613">
        <f ca="1">O1335</f>
        <v>177155.60621148816</v>
      </c>
      <c r="P1284" s="1613">
        <f t="shared" ca="1" si="450"/>
        <v>369321.33053079917</v>
      </c>
      <c r="Q1284" s="1613">
        <f t="shared" ca="1" si="450"/>
        <v>36639.72362074531</v>
      </c>
      <c r="R1284" s="1613">
        <f ca="1">R1335*(1-'WP II-I-2.2'!$K$42)</f>
        <v>19559.122415581878</v>
      </c>
      <c r="S1284" s="1613">
        <f ca="1">S1335*(1-'WP II-I-2.2'!$K$42)</f>
        <v>49645.11890577017</v>
      </c>
      <c r="U1284" s="621">
        <f ca="1">MAX(0.0000001,SUM(I1284:T1284))</f>
        <v>57783928.269999996</v>
      </c>
    </row>
    <row r="1285" spans="2:21" ht="18" customHeight="1" x14ac:dyDescent="0.2">
      <c r="B1285" s="645">
        <f t="shared" si="441"/>
        <v>38</v>
      </c>
      <c r="G1285" s="645">
        <f t="shared" si="442"/>
        <v>38</v>
      </c>
      <c r="J1285" s="416"/>
      <c r="K1285" s="416"/>
      <c r="L1285" s="416"/>
      <c r="M1285" s="416"/>
      <c r="N1285" s="416"/>
      <c r="O1285" s="416"/>
      <c r="P1285" s="416"/>
      <c r="Q1285" s="416"/>
      <c r="R1285" s="416"/>
      <c r="S1285" s="416"/>
      <c r="U1285" s="621"/>
    </row>
    <row r="1286" spans="2:21" ht="18" customHeight="1" x14ac:dyDescent="0.2">
      <c r="B1286" s="645">
        <f t="shared" si="441"/>
        <v>39</v>
      </c>
      <c r="D1286" s="589" t="s">
        <v>708</v>
      </c>
      <c r="G1286" s="645">
        <f t="shared" si="442"/>
        <v>39</v>
      </c>
      <c r="H1286" s="589" t="str">
        <f t="shared" ref="H1286:H1301" si="451">VLOOKUP(G1286,FactorTable,2)</f>
        <v>NOT USED</v>
      </c>
      <c r="J1286" s="1581"/>
      <c r="K1286" s="1581"/>
      <c r="L1286" s="1581"/>
      <c r="M1286" s="1581"/>
      <c r="N1286" s="1581"/>
      <c r="O1286" s="1581"/>
      <c r="P1286" s="1581"/>
      <c r="Q1286" s="1581"/>
      <c r="R1286" s="1581"/>
      <c r="S1286" s="1581"/>
      <c r="U1286" s="621"/>
    </row>
    <row r="1287" spans="2:21" ht="18" customHeight="1" x14ac:dyDescent="0.2">
      <c r="B1287" s="645">
        <f t="shared" si="441"/>
        <v>40</v>
      </c>
      <c r="D1287" s="589" t="s">
        <v>898</v>
      </c>
      <c r="G1287" s="645">
        <f t="shared" si="442"/>
        <v>40</v>
      </c>
      <c r="H1287" s="589" t="str">
        <f>VLOOKUP(G1287,FactorTable,2)</f>
        <v>PLT 360</v>
      </c>
      <c r="J1287" s="1581">
        <f t="shared" ref="J1287:S1287" ca="1" si="452">J136</f>
        <v>0</v>
      </c>
      <c r="K1287" s="1581">
        <f t="shared" ca="1" si="452"/>
        <v>0</v>
      </c>
      <c r="L1287" s="1581">
        <f t="shared" ca="1" si="452"/>
        <v>0</v>
      </c>
      <c r="M1287" s="1581">
        <f t="shared" ca="1" si="452"/>
        <v>0</v>
      </c>
      <c r="N1287" s="1581">
        <f t="shared" ca="1" si="452"/>
        <v>0</v>
      </c>
      <c r="O1287" s="1581">
        <f t="shared" ca="1" si="452"/>
        <v>0</v>
      </c>
      <c r="P1287" s="1581">
        <f t="shared" ca="1" si="452"/>
        <v>0</v>
      </c>
      <c r="Q1287" s="1581">
        <f t="shared" ca="1" si="452"/>
        <v>0</v>
      </c>
      <c r="R1287" s="1581">
        <f t="shared" ca="1" si="452"/>
        <v>0</v>
      </c>
      <c r="S1287" s="1581">
        <f t="shared" ca="1" si="452"/>
        <v>0</v>
      </c>
      <c r="U1287" s="621">
        <f ca="1">MAX(0.0000001,SUM(I1287:T1287))</f>
        <v>9.9999999999999995E-8</v>
      </c>
    </row>
    <row r="1288" spans="2:21" ht="18" customHeight="1" x14ac:dyDescent="0.2">
      <c r="B1288" s="645">
        <f t="shared" si="441"/>
        <v>41</v>
      </c>
      <c r="D1288" s="589" t="s">
        <v>709</v>
      </c>
      <c r="G1288" s="645">
        <f t="shared" si="442"/>
        <v>41</v>
      </c>
      <c r="H1288" s="589" t="str">
        <f t="shared" si="451"/>
        <v>PLT 353</v>
      </c>
      <c r="J1288" s="1581">
        <f t="shared" ref="J1288:S1288" si="453">J114</f>
        <v>0</v>
      </c>
      <c r="K1288" s="1581">
        <f t="shared" si="453"/>
        <v>0</v>
      </c>
      <c r="L1288" s="1581">
        <f t="shared" si="453"/>
        <v>0</v>
      </c>
      <c r="M1288" s="1581">
        <f t="shared" si="453"/>
        <v>0</v>
      </c>
      <c r="N1288" s="1581">
        <f t="shared" si="453"/>
        <v>0</v>
      </c>
      <c r="O1288" s="1581">
        <f t="shared" si="453"/>
        <v>0</v>
      </c>
      <c r="P1288" s="1581">
        <f t="shared" si="453"/>
        <v>0</v>
      </c>
      <c r="Q1288" s="1581">
        <f t="shared" si="453"/>
        <v>0</v>
      </c>
      <c r="R1288" s="1581">
        <f t="shared" si="453"/>
        <v>0</v>
      </c>
      <c r="S1288" s="1581">
        <f t="shared" si="453"/>
        <v>0</v>
      </c>
      <c r="U1288" s="621">
        <f t="shared" ref="U1288:U1301" si="454">MAX(0.0000001,SUM(I1288:T1288))</f>
        <v>9.9999999999999995E-8</v>
      </c>
    </row>
    <row r="1289" spans="2:21" ht="18" customHeight="1" x14ac:dyDescent="0.2">
      <c r="B1289" s="645">
        <f t="shared" si="441"/>
        <v>42</v>
      </c>
      <c r="D1289" s="589" t="s">
        <v>710</v>
      </c>
      <c r="G1289" s="645">
        <f t="shared" si="442"/>
        <v>42</v>
      </c>
      <c r="H1289" s="589" t="str">
        <f t="shared" si="451"/>
        <v>PLT 352-358</v>
      </c>
      <c r="J1289" s="1581">
        <f t="shared" ref="J1289:S1289" si="455">SUM(J113:J119)</f>
        <v>0</v>
      </c>
      <c r="K1289" s="1581">
        <f t="shared" si="455"/>
        <v>0</v>
      </c>
      <c r="L1289" s="1581">
        <f t="shared" si="455"/>
        <v>0</v>
      </c>
      <c r="M1289" s="1581">
        <f t="shared" si="455"/>
        <v>0</v>
      </c>
      <c r="N1289" s="1581">
        <f t="shared" si="455"/>
        <v>0</v>
      </c>
      <c r="O1289" s="1581">
        <f t="shared" si="455"/>
        <v>0</v>
      </c>
      <c r="P1289" s="1581">
        <f t="shared" si="455"/>
        <v>0</v>
      </c>
      <c r="Q1289" s="1581">
        <f t="shared" si="455"/>
        <v>0</v>
      </c>
      <c r="R1289" s="1581">
        <f t="shared" si="455"/>
        <v>0</v>
      </c>
      <c r="S1289" s="1581">
        <f t="shared" si="455"/>
        <v>0</v>
      </c>
      <c r="U1289" s="621">
        <f t="shared" si="454"/>
        <v>9.9999999999999995E-8</v>
      </c>
    </row>
    <row r="1290" spans="2:21" ht="18" customHeight="1" x14ac:dyDescent="0.2">
      <c r="B1290" s="645">
        <f t="shared" si="441"/>
        <v>43</v>
      </c>
      <c r="D1290" s="589" t="s">
        <v>711</v>
      </c>
      <c r="G1290" s="645">
        <f t="shared" si="442"/>
        <v>43</v>
      </c>
      <c r="H1290" s="589" t="str">
        <f t="shared" si="451"/>
        <v>PLT 361</v>
      </c>
      <c r="J1290" s="1581">
        <f t="shared" ref="J1290:S1290" ca="1" si="456">J137</f>
        <v>0</v>
      </c>
      <c r="K1290" s="1581">
        <f t="shared" ca="1" si="456"/>
        <v>0</v>
      </c>
      <c r="L1290" s="1581">
        <f t="shared" ca="1" si="456"/>
        <v>0</v>
      </c>
      <c r="M1290" s="1581">
        <f t="shared" ca="1" si="456"/>
        <v>0</v>
      </c>
      <c r="N1290" s="1581">
        <f t="shared" ca="1" si="456"/>
        <v>0</v>
      </c>
      <c r="O1290" s="1581">
        <f t="shared" ca="1" si="456"/>
        <v>0</v>
      </c>
      <c r="P1290" s="1581">
        <f t="shared" ca="1" si="456"/>
        <v>0</v>
      </c>
      <c r="Q1290" s="1581">
        <f t="shared" ca="1" si="456"/>
        <v>0</v>
      </c>
      <c r="R1290" s="1581">
        <f t="shared" ca="1" si="456"/>
        <v>0</v>
      </c>
      <c r="S1290" s="1581">
        <f t="shared" ca="1" si="456"/>
        <v>0</v>
      </c>
      <c r="U1290" s="621">
        <f t="shared" ca="1" si="454"/>
        <v>9.9999999999999995E-8</v>
      </c>
    </row>
    <row r="1291" spans="2:21" ht="18" customHeight="1" x14ac:dyDescent="0.2">
      <c r="B1291" s="645">
        <f t="shared" si="441"/>
        <v>44</v>
      </c>
      <c r="D1291" s="589" t="s">
        <v>712</v>
      </c>
      <c r="G1291" s="645">
        <f t="shared" si="442"/>
        <v>44</v>
      </c>
      <c r="H1291" s="589" t="str">
        <f t="shared" si="451"/>
        <v>PLT 362</v>
      </c>
      <c r="J1291" s="1581">
        <f t="shared" ref="J1291:S1291" si="457">J138</f>
        <v>0</v>
      </c>
      <c r="K1291" s="1581">
        <f t="shared" si="457"/>
        <v>0</v>
      </c>
      <c r="L1291" s="1581">
        <f t="shared" si="457"/>
        <v>0</v>
      </c>
      <c r="M1291" s="1581">
        <f t="shared" si="457"/>
        <v>0</v>
      </c>
      <c r="N1291" s="1581">
        <f t="shared" si="457"/>
        <v>0</v>
      </c>
      <c r="O1291" s="1581">
        <f t="shared" si="457"/>
        <v>0</v>
      </c>
      <c r="P1291" s="1581">
        <f t="shared" si="457"/>
        <v>0</v>
      </c>
      <c r="Q1291" s="1581">
        <f t="shared" si="457"/>
        <v>0</v>
      </c>
      <c r="R1291" s="1581">
        <f t="shared" si="457"/>
        <v>0</v>
      </c>
      <c r="S1291" s="1581">
        <f t="shared" si="457"/>
        <v>0</v>
      </c>
      <c r="U1291" s="621">
        <f t="shared" si="454"/>
        <v>9.9999999999999995E-8</v>
      </c>
    </row>
    <row r="1292" spans="2:21" ht="18" customHeight="1" x14ac:dyDescent="0.2">
      <c r="B1292" s="645">
        <f t="shared" si="441"/>
        <v>45</v>
      </c>
      <c r="D1292" s="589" t="s">
        <v>713</v>
      </c>
      <c r="G1292" s="645">
        <f t="shared" si="442"/>
        <v>45</v>
      </c>
      <c r="H1292" s="589" t="str">
        <f t="shared" si="451"/>
        <v>PLT 364</v>
      </c>
      <c r="J1292" s="1581">
        <f t="shared" ref="J1292:S1292" si="458">J161</f>
        <v>0</v>
      </c>
      <c r="K1292" s="1581">
        <f t="shared" si="458"/>
        <v>0</v>
      </c>
      <c r="L1292" s="1581">
        <f t="shared" si="458"/>
        <v>0</v>
      </c>
      <c r="M1292" s="1581">
        <f t="shared" si="458"/>
        <v>0</v>
      </c>
      <c r="N1292" s="1581">
        <f t="shared" si="458"/>
        <v>0</v>
      </c>
      <c r="O1292" s="1581">
        <f t="shared" si="458"/>
        <v>0</v>
      </c>
      <c r="P1292" s="1581">
        <f t="shared" si="458"/>
        <v>0</v>
      </c>
      <c r="Q1292" s="1581">
        <f t="shared" si="458"/>
        <v>0</v>
      </c>
      <c r="R1292" s="1581">
        <f t="shared" si="458"/>
        <v>0</v>
      </c>
      <c r="S1292" s="1581">
        <f t="shared" si="458"/>
        <v>0</v>
      </c>
      <c r="U1292" s="621">
        <f t="shared" si="454"/>
        <v>9.9999999999999995E-8</v>
      </c>
    </row>
    <row r="1293" spans="2:21" ht="18" customHeight="1" x14ac:dyDescent="0.2">
      <c r="B1293" s="645">
        <f t="shared" si="441"/>
        <v>46</v>
      </c>
      <c r="D1293" s="589" t="s">
        <v>714</v>
      </c>
      <c r="G1293" s="645">
        <f t="shared" si="442"/>
        <v>46</v>
      </c>
      <c r="H1293" s="589" t="str">
        <f t="shared" si="451"/>
        <v>PLT 365</v>
      </c>
      <c r="J1293" s="1581">
        <f t="shared" ref="J1293:S1293" si="459">J162</f>
        <v>0</v>
      </c>
      <c r="K1293" s="1581">
        <f t="shared" si="459"/>
        <v>0</v>
      </c>
      <c r="L1293" s="1581">
        <f t="shared" si="459"/>
        <v>0</v>
      </c>
      <c r="M1293" s="1581">
        <f t="shared" si="459"/>
        <v>0</v>
      </c>
      <c r="N1293" s="1581">
        <f t="shared" si="459"/>
        <v>0</v>
      </c>
      <c r="O1293" s="1581">
        <f t="shared" si="459"/>
        <v>0</v>
      </c>
      <c r="P1293" s="1581">
        <f t="shared" si="459"/>
        <v>0</v>
      </c>
      <c r="Q1293" s="1581">
        <f t="shared" si="459"/>
        <v>0</v>
      </c>
      <c r="R1293" s="1581">
        <f t="shared" si="459"/>
        <v>0</v>
      </c>
      <c r="S1293" s="1581">
        <f t="shared" si="459"/>
        <v>0</v>
      </c>
      <c r="U1293" s="621">
        <f t="shared" si="454"/>
        <v>9.9999999999999995E-8</v>
      </c>
    </row>
    <row r="1294" spans="2:21" ht="18" customHeight="1" x14ac:dyDescent="0.2">
      <c r="B1294" s="645">
        <f t="shared" si="441"/>
        <v>47</v>
      </c>
      <c r="D1294" s="589" t="s">
        <v>715</v>
      </c>
      <c r="G1294" s="645">
        <f t="shared" si="442"/>
        <v>47</v>
      </c>
      <c r="H1294" s="589" t="str">
        <f t="shared" si="451"/>
        <v>PLT 366</v>
      </c>
      <c r="J1294" s="1581">
        <f t="shared" ref="J1294:S1294" si="460">J163</f>
        <v>0</v>
      </c>
      <c r="K1294" s="1581">
        <f t="shared" si="460"/>
        <v>0</v>
      </c>
      <c r="L1294" s="1581">
        <f t="shared" si="460"/>
        <v>0</v>
      </c>
      <c r="M1294" s="1581">
        <f t="shared" si="460"/>
        <v>0</v>
      </c>
      <c r="N1294" s="1581">
        <f t="shared" si="460"/>
        <v>0</v>
      </c>
      <c r="O1294" s="1581">
        <f t="shared" si="460"/>
        <v>0</v>
      </c>
      <c r="P1294" s="1581">
        <f t="shared" si="460"/>
        <v>0</v>
      </c>
      <c r="Q1294" s="1581">
        <f t="shared" si="460"/>
        <v>0</v>
      </c>
      <c r="R1294" s="1581">
        <f t="shared" si="460"/>
        <v>0</v>
      </c>
      <c r="S1294" s="1581">
        <f t="shared" si="460"/>
        <v>0</v>
      </c>
      <c r="U1294" s="621">
        <f t="shared" si="454"/>
        <v>9.9999999999999995E-8</v>
      </c>
    </row>
    <row r="1295" spans="2:21" ht="18" customHeight="1" x14ac:dyDescent="0.2">
      <c r="B1295" s="645">
        <f t="shared" si="441"/>
        <v>48</v>
      </c>
      <c r="D1295" s="589" t="s">
        <v>716</v>
      </c>
      <c r="G1295" s="645">
        <f t="shared" si="442"/>
        <v>48</v>
      </c>
      <c r="H1295" s="589" t="str">
        <f t="shared" si="451"/>
        <v>PLT 367</v>
      </c>
      <c r="J1295" s="1581">
        <f t="shared" ref="J1295:S1295" si="461">J164</f>
        <v>0</v>
      </c>
      <c r="K1295" s="1581">
        <f t="shared" si="461"/>
        <v>0</v>
      </c>
      <c r="L1295" s="1581">
        <f t="shared" si="461"/>
        <v>0</v>
      </c>
      <c r="M1295" s="1581">
        <f t="shared" si="461"/>
        <v>0</v>
      </c>
      <c r="N1295" s="1581">
        <f t="shared" si="461"/>
        <v>0</v>
      </c>
      <c r="O1295" s="1581">
        <f t="shared" si="461"/>
        <v>0</v>
      </c>
      <c r="P1295" s="1581">
        <f t="shared" si="461"/>
        <v>0</v>
      </c>
      <c r="Q1295" s="1581">
        <f t="shared" si="461"/>
        <v>0</v>
      </c>
      <c r="R1295" s="1581">
        <f t="shared" si="461"/>
        <v>0</v>
      </c>
      <c r="S1295" s="1581">
        <f t="shared" si="461"/>
        <v>0</v>
      </c>
      <c r="U1295" s="621">
        <f t="shared" si="454"/>
        <v>9.9999999999999995E-8</v>
      </c>
    </row>
    <row r="1296" spans="2:21" ht="18" customHeight="1" x14ac:dyDescent="0.2">
      <c r="B1296" s="645">
        <f t="shared" si="441"/>
        <v>49</v>
      </c>
      <c r="D1296" s="589" t="s">
        <v>717</v>
      </c>
      <c r="G1296" s="645">
        <f t="shared" si="442"/>
        <v>49</v>
      </c>
      <c r="H1296" s="589" t="str">
        <f t="shared" si="451"/>
        <v>PLT 368</v>
      </c>
      <c r="J1296" s="1581">
        <f t="shared" ref="J1296:S1296" si="462">J165</f>
        <v>0</v>
      </c>
      <c r="K1296" s="1581">
        <f t="shared" si="462"/>
        <v>0</v>
      </c>
      <c r="L1296" s="1581">
        <f t="shared" si="462"/>
        <v>0</v>
      </c>
      <c r="M1296" s="1581">
        <f t="shared" si="462"/>
        <v>0</v>
      </c>
      <c r="N1296" s="1581">
        <f t="shared" si="462"/>
        <v>0</v>
      </c>
      <c r="O1296" s="1581">
        <f t="shared" si="462"/>
        <v>0</v>
      </c>
      <c r="P1296" s="1581">
        <f t="shared" si="462"/>
        <v>0</v>
      </c>
      <c r="Q1296" s="1581">
        <f t="shared" si="462"/>
        <v>0</v>
      </c>
      <c r="R1296" s="1581">
        <f t="shared" si="462"/>
        <v>0</v>
      </c>
      <c r="S1296" s="1581">
        <f t="shared" si="462"/>
        <v>0</v>
      </c>
      <c r="U1296" s="621">
        <f t="shared" si="454"/>
        <v>9.9999999999999995E-8</v>
      </c>
    </row>
    <row r="1297" spans="2:21" ht="18" customHeight="1" x14ac:dyDescent="0.2">
      <c r="B1297" s="645">
        <f t="shared" si="441"/>
        <v>50</v>
      </c>
      <c r="D1297" s="589" t="s">
        <v>718</v>
      </c>
      <c r="G1297" s="645">
        <f t="shared" si="442"/>
        <v>50</v>
      </c>
      <c r="H1297" s="589" t="str">
        <f t="shared" si="451"/>
        <v>PLT 369</v>
      </c>
      <c r="J1297" s="1581">
        <f t="shared" ref="J1297:S1297" si="463">J153</f>
        <v>0</v>
      </c>
      <c r="K1297" s="1581">
        <f t="shared" si="463"/>
        <v>0</v>
      </c>
      <c r="L1297" s="1581">
        <f t="shared" si="463"/>
        <v>0</v>
      </c>
      <c r="M1297" s="1581">
        <f t="shared" si="463"/>
        <v>0</v>
      </c>
      <c r="N1297" s="1581">
        <f t="shared" si="463"/>
        <v>0</v>
      </c>
      <c r="O1297" s="1581">
        <f t="shared" si="463"/>
        <v>0</v>
      </c>
      <c r="P1297" s="1581">
        <f t="shared" si="463"/>
        <v>0</v>
      </c>
      <c r="Q1297" s="1581">
        <f t="shared" si="463"/>
        <v>0</v>
      </c>
      <c r="R1297" s="1581">
        <f t="shared" si="463"/>
        <v>0</v>
      </c>
      <c r="S1297" s="1581">
        <f t="shared" si="463"/>
        <v>0</v>
      </c>
      <c r="U1297" s="621">
        <f t="shared" si="454"/>
        <v>9.9999999999999995E-8</v>
      </c>
    </row>
    <row r="1298" spans="2:21" ht="18" customHeight="1" x14ac:dyDescent="0.2">
      <c r="B1298" s="645">
        <f t="shared" si="441"/>
        <v>51</v>
      </c>
      <c r="D1298" s="589" t="s">
        <v>719</v>
      </c>
      <c r="G1298" s="645">
        <f t="shared" si="442"/>
        <v>51</v>
      </c>
      <c r="H1298" s="589" t="str">
        <f t="shared" si="451"/>
        <v>PLT 370</v>
      </c>
      <c r="J1298" s="1581">
        <f t="shared" ref="J1298:S1298" si="464">J154</f>
        <v>326652181.02529699</v>
      </c>
      <c r="K1298" s="1581">
        <f t="shared" si="464"/>
        <v>45824427.207436398</v>
      </c>
      <c r="L1298" s="1581">
        <f t="shared" si="464"/>
        <v>180212597.20700565</v>
      </c>
      <c r="M1298" s="1581">
        <f t="shared" si="464"/>
        <v>7589122.6068155235</v>
      </c>
      <c r="N1298" s="1581">
        <f t="shared" si="464"/>
        <v>58440250.36684677</v>
      </c>
      <c r="O1298" s="1581">
        <f t="shared" si="464"/>
        <v>1917553.0907769939</v>
      </c>
      <c r="P1298" s="1581">
        <f t="shared" si="464"/>
        <v>3999803.9930317672</v>
      </c>
      <c r="Q1298" s="1581">
        <f t="shared" si="464"/>
        <v>333091.93328856473</v>
      </c>
      <c r="R1298" s="1581">
        <f t="shared" si="464"/>
        <v>211754.3290428583</v>
      </c>
      <c r="S1298" s="1581">
        <f t="shared" si="464"/>
        <v>537568.55045836302</v>
      </c>
      <c r="U1298" s="621">
        <f t="shared" si="454"/>
        <v>625718350.30999994</v>
      </c>
    </row>
    <row r="1299" spans="2:21" ht="18" customHeight="1" x14ac:dyDescent="0.2">
      <c r="B1299" s="645">
        <f t="shared" si="441"/>
        <v>52</v>
      </c>
      <c r="D1299" s="589" t="s">
        <v>720</v>
      </c>
      <c r="G1299" s="645">
        <f t="shared" si="442"/>
        <v>52</v>
      </c>
      <c r="H1299" s="589" t="str">
        <f t="shared" si="451"/>
        <v>PLT OH</v>
      </c>
      <c r="J1299" s="1581">
        <f t="shared" ref="J1299:S1299" si="465">SUM(J161:J162)</f>
        <v>0</v>
      </c>
      <c r="K1299" s="1581">
        <f t="shared" si="465"/>
        <v>0</v>
      </c>
      <c r="L1299" s="1581">
        <f t="shared" si="465"/>
        <v>0</v>
      </c>
      <c r="M1299" s="1581">
        <f t="shared" si="465"/>
        <v>0</v>
      </c>
      <c r="N1299" s="1581">
        <f t="shared" si="465"/>
        <v>0</v>
      </c>
      <c r="O1299" s="1581">
        <f t="shared" si="465"/>
        <v>0</v>
      </c>
      <c r="P1299" s="1581">
        <f t="shared" si="465"/>
        <v>0</v>
      </c>
      <c r="Q1299" s="1581">
        <f t="shared" si="465"/>
        <v>0</v>
      </c>
      <c r="R1299" s="1581">
        <f t="shared" si="465"/>
        <v>0</v>
      </c>
      <c r="S1299" s="1581">
        <f t="shared" si="465"/>
        <v>0</v>
      </c>
      <c r="U1299" s="621">
        <f t="shared" si="454"/>
        <v>9.9999999999999995E-8</v>
      </c>
    </row>
    <row r="1300" spans="2:21" ht="18" customHeight="1" x14ac:dyDescent="0.2">
      <c r="B1300" s="645">
        <f t="shared" si="441"/>
        <v>53</v>
      </c>
      <c r="D1300" s="589" t="s">
        <v>721</v>
      </c>
      <c r="G1300" s="645">
        <f t="shared" si="442"/>
        <v>53</v>
      </c>
      <c r="H1300" s="589" t="str">
        <f t="shared" si="451"/>
        <v>PLT UG</v>
      </c>
      <c r="J1300" s="1581">
        <f t="shared" ref="J1300:S1300" si="466">SUM(J163:J164)</f>
        <v>0</v>
      </c>
      <c r="K1300" s="1581">
        <f t="shared" si="466"/>
        <v>0</v>
      </c>
      <c r="L1300" s="1581">
        <f t="shared" si="466"/>
        <v>0</v>
      </c>
      <c r="M1300" s="1581">
        <f t="shared" si="466"/>
        <v>0</v>
      </c>
      <c r="N1300" s="1581">
        <f t="shared" si="466"/>
        <v>0</v>
      </c>
      <c r="O1300" s="1581">
        <f t="shared" si="466"/>
        <v>0</v>
      </c>
      <c r="P1300" s="1581">
        <f t="shared" si="466"/>
        <v>0</v>
      </c>
      <c r="Q1300" s="1581">
        <f t="shared" si="466"/>
        <v>0</v>
      </c>
      <c r="R1300" s="1581">
        <f t="shared" si="466"/>
        <v>0</v>
      </c>
      <c r="S1300" s="1581">
        <f t="shared" si="466"/>
        <v>0</v>
      </c>
      <c r="U1300" s="621">
        <f t="shared" si="454"/>
        <v>9.9999999999999995E-8</v>
      </c>
    </row>
    <row r="1301" spans="2:21" ht="18" customHeight="1" x14ac:dyDescent="0.2">
      <c r="B1301" s="645">
        <f t="shared" si="441"/>
        <v>54</v>
      </c>
      <c r="D1301" s="589" t="s">
        <v>722</v>
      </c>
      <c r="G1301" s="645">
        <f t="shared" si="442"/>
        <v>54</v>
      </c>
      <c r="H1301" s="589" t="str">
        <f t="shared" si="451"/>
        <v>PLT 362-373</v>
      </c>
      <c r="J1301" s="1581">
        <f ca="1">SUM(J138:J157)</f>
        <v>409795562.05866855</v>
      </c>
      <c r="K1301" s="1581">
        <f t="shared" ref="K1301:S1301" ca="1" si="467">SUM(K138:K157)</f>
        <v>57488203.031571567</v>
      </c>
      <c r="L1301" s="1581">
        <f t="shared" ca="1" si="467"/>
        <v>226082441.36223328</v>
      </c>
      <c r="M1301" s="1581">
        <f t="shared" ca="1" si="467"/>
        <v>9520795.9562078305</v>
      </c>
      <c r="N1301" s="1581">
        <f t="shared" ca="1" si="467"/>
        <v>73315154.886648774</v>
      </c>
      <c r="O1301" s="1581">
        <f t="shared" ca="1" si="467"/>
        <v>2405631.4093657928</v>
      </c>
      <c r="P1301" s="1581">
        <f t="shared" ca="1" si="467"/>
        <v>5017881.4673887715</v>
      </c>
      <c r="Q1301" s="1581">
        <f t="shared" ca="1" si="467"/>
        <v>417874.43632168783</v>
      </c>
      <c r="R1301" s="1581">
        <f t="shared" ca="1" si="467"/>
        <v>265652.54827352322</v>
      </c>
      <c r="S1301" s="1581">
        <f t="shared" ca="1" si="467"/>
        <v>674396.86332015763</v>
      </c>
      <c r="U1301" s="621">
        <f t="shared" ca="1" si="454"/>
        <v>784983594.01999998</v>
      </c>
    </row>
    <row r="1302" spans="2:21" ht="18" customHeight="1" x14ac:dyDescent="0.25">
      <c r="B1302" s="645">
        <f t="shared" si="441"/>
        <v>55</v>
      </c>
      <c r="G1302" s="645">
        <f>G1301+1</f>
        <v>55</v>
      </c>
      <c r="J1302" s="1581"/>
      <c r="K1302" s="1581"/>
      <c r="L1302" s="1581"/>
      <c r="M1302" s="1581"/>
      <c r="N1302" s="1581"/>
      <c r="O1302" s="1581"/>
      <c r="P1302" s="1581"/>
      <c r="Q1302" s="1581"/>
      <c r="R1302" s="1581"/>
      <c r="S1302" s="1581"/>
      <c r="U1302" s="1572"/>
    </row>
    <row r="1303" spans="2:21" ht="18" customHeight="1" x14ac:dyDescent="0.2">
      <c r="B1303" s="645">
        <f t="shared" si="441"/>
        <v>56</v>
      </c>
      <c r="D1303" s="589" t="s">
        <v>400</v>
      </c>
      <c r="G1303" s="645">
        <f>G1302+1</f>
        <v>56</v>
      </c>
      <c r="H1303" s="589" t="str">
        <f t="shared" ref="H1303:H1315" si="468">VLOOKUP(G1303,FactorTable,2)</f>
        <v>PLTDIST</v>
      </c>
      <c r="J1303" s="1581">
        <f t="shared" ref="J1303:S1303" ca="1" si="469">J159</f>
        <v>409795562.05866855</v>
      </c>
      <c r="K1303" s="1581">
        <f t="shared" ca="1" si="469"/>
        <v>57488203.031571567</v>
      </c>
      <c r="L1303" s="1581">
        <f t="shared" ca="1" si="469"/>
        <v>226082441.36223328</v>
      </c>
      <c r="M1303" s="1581">
        <f t="shared" ca="1" si="469"/>
        <v>9520795.9562078305</v>
      </c>
      <c r="N1303" s="1581">
        <f t="shared" ca="1" si="469"/>
        <v>73315154.886648774</v>
      </c>
      <c r="O1303" s="1581">
        <f t="shared" ca="1" si="469"/>
        <v>2405631.4093657928</v>
      </c>
      <c r="P1303" s="1581">
        <f t="shared" ca="1" si="469"/>
        <v>5017881.4673887715</v>
      </c>
      <c r="Q1303" s="1581">
        <f t="shared" ca="1" si="469"/>
        <v>417874.43632168783</v>
      </c>
      <c r="R1303" s="1581">
        <f t="shared" ca="1" si="469"/>
        <v>265652.54827352322</v>
      </c>
      <c r="S1303" s="1581">
        <f t="shared" ca="1" si="469"/>
        <v>674396.86332015763</v>
      </c>
      <c r="U1303" s="621">
        <f ca="1">MAX(0.0000001,SUM(I1303:T1303))</f>
        <v>784983594.01999998</v>
      </c>
    </row>
    <row r="1304" spans="2:21" ht="18" customHeight="1" x14ac:dyDescent="0.2">
      <c r="B1304" s="645">
        <f t="shared" si="441"/>
        <v>57</v>
      </c>
      <c r="C1304" s="620"/>
      <c r="D1304" s="589" t="s">
        <v>886</v>
      </c>
      <c r="G1304" s="645">
        <f t="shared" si="442"/>
        <v>57</v>
      </c>
      <c r="H1304" s="589" t="str">
        <f>VLOOKUP(G1304,FactorTable,2)</f>
        <v>PLTDIST_N xWHL</v>
      </c>
      <c r="J1304" s="1581">
        <f t="shared" ref="J1304:Q1304" ca="1" si="470">J325</f>
        <v>186578985.61711627</v>
      </c>
      <c r="K1304" s="1581">
        <f t="shared" ca="1" si="470"/>
        <v>26174247.843723223</v>
      </c>
      <c r="L1304" s="1581">
        <f t="shared" ca="1" si="470"/>
        <v>102934820.3853111</v>
      </c>
      <c r="M1304" s="1581">
        <f t="shared" ca="1" si="470"/>
        <v>4334796.7041245885</v>
      </c>
      <c r="N1304" s="1581">
        <f t="shared" ca="1" si="470"/>
        <v>33380222.958964899</v>
      </c>
      <c r="O1304" s="1581">
        <f t="shared" ca="1" si="470"/>
        <v>1095278.4990479839</v>
      </c>
      <c r="P1304" s="1581">
        <f t="shared" ca="1" si="470"/>
        <v>2284629.9980141995</v>
      </c>
      <c r="Q1304" s="1581">
        <f t="shared" ca="1" si="470"/>
        <v>190257.27865999349</v>
      </c>
      <c r="R1304" s="1615">
        <v>0</v>
      </c>
      <c r="S1304" s="1615">
        <v>0</v>
      </c>
      <c r="U1304" s="621">
        <f ca="1">MAX(0.0000001,SUM(I1304:T1304))</f>
        <v>356973239.2849623</v>
      </c>
    </row>
    <row r="1305" spans="2:21" ht="18" customHeight="1" x14ac:dyDescent="0.2">
      <c r="B1305" s="645">
        <f t="shared" si="441"/>
        <v>58</v>
      </c>
      <c r="C1305" s="620"/>
      <c r="D1305" s="589" t="s">
        <v>723</v>
      </c>
      <c r="G1305" s="645">
        <f t="shared" si="442"/>
        <v>58</v>
      </c>
      <c r="H1305" s="589" t="str">
        <f t="shared" si="468"/>
        <v>PLTDIST_N</v>
      </c>
      <c r="J1305" s="1581">
        <f t="shared" ref="J1305:S1305" ca="1" si="471">J325</f>
        <v>186578985.61711627</v>
      </c>
      <c r="K1305" s="1581">
        <f t="shared" ca="1" si="471"/>
        <v>26174247.843723223</v>
      </c>
      <c r="L1305" s="1581">
        <f t="shared" ca="1" si="471"/>
        <v>102934820.3853111</v>
      </c>
      <c r="M1305" s="1581">
        <f t="shared" ca="1" si="471"/>
        <v>4334796.7041245885</v>
      </c>
      <c r="N1305" s="1581">
        <f t="shared" ca="1" si="471"/>
        <v>33380222.958964899</v>
      </c>
      <c r="O1305" s="1581">
        <f t="shared" ca="1" si="471"/>
        <v>1095278.4990479839</v>
      </c>
      <c r="P1305" s="1581">
        <f t="shared" ca="1" si="471"/>
        <v>2284629.9980141995</v>
      </c>
      <c r="Q1305" s="1581">
        <f t="shared" ca="1" si="471"/>
        <v>190257.27865999349</v>
      </c>
      <c r="R1305" s="1581">
        <f t="shared" ca="1" si="471"/>
        <v>120950.99989486943</v>
      </c>
      <c r="S1305" s="1581">
        <f t="shared" ca="1" si="471"/>
        <v>307051.35514284985</v>
      </c>
      <c r="U1305" s="621">
        <f t="shared" ref="U1305:U1316" ca="1" si="472">MAX(0.0000001,SUM(I1305:T1305))</f>
        <v>357401241.63999999</v>
      </c>
    </row>
    <row r="1306" spans="2:21" ht="18" customHeight="1" x14ac:dyDescent="0.2">
      <c r="B1306" s="645">
        <f t="shared" si="441"/>
        <v>59</v>
      </c>
      <c r="C1306" s="620"/>
      <c r="D1306" s="589" t="s">
        <v>882</v>
      </c>
      <c r="G1306" s="645">
        <f t="shared" si="442"/>
        <v>59</v>
      </c>
      <c r="H1306" s="589" t="str">
        <f>VLOOKUP(G1306,FactorTable,2)</f>
        <v>PLANT_N</v>
      </c>
      <c r="J1306" s="1581">
        <f t="shared" ref="J1306:S1306" ca="1" si="473">J366</f>
        <v>219852332.81395245</v>
      </c>
      <c r="K1306" s="1581">
        <f t="shared" ca="1" si="473"/>
        <v>30842002.002851568</v>
      </c>
      <c r="L1306" s="1581">
        <f t="shared" ca="1" si="473"/>
        <v>121291582.30035833</v>
      </c>
      <c r="M1306" s="1581">
        <f t="shared" ca="1" si="473"/>
        <v>5107837.6512976168</v>
      </c>
      <c r="N1306" s="1581">
        <f t="shared" ca="1" si="473"/>
        <v>39333046.340161107</v>
      </c>
      <c r="O1306" s="1581">
        <f t="shared" ca="1" si="473"/>
        <v>1290603.7209936106</v>
      </c>
      <c r="P1306" s="1581">
        <f t="shared" ca="1" si="473"/>
        <v>2692056.8413363658</v>
      </c>
      <c r="Q1306" s="1581">
        <f t="shared" ca="1" si="473"/>
        <v>224186.58998431457</v>
      </c>
      <c r="R1306" s="1581">
        <f t="shared" ca="1" si="473"/>
        <v>142520.65630604292</v>
      </c>
      <c r="S1306" s="1581">
        <f t="shared" ca="1" si="473"/>
        <v>361809.00275860494</v>
      </c>
      <c r="T1306" s="620"/>
      <c r="U1306" s="621">
        <f t="shared" ca="1" si="472"/>
        <v>421137977.92000002</v>
      </c>
    </row>
    <row r="1307" spans="2:21" ht="18" customHeight="1" x14ac:dyDescent="0.2">
      <c r="B1307" s="645">
        <f t="shared" si="441"/>
        <v>60</v>
      </c>
      <c r="C1307" s="620"/>
      <c r="D1307" s="589" t="s">
        <v>724</v>
      </c>
      <c r="G1307" s="645">
        <f t="shared" si="442"/>
        <v>60</v>
      </c>
      <c r="H1307" s="589" t="str">
        <f t="shared" si="468"/>
        <v>PLTOPER</v>
      </c>
      <c r="J1307" s="1581">
        <f t="shared" ref="J1307:S1307" ca="1" si="474">J168</f>
        <v>409795562.05866855</v>
      </c>
      <c r="K1307" s="1581">
        <f t="shared" ca="1" si="474"/>
        <v>57488203.031571567</v>
      </c>
      <c r="L1307" s="1581">
        <f t="shared" ca="1" si="474"/>
        <v>226082441.36223328</v>
      </c>
      <c r="M1307" s="1581">
        <f t="shared" ca="1" si="474"/>
        <v>9520795.9562078305</v>
      </c>
      <c r="N1307" s="1581">
        <f t="shared" ca="1" si="474"/>
        <v>73315154.886648774</v>
      </c>
      <c r="O1307" s="1581">
        <f t="shared" ca="1" si="474"/>
        <v>2405631.4093657928</v>
      </c>
      <c r="P1307" s="1581">
        <f t="shared" ca="1" si="474"/>
        <v>5017881.4673887715</v>
      </c>
      <c r="Q1307" s="1581">
        <f t="shared" ca="1" si="474"/>
        <v>417874.43632168783</v>
      </c>
      <c r="R1307" s="1581">
        <f t="shared" ca="1" si="474"/>
        <v>265652.54827352322</v>
      </c>
      <c r="S1307" s="1581">
        <f t="shared" ca="1" si="474"/>
        <v>674396.86332015763</v>
      </c>
      <c r="U1307" s="621">
        <f t="shared" ca="1" si="472"/>
        <v>784983594.01999998</v>
      </c>
    </row>
    <row r="1308" spans="2:21" ht="18" customHeight="1" x14ac:dyDescent="0.2">
      <c r="B1308" s="645">
        <f t="shared" si="441"/>
        <v>61</v>
      </c>
      <c r="C1308" s="620"/>
      <c r="D1308" s="589" t="s">
        <v>725</v>
      </c>
      <c r="G1308" s="645">
        <f t="shared" si="442"/>
        <v>61</v>
      </c>
      <c r="H1308" s="589" t="str">
        <f t="shared" si="468"/>
        <v>PLTOPER_N</v>
      </c>
      <c r="J1308" s="1581">
        <f t="shared" ref="J1308:S1308" ca="1" si="475">J326</f>
        <v>186578985.61711627</v>
      </c>
      <c r="K1308" s="1581">
        <f t="shared" ca="1" si="475"/>
        <v>26174247.843723223</v>
      </c>
      <c r="L1308" s="1581">
        <f t="shared" ca="1" si="475"/>
        <v>102934820.3853111</v>
      </c>
      <c r="M1308" s="1581">
        <f t="shared" ca="1" si="475"/>
        <v>4334796.7041245885</v>
      </c>
      <c r="N1308" s="1581">
        <f t="shared" ca="1" si="475"/>
        <v>33380222.958964899</v>
      </c>
      <c r="O1308" s="1581">
        <f t="shared" ca="1" si="475"/>
        <v>1095278.4990479839</v>
      </c>
      <c r="P1308" s="1581">
        <f t="shared" ca="1" si="475"/>
        <v>2284629.9980141995</v>
      </c>
      <c r="Q1308" s="1581">
        <f t="shared" ca="1" si="475"/>
        <v>190257.27865999349</v>
      </c>
      <c r="R1308" s="1581">
        <f t="shared" ca="1" si="475"/>
        <v>120950.99989486943</v>
      </c>
      <c r="S1308" s="1581">
        <f t="shared" ca="1" si="475"/>
        <v>307051.35514284985</v>
      </c>
      <c r="U1308" s="621">
        <f t="shared" ca="1" si="472"/>
        <v>357401241.63999999</v>
      </c>
    </row>
    <row r="1309" spans="2:21" ht="18" customHeight="1" x14ac:dyDescent="0.2">
      <c r="B1309" s="645">
        <f t="shared" si="441"/>
        <v>62</v>
      </c>
      <c r="C1309" s="620"/>
      <c r="D1309" s="620" t="s">
        <v>726</v>
      </c>
      <c r="G1309" s="645">
        <f t="shared" si="442"/>
        <v>62</v>
      </c>
      <c r="H1309" s="589" t="str">
        <f t="shared" si="468"/>
        <v>PLTGEN</v>
      </c>
      <c r="J1309" s="1581">
        <f t="shared" ref="J1309:S1309" ca="1" si="476">J199</f>
        <v>23758995.586930107</v>
      </c>
      <c r="K1309" s="1581">
        <f t="shared" ca="1" si="476"/>
        <v>3333032.5864585778</v>
      </c>
      <c r="L1309" s="1581">
        <f t="shared" ca="1" si="476"/>
        <v>13107735.231741413</v>
      </c>
      <c r="M1309" s="1581">
        <f t="shared" ca="1" si="476"/>
        <v>551993.65256966639</v>
      </c>
      <c r="N1309" s="1581">
        <f t="shared" ca="1" si="476"/>
        <v>4250642.5219841842</v>
      </c>
      <c r="O1309" s="1581">
        <f t="shared" ca="1" si="476"/>
        <v>139472.92584569191</v>
      </c>
      <c r="P1309" s="1581">
        <f t="shared" ca="1" si="476"/>
        <v>290925.12139592192</v>
      </c>
      <c r="Q1309" s="1581">
        <f t="shared" ca="1" si="476"/>
        <v>24227.389966308365</v>
      </c>
      <c r="R1309" s="1581">
        <f t="shared" ca="1" si="476"/>
        <v>15401.918191548804</v>
      </c>
      <c r="S1309" s="1581">
        <f t="shared" ca="1" si="476"/>
        <v>39099.964916577577</v>
      </c>
      <c r="U1309" s="621">
        <f t="shared" ca="1" si="472"/>
        <v>45511526.900000006</v>
      </c>
    </row>
    <row r="1310" spans="2:21" ht="18" customHeight="1" x14ac:dyDescent="0.2">
      <c r="B1310" s="645">
        <f t="shared" si="441"/>
        <v>63</v>
      </c>
      <c r="C1310" s="620"/>
      <c r="D1310" s="620" t="s">
        <v>727</v>
      </c>
      <c r="G1310" s="645">
        <f t="shared" si="442"/>
        <v>63</v>
      </c>
      <c r="H1310" s="589" t="str">
        <f t="shared" si="468"/>
        <v>PLTGEN_N</v>
      </c>
      <c r="J1310" s="1581">
        <f t="shared" ref="J1310:S1310" ca="1" si="477">J364</f>
        <v>33166777.508399084</v>
      </c>
      <c r="K1310" s="1581">
        <f t="shared" ca="1" si="477"/>
        <v>4652804.0219060108</v>
      </c>
      <c r="L1310" s="1581">
        <f t="shared" ca="1" si="477"/>
        <v>18297967.878293805</v>
      </c>
      <c r="M1310" s="1581">
        <f t="shared" ca="1" si="477"/>
        <v>770565.00952834345</v>
      </c>
      <c r="N1310" s="1581">
        <f t="shared" ca="1" si="477"/>
        <v>5933757.3542857748</v>
      </c>
      <c r="O1310" s="1581">
        <f t="shared" ca="1" si="477"/>
        <v>194699.62368755226</v>
      </c>
      <c r="P1310" s="1581">
        <f t="shared" ca="1" si="477"/>
        <v>406121.91444029316</v>
      </c>
      <c r="Q1310" s="1581">
        <f t="shared" ca="1" si="477"/>
        <v>33820.640678253323</v>
      </c>
      <c r="R1310" s="1581">
        <f t="shared" ca="1" si="477"/>
        <v>21500.571940956695</v>
      </c>
      <c r="S1310" s="1581">
        <f t="shared" ca="1" si="477"/>
        <v>54582.266839921576</v>
      </c>
      <c r="U1310" s="621">
        <f t="shared" ca="1" si="472"/>
        <v>63532596.790000007</v>
      </c>
    </row>
    <row r="1311" spans="2:21" ht="18" customHeight="1" x14ac:dyDescent="0.2">
      <c r="B1311" s="645">
        <f t="shared" si="441"/>
        <v>64</v>
      </c>
      <c r="C1311" s="620"/>
      <c r="D1311" s="589" t="s">
        <v>728</v>
      </c>
      <c r="G1311" s="645">
        <f t="shared" si="442"/>
        <v>64</v>
      </c>
      <c r="H1311" s="589" t="str">
        <f t="shared" si="468"/>
        <v>PLANT</v>
      </c>
      <c r="J1311" s="1581">
        <f t="shared" ref="J1311:S1311" ca="1" si="478">J223</f>
        <v>450904159.51684195</v>
      </c>
      <c r="K1311" s="1581">
        <f t="shared" ca="1" si="478"/>
        <v>63255125.897076584</v>
      </c>
      <c r="L1311" s="1581">
        <f t="shared" ca="1" si="478"/>
        <v>248761876.99992466</v>
      </c>
      <c r="M1311" s="1581">
        <f t="shared" ca="1" si="478"/>
        <v>10475873.572175568</v>
      </c>
      <c r="N1311" s="1581">
        <f t="shared" ca="1" si="478"/>
        <v>80669756.714638785</v>
      </c>
      <c r="O1311" s="1581">
        <f t="shared" ca="1" si="478"/>
        <v>2646952.0638491097</v>
      </c>
      <c r="P1311" s="1581">
        <f t="shared" ca="1" si="478"/>
        <v>5521249.7037343411</v>
      </c>
      <c r="Q1311" s="1581">
        <f t="shared" ca="1" si="478"/>
        <v>459793.46517722734</v>
      </c>
      <c r="R1311" s="1581">
        <f t="shared" ca="1" si="478"/>
        <v>292301.45490358281</v>
      </c>
      <c r="S1311" s="1581">
        <f t="shared" ca="1" si="478"/>
        <v>742048.91167814855</v>
      </c>
      <c r="U1311" s="621">
        <f t="shared" ca="1" si="472"/>
        <v>863729138.30000007</v>
      </c>
    </row>
    <row r="1312" spans="2:21" ht="18" customHeight="1" x14ac:dyDescent="0.2">
      <c r="B1312" s="645">
        <f t="shared" ref="B1312:B1341" si="479">B1311+1</f>
        <v>65</v>
      </c>
      <c r="C1312" s="620"/>
      <c r="D1312" s="589" t="s">
        <v>729</v>
      </c>
      <c r="G1312" s="645">
        <f t="shared" ref="G1312:G1341" si="480">G1311+1</f>
        <v>65</v>
      </c>
      <c r="H1312" s="589" t="str">
        <f t="shared" si="468"/>
        <v>PLT_N XINT</v>
      </c>
      <c r="J1312" s="1581">
        <f t="shared" ref="J1312:S1312" ca="1" si="481">J368</f>
        <v>219745763.12551534</v>
      </c>
      <c r="K1312" s="1581">
        <f t="shared" ca="1" si="481"/>
        <v>30827051.865629233</v>
      </c>
      <c r="L1312" s="1581">
        <f t="shared" ca="1" si="481"/>
        <v>121232788.26360491</v>
      </c>
      <c r="M1312" s="1581">
        <f t="shared" ca="1" si="481"/>
        <v>5105361.7136529321</v>
      </c>
      <c r="N1312" s="1581">
        <f t="shared" ca="1" si="481"/>
        <v>39313980.313250676</v>
      </c>
      <c r="O1312" s="1581">
        <f t="shared" ca="1" si="481"/>
        <v>1289978.1227355362</v>
      </c>
      <c r="P1312" s="1581">
        <f t="shared" ca="1" si="481"/>
        <v>2690751.9124544929</v>
      </c>
      <c r="Q1312" s="1581">
        <f t="shared" ca="1" si="481"/>
        <v>224077.91933824681</v>
      </c>
      <c r="R1312" s="1581">
        <f t="shared" ca="1" si="481"/>
        <v>142451.57183582612</v>
      </c>
      <c r="S1312" s="1581">
        <f t="shared" ca="1" si="481"/>
        <v>361633.62198277144</v>
      </c>
      <c r="U1312" s="621">
        <f t="shared" ca="1" si="472"/>
        <v>420933838.42999989</v>
      </c>
    </row>
    <row r="1313" spans="2:21" ht="18" customHeight="1" x14ac:dyDescent="0.2">
      <c r="B1313" s="645">
        <f t="shared" si="479"/>
        <v>66</v>
      </c>
      <c r="C1313" s="620"/>
      <c r="D1313" s="589" t="s">
        <v>730</v>
      </c>
      <c r="G1313" s="645">
        <f t="shared" si="480"/>
        <v>66</v>
      </c>
      <c r="H1313" s="589" t="str">
        <f t="shared" si="468"/>
        <v>PLT INT_N</v>
      </c>
      <c r="J1313" s="1581">
        <f t="shared" ref="J1313:S1313" ca="1" si="482">J323</f>
        <v>106569.68843706633</v>
      </c>
      <c r="K1313" s="1581">
        <f t="shared" ca="1" si="482"/>
        <v>14950.137222335978</v>
      </c>
      <c r="L1313" s="1581">
        <f t="shared" ca="1" si="482"/>
        <v>58794.036753416971</v>
      </c>
      <c r="M1313" s="1581">
        <f t="shared" ca="1" si="482"/>
        <v>2475.9376446851074</v>
      </c>
      <c r="N1313" s="1581">
        <f t="shared" ca="1" si="482"/>
        <v>19066.026910430148</v>
      </c>
      <c r="O1313" s="1581">
        <f t="shared" ca="1" si="482"/>
        <v>625.59825807442598</v>
      </c>
      <c r="P1313" s="1581">
        <f t="shared" ca="1" si="482"/>
        <v>1304.9288818730361</v>
      </c>
      <c r="Q1313" s="1581">
        <f t="shared" ca="1" si="482"/>
        <v>108.67064606776155</v>
      </c>
      <c r="R1313" s="1581">
        <f t="shared" ca="1" si="482"/>
        <v>69.084470216807802</v>
      </c>
      <c r="S1313" s="1581">
        <f t="shared" ca="1" si="482"/>
        <v>175.38077583347447</v>
      </c>
      <c r="U1313" s="621">
        <f t="shared" ca="1" si="472"/>
        <v>204139.49000000002</v>
      </c>
    </row>
    <row r="1314" spans="2:21" ht="18" customHeight="1" x14ac:dyDescent="0.2">
      <c r="B1314" s="645">
        <f t="shared" si="479"/>
        <v>67</v>
      </c>
      <c r="C1314" s="620"/>
      <c r="D1314" s="589" t="s">
        <v>731</v>
      </c>
      <c r="G1314" s="645">
        <f t="shared" si="480"/>
        <v>67</v>
      </c>
      <c r="H1314" s="589" t="str">
        <f t="shared" si="468"/>
        <v>PLTTRAN_N</v>
      </c>
      <c r="J1314" s="1581">
        <f t="shared" ref="J1314:S1314" ca="1" si="483">J324</f>
        <v>0</v>
      </c>
      <c r="K1314" s="1581">
        <f t="shared" ca="1" si="483"/>
        <v>0</v>
      </c>
      <c r="L1314" s="1581">
        <f t="shared" ca="1" si="483"/>
        <v>0</v>
      </c>
      <c r="M1314" s="1581">
        <f t="shared" ca="1" si="483"/>
        <v>0</v>
      </c>
      <c r="N1314" s="1581">
        <f t="shared" ca="1" si="483"/>
        <v>0</v>
      </c>
      <c r="O1314" s="1581">
        <f t="shared" ca="1" si="483"/>
        <v>0</v>
      </c>
      <c r="P1314" s="1581">
        <f t="shared" ca="1" si="483"/>
        <v>0</v>
      </c>
      <c r="Q1314" s="1581">
        <f t="shared" ca="1" si="483"/>
        <v>0</v>
      </c>
      <c r="R1314" s="1581">
        <f t="shared" ca="1" si="483"/>
        <v>0</v>
      </c>
      <c r="S1314" s="1581">
        <f t="shared" ca="1" si="483"/>
        <v>0</v>
      </c>
      <c r="U1314" s="621">
        <f t="shared" ca="1" si="472"/>
        <v>9.9999999999999995E-8</v>
      </c>
    </row>
    <row r="1315" spans="2:21" ht="18" customHeight="1" x14ac:dyDescent="0.2">
      <c r="B1315" s="645">
        <f t="shared" si="479"/>
        <v>68</v>
      </c>
      <c r="C1315" s="620"/>
      <c r="D1315" s="589" t="s">
        <v>732</v>
      </c>
      <c r="G1315" s="645">
        <f t="shared" si="480"/>
        <v>68</v>
      </c>
      <c r="H1315" s="589" t="str">
        <f t="shared" si="468"/>
        <v>RATEBASE</v>
      </c>
      <c r="J1315" s="1581">
        <f t="shared" ref="J1315:S1315" ca="1" si="484">J618</f>
        <v>230240818.96623519</v>
      </c>
      <c r="K1315" s="1581">
        <f t="shared" ca="1" si="484"/>
        <v>32290467.523211606</v>
      </c>
      <c r="L1315" s="1581">
        <f t="shared" ca="1" si="484"/>
        <v>127128336.17457269</v>
      </c>
      <c r="M1315" s="1581">
        <f t="shared" ca="1" si="484"/>
        <v>5346957.1468034117</v>
      </c>
      <c r="N1315" s="1581">
        <f t="shared" ca="1" si="484"/>
        <v>41189670.571300946</v>
      </c>
      <c r="O1315" s="1581">
        <f t="shared" ca="1" si="484"/>
        <v>1347807.6772433254</v>
      </c>
      <c r="P1315" s="1581">
        <f t="shared" ca="1" si="484"/>
        <v>2831277.5278288019</v>
      </c>
      <c r="Q1315" s="1581">
        <f t="shared" ca="1" si="484"/>
        <v>235845.16066817372</v>
      </c>
      <c r="R1315" s="1581">
        <f t="shared" ca="1" si="484"/>
        <v>148632.95794653261</v>
      </c>
      <c r="S1315" s="1581">
        <f t="shared" ca="1" si="484"/>
        <v>377476.20316820929</v>
      </c>
      <c r="U1315" s="621">
        <f t="shared" ca="1" si="472"/>
        <v>441137289.90897894</v>
      </c>
    </row>
    <row r="1316" spans="2:21" ht="18" customHeight="1" x14ac:dyDescent="0.2">
      <c r="B1316" s="645">
        <f t="shared" si="479"/>
        <v>69</v>
      </c>
      <c r="C1316" s="620"/>
      <c r="D1316" s="589" t="s">
        <v>884</v>
      </c>
      <c r="G1316" s="645">
        <f t="shared" si="480"/>
        <v>69</v>
      </c>
      <c r="H1316" s="589" t="str">
        <f>VLOOKUP(G1316,FactorTable,2)</f>
        <v>PLANT_xWHL</v>
      </c>
      <c r="J1316" s="1581">
        <f ca="1">J1311</f>
        <v>450904159.51684195</v>
      </c>
      <c r="K1316" s="1581">
        <f t="shared" ref="K1316:Q1316" ca="1" si="485">K1311</f>
        <v>63255125.897076584</v>
      </c>
      <c r="L1316" s="1581">
        <f t="shared" ca="1" si="485"/>
        <v>248761876.99992466</v>
      </c>
      <c r="M1316" s="1581">
        <f t="shared" ca="1" si="485"/>
        <v>10475873.572175568</v>
      </c>
      <c r="N1316" s="1581">
        <f t="shared" ca="1" si="485"/>
        <v>80669756.714638785</v>
      </c>
      <c r="O1316" s="1581">
        <f ca="1">O1311</f>
        <v>2646952.0638491097</v>
      </c>
      <c r="P1316" s="1581">
        <f t="shared" ca="1" si="485"/>
        <v>5521249.7037343411</v>
      </c>
      <c r="Q1316" s="1581">
        <f t="shared" ca="1" si="485"/>
        <v>459793.46517722734</v>
      </c>
      <c r="R1316" s="802">
        <v>0</v>
      </c>
      <c r="S1316" s="802">
        <v>0</v>
      </c>
      <c r="U1316" s="621">
        <f t="shared" ca="1" si="472"/>
        <v>862694787.93341827</v>
      </c>
    </row>
    <row r="1317" spans="2:21" ht="18" customHeight="1" x14ac:dyDescent="0.25">
      <c r="B1317" s="645">
        <f t="shared" si="479"/>
        <v>70</v>
      </c>
      <c r="C1317" s="620"/>
      <c r="G1317" s="645">
        <f t="shared" si="480"/>
        <v>70</v>
      </c>
      <c r="J1317" s="1581"/>
      <c r="K1317" s="1581"/>
      <c r="L1317" s="1581"/>
      <c r="M1317" s="1581"/>
      <c r="N1317" s="1581"/>
      <c r="O1317" s="1581"/>
      <c r="P1317" s="1581"/>
      <c r="Q1317" s="1581"/>
      <c r="R1317" s="1581"/>
      <c r="S1317" s="1581"/>
      <c r="U1317" s="1572"/>
    </row>
    <row r="1318" spans="2:21" ht="18" customHeight="1" x14ac:dyDescent="0.2">
      <c r="B1318" s="645">
        <f t="shared" si="479"/>
        <v>71</v>
      </c>
      <c r="C1318" s="620"/>
      <c r="D1318" s="589" t="s">
        <v>733</v>
      </c>
      <c r="G1318" s="645">
        <f t="shared" si="480"/>
        <v>71</v>
      </c>
      <c r="H1318" s="589" t="str">
        <f t="shared" ref="H1318:H1324" si="486">VLOOKUP(G1318,FactorTable,2)</f>
        <v>DIST OPS</v>
      </c>
      <c r="J1318" s="1581">
        <f t="shared" ref="J1318:S1318" si="487">J692</f>
        <v>18290903.73616134</v>
      </c>
      <c r="K1318" s="1581">
        <f t="shared" si="487"/>
        <v>2565940.8860675609</v>
      </c>
      <c r="L1318" s="1581">
        <f t="shared" si="487"/>
        <v>10091012.578610906</v>
      </c>
      <c r="M1318" s="1581">
        <f t="shared" si="487"/>
        <v>424953.2656034478</v>
      </c>
      <c r="N1318" s="1581">
        <f t="shared" si="487"/>
        <v>3272364.4777818914</v>
      </c>
      <c r="O1318" s="1581">
        <f t="shared" si="487"/>
        <v>107373.47254896921</v>
      </c>
      <c r="P1318" s="1581">
        <f t="shared" si="487"/>
        <v>223969.20654386218</v>
      </c>
      <c r="Q1318" s="1581">
        <f t="shared" si="487"/>
        <v>18651.497957092124</v>
      </c>
      <c r="R1318" s="1581">
        <f t="shared" si="487"/>
        <v>11857.193287616235</v>
      </c>
      <c r="S1318" s="1581">
        <f t="shared" si="487"/>
        <v>30101.175437307858</v>
      </c>
      <c r="U1318" s="621">
        <f t="shared" ref="U1318:U1324" si="488">MAX(0.0000001,SUM(I1318:T1318))</f>
        <v>35037127.490000002</v>
      </c>
    </row>
    <row r="1319" spans="2:21" ht="18" customHeight="1" x14ac:dyDescent="0.2">
      <c r="B1319" s="645">
        <f t="shared" si="479"/>
        <v>72</v>
      </c>
      <c r="D1319" s="589" t="s">
        <v>734</v>
      </c>
      <c r="G1319" s="645">
        <f t="shared" si="480"/>
        <v>72</v>
      </c>
      <c r="H1319" s="589" t="str">
        <f t="shared" si="486"/>
        <v>DIST MAINT</v>
      </c>
      <c r="J1319" s="1581">
        <f t="shared" ref="J1319:S1319" ca="1" si="489">J707</f>
        <v>12055803.750953291</v>
      </c>
      <c r="K1319" s="1581">
        <f t="shared" ca="1" si="489"/>
        <v>1691249.3885045096</v>
      </c>
      <c r="L1319" s="1581">
        <f t="shared" ca="1" si="489"/>
        <v>6651134.8510145107</v>
      </c>
      <c r="M1319" s="1581">
        <f t="shared" ca="1" si="489"/>
        <v>280092.94933379156</v>
      </c>
      <c r="N1319" s="1581">
        <f t="shared" ca="1" si="489"/>
        <v>2156863.5708105643</v>
      </c>
      <c r="O1319" s="1581">
        <f t="shared" ca="1" si="489"/>
        <v>70771.435451248544</v>
      </c>
      <c r="P1319" s="1581">
        <f t="shared" ca="1" si="489"/>
        <v>147621.3991007639</v>
      </c>
      <c r="Q1319" s="1581">
        <f t="shared" ca="1" si="489"/>
        <v>33988.486707083655</v>
      </c>
      <c r="R1319" s="1581">
        <f t="shared" ca="1" si="489"/>
        <v>7815.2505406286773</v>
      </c>
      <c r="S1319" s="1581">
        <f t="shared" ca="1" si="489"/>
        <v>19840.12758362254</v>
      </c>
      <c r="U1319" s="621">
        <f t="shared" ca="1" si="488"/>
        <v>23115181.210000012</v>
      </c>
    </row>
    <row r="1320" spans="2:21" ht="18" customHeight="1" x14ac:dyDescent="0.2">
      <c r="B1320" s="645">
        <f t="shared" si="479"/>
        <v>73</v>
      </c>
      <c r="D1320" s="620" t="s">
        <v>735</v>
      </c>
      <c r="G1320" s="645">
        <f t="shared" si="480"/>
        <v>73</v>
      </c>
      <c r="H1320" s="589" t="str">
        <f t="shared" si="486"/>
        <v>CUS ACCT</v>
      </c>
      <c r="J1320" s="1581">
        <f t="shared" ref="J1320:S1320" si="490">J731</f>
        <v>5120947.9914080305</v>
      </c>
      <c r="K1320" s="1581">
        <f t="shared" si="490"/>
        <v>718392.59645773424</v>
      </c>
      <c r="L1320" s="1581">
        <f t="shared" si="490"/>
        <v>2825204.8855053284</v>
      </c>
      <c r="M1320" s="1581">
        <f t="shared" si="490"/>
        <v>118975.18041341813</v>
      </c>
      <c r="N1320" s="1581">
        <f t="shared" si="490"/>
        <v>916171.69612686592</v>
      </c>
      <c r="O1320" s="1581">
        <f t="shared" si="490"/>
        <v>30061.607480503062</v>
      </c>
      <c r="P1320" s="1581">
        <f t="shared" si="490"/>
        <v>62705.193517613763</v>
      </c>
      <c r="Q1320" s="1581">
        <f t="shared" si="490"/>
        <v>5221.9044164171519</v>
      </c>
      <c r="R1320" s="1581">
        <f t="shared" si="490"/>
        <v>3319.6867156383755</v>
      </c>
      <c r="S1320" s="1581">
        <f t="shared" si="490"/>
        <v>8427.4979584498487</v>
      </c>
      <c r="U1320" s="621">
        <f t="shared" si="488"/>
        <v>9809428.2399999984</v>
      </c>
    </row>
    <row r="1321" spans="2:21" ht="18" customHeight="1" x14ac:dyDescent="0.2">
      <c r="B1321" s="645">
        <f t="shared" si="479"/>
        <v>74</v>
      </c>
      <c r="D1321" s="589" t="s">
        <v>888</v>
      </c>
      <c r="G1321" s="645">
        <f t="shared" si="480"/>
        <v>74</v>
      </c>
      <c r="H1321" s="589" t="str">
        <f t="shared" si="486"/>
        <v>CUS SVC INFO</v>
      </c>
      <c r="J1321" s="1581">
        <f t="shared" ref="J1321:S1321" si="491">J741</f>
        <v>0</v>
      </c>
      <c r="K1321" s="1581">
        <f t="shared" si="491"/>
        <v>0</v>
      </c>
      <c r="L1321" s="1581">
        <f t="shared" si="491"/>
        <v>0</v>
      </c>
      <c r="M1321" s="1581">
        <f t="shared" si="491"/>
        <v>0</v>
      </c>
      <c r="N1321" s="1581">
        <f t="shared" si="491"/>
        <v>0</v>
      </c>
      <c r="O1321" s="1581">
        <f t="shared" si="491"/>
        <v>0</v>
      </c>
      <c r="P1321" s="1581">
        <f t="shared" si="491"/>
        <v>0</v>
      </c>
      <c r="Q1321" s="1581">
        <f t="shared" si="491"/>
        <v>0</v>
      </c>
      <c r="R1321" s="1581">
        <f t="shared" si="491"/>
        <v>0</v>
      </c>
      <c r="S1321" s="1581">
        <f t="shared" si="491"/>
        <v>0</v>
      </c>
      <c r="U1321" s="621">
        <f t="shared" si="488"/>
        <v>9.9999999999999995E-8</v>
      </c>
    </row>
    <row r="1322" spans="2:21" ht="18" customHeight="1" x14ac:dyDescent="0.2">
      <c r="B1322" s="645">
        <f t="shared" si="479"/>
        <v>75</v>
      </c>
      <c r="D1322" s="620" t="s">
        <v>736</v>
      </c>
      <c r="G1322" s="645">
        <f t="shared" si="480"/>
        <v>75</v>
      </c>
      <c r="H1322" s="589" t="str">
        <f t="shared" si="486"/>
        <v>SALES EXP</v>
      </c>
      <c r="J1322" s="1581">
        <f t="shared" ref="J1322:S1322" si="492">J751</f>
        <v>0</v>
      </c>
      <c r="K1322" s="1581">
        <f t="shared" si="492"/>
        <v>0</v>
      </c>
      <c r="L1322" s="1581">
        <f t="shared" si="492"/>
        <v>0</v>
      </c>
      <c r="M1322" s="1581">
        <f t="shared" si="492"/>
        <v>0</v>
      </c>
      <c r="N1322" s="1581">
        <f t="shared" si="492"/>
        <v>0</v>
      </c>
      <c r="O1322" s="1581">
        <f t="shared" si="492"/>
        <v>0</v>
      </c>
      <c r="P1322" s="1581">
        <f t="shared" si="492"/>
        <v>0</v>
      </c>
      <c r="Q1322" s="1581">
        <f t="shared" si="492"/>
        <v>0</v>
      </c>
      <c r="R1322" s="1581">
        <f t="shared" si="492"/>
        <v>0</v>
      </c>
      <c r="S1322" s="1581">
        <f t="shared" si="492"/>
        <v>0</v>
      </c>
      <c r="U1322" s="621">
        <f t="shared" si="488"/>
        <v>9.9999999999999995E-8</v>
      </c>
    </row>
    <row r="1323" spans="2:21" ht="18" customHeight="1" x14ac:dyDescent="0.2">
      <c r="B1323" s="645">
        <f t="shared" si="479"/>
        <v>76</v>
      </c>
      <c r="D1323" s="589" t="s">
        <v>737</v>
      </c>
      <c r="G1323" s="645">
        <f t="shared" si="480"/>
        <v>76</v>
      </c>
      <c r="H1323" s="589" t="str">
        <f t="shared" si="486"/>
        <v>O&amp;M</v>
      </c>
      <c r="J1323" s="1581">
        <f t="shared" ref="J1323:S1323" ca="1" si="493">J753</f>
        <v>37242196.49479638</v>
      </c>
      <c r="K1323" s="1581">
        <f t="shared" ca="1" si="493"/>
        <v>5223950.5120499032</v>
      </c>
      <c r="L1323" s="1581">
        <f t="shared" ca="1" si="493"/>
        <v>20546666.564324901</v>
      </c>
      <c r="M1323" s="1581">
        <f t="shared" ca="1" si="493"/>
        <v>865138.30531798815</v>
      </c>
      <c r="N1323" s="1581">
        <f t="shared" ca="1" si="493"/>
        <v>6662882.6856103865</v>
      </c>
      <c r="O1323" s="1581">
        <f t="shared" ca="1" si="493"/>
        <v>218970.35453727859</v>
      </c>
      <c r="P1323" s="1581">
        <f t="shared" ca="1" si="493"/>
        <v>455965.41439566668</v>
      </c>
      <c r="Q1323" s="1581">
        <f t="shared" ca="1" si="493"/>
        <v>60339.008529419458</v>
      </c>
      <c r="R1323" s="1581">
        <f t="shared" ca="1" si="493"/>
        <v>24165.278724022373</v>
      </c>
      <c r="S1323" s="1581">
        <f t="shared" ca="1" si="493"/>
        <v>61314.661714063928</v>
      </c>
      <c r="U1323" s="621">
        <f t="shared" ca="1" si="488"/>
        <v>71361589.280000016</v>
      </c>
    </row>
    <row r="1324" spans="2:21" ht="18" customHeight="1" x14ac:dyDescent="0.2">
      <c r="B1324" s="645">
        <f t="shared" si="479"/>
        <v>77</v>
      </c>
      <c r="D1324" s="589" t="s">
        <v>738</v>
      </c>
      <c r="G1324" s="645">
        <f t="shared" si="480"/>
        <v>77</v>
      </c>
      <c r="H1324" s="589" t="str">
        <f t="shared" si="486"/>
        <v>O&amp;M x565</v>
      </c>
      <c r="J1324" s="1581">
        <f t="shared" ref="J1324:S1324" ca="1" si="494">J754</f>
        <v>37242196.49479638</v>
      </c>
      <c r="K1324" s="1581">
        <f t="shared" ca="1" si="494"/>
        <v>5223950.5120499032</v>
      </c>
      <c r="L1324" s="1581">
        <f t="shared" ca="1" si="494"/>
        <v>20546666.564324901</v>
      </c>
      <c r="M1324" s="1581">
        <f t="shared" ca="1" si="494"/>
        <v>865138.30531798815</v>
      </c>
      <c r="N1324" s="1581">
        <f t="shared" ca="1" si="494"/>
        <v>6662882.6856103865</v>
      </c>
      <c r="O1324" s="1581">
        <f t="shared" ca="1" si="494"/>
        <v>218970.35453727859</v>
      </c>
      <c r="P1324" s="1581">
        <f t="shared" ca="1" si="494"/>
        <v>455965.41439566668</v>
      </c>
      <c r="Q1324" s="1581">
        <f t="shared" ca="1" si="494"/>
        <v>60339.008529419458</v>
      </c>
      <c r="R1324" s="1581">
        <f t="shared" ca="1" si="494"/>
        <v>24165.278724022373</v>
      </c>
      <c r="S1324" s="1581">
        <f t="shared" ca="1" si="494"/>
        <v>61314.661714063928</v>
      </c>
      <c r="U1324" s="621">
        <f t="shared" ca="1" si="488"/>
        <v>71361589.280000016</v>
      </c>
    </row>
    <row r="1325" spans="2:21" ht="18" customHeight="1" x14ac:dyDescent="0.25">
      <c r="B1325" s="645">
        <f t="shared" si="479"/>
        <v>78</v>
      </c>
      <c r="G1325" s="645">
        <f t="shared" si="480"/>
        <v>78</v>
      </c>
      <c r="U1325" s="1572"/>
    </row>
    <row r="1326" spans="2:21" ht="18" customHeight="1" x14ac:dyDescent="0.25">
      <c r="B1326" s="645">
        <f t="shared" si="479"/>
        <v>79</v>
      </c>
      <c r="G1326" s="645">
        <f t="shared" si="480"/>
        <v>79</v>
      </c>
      <c r="J1326" s="1581"/>
      <c r="K1326" s="1581"/>
      <c r="L1326" s="1581"/>
      <c r="M1326" s="1581"/>
      <c r="N1326" s="1581"/>
      <c r="O1326" s="1581"/>
      <c r="P1326" s="1581"/>
      <c r="Q1326" s="1581"/>
      <c r="R1326" s="1581"/>
      <c r="S1326" s="1581"/>
      <c r="U1326" s="1572"/>
    </row>
    <row r="1327" spans="2:21" ht="18" customHeight="1" x14ac:dyDescent="0.2">
      <c r="B1327" s="645">
        <f t="shared" si="479"/>
        <v>80</v>
      </c>
      <c r="D1327" s="589" t="s">
        <v>739</v>
      </c>
      <c r="G1327" s="645">
        <f t="shared" si="480"/>
        <v>80</v>
      </c>
      <c r="H1327" s="589" t="str">
        <f t="shared" ref="H1327:H1335" si="495">VLOOKUP(G1327,FactorTable,2)</f>
        <v>PAY TR OPS</v>
      </c>
      <c r="J1327" s="1581">
        <f t="shared" ref="J1327:S1327" si="496">J814</f>
        <v>0</v>
      </c>
      <c r="K1327" s="1581">
        <f t="shared" si="496"/>
        <v>0</v>
      </c>
      <c r="L1327" s="1581">
        <f t="shared" si="496"/>
        <v>0</v>
      </c>
      <c r="M1327" s="1581">
        <f t="shared" si="496"/>
        <v>0</v>
      </c>
      <c r="N1327" s="1581">
        <f t="shared" si="496"/>
        <v>0</v>
      </c>
      <c r="O1327" s="1581">
        <f t="shared" si="496"/>
        <v>0</v>
      </c>
      <c r="P1327" s="1581">
        <f t="shared" si="496"/>
        <v>0</v>
      </c>
      <c r="Q1327" s="1581">
        <f t="shared" si="496"/>
        <v>0</v>
      </c>
      <c r="R1327" s="1581">
        <f t="shared" si="496"/>
        <v>0</v>
      </c>
      <c r="S1327" s="1581">
        <f t="shared" si="496"/>
        <v>0</v>
      </c>
      <c r="U1327" s="621">
        <f t="shared" ref="U1327:U1335" si="497">MAX(0.0000001,SUM(I1327:T1327))</f>
        <v>9.9999999999999995E-8</v>
      </c>
    </row>
    <row r="1328" spans="2:21" ht="18" customHeight="1" x14ac:dyDescent="0.2">
      <c r="B1328" s="645">
        <f t="shared" si="479"/>
        <v>81</v>
      </c>
      <c r="D1328" s="589" t="s">
        <v>740</v>
      </c>
      <c r="G1328" s="645">
        <f t="shared" si="480"/>
        <v>81</v>
      </c>
      <c r="H1328" s="589" t="str">
        <f t="shared" si="495"/>
        <v>PAY TR MNT</v>
      </c>
      <c r="J1328" s="1581">
        <f t="shared" ref="J1328:S1328" si="498">J825</f>
        <v>0</v>
      </c>
      <c r="K1328" s="1581">
        <f t="shared" si="498"/>
        <v>0</v>
      </c>
      <c r="L1328" s="1581">
        <f t="shared" si="498"/>
        <v>0</v>
      </c>
      <c r="M1328" s="1581">
        <f t="shared" si="498"/>
        <v>0</v>
      </c>
      <c r="N1328" s="1581">
        <f t="shared" si="498"/>
        <v>0</v>
      </c>
      <c r="O1328" s="1581">
        <f t="shared" si="498"/>
        <v>0</v>
      </c>
      <c r="P1328" s="1581">
        <f t="shared" si="498"/>
        <v>0</v>
      </c>
      <c r="Q1328" s="1581">
        <f t="shared" si="498"/>
        <v>0</v>
      </c>
      <c r="R1328" s="1581">
        <f t="shared" si="498"/>
        <v>0</v>
      </c>
      <c r="S1328" s="1581">
        <f t="shared" si="498"/>
        <v>0</v>
      </c>
      <c r="U1328" s="621">
        <f t="shared" si="497"/>
        <v>9.9999999999999995E-8</v>
      </c>
    </row>
    <row r="1329" spans="2:21" ht="18" customHeight="1" x14ac:dyDescent="0.2">
      <c r="B1329" s="645">
        <f t="shared" si="479"/>
        <v>82</v>
      </c>
      <c r="D1329" s="589" t="s">
        <v>741</v>
      </c>
      <c r="G1329" s="645">
        <f t="shared" si="480"/>
        <v>82</v>
      </c>
      <c r="H1329" s="589" t="str">
        <f t="shared" si="495"/>
        <v>PAY DISTR OPS</v>
      </c>
      <c r="J1329" s="1581">
        <f t="shared" ref="J1329:S1329" si="499">J853</f>
        <v>6562738.8334568664</v>
      </c>
      <c r="K1329" s="1581">
        <f t="shared" si="499"/>
        <v>920654.33946045034</v>
      </c>
      <c r="L1329" s="1581">
        <f t="shared" si="499"/>
        <v>3620634.6648484347</v>
      </c>
      <c r="M1329" s="1581">
        <f t="shared" si="499"/>
        <v>152472.36215378752</v>
      </c>
      <c r="N1329" s="1581">
        <f t="shared" si="499"/>
        <v>1174117.6786746928</v>
      </c>
      <c r="O1329" s="1581">
        <f t="shared" si="499"/>
        <v>38525.382241616935</v>
      </c>
      <c r="P1329" s="1581">
        <f t="shared" si="499"/>
        <v>80359.693019323691</v>
      </c>
      <c r="Q1329" s="1581">
        <f t="shared" si="499"/>
        <v>6692.1193020743913</v>
      </c>
      <c r="R1329" s="1581">
        <f t="shared" si="499"/>
        <v>4254.3366892583135</v>
      </c>
      <c r="S1329" s="1581">
        <f t="shared" si="499"/>
        <v>10800.240153501387</v>
      </c>
      <c r="U1329" s="621">
        <f t="shared" si="497"/>
        <v>12571249.650000002</v>
      </c>
    </row>
    <row r="1330" spans="2:21" ht="18" customHeight="1" x14ac:dyDescent="0.2">
      <c r="B1330" s="645">
        <f t="shared" si="479"/>
        <v>83</v>
      </c>
      <c r="D1330" s="589" t="s">
        <v>742</v>
      </c>
      <c r="G1330" s="645">
        <f t="shared" si="480"/>
        <v>83</v>
      </c>
      <c r="H1330" s="589" t="str">
        <f t="shared" si="495"/>
        <v>PAY DISTR MNT</v>
      </c>
      <c r="J1330" s="1581">
        <f t="shared" ref="J1330:S1330" ca="1" si="500">J868</f>
        <v>8175442.0416592536</v>
      </c>
      <c r="K1330" s="1581">
        <f t="shared" ca="1" si="500"/>
        <v>1146892.5373488225</v>
      </c>
      <c r="L1330" s="1581">
        <f t="shared" ca="1" si="500"/>
        <v>4510356.0582951093</v>
      </c>
      <c r="M1330" s="1581">
        <f t="shared" ca="1" si="500"/>
        <v>189940.3574294867</v>
      </c>
      <c r="N1330" s="1581">
        <f t="shared" ca="1" si="500"/>
        <v>1462641.0216352155</v>
      </c>
      <c r="O1330" s="1581">
        <f t="shared" ca="1" si="500"/>
        <v>47992.467419765417</v>
      </c>
      <c r="P1330" s="1581">
        <f t="shared" ca="1" si="500"/>
        <v>100106.98725595242</v>
      </c>
      <c r="Q1330" s="1581">
        <f t="shared" ca="1" si="500"/>
        <v>8340.7559889010536</v>
      </c>
      <c r="R1330" s="1581">
        <f t="shared" ca="1" si="500"/>
        <v>5299.781678256305</v>
      </c>
      <c r="S1330" s="1581">
        <f t="shared" ca="1" si="500"/>
        <v>13454.251289235302</v>
      </c>
      <c r="U1330" s="621">
        <f t="shared" ca="1" si="497"/>
        <v>15660466.259999998</v>
      </c>
    </row>
    <row r="1331" spans="2:21" ht="18" customHeight="1" x14ac:dyDescent="0.2">
      <c r="B1331" s="645">
        <f t="shared" si="479"/>
        <v>84</v>
      </c>
      <c r="D1331" s="589" t="s">
        <v>743</v>
      </c>
      <c r="G1331" s="645">
        <f t="shared" si="480"/>
        <v>84</v>
      </c>
      <c r="H1331" s="589" t="str">
        <f t="shared" si="495"/>
        <v>PAY CUS ACCT</v>
      </c>
      <c r="J1331" s="1581">
        <f t="shared" ref="J1331:S1331" si="501">J890</f>
        <v>4860578.5793033466</v>
      </c>
      <c r="K1331" s="1581">
        <f t="shared" si="501"/>
        <v>681866.65276256541</v>
      </c>
      <c r="L1331" s="1581">
        <f t="shared" si="501"/>
        <v>2681560.2055850299</v>
      </c>
      <c r="M1331" s="1581">
        <f t="shared" si="501"/>
        <v>112926.00791034554</v>
      </c>
      <c r="N1331" s="1581">
        <f t="shared" si="501"/>
        <v>869589.87449779804</v>
      </c>
      <c r="O1331" s="1581">
        <f t="shared" si="501"/>
        <v>28533.155506424675</v>
      </c>
      <c r="P1331" s="1581">
        <f t="shared" si="501"/>
        <v>59517.011485793817</v>
      </c>
      <c r="Q1331" s="1581">
        <f t="shared" si="501"/>
        <v>4956.4019771714156</v>
      </c>
      <c r="R1331" s="1581">
        <f t="shared" si="501"/>
        <v>3150.9006080714375</v>
      </c>
      <c r="S1331" s="1581">
        <f t="shared" si="501"/>
        <v>7999.0103634505331</v>
      </c>
      <c r="U1331" s="621">
        <f t="shared" si="497"/>
        <v>9310677.7999999989</v>
      </c>
    </row>
    <row r="1332" spans="2:21" ht="18" customHeight="1" x14ac:dyDescent="0.2">
      <c r="B1332" s="645">
        <f t="shared" si="479"/>
        <v>85</v>
      </c>
      <c r="D1332" s="589" t="s">
        <v>744</v>
      </c>
      <c r="G1332" s="645">
        <f t="shared" si="480"/>
        <v>85</v>
      </c>
      <c r="H1332" s="589" t="str">
        <f t="shared" si="495"/>
        <v>PAY CUS SV INF</v>
      </c>
      <c r="J1332" s="1581">
        <f t="shared" ref="J1332:S1332" si="502">J903</f>
        <v>0</v>
      </c>
      <c r="K1332" s="1581">
        <f t="shared" si="502"/>
        <v>0</v>
      </c>
      <c r="L1332" s="1581">
        <f t="shared" si="502"/>
        <v>0</v>
      </c>
      <c r="M1332" s="1581">
        <f t="shared" si="502"/>
        <v>0</v>
      </c>
      <c r="N1332" s="1581">
        <f t="shared" si="502"/>
        <v>0</v>
      </c>
      <c r="O1332" s="1581">
        <f t="shared" si="502"/>
        <v>0</v>
      </c>
      <c r="P1332" s="1581">
        <f t="shared" si="502"/>
        <v>0</v>
      </c>
      <c r="Q1332" s="1581">
        <f t="shared" si="502"/>
        <v>0</v>
      </c>
      <c r="R1332" s="1581">
        <f t="shared" si="502"/>
        <v>0</v>
      </c>
      <c r="S1332" s="1581">
        <f t="shared" si="502"/>
        <v>0</v>
      </c>
      <c r="U1332" s="621">
        <f t="shared" si="497"/>
        <v>9.9999999999999995E-8</v>
      </c>
    </row>
    <row r="1333" spans="2:21" ht="18" customHeight="1" x14ac:dyDescent="0.2">
      <c r="B1333" s="645">
        <f t="shared" si="479"/>
        <v>86</v>
      </c>
      <c r="D1333" s="589" t="s">
        <v>745</v>
      </c>
      <c r="G1333" s="645">
        <f t="shared" si="480"/>
        <v>86</v>
      </c>
      <c r="H1333" s="589" t="str">
        <f t="shared" si="495"/>
        <v>PAY SALES</v>
      </c>
      <c r="J1333" s="1581">
        <f t="shared" ref="J1333:S1333" si="503">J915</f>
        <v>0</v>
      </c>
      <c r="K1333" s="1581">
        <f t="shared" si="503"/>
        <v>0</v>
      </c>
      <c r="L1333" s="1581">
        <f t="shared" si="503"/>
        <v>0</v>
      </c>
      <c r="M1333" s="1581">
        <f t="shared" si="503"/>
        <v>0</v>
      </c>
      <c r="N1333" s="1581">
        <f t="shared" si="503"/>
        <v>0</v>
      </c>
      <c r="O1333" s="1581">
        <f t="shared" si="503"/>
        <v>0</v>
      </c>
      <c r="P1333" s="1581">
        <f t="shared" si="503"/>
        <v>0</v>
      </c>
      <c r="Q1333" s="1581">
        <f t="shared" si="503"/>
        <v>0</v>
      </c>
      <c r="R1333" s="1581">
        <f t="shared" si="503"/>
        <v>0</v>
      </c>
      <c r="S1333" s="1581">
        <f t="shared" si="503"/>
        <v>0</v>
      </c>
      <c r="U1333" s="621">
        <f t="shared" si="497"/>
        <v>9.9999999999999995E-8</v>
      </c>
    </row>
    <row r="1334" spans="2:21" ht="18" customHeight="1" x14ac:dyDescent="0.2">
      <c r="B1334" s="645">
        <f t="shared" si="479"/>
        <v>87</v>
      </c>
      <c r="D1334" s="620" t="s">
        <v>746</v>
      </c>
      <c r="G1334" s="645">
        <f t="shared" si="480"/>
        <v>87</v>
      </c>
      <c r="H1334" s="589" t="str">
        <f t="shared" si="495"/>
        <v>PAYROLL XAG</v>
      </c>
      <c r="J1334" s="1581">
        <f t="shared" ref="J1334:S1334" ca="1" si="504">J925</f>
        <v>20221020.892721213</v>
      </c>
      <c r="K1334" s="1581">
        <f t="shared" ca="1" si="504"/>
        <v>2836707.524958462</v>
      </c>
      <c r="L1334" s="1581">
        <f t="shared" ca="1" si="504"/>
        <v>11155849.87620886</v>
      </c>
      <c r="M1334" s="1581">
        <f t="shared" ca="1" si="504"/>
        <v>469795.75127329445</v>
      </c>
      <c r="N1334" s="1581">
        <f t="shared" ca="1" si="504"/>
        <v>3617675.2897674693</v>
      </c>
      <c r="O1334" s="1581">
        <f t="shared" ca="1" si="504"/>
        <v>118703.87942856221</v>
      </c>
      <c r="P1334" s="1581">
        <f t="shared" ca="1" si="504"/>
        <v>247603.18408411753</v>
      </c>
      <c r="Q1334" s="1581">
        <f t="shared" ca="1" si="504"/>
        <v>20623.975847492326</v>
      </c>
      <c r="R1334" s="1581">
        <f t="shared" ca="1" si="504"/>
        <v>13108.403863276812</v>
      </c>
      <c r="S1334" s="1581">
        <f t="shared" ca="1" si="504"/>
        <v>33277.551847255527</v>
      </c>
      <c r="U1334" s="621">
        <f t="shared" ca="1" si="497"/>
        <v>38734366.330000006</v>
      </c>
    </row>
    <row r="1335" spans="2:21" ht="18" customHeight="1" x14ac:dyDescent="0.2">
      <c r="B1335" s="645">
        <f t="shared" si="479"/>
        <v>88</v>
      </c>
      <c r="D1335" s="589" t="s">
        <v>662</v>
      </c>
      <c r="G1335" s="645">
        <f t="shared" si="480"/>
        <v>88</v>
      </c>
      <c r="H1335" s="589" t="str">
        <f t="shared" si="495"/>
        <v>PAYROLL</v>
      </c>
      <c r="J1335" s="1581">
        <f t="shared" ref="J1335:S1335" ca="1" si="505">J957</f>
        <v>30162656.685883239</v>
      </c>
      <c r="K1335" s="1581">
        <f t="shared" ca="1" si="505"/>
        <v>4231219.8181124935</v>
      </c>
      <c r="L1335" s="1581">
        <f t="shared" ca="1" si="505"/>
        <v>16640688.261289179</v>
      </c>
      <c r="M1335" s="1581">
        <f t="shared" ca="1" si="505"/>
        <v>700740.96053853142</v>
      </c>
      <c r="N1335" s="1581">
        <f t="shared" ca="1" si="505"/>
        <v>5396301.6424921723</v>
      </c>
      <c r="O1335" s="1581">
        <f t="shared" ca="1" si="505"/>
        <v>177155.60621148816</v>
      </c>
      <c r="P1335" s="1581">
        <f t="shared" ca="1" si="505"/>
        <v>369321.33053079917</v>
      </c>
      <c r="Q1335" s="1581">
        <f t="shared" ca="1" si="505"/>
        <v>36639.72362074531</v>
      </c>
      <c r="R1335" s="1581">
        <f t="shared" ca="1" si="505"/>
        <v>19559.122415581878</v>
      </c>
      <c r="S1335" s="1581">
        <f t="shared" ca="1" si="505"/>
        <v>49645.11890577017</v>
      </c>
      <c r="U1335" s="621">
        <f t="shared" ca="1" si="497"/>
        <v>57783928.269999996</v>
      </c>
    </row>
    <row r="1336" spans="2:21" ht="18" customHeight="1" x14ac:dyDescent="0.25">
      <c r="B1336" s="645">
        <f t="shared" si="479"/>
        <v>89</v>
      </c>
      <c r="G1336" s="645">
        <f t="shared" si="480"/>
        <v>89</v>
      </c>
      <c r="J1336" s="1581"/>
      <c r="K1336" s="1581"/>
      <c r="L1336" s="1581"/>
      <c r="M1336" s="1581"/>
      <c r="N1336" s="1581"/>
      <c r="O1336" s="1581"/>
      <c r="P1336" s="1581"/>
      <c r="Q1336" s="1581"/>
      <c r="R1336" s="1581"/>
      <c r="S1336" s="1581"/>
      <c r="U1336" s="1572"/>
    </row>
    <row r="1337" spans="2:21" ht="18" customHeight="1" x14ac:dyDescent="0.2">
      <c r="B1337" s="645">
        <f t="shared" si="479"/>
        <v>90</v>
      </c>
      <c r="G1337" s="645">
        <f t="shared" si="480"/>
        <v>90</v>
      </c>
      <c r="J1337" s="1581"/>
      <c r="K1337" s="1581"/>
      <c r="L1337" s="1581"/>
      <c r="M1337" s="1581"/>
      <c r="N1337" s="1581"/>
      <c r="O1337" s="1581"/>
      <c r="P1337" s="1581"/>
      <c r="Q1337" s="1581"/>
      <c r="R1337" s="1581"/>
      <c r="S1337" s="1581"/>
      <c r="U1337" s="621">
        <f>SUM(I1337:T1337)</f>
        <v>0</v>
      </c>
    </row>
    <row r="1338" spans="2:21" ht="18" customHeight="1" x14ac:dyDescent="0.2">
      <c r="B1338" s="645">
        <f t="shared" si="479"/>
        <v>91</v>
      </c>
      <c r="D1338" s="589" t="s">
        <v>747</v>
      </c>
      <c r="G1338" s="645">
        <f t="shared" si="480"/>
        <v>91</v>
      </c>
      <c r="H1338" s="589" t="str">
        <f>VLOOKUP(G1338,FactorTable,2)</f>
        <v>TAX INC</v>
      </c>
      <c r="J1338" s="1581">
        <f t="shared" ref="J1338:S1338" ca="1" si="506">J1142</f>
        <v>8655880.7066772971</v>
      </c>
      <c r="K1338" s="1581">
        <f t="shared" ca="1" si="506"/>
        <v>1213913.9797094376</v>
      </c>
      <c r="L1338" s="1581">
        <f t="shared" ca="1" si="506"/>
        <v>4779959.8789515188</v>
      </c>
      <c r="M1338" s="1581">
        <f t="shared" ca="1" si="506"/>
        <v>201007.13790525889</v>
      </c>
      <c r="N1338" s="1581">
        <f t="shared" ca="1" si="506"/>
        <v>1548510.6970076477</v>
      </c>
      <c r="O1338" s="1581">
        <f t="shared" ca="1" si="506"/>
        <v>50645.801194573061</v>
      </c>
      <c r="P1338" s="1581">
        <f t="shared" ca="1" si="506"/>
        <v>106509.03920400921</v>
      </c>
      <c r="Q1338" s="1581">
        <f t="shared" ca="1" si="506"/>
        <v>8621.5449980794729</v>
      </c>
      <c r="R1338" s="1581">
        <f t="shared" ca="1" si="506"/>
        <v>5584.1283347055632</v>
      </c>
      <c r="S1338" s="1581">
        <f t="shared" ca="1" si="506"/>
        <v>14182.952218196253</v>
      </c>
      <c r="U1338" s="621">
        <f ca="1">MAX(0.0000001,SUM(I1338:T1338))</f>
        <v>16584815.866200723</v>
      </c>
    </row>
    <row r="1339" spans="2:21" ht="18" customHeight="1" x14ac:dyDescent="0.2">
      <c r="B1339" s="645">
        <f t="shared" si="479"/>
        <v>92</v>
      </c>
      <c r="D1339" s="589" t="s">
        <v>748</v>
      </c>
      <c r="G1339" s="645">
        <f t="shared" si="480"/>
        <v>92</v>
      </c>
      <c r="H1339" s="589" t="str">
        <f>VLOOKUP(G1339,FactorTable,2)</f>
        <v>RCOS x565</v>
      </c>
      <c r="J1339" s="1581">
        <f t="shared" ref="J1339:Q1339" ca="1" si="507">J1228</f>
        <v>114506157.06956854</v>
      </c>
      <c r="K1339" s="1581">
        <f t="shared" ca="1" si="507"/>
        <v>16059820.561165996</v>
      </c>
      <c r="L1339" s="1581">
        <f t="shared" ca="1" si="507"/>
        <v>63164438.736680508</v>
      </c>
      <c r="M1339" s="1581">
        <f t="shared" ca="1" si="507"/>
        <v>2659166.7360448726</v>
      </c>
      <c r="N1339" s="1581">
        <f t="shared" ca="1" si="507"/>
        <v>20479413.348195728</v>
      </c>
      <c r="O1339" s="1581">
        <f ca="1">O1228</f>
        <v>672200.62858873862</v>
      </c>
      <c r="P1339" s="1581">
        <f t="shared" ca="1" si="507"/>
        <v>1402582.1794881376</v>
      </c>
      <c r="Q1339" s="1581">
        <f t="shared" ca="1" si="507"/>
        <v>151932.09684977739</v>
      </c>
      <c r="R1339" s="802">
        <v>0</v>
      </c>
      <c r="S1339" s="802">
        <v>0</v>
      </c>
      <c r="T1339" s="620" t="s">
        <v>0</v>
      </c>
      <c r="U1339" s="621">
        <f ca="1">MAX(0.0000001,SUM(I1339:T1339))</f>
        <v>219095711.35658231</v>
      </c>
    </row>
    <row r="1340" spans="2:21" ht="18" customHeight="1" x14ac:dyDescent="0.25">
      <c r="B1340" s="645">
        <f t="shared" si="479"/>
        <v>93</v>
      </c>
      <c r="G1340" s="645">
        <f t="shared" si="480"/>
        <v>93</v>
      </c>
      <c r="U1340" s="1572"/>
    </row>
    <row r="1341" spans="2:21" ht="18" customHeight="1" x14ac:dyDescent="0.25">
      <c r="B1341" s="645">
        <f t="shared" si="479"/>
        <v>94</v>
      </c>
      <c r="G1341" s="645">
        <f t="shared" si="480"/>
        <v>94</v>
      </c>
      <c r="U1341" s="1572"/>
    </row>
    <row r="1342" spans="2:21" ht="18" customHeight="1" thickBot="1" x14ac:dyDescent="0.25">
      <c r="H1342" s="653"/>
      <c r="U1342" s="653"/>
    </row>
    <row r="1343" spans="2:21" ht="18" customHeight="1" x14ac:dyDescent="0.25">
      <c r="B1343" s="829" t="str">
        <f>+$B$4</f>
        <v>2025 RATE CASE</v>
      </c>
      <c r="C1343" s="844"/>
      <c r="D1343" s="877"/>
      <c r="F1343" s="571"/>
      <c r="U1343" s="653"/>
    </row>
    <row r="1344" spans="2:21" ht="18" customHeight="1" x14ac:dyDescent="0.25">
      <c r="B1344" s="826" t="str">
        <f>+$B$5</f>
        <v>ONCOR ELECTRIC DELIVERY COMPANY LLC</v>
      </c>
      <c r="C1344" s="8"/>
      <c r="D1344" s="878"/>
      <c r="F1344" s="571"/>
      <c r="U1344" s="653"/>
    </row>
    <row r="1345" spans="2:21" ht="18" customHeight="1" x14ac:dyDescent="0.25">
      <c r="B1345" s="826" t="str">
        <f>B1238</f>
        <v>II-I-2-METT:  CLASS ALLOCATION FACTORS</v>
      </c>
      <c r="C1345" s="82"/>
      <c r="D1345" s="878"/>
      <c r="F1345" s="571"/>
      <c r="U1345" s="571"/>
    </row>
    <row r="1346" spans="2:21" ht="18" customHeight="1" x14ac:dyDescent="0.25">
      <c r="B1346" s="341" t="str">
        <f>+$B$7</f>
        <v>TEST YEAR ENDING 12/31/2024</v>
      </c>
      <c r="C1346" s="82"/>
      <c r="D1346" s="878"/>
      <c r="F1346" s="571"/>
      <c r="U1346" s="571"/>
    </row>
    <row r="1347" spans="2:21" ht="18" customHeight="1" x14ac:dyDescent="0.25">
      <c r="B1347" s="341" t="str">
        <f>+$B$8</f>
        <v>SPONSOR:  MATTHEW A. TROXLE</v>
      </c>
      <c r="C1347" s="82"/>
      <c r="D1347" s="878"/>
      <c r="F1347" s="571"/>
      <c r="U1347" s="571"/>
    </row>
    <row r="1348" spans="2:21" ht="18" customHeight="1" thickBot="1" x14ac:dyDescent="0.3">
      <c r="B1348" s="345"/>
      <c r="C1348" s="82"/>
      <c r="D1348" s="878"/>
      <c r="F1348" s="571"/>
      <c r="U1348" s="571"/>
    </row>
    <row r="1349" spans="2:21" ht="18" customHeight="1" thickBot="1" x14ac:dyDescent="0.3">
      <c r="B1349" s="662"/>
      <c r="C1349" s="1575"/>
      <c r="D1349" s="1576"/>
      <c r="E1349" s="1576"/>
      <c r="F1349" s="988"/>
      <c r="G1349" s="657"/>
      <c r="H1349" s="373" t="str">
        <f>F$11</f>
        <v>MET</v>
      </c>
      <c r="I1349" s="656"/>
      <c r="J1349" s="657"/>
      <c r="K1349" s="657"/>
      <c r="L1349" s="656"/>
      <c r="M1349" s="656"/>
      <c r="N1349" s="657"/>
      <c r="O1349" s="657"/>
      <c r="P1349" s="657"/>
      <c r="Q1349" s="656"/>
      <c r="R1349" s="658" t="str">
        <f>R$10</f>
        <v xml:space="preserve"> </v>
      </c>
      <c r="S1349" s="659"/>
      <c r="T1349" s="657"/>
      <c r="U1349" s="655"/>
    </row>
    <row r="1350" spans="2:21" ht="18" customHeight="1" x14ac:dyDescent="0.25">
      <c r="B1350" s="663" t="s">
        <v>2</v>
      </c>
      <c r="C1350" s="663"/>
      <c r="D1350" s="407" t="s">
        <v>749</v>
      </c>
      <c r="E1350" s="1578"/>
      <c r="F1350" s="661"/>
      <c r="G1350" s="661" t="s">
        <v>688</v>
      </c>
      <c r="H1350" s="661" t="s">
        <v>355</v>
      </c>
      <c r="I1350" s="660"/>
      <c r="J1350" s="661" t="s">
        <v>679</v>
      </c>
      <c r="K1350" s="661" t="s">
        <v>388</v>
      </c>
      <c r="L1350" s="660" t="s">
        <v>388</v>
      </c>
      <c r="M1350" s="660" t="s">
        <v>389</v>
      </c>
      <c r="N1350" s="661" t="s">
        <v>389</v>
      </c>
      <c r="O1350" s="661" t="s">
        <v>389</v>
      </c>
      <c r="P1350" s="661" t="s">
        <v>390</v>
      </c>
      <c r="Q1350" s="660" t="s">
        <v>391</v>
      </c>
      <c r="R1350" s="662" t="str">
        <f>R$11</f>
        <v>Wholesale</v>
      </c>
      <c r="S1350" s="655" t="str">
        <f>S$11</f>
        <v>Wholesale</v>
      </c>
      <c r="T1350" s="661"/>
      <c r="U1350" s="660" t="s">
        <v>10</v>
      </c>
    </row>
    <row r="1351" spans="2:21" ht="18" customHeight="1" x14ac:dyDescent="0.2">
      <c r="B1351" s="663"/>
      <c r="C1351" s="663"/>
      <c r="D1351" s="1578"/>
      <c r="E1351" s="1578"/>
      <c r="F1351" s="661"/>
      <c r="G1351" s="661" t="s">
        <v>689</v>
      </c>
      <c r="H1351" s="661" t="s">
        <v>690</v>
      </c>
      <c r="I1351" s="660"/>
      <c r="J1351" s="661"/>
      <c r="K1351" s="661" t="s">
        <v>680</v>
      </c>
      <c r="L1351" s="660" t="s">
        <v>681</v>
      </c>
      <c r="M1351" s="660" t="s">
        <v>680</v>
      </c>
      <c r="N1351" s="661" t="s">
        <v>681</v>
      </c>
      <c r="O1351" s="661" t="s">
        <v>393</v>
      </c>
      <c r="P1351" s="661"/>
      <c r="Q1351" s="660"/>
      <c r="R1351" s="663" t="str">
        <f>R$12</f>
        <v>XFMR</v>
      </c>
      <c r="S1351" s="660" t="str">
        <f>S$12</f>
        <v>DLS</v>
      </c>
      <c r="T1351" s="661"/>
      <c r="U1351" s="660"/>
    </row>
    <row r="1352" spans="2:21" ht="18" customHeight="1" thickBot="1" x14ac:dyDescent="0.25">
      <c r="B1352" s="665"/>
      <c r="C1352" s="665"/>
      <c r="D1352" s="1611" t="s">
        <v>13</v>
      </c>
      <c r="E1352" s="1611"/>
      <c r="F1352" s="1579"/>
      <c r="G1352" s="1579" t="s">
        <v>14</v>
      </c>
      <c r="H1352" s="664" t="s">
        <v>15</v>
      </c>
      <c r="I1352" s="664"/>
      <c r="J1352" s="665" t="str">
        <f t="shared" ref="J1352:Q1352" si="508">J$13</f>
        <v>(d)</v>
      </c>
      <c r="K1352" s="665" t="str">
        <f t="shared" si="508"/>
        <v>(e)</v>
      </c>
      <c r="L1352" s="664" t="str">
        <f t="shared" si="508"/>
        <v>(f)</v>
      </c>
      <c r="M1352" s="664" t="str">
        <f t="shared" si="508"/>
        <v>(g)</v>
      </c>
      <c r="N1352" s="665" t="str">
        <f t="shared" si="508"/>
        <v>(h)</v>
      </c>
      <c r="O1352" s="665" t="str">
        <f>O$13</f>
        <v>(i)</v>
      </c>
      <c r="P1352" s="665" t="str">
        <f t="shared" si="508"/>
        <v>(j)</v>
      </c>
      <c r="Q1352" s="665" t="str">
        <f t="shared" si="508"/>
        <v>(k)</v>
      </c>
      <c r="R1352" s="665" t="str">
        <f>R$13</f>
        <v>(l)</v>
      </c>
      <c r="S1352" s="664" t="str">
        <f>S$13</f>
        <v>(m)</v>
      </c>
      <c r="T1352" s="664"/>
      <c r="U1352" s="664" t="s">
        <v>683</v>
      </c>
    </row>
    <row r="1353" spans="2:21" ht="18" customHeight="1" x14ac:dyDescent="0.25">
      <c r="B1353" s="645"/>
      <c r="U1353" s="1572"/>
    </row>
    <row r="1354" spans="2:21" ht="18" customHeight="1" x14ac:dyDescent="0.25">
      <c r="B1354" s="645"/>
      <c r="G1354" s="645">
        <f>0</f>
        <v>0</v>
      </c>
      <c r="H1354" s="589">
        <v>-1</v>
      </c>
      <c r="I1354" s="589">
        <f t="shared" ref="I1354:Q1354" si="509">H1354+1</f>
        <v>0</v>
      </c>
      <c r="J1354" s="589">
        <f>I1354+1</f>
        <v>1</v>
      </c>
      <c r="K1354" s="589">
        <f t="shared" si="509"/>
        <v>2</v>
      </c>
      <c r="L1354" s="589">
        <f t="shared" si="509"/>
        <v>3</v>
      </c>
      <c r="M1354" s="589">
        <f t="shared" si="509"/>
        <v>4</v>
      </c>
      <c r="N1354" s="589">
        <f t="shared" si="509"/>
        <v>5</v>
      </c>
      <c r="O1354" s="589">
        <f t="shared" si="509"/>
        <v>6</v>
      </c>
      <c r="P1354" s="589">
        <f t="shared" si="509"/>
        <v>7</v>
      </c>
      <c r="Q1354" s="589">
        <f t="shared" si="509"/>
        <v>8</v>
      </c>
      <c r="R1354" s="589">
        <f>Q1354+1</f>
        <v>9</v>
      </c>
      <c r="S1354" s="589">
        <f>R1354+1</f>
        <v>10</v>
      </c>
      <c r="T1354" s="589">
        <f>S1354+1</f>
        <v>11</v>
      </c>
      <c r="U1354" s="1572"/>
    </row>
    <row r="1355" spans="2:21" ht="18" customHeight="1" x14ac:dyDescent="0.2">
      <c r="B1355" s="645">
        <f t="shared" ref="B1355:B1418" si="510">B1354+1</f>
        <v>1</v>
      </c>
      <c r="D1355" s="589" t="s">
        <v>692</v>
      </c>
      <c r="G1355" s="645">
        <f t="shared" ref="G1355:G1418" si="511">G1354+1</f>
        <v>1</v>
      </c>
      <c r="H1355" s="589" t="s">
        <v>750</v>
      </c>
      <c r="J1355" s="802"/>
      <c r="K1355" s="802"/>
      <c r="L1355" s="802"/>
      <c r="M1355" s="802"/>
      <c r="N1355" s="802"/>
      <c r="O1355" s="802"/>
      <c r="P1355" s="802"/>
      <c r="Q1355" s="802"/>
      <c r="R1355" s="802"/>
      <c r="S1355" s="802"/>
      <c r="T1355" s="620"/>
      <c r="U1355" s="802"/>
    </row>
    <row r="1356" spans="2:21" ht="18" customHeight="1" x14ac:dyDescent="0.2">
      <c r="B1356" s="645">
        <f t="shared" si="510"/>
        <v>2</v>
      </c>
      <c r="D1356" s="589" t="s">
        <v>693</v>
      </c>
      <c r="G1356" s="645">
        <f t="shared" si="511"/>
        <v>2</v>
      </c>
      <c r="H1356" s="589" t="s">
        <v>751</v>
      </c>
      <c r="J1356" s="802"/>
      <c r="K1356" s="802"/>
      <c r="L1356" s="802"/>
      <c r="M1356" s="802"/>
      <c r="N1356" s="802"/>
      <c r="O1356" s="802"/>
      <c r="P1356" s="802"/>
      <c r="Q1356" s="802"/>
      <c r="R1356" s="802"/>
      <c r="S1356" s="802"/>
      <c r="T1356" s="620"/>
      <c r="U1356" s="802"/>
    </row>
    <row r="1357" spans="2:21" ht="18" customHeight="1" x14ac:dyDescent="0.25">
      <c r="B1357" s="645">
        <f t="shared" si="510"/>
        <v>3</v>
      </c>
      <c r="G1357" s="645">
        <f t="shared" si="511"/>
        <v>3</v>
      </c>
      <c r="U1357" s="1572"/>
    </row>
    <row r="1358" spans="2:21" ht="18" customHeight="1" x14ac:dyDescent="0.25">
      <c r="B1358" s="645">
        <f t="shared" si="510"/>
        <v>4</v>
      </c>
      <c r="G1358" s="645">
        <f t="shared" si="511"/>
        <v>4</v>
      </c>
      <c r="U1358" s="1572"/>
    </row>
    <row r="1359" spans="2:21" ht="18" customHeight="1" x14ac:dyDescent="0.25">
      <c r="B1359" s="645">
        <f t="shared" si="510"/>
        <v>5</v>
      </c>
      <c r="G1359" s="645">
        <f t="shared" si="511"/>
        <v>5</v>
      </c>
      <c r="U1359" s="1572"/>
    </row>
    <row r="1360" spans="2:21" ht="18" customHeight="1" x14ac:dyDescent="0.2">
      <c r="B1360" s="645">
        <f t="shared" si="510"/>
        <v>6</v>
      </c>
      <c r="D1360" s="589" t="s">
        <v>694</v>
      </c>
      <c r="G1360" s="645">
        <f t="shared" si="511"/>
        <v>6</v>
      </c>
      <c r="H1360" s="589" t="s">
        <v>752</v>
      </c>
      <c r="J1360" s="828">
        <f t="shared" ref="J1360:Q1360" si="512">J1253/$U1253</f>
        <v>0.52204347349484559</v>
      </c>
      <c r="K1360" s="828">
        <f t="shared" si="512"/>
        <v>7.3234910219164229E-2</v>
      </c>
      <c r="L1360" s="828">
        <f t="shared" si="512"/>
        <v>0.28800912921560129</v>
      </c>
      <c r="M1360" s="828">
        <f t="shared" si="512"/>
        <v>1.2128655972860058E-2</v>
      </c>
      <c r="N1360" s="828">
        <f t="shared" si="512"/>
        <v>9.3397053702985844E-2</v>
      </c>
      <c r="O1360" s="828">
        <f t="shared" si="512"/>
        <v>3.0645626579865839E-3</v>
      </c>
      <c r="P1360" s="828">
        <f t="shared" si="512"/>
        <v>6.3923392865977841E-3</v>
      </c>
      <c r="Q1360" s="828">
        <f t="shared" si="512"/>
        <v>5.3233524815684381E-4</v>
      </c>
      <c r="R1360" s="828">
        <f>R1253/$U1253</f>
        <v>3.3841796223164742E-4</v>
      </c>
      <c r="S1360" s="828">
        <f>S1253/$U1253</f>
        <v>8.5912223956998422E-4</v>
      </c>
      <c r="U1360" s="828">
        <f>ROUND(SUM(I1360:T1360),6)</f>
        <v>1</v>
      </c>
    </row>
    <row r="1361" spans="2:21" ht="18" customHeight="1" x14ac:dyDescent="0.2">
      <c r="B1361" s="645">
        <f t="shared" si="510"/>
        <v>7</v>
      </c>
      <c r="D1361" s="589" t="s">
        <v>695</v>
      </c>
      <c r="G1361" s="645">
        <f t="shared" si="511"/>
        <v>7</v>
      </c>
      <c r="H1361" s="589" t="s">
        <v>753</v>
      </c>
      <c r="J1361" s="828">
        <f t="shared" ref="J1361:L1364" si="513">J1254/$U1254</f>
        <v>0.59066728878195973</v>
      </c>
      <c r="K1361" s="828">
        <f t="shared" si="513"/>
        <v>8.2861807607237672E-2</v>
      </c>
      <c r="L1361" s="828">
        <f t="shared" si="513"/>
        <v>0.32586859166990811</v>
      </c>
      <c r="M1361" s="802">
        <v>0</v>
      </c>
      <c r="N1361" s="802">
        <v>0</v>
      </c>
      <c r="O1361" s="802">
        <v>0</v>
      </c>
      <c r="P1361" s="802">
        <v>0</v>
      </c>
      <c r="Q1361" s="828">
        <f>Q1254/$U1254</f>
        <v>6.0231194089428502E-4</v>
      </c>
      <c r="R1361" s="802">
        <v>0</v>
      </c>
      <c r="S1361" s="802">
        <v>0</v>
      </c>
      <c r="U1361" s="828">
        <f>ROUND(SUM(I1361:T1361),6)</f>
        <v>1</v>
      </c>
    </row>
    <row r="1362" spans="2:21" ht="18" customHeight="1" x14ac:dyDescent="0.2">
      <c r="B1362" s="645">
        <f t="shared" si="510"/>
        <v>8</v>
      </c>
      <c r="D1362" s="589" t="s">
        <v>696</v>
      </c>
      <c r="G1362" s="645">
        <f t="shared" si="511"/>
        <v>8</v>
      </c>
      <c r="H1362" s="589" t="s">
        <v>754</v>
      </c>
      <c r="J1362" s="828">
        <f t="shared" si="513"/>
        <v>0.52266939110294253</v>
      </c>
      <c r="K1362" s="828">
        <f t="shared" si="513"/>
        <v>7.3322717120621494E-2</v>
      </c>
      <c r="L1362" s="828">
        <f t="shared" si="513"/>
        <v>0.28835444525616372</v>
      </c>
      <c r="M1362" s="828">
        <f t="shared" ref="M1362:P1364" si="514">M1255/$U1255</f>
        <v>1.214319794057233E-2</v>
      </c>
      <c r="N1362" s="828">
        <f t="shared" si="514"/>
        <v>9.3509034531068444E-2</v>
      </c>
      <c r="O1362" s="828">
        <f t="shared" si="514"/>
        <v>3.0682369951369154E-3</v>
      </c>
      <c r="P1362" s="828">
        <f t="shared" si="514"/>
        <v>6.4000035481383529E-3</v>
      </c>
      <c r="Q1362" s="828">
        <f>Q1255/$U1255</f>
        <v>5.3297350535600277E-4</v>
      </c>
      <c r="R1362" s="802"/>
      <c r="S1362" s="802"/>
      <c r="U1362" s="828">
        <f>ROUND(SUM(I1362:T1362),6)</f>
        <v>1</v>
      </c>
    </row>
    <row r="1363" spans="2:21" ht="18" customHeight="1" x14ac:dyDescent="0.2">
      <c r="B1363" s="645">
        <f t="shared" si="510"/>
        <v>9</v>
      </c>
      <c r="D1363" s="589" t="s">
        <v>697</v>
      </c>
      <c r="G1363" s="645">
        <f t="shared" si="511"/>
        <v>9</v>
      </c>
      <c r="H1363" s="589" t="s">
        <v>755</v>
      </c>
      <c r="J1363" s="828">
        <f t="shared" si="513"/>
        <v>0.85571462856823666</v>
      </c>
      <c r="K1363" s="828">
        <f t="shared" si="513"/>
        <v>7.0979524557258505E-2</v>
      </c>
      <c r="L1363" s="828">
        <f t="shared" si="513"/>
        <v>5.7994681491327825E-2</v>
      </c>
      <c r="M1363" s="828">
        <f t="shared" si="514"/>
        <v>7.748640527589733E-4</v>
      </c>
      <c r="N1363" s="828">
        <f t="shared" si="514"/>
        <v>1.7346079496849999E-3</v>
      </c>
      <c r="O1363" s="828">
        <f t="shared" si="514"/>
        <v>4.0287987432125244E-5</v>
      </c>
      <c r="P1363" s="828">
        <f t="shared" si="514"/>
        <v>8.4036292803206031E-5</v>
      </c>
      <c r="Q1363" s="828">
        <f>Q1256/$U1256</f>
        <v>1.2660067510802989E-2</v>
      </c>
      <c r="R1363" s="828">
        <f>R1256/$U1256</f>
        <v>4.4489802072285549E-6</v>
      </c>
      <c r="S1363" s="828">
        <f>S1256/$U1256</f>
        <v>1.2852609487549158E-5</v>
      </c>
      <c r="U1363" s="828">
        <f>ROUND(SUM(I1363:T1363),6)</f>
        <v>1</v>
      </c>
    </row>
    <row r="1364" spans="2:21" ht="18" customHeight="1" x14ac:dyDescent="0.2">
      <c r="B1364" s="645">
        <f t="shared" si="510"/>
        <v>10</v>
      </c>
      <c r="D1364" s="589" t="s">
        <v>698</v>
      </c>
      <c r="G1364" s="645">
        <f t="shared" si="511"/>
        <v>10</v>
      </c>
      <c r="H1364" s="589" t="s">
        <v>756</v>
      </c>
      <c r="J1364" s="828">
        <f t="shared" si="513"/>
        <v>0.85572943404779422</v>
      </c>
      <c r="K1364" s="828">
        <f t="shared" si="513"/>
        <v>7.0980752637116853E-2</v>
      </c>
      <c r="L1364" s="828">
        <f t="shared" si="513"/>
        <v>5.7995684908872185E-2</v>
      </c>
      <c r="M1364" s="828">
        <f t="shared" si="514"/>
        <v>7.748774593708391E-4</v>
      </c>
      <c r="N1364" s="828">
        <f t="shared" si="514"/>
        <v>1.7346379616792818E-3</v>
      </c>
      <c r="O1364" s="828">
        <f t="shared" si="514"/>
        <v>4.0288684490413641E-5</v>
      </c>
      <c r="P1364" s="828">
        <f t="shared" si="514"/>
        <v>8.4037746789819866E-5</v>
      </c>
      <c r="Q1364" s="828">
        <f>Q1257/$U1257</f>
        <v>1.2660286553886362E-2</v>
      </c>
      <c r="R1364" s="802">
        <v>0</v>
      </c>
      <c r="S1364" s="802">
        <v>0</v>
      </c>
      <c r="U1364" s="828">
        <f>ROUND(SUM(I1364:T1364),6)</f>
        <v>1</v>
      </c>
    </row>
    <row r="1365" spans="2:21" ht="18" customHeight="1" x14ac:dyDescent="0.2">
      <c r="B1365" s="645">
        <f t="shared" si="510"/>
        <v>11</v>
      </c>
      <c r="G1365" s="645">
        <f t="shared" si="511"/>
        <v>11</v>
      </c>
      <c r="U1365" s="828"/>
    </row>
    <row r="1366" spans="2:21" ht="18" customHeight="1" x14ac:dyDescent="0.2">
      <c r="B1366" s="645">
        <f t="shared" si="510"/>
        <v>12</v>
      </c>
      <c r="G1366" s="645">
        <f t="shared" si="511"/>
        <v>12</v>
      </c>
      <c r="U1366" s="828"/>
    </row>
    <row r="1367" spans="2:21" ht="18" customHeight="1" x14ac:dyDescent="0.2">
      <c r="B1367" s="645">
        <f t="shared" si="510"/>
        <v>13</v>
      </c>
      <c r="G1367" s="645">
        <f t="shared" si="511"/>
        <v>13</v>
      </c>
      <c r="U1367" s="828"/>
    </row>
    <row r="1368" spans="2:21" ht="18" customHeight="1" x14ac:dyDescent="0.2">
      <c r="B1368" s="645">
        <f t="shared" si="510"/>
        <v>14</v>
      </c>
      <c r="D1368" s="620" t="s">
        <v>699</v>
      </c>
      <c r="G1368" s="645">
        <f t="shared" si="511"/>
        <v>14</v>
      </c>
      <c r="H1368" s="589" t="s">
        <v>757</v>
      </c>
      <c r="J1368" s="828">
        <f t="shared" ref="J1368:Q1368" si="515">J1261/$U1261</f>
        <v>0.49606867739945093</v>
      </c>
      <c r="K1368" s="828">
        <f t="shared" si="515"/>
        <v>1.8014653682675512E-2</v>
      </c>
      <c r="L1368" s="828">
        <f t="shared" si="515"/>
        <v>0.34064468294320993</v>
      </c>
      <c r="M1368" s="828">
        <f t="shared" si="515"/>
        <v>3.3756108807208012E-4</v>
      </c>
      <c r="N1368" s="828">
        <f t="shared" si="515"/>
        <v>7.4714397387561332E-2</v>
      </c>
      <c r="O1368" s="828">
        <f t="shared" si="515"/>
        <v>1.51505647339995E-2</v>
      </c>
      <c r="P1368" s="828">
        <f t="shared" si="515"/>
        <v>4.0607877248824642E-2</v>
      </c>
      <c r="Q1368" s="828">
        <f t="shared" si="515"/>
        <v>1.2413115453977355E-2</v>
      </c>
      <c r="R1368" s="828">
        <f>R1261/$U1261</f>
        <v>3.4524468316753798E-4</v>
      </c>
      <c r="S1368" s="828">
        <f>S1261/$U1261</f>
        <v>1.7032253790611571E-3</v>
      </c>
      <c r="U1368" s="828">
        <f>ROUND(SUM(I1368:T1368),6)</f>
        <v>1</v>
      </c>
    </row>
    <row r="1369" spans="2:21" ht="18" customHeight="1" x14ac:dyDescent="0.2">
      <c r="B1369" s="645">
        <f t="shared" si="510"/>
        <v>15</v>
      </c>
      <c r="D1369" s="589" t="s">
        <v>700</v>
      </c>
      <c r="G1369" s="645">
        <f t="shared" si="511"/>
        <v>15</v>
      </c>
      <c r="H1369" s="589" t="s">
        <v>758</v>
      </c>
      <c r="J1369" s="828">
        <f t="shared" ref="J1369:Q1369" si="516">J1262/$U1262</f>
        <v>0.4970869451248639</v>
      </c>
      <c r="K1369" s="828">
        <f t="shared" si="516"/>
        <v>1.8051631910217962E-2</v>
      </c>
      <c r="L1369" s="828">
        <f t="shared" si="516"/>
        <v>0.34134391573551803</v>
      </c>
      <c r="M1369" s="828">
        <f t="shared" si="516"/>
        <v>3.3825399124657809E-4</v>
      </c>
      <c r="N1369" s="828">
        <f t="shared" si="516"/>
        <v>7.486776175614486E-2</v>
      </c>
      <c r="O1369" s="828">
        <f t="shared" si="516"/>
        <v>1.5181663918030401E-2</v>
      </c>
      <c r="P1369" s="828">
        <f t="shared" si="516"/>
        <v>4.0691232019411605E-2</v>
      </c>
      <c r="Q1369" s="828">
        <f t="shared" si="516"/>
        <v>1.2438595544566569E-2</v>
      </c>
      <c r="R1369" s="802"/>
      <c r="S1369" s="802"/>
      <c r="U1369" s="828">
        <f>ROUND(SUM(I1369:T1369),6)</f>
        <v>1</v>
      </c>
    </row>
    <row r="1370" spans="2:21" ht="18" customHeight="1" x14ac:dyDescent="0.2">
      <c r="B1370" s="645">
        <f t="shared" si="510"/>
        <v>16</v>
      </c>
      <c r="G1370" s="645">
        <f t="shared" si="511"/>
        <v>16</v>
      </c>
      <c r="U1370" s="828"/>
    </row>
    <row r="1371" spans="2:21" ht="18" customHeight="1" x14ac:dyDescent="0.2">
      <c r="B1371" s="645">
        <f t="shared" si="510"/>
        <v>17</v>
      </c>
      <c r="D1371" s="589" t="s">
        <v>969</v>
      </c>
      <c r="G1371" s="645">
        <f t="shared" si="511"/>
        <v>17</v>
      </c>
      <c r="H1371" s="589" t="s">
        <v>968</v>
      </c>
      <c r="J1371" s="828">
        <v>0.49691124615358206</v>
      </c>
      <c r="K1371" s="828">
        <v>2.4174681321812327E-2</v>
      </c>
      <c r="L1371" s="828">
        <v>0.37078906200497913</v>
      </c>
      <c r="M1371" s="828">
        <v>3.1546971053398888E-4</v>
      </c>
      <c r="N1371" s="828">
        <v>5.5008246673470013E-2</v>
      </c>
      <c r="O1371" s="828">
        <v>7.3386300103727205E-3</v>
      </c>
      <c r="P1371" s="828">
        <v>2.7449423458469385E-2</v>
      </c>
      <c r="Q1371" s="828">
        <v>1.6386509086414255E-2</v>
      </c>
      <c r="R1371" s="828">
        <v>2.9838392078932439E-4</v>
      </c>
      <c r="S1371" s="828">
        <v>1.3283476595765593E-3</v>
      </c>
      <c r="U1371" s="828">
        <f>ROUND(SUM(I1371:T1371),6)</f>
        <v>1</v>
      </c>
    </row>
    <row r="1372" spans="2:21" ht="18" customHeight="1" x14ac:dyDescent="0.2">
      <c r="B1372" s="645">
        <f t="shared" si="510"/>
        <v>18</v>
      </c>
      <c r="D1372" s="620"/>
      <c r="G1372" s="645">
        <f t="shared" si="511"/>
        <v>18</v>
      </c>
      <c r="U1372" s="828"/>
    </row>
    <row r="1373" spans="2:21" ht="18" customHeight="1" x14ac:dyDescent="0.2">
      <c r="B1373" s="645">
        <f t="shared" si="510"/>
        <v>19</v>
      </c>
      <c r="D1373" s="589" t="s">
        <v>961</v>
      </c>
      <c r="G1373" s="645">
        <f t="shared" si="511"/>
        <v>19</v>
      </c>
      <c r="H1373" s="589" t="s">
        <v>759</v>
      </c>
      <c r="J1373" s="828">
        <f t="shared" ref="J1373:S1373" si="517">J1266/$U1266</f>
        <v>0.39207870753479357</v>
      </c>
      <c r="K1373" s="828">
        <f t="shared" si="517"/>
        <v>1.1878410206853518E-2</v>
      </c>
      <c r="L1373" s="828">
        <f t="shared" si="517"/>
        <v>0.41747148498452258</v>
      </c>
      <c r="M1373" s="828">
        <f t="shared" si="517"/>
        <v>8.0379267015715244E-6</v>
      </c>
      <c r="N1373" s="828">
        <f t="shared" si="517"/>
        <v>6.9126640708479514E-2</v>
      </c>
      <c r="O1373" s="828">
        <f t="shared" si="517"/>
        <v>1.3176800227554842E-2</v>
      </c>
      <c r="P1373" s="828">
        <f t="shared" si="517"/>
        <v>9.0879589198274408E-2</v>
      </c>
      <c r="Q1373" s="828">
        <f t="shared" si="517"/>
        <v>3.2081243819999448E-3</v>
      </c>
      <c r="R1373" s="828">
        <f t="shared" si="517"/>
        <v>9.9654995235261604E-4</v>
      </c>
      <c r="S1373" s="828">
        <f t="shared" si="517"/>
        <v>1.1756548784670716E-3</v>
      </c>
      <c r="U1373" s="828">
        <f>ROUND(SUM(I1373:T1373),6)</f>
        <v>1</v>
      </c>
    </row>
    <row r="1374" spans="2:21" ht="18" customHeight="1" x14ac:dyDescent="0.2">
      <c r="B1374" s="645">
        <f t="shared" si="510"/>
        <v>20</v>
      </c>
      <c r="G1374" s="645">
        <f t="shared" si="511"/>
        <v>20</v>
      </c>
      <c r="U1374" s="828"/>
    </row>
    <row r="1375" spans="2:21" ht="18" customHeight="1" x14ac:dyDescent="0.2">
      <c r="B1375" s="645">
        <f t="shared" si="510"/>
        <v>21</v>
      </c>
      <c r="G1375" s="645">
        <f t="shared" si="511"/>
        <v>21</v>
      </c>
      <c r="U1375" s="828"/>
    </row>
    <row r="1376" spans="2:21" ht="18" customHeight="1" x14ac:dyDescent="0.2">
      <c r="B1376" s="645">
        <f t="shared" si="510"/>
        <v>22</v>
      </c>
      <c r="D1376" s="620"/>
      <c r="G1376" s="645">
        <f t="shared" si="511"/>
        <v>22</v>
      </c>
      <c r="U1376" s="828"/>
    </row>
    <row r="1377" spans="2:21" ht="18" customHeight="1" x14ac:dyDescent="0.2">
      <c r="B1377" s="645">
        <f t="shared" si="510"/>
        <v>23</v>
      </c>
      <c r="D1377" s="589" t="s">
        <v>702</v>
      </c>
      <c r="G1377" s="645">
        <f t="shared" si="511"/>
        <v>23</v>
      </c>
      <c r="H1377" s="589" t="s">
        <v>760</v>
      </c>
      <c r="J1377" s="828">
        <f t="shared" ref="J1377:Q1377" si="518">J1270/$U1270</f>
        <v>0.43858853681215043</v>
      </c>
      <c r="K1377" s="828">
        <f t="shared" si="518"/>
        <v>8.8416367763441694E-3</v>
      </c>
      <c r="L1377" s="828">
        <f t="shared" si="518"/>
        <v>0.30533456649733054</v>
      </c>
      <c r="M1377" s="828">
        <f t="shared" si="518"/>
        <v>9.6594336756288847E-5</v>
      </c>
      <c r="N1377" s="828">
        <f t="shared" si="518"/>
        <v>9.4937872376858259E-2</v>
      </c>
      <c r="O1377" s="828">
        <f t="shared" si="518"/>
        <v>3.446623483196265E-2</v>
      </c>
      <c r="P1377" s="828">
        <f t="shared" si="518"/>
        <v>0.11773455836859764</v>
      </c>
      <c r="Q1377" s="828">
        <f t="shared" si="518"/>
        <v>0</v>
      </c>
      <c r="R1377" s="802">
        <v>0</v>
      </c>
      <c r="S1377" s="802">
        <v>0</v>
      </c>
      <c r="U1377" s="828">
        <f>ROUND(SUM(I1377:T1377),6)</f>
        <v>1</v>
      </c>
    </row>
    <row r="1378" spans="2:21" ht="18" customHeight="1" x14ac:dyDescent="0.2">
      <c r="B1378" s="645">
        <f t="shared" si="510"/>
        <v>24</v>
      </c>
      <c r="G1378" s="645">
        <f t="shared" si="511"/>
        <v>24</v>
      </c>
      <c r="U1378" s="828"/>
    </row>
    <row r="1379" spans="2:21" ht="18" customHeight="1" x14ac:dyDescent="0.2">
      <c r="B1379" s="645">
        <f t="shared" si="510"/>
        <v>25</v>
      </c>
      <c r="G1379" s="645">
        <f t="shared" si="511"/>
        <v>25</v>
      </c>
      <c r="U1379" s="828"/>
    </row>
    <row r="1380" spans="2:21" ht="18" customHeight="1" x14ac:dyDescent="0.2">
      <c r="B1380" s="645">
        <f t="shared" si="510"/>
        <v>26</v>
      </c>
      <c r="D1380" s="589" t="s">
        <v>703</v>
      </c>
      <c r="G1380" s="645">
        <f t="shared" si="511"/>
        <v>26</v>
      </c>
      <c r="H1380" s="589" t="s">
        <v>761</v>
      </c>
      <c r="J1380" s="828">
        <f t="shared" ref="J1380:Q1380" si="519">J1273/$U1273</f>
        <v>0.44499692513480427</v>
      </c>
      <c r="K1380" s="828">
        <f t="shared" si="519"/>
        <v>8.4071788139543704E-3</v>
      </c>
      <c r="L1380" s="828">
        <f t="shared" si="519"/>
        <v>0.28582340418790675</v>
      </c>
      <c r="M1380" s="828">
        <f t="shared" si="519"/>
        <v>1.3374840983780919E-4</v>
      </c>
      <c r="N1380" s="828">
        <f t="shared" si="519"/>
        <v>8.407252226451449E-2</v>
      </c>
      <c r="O1380" s="828">
        <f t="shared" si="519"/>
        <v>3.6136024892102631E-2</v>
      </c>
      <c r="P1380" s="828">
        <f t="shared" si="519"/>
        <v>0.13216460203488176</v>
      </c>
      <c r="Q1380" s="828">
        <f t="shared" si="519"/>
        <v>2.5418472941669953E-3</v>
      </c>
      <c r="R1380" s="828">
        <f>R1273/$U1273</f>
        <v>2.4978632184613288E-3</v>
      </c>
      <c r="S1380" s="828">
        <f>S1273/$U1273</f>
        <v>3.2258837493695227E-3</v>
      </c>
      <c r="U1380" s="828">
        <f t="shared" ref="U1380:U1387" si="520">ROUND(SUM(I1380:T1380),6)</f>
        <v>1</v>
      </c>
    </row>
    <row r="1381" spans="2:21" ht="18" customHeight="1" x14ac:dyDescent="0.2">
      <c r="B1381" s="645">
        <f t="shared" si="510"/>
        <v>27</v>
      </c>
      <c r="G1381" s="645">
        <f>G1380+1</f>
        <v>27</v>
      </c>
      <c r="U1381" s="828"/>
    </row>
    <row r="1382" spans="2:21" ht="18" customHeight="1" x14ac:dyDescent="0.2">
      <c r="B1382" s="645">
        <f t="shared" si="510"/>
        <v>28</v>
      </c>
      <c r="D1382" s="589" t="s">
        <v>704</v>
      </c>
      <c r="G1382" s="645">
        <f t="shared" si="511"/>
        <v>28</v>
      </c>
      <c r="H1382" s="589" t="s">
        <v>762</v>
      </c>
      <c r="J1382" s="828">
        <f t="shared" ref="J1382:O1382" si="521">J1275/$U1275</f>
        <v>0.51276650638845045</v>
      </c>
      <c r="K1382" s="828">
        <f t="shared" si="521"/>
        <v>9.6875269592221567E-3</v>
      </c>
      <c r="L1382" s="828">
        <f t="shared" si="521"/>
        <v>0.32935209241072594</v>
      </c>
      <c r="M1382" s="828">
        <f t="shared" si="521"/>
        <v>1.5411725558950418E-4</v>
      </c>
      <c r="N1382" s="828">
        <f t="shared" si="521"/>
        <v>9.6876115518733083E-2</v>
      </c>
      <c r="O1382" s="828">
        <f t="shared" si="521"/>
        <v>4.1639261289449135E-2</v>
      </c>
      <c r="P1382" s="802">
        <v>0</v>
      </c>
      <c r="Q1382" s="828">
        <f t="shared" ref="Q1382:Q1387" si="522">Q1275/$U1275</f>
        <v>2.9289509279375606E-3</v>
      </c>
      <c r="R1382" s="828">
        <f>R1275/$U1275</f>
        <v>2.8782684185483386E-3</v>
      </c>
      <c r="S1382" s="828">
        <f>S1275/$U1275</f>
        <v>3.7171608313437154E-3</v>
      </c>
      <c r="U1382" s="828">
        <f t="shared" si="520"/>
        <v>1</v>
      </c>
    </row>
    <row r="1383" spans="2:21" ht="18" customHeight="1" x14ac:dyDescent="0.2">
      <c r="B1383" s="645">
        <f t="shared" si="510"/>
        <v>29</v>
      </c>
      <c r="G1383" s="645">
        <f>G1382+1</f>
        <v>29</v>
      </c>
      <c r="U1383" s="828"/>
    </row>
    <row r="1384" spans="2:21" ht="18" customHeight="1" x14ac:dyDescent="0.2">
      <c r="B1384" s="645">
        <f t="shared" si="510"/>
        <v>30</v>
      </c>
      <c r="D1384" s="589" t="s">
        <v>705</v>
      </c>
      <c r="G1384" s="645">
        <f t="shared" si="511"/>
        <v>30</v>
      </c>
      <c r="H1384" s="589" t="s">
        <v>763</v>
      </c>
      <c r="J1384" s="828">
        <f>J1277/$U1277</f>
        <v>0.53665715733303332</v>
      </c>
      <c r="K1384" s="828">
        <f>K1277/$U1277</f>
        <v>1.0138885076836184E-2</v>
      </c>
      <c r="L1384" s="828">
        <f>L1277/$U1277</f>
        <v>0.34469715840006304</v>
      </c>
      <c r="M1384" s="828">
        <f>M1277/$U1277</f>
        <v>1.6129783683253217E-4</v>
      </c>
      <c r="N1384" s="828">
        <f>N1277/$U1277</f>
        <v>0.10138973610800733</v>
      </c>
      <c r="O1384" s="802">
        <v>0</v>
      </c>
      <c r="P1384" s="802">
        <v>0</v>
      </c>
      <c r="Q1384" s="828">
        <f t="shared" si="522"/>
        <v>3.0654156606792081E-3</v>
      </c>
      <c r="R1384" s="802">
        <v>0</v>
      </c>
      <c r="S1384" s="828">
        <f>S1277/$U1277</f>
        <v>3.890349584548342E-3</v>
      </c>
      <c r="U1384" s="828">
        <f t="shared" si="520"/>
        <v>1</v>
      </c>
    </row>
    <row r="1385" spans="2:21" ht="18" customHeight="1" x14ac:dyDescent="0.2">
      <c r="B1385" s="645">
        <f t="shared" si="510"/>
        <v>31</v>
      </c>
      <c r="G1385" s="645">
        <f>G1384+1</f>
        <v>31</v>
      </c>
      <c r="U1385" s="828"/>
    </row>
    <row r="1386" spans="2:21" ht="18" customHeight="1" x14ac:dyDescent="0.2">
      <c r="B1386" s="645">
        <f t="shared" si="510"/>
        <v>32</v>
      </c>
      <c r="D1386" s="589" t="s">
        <v>706</v>
      </c>
      <c r="G1386" s="645">
        <f t="shared" si="511"/>
        <v>32</v>
      </c>
      <c r="H1386" s="589" t="s">
        <v>764</v>
      </c>
      <c r="J1386" s="828">
        <f>J1279/$U1279</f>
        <v>0.59991279213245796</v>
      </c>
      <c r="K1386" s="828">
        <f>K1279/$U1279</f>
        <v>1.1333952733961808E-2</v>
      </c>
      <c r="L1386" s="828">
        <f>L1279/$U1279</f>
        <v>0.38532651975342874</v>
      </c>
      <c r="M1386" s="802">
        <v>0</v>
      </c>
      <c r="N1386" s="802">
        <v>0</v>
      </c>
      <c r="O1386" s="802">
        <v>0</v>
      </c>
      <c r="P1386" s="802">
        <v>0</v>
      </c>
      <c r="Q1386" s="828">
        <f t="shared" si="522"/>
        <v>3.4267353801514847E-3</v>
      </c>
      <c r="R1386" s="802">
        <v>0</v>
      </c>
      <c r="S1386" s="802">
        <v>0</v>
      </c>
      <c r="U1386" s="828">
        <f t="shared" si="520"/>
        <v>1</v>
      </c>
    </row>
    <row r="1387" spans="2:21" ht="18" customHeight="1" x14ac:dyDescent="0.2">
      <c r="B1387" s="645">
        <f t="shared" si="510"/>
        <v>33</v>
      </c>
      <c r="D1387" s="589" t="s">
        <v>707</v>
      </c>
      <c r="G1387" s="645">
        <f t="shared" si="511"/>
        <v>33</v>
      </c>
      <c r="H1387" s="589" t="s">
        <v>765</v>
      </c>
      <c r="J1387" s="802">
        <v>0</v>
      </c>
      <c r="K1387" s="802">
        <v>0</v>
      </c>
      <c r="L1387" s="802">
        <v>0</v>
      </c>
      <c r="M1387" s="802">
        <v>0</v>
      </c>
      <c r="N1387" s="802">
        <v>0</v>
      </c>
      <c r="O1387" s="802">
        <v>0</v>
      </c>
      <c r="P1387" s="802">
        <v>0</v>
      </c>
      <c r="Q1387" s="828">
        <f t="shared" si="522"/>
        <v>1</v>
      </c>
      <c r="R1387" s="802">
        <v>0</v>
      </c>
      <c r="S1387" s="802">
        <v>0</v>
      </c>
      <c r="U1387" s="828">
        <f t="shared" si="520"/>
        <v>1</v>
      </c>
    </row>
    <row r="1388" spans="2:21" ht="18" customHeight="1" x14ac:dyDescent="0.2">
      <c r="B1388" s="645">
        <f t="shared" si="510"/>
        <v>34</v>
      </c>
      <c r="G1388" s="645">
        <f t="shared" si="511"/>
        <v>34</v>
      </c>
      <c r="U1388" s="828"/>
    </row>
    <row r="1389" spans="2:21" ht="18" customHeight="1" x14ac:dyDescent="0.2">
      <c r="B1389" s="645">
        <f t="shared" si="510"/>
        <v>35</v>
      </c>
      <c r="G1389" s="645">
        <f t="shared" si="511"/>
        <v>35</v>
      </c>
      <c r="U1389" s="828"/>
    </row>
    <row r="1390" spans="2:21" ht="18" customHeight="1" x14ac:dyDescent="0.2">
      <c r="B1390" s="645">
        <f t="shared" si="510"/>
        <v>36</v>
      </c>
      <c r="D1390" s="620" t="s">
        <v>881</v>
      </c>
      <c r="G1390" s="645">
        <f t="shared" si="511"/>
        <v>36</v>
      </c>
      <c r="H1390" s="589" t="s">
        <v>766</v>
      </c>
      <c r="J1390" s="828">
        <f t="shared" ref="J1390:Q1390" ca="1" si="523">J1283/$U1283</f>
        <v>0.52199041479052499</v>
      </c>
      <c r="K1390" s="828">
        <f t="shared" ca="1" si="523"/>
        <v>7.3224855851644122E-2</v>
      </c>
      <c r="L1390" s="828">
        <f t="shared" ca="1" si="523"/>
        <v>0.28798125637174132</v>
      </c>
      <c r="M1390" s="828">
        <f t="shared" ca="1" si="523"/>
        <v>1.212691801194726E-2</v>
      </c>
      <c r="N1390" s="828">
        <f t="shared" ca="1" si="523"/>
        <v>9.3387587241862899E-2</v>
      </c>
      <c r="O1390" s="828">
        <f t="shared" ca="1" si="523"/>
        <v>3.0658283629267039E-3</v>
      </c>
      <c r="P1390" s="828">
        <f t="shared" ca="1" si="523"/>
        <v>6.3914195795951416E-3</v>
      </c>
      <c r="Q1390" s="828">
        <f t="shared" ca="1" si="523"/>
        <v>6.3408156415990433E-4</v>
      </c>
      <c r="R1390" s="828">
        <f ca="1">R1283/$U1283</f>
        <v>3.3848724033074256E-4</v>
      </c>
      <c r="S1390" s="828">
        <f ca="1">S1283/$U1283</f>
        <v>8.5915098526703499E-4</v>
      </c>
      <c r="U1390" s="828">
        <f ca="1">ROUND(SUM(I1390:T1390),6)</f>
        <v>1</v>
      </c>
    </row>
    <row r="1391" spans="2:21" ht="18" customHeight="1" x14ac:dyDescent="0.2">
      <c r="B1391" s="645">
        <f t="shared" si="510"/>
        <v>37</v>
      </c>
      <c r="D1391" s="589" t="s">
        <v>881</v>
      </c>
      <c r="G1391" s="645">
        <f t="shared" si="511"/>
        <v>37</v>
      </c>
      <c r="H1391" s="589" t="s">
        <v>891</v>
      </c>
      <c r="J1391" s="828">
        <f t="shared" ref="J1391:Q1391" ca="1" si="524">J1284/$U1284</f>
        <v>0.52199041479052499</v>
      </c>
      <c r="K1391" s="828">
        <f t="shared" ca="1" si="524"/>
        <v>7.3224855851644122E-2</v>
      </c>
      <c r="L1391" s="828">
        <f t="shared" ca="1" si="524"/>
        <v>0.28798125637174132</v>
      </c>
      <c r="M1391" s="828">
        <f t="shared" ca="1" si="524"/>
        <v>1.212691801194726E-2</v>
      </c>
      <c r="N1391" s="828">
        <f t="shared" ca="1" si="524"/>
        <v>9.3387587241862899E-2</v>
      </c>
      <c r="O1391" s="828">
        <f t="shared" ca="1" si="524"/>
        <v>3.0658283629267039E-3</v>
      </c>
      <c r="P1391" s="828">
        <f t="shared" ca="1" si="524"/>
        <v>6.3914195795951416E-3</v>
      </c>
      <c r="Q1391" s="828">
        <f t="shared" ca="1" si="524"/>
        <v>6.3408156415990433E-4</v>
      </c>
      <c r="R1391" s="828">
        <f ca="1">R1284/$U1284</f>
        <v>3.3848724033074256E-4</v>
      </c>
      <c r="S1391" s="828">
        <f ca="1">S1284/$U1284</f>
        <v>8.5915098526703499E-4</v>
      </c>
      <c r="U1391" s="828">
        <f ca="1">ROUND(SUM(I1391:T1391),6)</f>
        <v>1</v>
      </c>
    </row>
    <row r="1392" spans="2:21" ht="18" customHeight="1" x14ac:dyDescent="0.2">
      <c r="B1392" s="645">
        <f t="shared" si="510"/>
        <v>38</v>
      </c>
      <c r="G1392" s="645">
        <f t="shared" si="511"/>
        <v>38</v>
      </c>
      <c r="J1392" s="828"/>
      <c r="K1392" s="828"/>
      <c r="L1392" s="828"/>
      <c r="M1392" s="828"/>
      <c r="N1392" s="828"/>
      <c r="O1392" s="828"/>
      <c r="P1392" s="828"/>
      <c r="Q1392" s="828"/>
      <c r="R1392" s="828"/>
      <c r="S1392" s="828"/>
      <c r="U1392" s="828"/>
    </row>
    <row r="1393" spans="2:21" ht="18" customHeight="1" x14ac:dyDescent="0.2">
      <c r="B1393" s="645">
        <f t="shared" si="510"/>
        <v>39</v>
      </c>
      <c r="D1393" s="589" t="s">
        <v>708</v>
      </c>
      <c r="G1393" s="645">
        <f t="shared" si="511"/>
        <v>39</v>
      </c>
      <c r="H1393" s="589" t="s">
        <v>767</v>
      </c>
      <c r="J1393" s="828"/>
      <c r="K1393" s="828"/>
      <c r="L1393" s="828"/>
      <c r="M1393" s="828"/>
      <c r="N1393" s="828"/>
      <c r="O1393" s="828"/>
      <c r="P1393" s="828"/>
      <c r="Q1393" s="828"/>
      <c r="R1393" s="828"/>
      <c r="S1393" s="828"/>
      <c r="U1393" s="828"/>
    </row>
    <row r="1394" spans="2:21" ht="18" customHeight="1" x14ac:dyDescent="0.2">
      <c r="B1394" s="645">
        <f t="shared" si="510"/>
        <v>40</v>
      </c>
      <c r="D1394" s="589" t="s">
        <v>898</v>
      </c>
      <c r="G1394" s="645">
        <f t="shared" si="511"/>
        <v>40</v>
      </c>
      <c r="H1394" s="589" t="s">
        <v>899</v>
      </c>
      <c r="J1394" s="828">
        <f t="shared" ref="J1394:Q1394" ca="1" si="525">J1287/$U1287</f>
        <v>0</v>
      </c>
      <c r="K1394" s="828">
        <f t="shared" ca="1" si="525"/>
        <v>0</v>
      </c>
      <c r="L1394" s="828">
        <f t="shared" ca="1" si="525"/>
        <v>0</v>
      </c>
      <c r="M1394" s="828">
        <f t="shared" ca="1" si="525"/>
        <v>0</v>
      </c>
      <c r="N1394" s="828">
        <f t="shared" ca="1" si="525"/>
        <v>0</v>
      </c>
      <c r="O1394" s="828">
        <f t="shared" ca="1" si="525"/>
        <v>0</v>
      </c>
      <c r="P1394" s="828">
        <f t="shared" ca="1" si="525"/>
        <v>0</v>
      </c>
      <c r="Q1394" s="828">
        <f t="shared" ca="1" si="525"/>
        <v>0</v>
      </c>
      <c r="R1394" s="828">
        <f t="shared" ref="R1394:S1408" ca="1" si="526">R1287/$U1287</f>
        <v>0</v>
      </c>
      <c r="S1394" s="828">
        <f t="shared" ca="1" si="526"/>
        <v>0</v>
      </c>
      <c r="U1394" s="828">
        <f ca="1">ROUND(SUM(I1394:T1394),6)</f>
        <v>0</v>
      </c>
    </row>
    <row r="1395" spans="2:21" ht="18" customHeight="1" x14ac:dyDescent="0.2">
      <c r="B1395" s="645">
        <f t="shared" si="510"/>
        <v>41</v>
      </c>
      <c r="D1395" s="589" t="s">
        <v>709</v>
      </c>
      <c r="G1395" s="645">
        <f t="shared" si="511"/>
        <v>41</v>
      </c>
      <c r="H1395" s="589" t="s">
        <v>768</v>
      </c>
      <c r="J1395" s="828">
        <f t="shared" ref="J1395:Q1395" si="527">J1288/$U1288</f>
        <v>0</v>
      </c>
      <c r="K1395" s="828">
        <f t="shared" si="527"/>
        <v>0</v>
      </c>
      <c r="L1395" s="828">
        <f t="shared" si="527"/>
        <v>0</v>
      </c>
      <c r="M1395" s="828">
        <f t="shared" si="527"/>
        <v>0</v>
      </c>
      <c r="N1395" s="828">
        <f t="shared" si="527"/>
        <v>0</v>
      </c>
      <c r="O1395" s="828">
        <f t="shared" si="527"/>
        <v>0</v>
      </c>
      <c r="P1395" s="828">
        <f t="shared" si="527"/>
        <v>0</v>
      </c>
      <c r="Q1395" s="828">
        <f t="shared" si="527"/>
        <v>0</v>
      </c>
      <c r="R1395" s="828">
        <f t="shared" si="526"/>
        <v>0</v>
      </c>
      <c r="S1395" s="828">
        <f t="shared" si="526"/>
        <v>0</v>
      </c>
      <c r="U1395" s="828">
        <f t="shared" ref="U1395:U1408" si="528">ROUND(SUM(I1395:T1395),6)</f>
        <v>0</v>
      </c>
    </row>
    <row r="1396" spans="2:21" ht="18" customHeight="1" x14ac:dyDescent="0.2">
      <c r="B1396" s="645">
        <f t="shared" si="510"/>
        <v>42</v>
      </c>
      <c r="D1396" s="589" t="s">
        <v>710</v>
      </c>
      <c r="G1396" s="645">
        <f t="shared" si="511"/>
        <v>42</v>
      </c>
      <c r="H1396" s="589" t="s">
        <v>769</v>
      </c>
      <c r="J1396" s="828">
        <f t="shared" ref="J1396:Q1396" si="529">J1289/$U1289</f>
        <v>0</v>
      </c>
      <c r="K1396" s="828">
        <f t="shared" si="529"/>
        <v>0</v>
      </c>
      <c r="L1396" s="828">
        <f t="shared" si="529"/>
        <v>0</v>
      </c>
      <c r="M1396" s="828">
        <f t="shared" si="529"/>
        <v>0</v>
      </c>
      <c r="N1396" s="828">
        <f t="shared" si="529"/>
        <v>0</v>
      </c>
      <c r="O1396" s="828">
        <f t="shared" si="529"/>
        <v>0</v>
      </c>
      <c r="P1396" s="828">
        <f t="shared" si="529"/>
        <v>0</v>
      </c>
      <c r="Q1396" s="828">
        <f t="shared" si="529"/>
        <v>0</v>
      </c>
      <c r="R1396" s="828">
        <f t="shared" si="526"/>
        <v>0</v>
      </c>
      <c r="S1396" s="828">
        <f t="shared" si="526"/>
        <v>0</v>
      </c>
      <c r="U1396" s="828">
        <f t="shared" si="528"/>
        <v>0</v>
      </c>
    </row>
    <row r="1397" spans="2:21" ht="18" customHeight="1" x14ac:dyDescent="0.2">
      <c r="B1397" s="645">
        <f t="shared" si="510"/>
        <v>43</v>
      </c>
      <c r="D1397" s="589" t="s">
        <v>711</v>
      </c>
      <c r="G1397" s="645">
        <f t="shared" si="511"/>
        <v>43</v>
      </c>
      <c r="H1397" s="589" t="s">
        <v>770</v>
      </c>
      <c r="J1397" s="828">
        <f t="shared" ref="J1397:Q1397" ca="1" si="530">J1290/$U1290</f>
        <v>0</v>
      </c>
      <c r="K1397" s="828">
        <f t="shared" ca="1" si="530"/>
        <v>0</v>
      </c>
      <c r="L1397" s="828">
        <f t="shared" ca="1" si="530"/>
        <v>0</v>
      </c>
      <c r="M1397" s="828">
        <f t="shared" ca="1" si="530"/>
        <v>0</v>
      </c>
      <c r="N1397" s="828">
        <f t="shared" ca="1" si="530"/>
        <v>0</v>
      </c>
      <c r="O1397" s="828">
        <f t="shared" ca="1" si="530"/>
        <v>0</v>
      </c>
      <c r="P1397" s="828">
        <f t="shared" ca="1" si="530"/>
        <v>0</v>
      </c>
      <c r="Q1397" s="828">
        <f t="shared" ca="1" si="530"/>
        <v>0</v>
      </c>
      <c r="R1397" s="828">
        <f t="shared" ca="1" si="526"/>
        <v>0</v>
      </c>
      <c r="S1397" s="828">
        <f t="shared" ca="1" si="526"/>
        <v>0</v>
      </c>
      <c r="U1397" s="828">
        <f t="shared" ca="1" si="528"/>
        <v>0</v>
      </c>
    </row>
    <row r="1398" spans="2:21" ht="18" customHeight="1" x14ac:dyDescent="0.2">
      <c r="B1398" s="645">
        <f t="shared" si="510"/>
        <v>44</v>
      </c>
      <c r="D1398" s="589" t="s">
        <v>712</v>
      </c>
      <c r="G1398" s="645">
        <f t="shared" si="511"/>
        <v>44</v>
      </c>
      <c r="H1398" s="589" t="s">
        <v>771</v>
      </c>
      <c r="J1398" s="828">
        <v>0.50691756479384642</v>
      </c>
      <c r="K1398" s="828">
        <v>1.3391015252287416E-2</v>
      </c>
      <c r="L1398" s="828">
        <v>0.38691411859738101</v>
      </c>
      <c r="M1398" s="828">
        <v>1.5866003058742647E-4</v>
      </c>
      <c r="N1398" s="828">
        <v>6.4743407159093491E-2</v>
      </c>
      <c r="O1398" s="828">
        <v>1.6186725717618918E-2</v>
      </c>
      <c r="P1398" s="828">
        <v>0</v>
      </c>
      <c r="Q1398" s="828">
        <v>4.4527045807768884E-3</v>
      </c>
      <c r="R1398" s="828">
        <v>3.1634402506537864E-3</v>
      </c>
      <c r="S1398" s="828">
        <v>4.0723636177547656E-3</v>
      </c>
      <c r="U1398" s="828">
        <f t="shared" si="528"/>
        <v>1</v>
      </c>
    </row>
    <row r="1399" spans="2:21" ht="18" customHeight="1" x14ac:dyDescent="0.2">
      <c r="B1399" s="645">
        <f t="shared" si="510"/>
        <v>45</v>
      </c>
      <c r="D1399" s="589" t="s">
        <v>713</v>
      </c>
      <c r="G1399" s="645">
        <f t="shared" si="511"/>
        <v>45</v>
      </c>
      <c r="H1399" s="589" t="s">
        <v>772</v>
      </c>
      <c r="J1399" s="828">
        <f t="shared" ref="J1399:Q1399" si="531">J1292/$U1292</f>
        <v>0</v>
      </c>
      <c r="K1399" s="828">
        <f t="shared" si="531"/>
        <v>0</v>
      </c>
      <c r="L1399" s="828">
        <f t="shared" si="531"/>
        <v>0</v>
      </c>
      <c r="M1399" s="828">
        <f t="shared" si="531"/>
        <v>0</v>
      </c>
      <c r="N1399" s="828">
        <f t="shared" si="531"/>
        <v>0</v>
      </c>
      <c r="O1399" s="828">
        <f t="shared" si="531"/>
        <v>0</v>
      </c>
      <c r="P1399" s="828">
        <f t="shared" si="531"/>
        <v>0</v>
      </c>
      <c r="Q1399" s="828">
        <f t="shared" si="531"/>
        <v>0</v>
      </c>
      <c r="R1399" s="828">
        <f t="shared" si="526"/>
        <v>0</v>
      </c>
      <c r="S1399" s="828">
        <f t="shared" si="526"/>
        <v>0</v>
      </c>
      <c r="U1399" s="828">
        <f t="shared" si="528"/>
        <v>0</v>
      </c>
    </row>
    <row r="1400" spans="2:21" ht="18" customHeight="1" x14ac:dyDescent="0.2">
      <c r="B1400" s="645">
        <f t="shared" si="510"/>
        <v>46</v>
      </c>
      <c r="D1400" s="589" t="s">
        <v>714</v>
      </c>
      <c r="G1400" s="645">
        <f t="shared" si="511"/>
        <v>46</v>
      </c>
      <c r="H1400" s="589" t="s">
        <v>773</v>
      </c>
      <c r="J1400" s="828">
        <f t="shared" ref="J1400:Q1400" si="532">J1293/$U1293</f>
        <v>0</v>
      </c>
      <c r="K1400" s="828">
        <f t="shared" si="532"/>
        <v>0</v>
      </c>
      <c r="L1400" s="828">
        <f t="shared" si="532"/>
        <v>0</v>
      </c>
      <c r="M1400" s="828">
        <f t="shared" si="532"/>
        <v>0</v>
      </c>
      <c r="N1400" s="828">
        <f t="shared" si="532"/>
        <v>0</v>
      </c>
      <c r="O1400" s="828">
        <f t="shared" si="532"/>
        <v>0</v>
      </c>
      <c r="P1400" s="828">
        <f t="shared" si="532"/>
        <v>0</v>
      </c>
      <c r="Q1400" s="828">
        <f t="shared" si="532"/>
        <v>0</v>
      </c>
      <c r="R1400" s="828">
        <f t="shared" si="526"/>
        <v>0</v>
      </c>
      <c r="S1400" s="828">
        <f t="shared" si="526"/>
        <v>0</v>
      </c>
      <c r="U1400" s="828">
        <f t="shared" si="528"/>
        <v>0</v>
      </c>
    </row>
    <row r="1401" spans="2:21" ht="18" customHeight="1" x14ac:dyDescent="0.2">
      <c r="B1401" s="645">
        <f t="shared" si="510"/>
        <v>47</v>
      </c>
      <c r="D1401" s="589" t="s">
        <v>715</v>
      </c>
      <c r="G1401" s="645">
        <f t="shared" si="511"/>
        <v>47</v>
      </c>
      <c r="H1401" s="589" t="s">
        <v>774</v>
      </c>
      <c r="J1401" s="828">
        <f t="shared" ref="J1401:Q1401" si="533">J1294/$U1294</f>
        <v>0</v>
      </c>
      <c r="K1401" s="828">
        <f t="shared" si="533"/>
        <v>0</v>
      </c>
      <c r="L1401" s="828">
        <f t="shared" si="533"/>
        <v>0</v>
      </c>
      <c r="M1401" s="828">
        <f t="shared" si="533"/>
        <v>0</v>
      </c>
      <c r="N1401" s="828">
        <f t="shared" si="533"/>
        <v>0</v>
      </c>
      <c r="O1401" s="828">
        <f t="shared" si="533"/>
        <v>0</v>
      </c>
      <c r="P1401" s="828">
        <f t="shared" si="533"/>
        <v>0</v>
      </c>
      <c r="Q1401" s="828">
        <f t="shared" si="533"/>
        <v>0</v>
      </c>
      <c r="R1401" s="828">
        <f t="shared" si="526"/>
        <v>0</v>
      </c>
      <c r="S1401" s="828">
        <f t="shared" si="526"/>
        <v>0</v>
      </c>
      <c r="U1401" s="828">
        <f t="shared" si="528"/>
        <v>0</v>
      </c>
    </row>
    <row r="1402" spans="2:21" ht="18" customHeight="1" x14ac:dyDescent="0.2">
      <c r="B1402" s="645">
        <f t="shared" si="510"/>
        <v>48</v>
      </c>
      <c r="D1402" s="589" t="s">
        <v>716</v>
      </c>
      <c r="G1402" s="645">
        <f t="shared" si="511"/>
        <v>48</v>
      </c>
      <c r="H1402" s="589" t="s">
        <v>775</v>
      </c>
      <c r="J1402" s="828">
        <f t="shared" ref="J1402:Q1402" si="534">J1295/$U1295</f>
        <v>0</v>
      </c>
      <c r="K1402" s="828">
        <f t="shared" si="534"/>
        <v>0</v>
      </c>
      <c r="L1402" s="828">
        <f t="shared" si="534"/>
        <v>0</v>
      </c>
      <c r="M1402" s="828">
        <f t="shared" si="534"/>
        <v>0</v>
      </c>
      <c r="N1402" s="828">
        <f t="shared" si="534"/>
        <v>0</v>
      </c>
      <c r="O1402" s="828">
        <f t="shared" si="534"/>
        <v>0</v>
      </c>
      <c r="P1402" s="828">
        <f t="shared" si="534"/>
        <v>0</v>
      </c>
      <c r="Q1402" s="828">
        <f t="shared" si="534"/>
        <v>0</v>
      </c>
      <c r="R1402" s="828">
        <f t="shared" si="526"/>
        <v>0</v>
      </c>
      <c r="S1402" s="828">
        <f t="shared" si="526"/>
        <v>0</v>
      </c>
      <c r="U1402" s="828">
        <f t="shared" si="528"/>
        <v>0</v>
      </c>
    </row>
    <row r="1403" spans="2:21" ht="18" customHeight="1" x14ac:dyDescent="0.2">
      <c r="B1403" s="645">
        <f t="shared" si="510"/>
        <v>49</v>
      </c>
      <c r="D1403" s="589" t="s">
        <v>717</v>
      </c>
      <c r="G1403" s="645">
        <f t="shared" si="511"/>
        <v>49</v>
      </c>
      <c r="H1403" s="589" t="s">
        <v>776</v>
      </c>
      <c r="J1403" s="828">
        <f t="shared" ref="J1403:Q1403" si="535">J1296/$U1296</f>
        <v>0</v>
      </c>
      <c r="K1403" s="828">
        <f t="shared" si="535"/>
        <v>0</v>
      </c>
      <c r="L1403" s="828">
        <f t="shared" si="535"/>
        <v>0</v>
      </c>
      <c r="M1403" s="828">
        <f t="shared" si="535"/>
        <v>0</v>
      </c>
      <c r="N1403" s="828">
        <f t="shared" si="535"/>
        <v>0</v>
      </c>
      <c r="O1403" s="828">
        <f t="shared" si="535"/>
        <v>0</v>
      </c>
      <c r="P1403" s="828">
        <f t="shared" si="535"/>
        <v>0</v>
      </c>
      <c r="Q1403" s="828">
        <f t="shared" si="535"/>
        <v>0</v>
      </c>
      <c r="R1403" s="828">
        <f t="shared" si="526"/>
        <v>0</v>
      </c>
      <c r="S1403" s="828">
        <f t="shared" si="526"/>
        <v>0</v>
      </c>
      <c r="U1403" s="828">
        <f t="shared" si="528"/>
        <v>0</v>
      </c>
    </row>
    <row r="1404" spans="2:21" ht="18" customHeight="1" x14ac:dyDescent="0.2">
      <c r="B1404" s="645">
        <f t="shared" si="510"/>
        <v>50</v>
      </c>
      <c r="D1404" s="589" t="s">
        <v>718</v>
      </c>
      <c r="G1404" s="645">
        <f t="shared" si="511"/>
        <v>50</v>
      </c>
      <c r="H1404" s="589" t="s">
        <v>777</v>
      </c>
      <c r="J1404" s="828">
        <f t="shared" ref="J1404:Q1404" si="536">J1297/$U1297</f>
        <v>0</v>
      </c>
      <c r="K1404" s="828">
        <f t="shared" si="536"/>
        <v>0</v>
      </c>
      <c r="L1404" s="828">
        <f t="shared" si="536"/>
        <v>0</v>
      </c>
      <c r="M1404" s="828">
        <f t="shared" si="536"/>
        <v>0</v>
      </c>
      <c r="N1404" s="828">
        <f t="shared" si="536"/>
        <v>0</v>
      </c>
      <c r="O1404" s="828">
        <f t="shared" si="536"/>
        <v>0</v>
      </c>
      <c r="P1404" s="828">
        <f t="shared" si="536"/>
        <v>0</v>
      </c>
      <c r="Q1404" s="828">
        <f t="shared" si="536"/>
        <v>0</v>
      </c>
      <c r="R1404" s="828">
        <f t="shared" si="526"/>
        <v>0</v>
      </c>
      <c r="S1404" s="828">
        <f t="shared" si="526"/>
        <v>0</v>
      </c>
      <c r="U1404" s="828">
        <f t="shared" si="528"/>
        <v>0</v>
      </c>
    </row>
    <row r="1405" spans="2:21" ht="18" customHeight="1" x14ac:dyDescent="0.2">
      <c r="B1405" s="645">
        <f t="shared" si="510"/>
        <v>51</v>
      </c>
      <c r="D1405" s="589" t="s">
        <v>719</v>
      </c>
      <c r="G1405" s="645">
        <f t="shared" si="511"/>
        <v>51</v>
      </c>
      <c r="H1405" s="620" t="s">
        <v>778</v>
      </c>
      <c r="J1405" s="828">
        <f t="shared" ref="J1405:Q1405" si="537">J1298/$U1298</f>
        <v>0.52204347349484559</v>
      </c>
      <c r="K1405" s="828">
        <f t="shared" si="537"/>
        <v>7.3234910219164229E-2</v>
      </c>
      <c r="L1405" s="828">
        <f t="shared" si="537"/>
        <v>0.28800912921560129</v>
      </c>
      <c r="M1405" s="828">
        <f t="shared" si="537"/>
        <v>1.2128655972860058E-2</v>
      </c>
      <c r="N1405" s="828">
        <f t="shared" si="537"/>
        <v>9.3397053702985844E-2</v>
      </c>
      <c r="O1405" s="828">
        <f t="shared" si="537"/>
        <v>3.0645626579865839E-3</v>
      </c>
      <c r="P1405" s="828">
        <f t="shared" si="537"/>
        <v>6.3923392865977841E-3</v>
      </c>
      <c r="Q1405" s="828">
        <f t="shared" si="537"/>
        <v>5.3233524815684381E-4</v>
      </c>
      <c r="R1405" s="828">
        <f t="shared" si="526"/>
        <v>3.3841796223164742E-4</v>
      </c>
      <c r="S1405" s="828">
        <f t="shared" si="526"/>
        <v>8.5912223956998411E-4</v>
      </c>
      <c r="U1405" s="828">
        <f t="shared" si="528"/>
        <v>1</v>
      </c>
    </row>
    <row r="1406" spans="2:21" ht="18" customHeight="1" x14ac:dyDescent="0.2">
      <c r="B1406" s="645">
        <f t="shared" si="510"/>
        <v>52</v>
      </c>
      <c r="D1406" s="589" t="s">
        <v>720</v>
      </c>
      <c r="G1406" s="645">
        <f t="shared" si="511"/>
        <v>52</v>
      </c>
      <c r="H1406" s="589" t="s">
        <v>779</v>
      </c>
      <c r="J1406" s="828">
        <f t="shared" ref="J1406:Q1406" si="538">J1299/$U1299</f>
        <v>0</v>
      </c>
      <c r="K1406" s="828">
        <f t="shared" si="538"/>
        <v>0</v>
      </c>
      <c r="L1406" s="828">
        <f t="shared" si="538"/>
        <v>0</v>
      </c>
      <c r="M1406" s="828">
        <f t="shared" si="538"/>
        <v>0</v>
      </c>
      <c r="N1406" s="828">
        <f t="shared" si="538"/>
        <v>0</v>
      </c>
      <c r="O1406" s="828">
        <f t="shared" si="538"/>
        <v>0</v>
      </c>
      <c r="P1406" s="828">
        <f t="shared" si="538"/>
        <v>0</v>
      </c>
      <c r="Q1406" s="828">
        <f t="shared" si="538"/>
        <v>0</v>
      </c>
      <c r="R1406" s="828">
        <f t="shared" si="526"/>
        <v>0</v>
      </c>
      <c r="S1406" s="828">
        <f t="shared" si="526"/>
        <v>0</v>
      </c>
      <c r="U1406" s="828">
        <f t="shared" si="528"/>
        <v>0</v>
      </c>
    </row>
    <row r="1407" spans="2:21" ht="18" customHeight="1" x14ac:dyDescent="0.2">
      <c r="B1407" s="645">
        <f t="shared" si="510"/>
        <v>53</v>
      </c>
      <c r="D1407" s="589" t="s">
        <v>721</v>
      </c>
      <c r="G1407" s="645">
        <f t="shared" si="511"/>
        <v>53</v>
      </c>
      <c r="H1407" s="589" t="s">
        <v>780</v>
      </c>
      <c r="J1407" s="828">
        <f t="shared" ref="J1407:Q1407" si="539">J1300/$U1300</f>
        <v>0</v>
      </c>
      <c r="K1407" s="828">
        <f t="shared" si="539"/>
        <v>0</v>
      </c>
      <c r="L1407" s="828">
        <f t="shared" si="539"/>
        <v>0</v>
      </c>
      <c r="M1407" s="828">
        <f t="shared" si="539"/>
        <v>0</v>
      </c>
      <c r="N1407" s="828">
        <f t="shared" si="539"/>
        <v>0</v>
      </c>
      <c r="O1407" s="828">
        <f t="shared" si="539"/>
        <v>0</v>
      </c>
      <c r="P1407" s="828">
        <f t="shared" si="539"/>
        <v>0</v>
      </c>
      <c r="Q1407" s="828">
        <f t="shared" si="539"/>
        <v>0</v>
      </c>
      <c r="R1407" s="828">
        <f t="shared" si="526"/>
        <v>0</v>
      </c>
      <c r="S1407" s="828">
        <f t="shared" si="526"/>
        <v>0</v>
      </c>
      <c r="U1407" s="828">
        <f t="shared" si="528"/>
        <v>0</v>
      </c>
    </row>
    <row r="1408" spans="2:21" ht="18" customHeight="1" x14ac:dyDescent="0.2">
      <c r="B1408" s="645">
        <f t="shared" si="510"/>
        <v>54</v>
      </c>
      <c r="D1408" s="589" t="s">
        <v>722</v>
      </c>
      <c r="G1408" s="645">
        <f t="shared" si="511"/>
        <v>54</v>
      </c>
      <c r="H1408" s="589" t="s">
        <v>781</v>
      </c>
      <c r="J1408" s="828">
        <f t="shared" ref="J1408:Q1408" ca="1" si="540">J1301/$U1301</f>
        <v>0.5220434734948457</v>
      </c>
      <c r="K1408" s="828">
        <f t="shared" ca="1" si="540"/>
        <v>7.3234910219164243E-2</v>
      </c>
      <c r="L1408" s="828">
        <f t="shared" ca="1" si="540"/>
        <v>0.28800912921560129</v>
      </c>
      <c r="M1408" s="828">
        <f t="shared" ca="1" si="540"/>
        <v>1.2128655972860062E-2</v>
      </c>
      <c r="N1408" s="828">
        <f t="shared" ca="1" si="540"/>
        <v>9.3397053702985844E-2</v>
      </c>
      <c r="O1408" s="828">
        <f t="shared" ca="1" si="540"/>
        <v>3.0645626579865839E-3</v>
      </c>
      <c r="P1408" s="828">
        <f t="shared" ca="1" si="540"/>
        <v>6.3923392865977841E-3</v>
      </c>
      <c r="Q1408" s="828">
        <f t="shared" ca="1" si="540"/>
        <v>5.3233524815684381E-4</v>
      </c>
      <c r="R1408" s="828">
        <f t="shared" ca="1" si="526"/>
        <v>3.3841796223164742E-4</v>
      </c>
      <c r="S1408" s="828">
        <f t="shared" ca="1" si="526"/>
        <v>8.5912223956998422E-4</v>
      </c>
      <c r="U1408" s="828">
        <f t="shared" ca="1" si="528"/>
        <v>1</v>
      </c>
    </row>
    <row r="1409" spans="2:21" ht="18" customHeight="1" x14ac:dyDescent="0.2">
      <c r="B1409" s="645">
        <f t="shared" si="510"/>
        <v>55</v>
      </c>
      <c r="G1409" s="645">
        <f>G1408+1</f>
        <v>55</v>
      </c>
      <c r="J1409" s="1581"/>
      <c r="K1409" s="1581"/>
      <c r="L1409" s="1581"/>
      <c r="M1409" s="1581"/>
      <c r="N1409" s="1581"/>
      <c r="O1409" s="1581"/>
      <c r="P1409" s="1581"/>
      <c r="Q1409" s="1581"/>
      <c r="R1409" s="1581"/>
      <c r="S1409" s="1581"/>
      <c r="U1409" s="828"/>
    </row>
    <row r="1410" spans="2:21" ht="18" customHeight="1" x14ac:dyDescent="0.2">
      <c r="B1410" s="645">
        <f t="shared" si="510"/>
        <v>56</v>
      </c>
      <c r="D1410" s="589" t="s">
        <v>400</v>
      </c>
      <c r="G1410" s="645">
        <f t="shared" si="511"/>
        <v>56</v>
      </c>
      <c r="H1410" s="589" t="s">
        <v>401</v>
      </c>
      <c r="J1410" s="828">
        <f t="shared" ref="J1410:Q1410" ca="1" si="541">J1303/$U1303</f>
        <v>0.5220434734948457</v>
      </c>
      <c r="K1410" s="828">
        <f t="shared" ca="1" si="541"/>
        <v>7.3234910219164243E-2</v>
      </c>
      <c r="L1410" s="828">
        <f t="shared" ca="1" si="541"/>
        <v>0.28800912921560129</v>
      </c>
      <c r="M1410" s="828">
        <f t="shared" ca="1" si="541"/>
        <v>1.2128655972860062E-2</v>
      </c>
      <c r="N1410" s="828">
        <f t="shared" ca="1" si="541"/>
        <v>9.3397053702985844E-2</v>
      </c>
      <c r="O1410" s="828">
        <f t="shared" ca="1" si="541"/>
        <v>3.0645626579865839E-3</v>
      </c>
      <c r="P1410" s="828">
        <f t="shared" ca="1" si="541"/>
        <v>6.3923392865977841E-3</v>
      </c>
      <c r="Q1410" s="828">
        <f t="shared" ca="1" si="541"/>
        <v>5.3233524815684381E-4</v>
      </c>
      <c r="R1410" s="828">
        <f t="shared" ref="R1410:S1423" ca="1" si="542">R1303/$U1303</f>
        <v>3.3841796223164742E-4</v>
      </c>
      <c r="S1410" s="828">
        <f t="shared" ca="1" si="542"/>
        <v>8.5912223956998422E-4</v>
      </c>
      <c r="U1410" s="828">
        <f ca="1">ROUND(SUM(I1410:T1410),6)</f>
        <v>1</v>
      </c>
    </row>
    <row r="1411" spans="2:21" ht="18" customHeight="1" x14ac:dyDescent="0.2">
      <c r="B1411" s="645">
        <f t="shared" si="510"/>
        <v>57</v>
      </c>
      <c r="D1411" s="589" t="s">
        <v>886</v>
      </c>
      <c r="G1411" s="645">
        <f t="shared" si="511"/>
        <v>57</v>
      </c>
      <c r="H1411" s="589" t="s">
        <v>887</v>
      </c>
      <c r="J1411" s="828">
        <f t="shared" ref="J1411:Q1411" ca="1" si="543">J1304/$U1304</f>
        <v>0.52266939110294264</v>
      </c>
      <c r="K1411" s="828">
        <f t="shared" ca="1" si="543"/>
        <v>7.3322717120621508E-2</v>
      </c>
      <c r="L1411" s="828">
        <f t="shared" ca="1" si="543"/>
        <v>0.28835444525616372</v>
      </c>
      <c r="M1411" s="828">
        <f t="shared" ca="1" si="543"/>
        <v>1.2143197940572331E-2</v>
      </c>
      <c r="N1411" s="828">
        <f t="shared" ca="1" si="543"/>
        <v>9.3509034531068444E-2</v>
      </c>
      <c r="O1411" s="828">
        <f t="shared" ca="1" si="543"/>
        <v>3.0682369951369158E-3</v>
      </c>
      <c r="P1411" s="828">
        <f t="shared" ca="1" si="543"/>
        <v>6.400003548138352E-3</v>
      </c>
      <c r="Q1411" s="828">
        <f t="shared" ca="1" si="543"/>
        <v>5.3297350535600277E-4</v>
      </c>
      <c r="R1411" s="828">
        <f t="shared" ca="1" si="542"/>
        <v>0</v>
      </c>
      <c r="S1411" s="828">
        <f t="shared" ca="1" si="542"/>
        <v>0</v>
      </c>
      <c r="U1411" s="828">
        <f ca="1">ROUND(SUM(I1411:T1411),6)</f>
        <v>1</v>
      </c>
    </row>
    <row r="1412" spans="2:21" ht="18" customHeight="1" x14ac:dyDescent="0.2">
      <c r="B1412" s="645">
        <f t="shared" si="510"/>
        <v>58</v>
      </c>
      <c r="D1412" s="589" t="s">
        <v>723</v>
      </c>
      <c r="G1412" s="645">
        <f t="shared" si="511"/>
        <v>58</v>
      </c>
      <c r="H1412" s="589" t="s">
        <v>782</v>
      </c>
      <c r="J1412" s="828">
        <f t="shared" ref="J1412:Q1412" ca="1" si="544">J1305/$U1305</f>
        <v>0.5220434734948457</v>
      </c>
      <c r="K1412" s="828">
        <f t="shared" ca="1" si="544"/>
        <v>7.3234910219164243E-2</v>
      </c>
      <c r="L1412" s="828">
        <f t="shared" ca="1" si="544"/>
        <v>0.28800912921560129</v>
      </c>
      <c r="M1412" s="828">
        <f t="shared" ca="1" si="544"/>
        <v>1.2128655972860064E-2</v>
      </c>
      <c r="N1412" s="828">
        <f t="shared" ca="1" si="544"/>
        <v>9.3397053702985844E-2</v>
      </c>
      <c r="O1412" s="828">
        <f t="shared" ca="1" si="544"/>
        <v>3.0645626579865843E-3</v>
      </c>
      <c r="P1412" s="828">
        <f t="shared" ca="1" si="544"/>
        <v>6.3923392865977832E-3</v>
      </c>
      <c r="Q1412" s="828">
        <f t="shared" ca="1" si="544"/>
        <v>5.3233524815684381E-4</v>
      </c>
      <c r="R1412" s="828">
        <f t="shared" ca="1" si="542"/>
        <v>3.3841796223164748E-4</v>
      </c>
      <c r="S1412" s="828">
        <f t="shared" ca="1" si="542"/>
        <v>8.5912223956998411E-4</v>
      </c>
      <c r="U1412" s="828">
        <f t="shared" ref="U1412:U1422" ca="1" si="545">ROUND(SUM(I1412:T1412),6)</f>
        <v>1</v>
      </c>
    </row>
    <row r="1413" spans="2:21" ht="18" customHeight="1" x14ac:dyDescent="0.2">
      <c r="B1413" s="645">
        <f t="shared" si="510"/>
        <v>59</v>
      </c>
      <c r="D1413" s="589" t="s">
        <v>882</v>
      </c>
      <c r="G1413" s="645">
        <f t="shared" si="511"/>
        <v>59</v>
      </c>
      <c r="H1413" s="589" t="s">
        <v>883</v>
      </c>
      <c r="J1413" s="828">
        <f t="shared" ref="J1413:Q1413" ca="1" si="546">J1306/$U1306</f>
        <v>0.5220434734948457</v>
      </c>
      <c r="K1413" s="828">
        <f t="shared" ca="1" si="546"/>
        <v>7.3234910219164229E-2</v>
      </c>
      <c r="L1413" s="828">
        <f t="shared" ca="1" si="546"/>
        <v>0.28800912921560129</v>
      </c>
      <c r="M1413" s="828">
        <f t="shared" ca="1" si="546"/>
        <v>1.2128655972860062E-2</v>
      </c>
      <c r="N1413" s="828">
        <f t="shared" ca="1" si="546"/>
        <v>9.3397053702985844E-2</v>
      </c>
      <c r="O1413" s="828">
        <f t="shared" ca="1" si="546"/>
        <v>3.0645626579865839E-3</v>
      </c>
      <c r="P1413" s="828">
        <f t="shared" ca="1" si="546"/>
        <v>6.3923392865977832E-3</v>
      </c>
      <c r="Q1413" s="828">
        <f t="shared" ca="1" si="546"/>
        <v>5.323352481568437E-4</v>
      </c>
      <c r="R1413" s="828">
        <f t="shared" ca="1" si="542"/>
        <v>3.3841796223164737E-4</v>
      </c>
      <c r="S1413" s="828">
        <f t="shared" ca="1" si="542"/>
        <v>8.5912223956998411E-4</v>
      </c>
      <c r="T1413" s="620"/>
      <c r="U1413" s="828">
        <f t="shared" ca="1" si="545"/>
        <v>1</v>
      </c>
    </row>
    <row r="1414" spans="2:21" ht="18" customHeight="1" x14ac:dyDescent="0.2">
      <c r="B1414" s="645">
        <f t="shared" si="510"/>
        <v>60</v>
      </c>
      <c r="D1414" s="589" t="s">
        <v>724</v>
      </c>
      <c r="G1414" s="645">
        <f t="shared" si="511"/>
        <v>60</v>
      </c>
      <c r="H1414" s="589" t="s">
        <v>783</v>
      </c>
      <c r="J1414" s="828">
        <f t="shared" ref="J1414:Q1414" ca="1" si="547">J1307/$U1307</f>
        <v>0.5220434734948457</v>
      </c>
      <c r="K1414" s="828">
        <f t="shared" ca="1" si="547"/>
        <v>7.3234910219164243E-2</v>
      </c>
      <c r="L1414" s="828">
        <f t="shared" ca="1" si="547"/>
        <v>0.28800912921560129</v>
      </c>
      <c r="M1414" s="828">
        <f t="shared" ca="1" si="547"/>
        <v>1.2128655972860062E-2</v>
      </c>
      <c r="N1414" s="828">
        <f t="shared" ca="1" si="547"/>
        <v>9.3397053702985844E-2</v>
      </c>
      <c r="O1414" s="828">
        <f t="shared" ca="1" si="547"/>
        <v>3.0645626579865839E-3</v>
      </c>
      <c r="P1414" s="828">
        <f t="shared" ca="1" si="547"/>
        <v>6.3923392865977841E-3</v>
      </c>
      <c r="Q1414" s="828">
        <f t="shared" ca="1" si="547"/>
        <v>5.3233524815684381E-4</v>
      </c>
      <c r="R1414" s="828">
        <f t="shared" ca="1" si="542"/>
        <v>3.3841796223164742E-4</v>
      </c>
      <c r="S1414" s="828">
        <f t="shared" ca="1" si="542"/>
        <v>8.5912223956998422E-4</v>
      </c>
      <c r="U1414" s="828">
        <f t="shared" ca="1" si="545"/>
        <v>1</v>
      </c>
    </row>
    <row r="1415" spans="2:21" ht="18" customHeight="1" x14ac:dyDescent="0.2">
      <c r="B1415" s="645">
        <f t="shared" si="510"/>
        <v>61</v>
      </c>
      <c r="D1415" s="589" t="s">
        <v>725</v>
      </c>
      <c r="G1415" s="645">
        <f t="shared" si="511"/>
        <v>61</v>
      </c>
      <c r="H1415" s="589" t="s">
        <v>784</v>
      </c>
      <c r="J1415" s="828">
        <f t="shared" ref="J1415:Q1415" ca="1" si="548">J1308/$U1308</f>
        <v>0.5220434734948457</v>
      </c>
      <c r="K1415" s="828">
        <f t="shared" ca="1" si="548"/>
        <v>7.3234910219164243E-2</v>
      </c>
      <c r="L1415" s="828">
        <f t="shared" ca="1" si="548"/>
        <v>0.28800912921560129</v>
      </c>
      <c r="M1415" s="828">
        <f t="shared" ca="1" si="548"/>
        <v>1.2128655972860064E-2</v>
      </c>
      <c r="N1415" s="828">
        <f t="shared" ca="1" si="548"/>
        <v>9.3397053702985844E-2</v>
      </c>
      <c r="O1415" s="828">
        <f t="shared" ca="1" si="548"/>
        <v>3.0645626579865843E-3</v>
      </c>
      <c r="P1415" s="828">
        <f t="shared" ca="1" si="548"/>
        <v>6.3923392865977832E-3</v>
      </c>
      <c r="Q1415" s="828">
        <f t="shared" ca="1" si="548"/>
        <v>5.3233524815684381E-4</v>
      </c>
      <c r="R1415" s="828">
        <f t="shared" ca="1" si="542"/>
        <v>3.3841796223164748E-4</v>
      </c>
      <c r="S1415" s="828">
        <f t="shared" ca="1" si="542"/>
        <v>8.5912223956998411E-4</v>
      </c>
      <c r="U1415" s="828">
        <f t="shared" ca="1" si="545"/>
        <v>1</v>
      </c>
    </row>
    <row r="1416" spans="2:21" ht="18" customHeight="1" x14ac:dyDescent="0.2">
      <c r="B1416" s="645">
        <f t="shared" si="510"/>
        <v>62</v>
      </c>
      <c r="D1416" s="620" t="s">
        <v>726</v>
      </c>
      <c r="G1416" s="645">
        <f t="shared" si="511"/>
        <v>62</v>
      </c>
      <c r="H1416" s="589" t="s">
        <v>785</v>
      </c>
      <c r="J1416" s="828">
        <f t="shared" ref="J1416:Q1416" ca="1" si="549">J1309/$U1309</f>
        <v>0.52204347349484559</v>
      </c>
      <c r="K1416" s="828">
        <f t="shared" ca="1" si="549"/>
        <v>7.3234910219164215E-2</v>
      </c>
      <c r="L1416" s="828">
        <f t="shared" ca="1" si="549"/>
        <v>0.28800912921560123</v>
      </c>
      <c r="M1416" s="828">
        <f t="shared" ca="1" si="549"/>
        <v>1.212865597286006E-2</v>
      </c>
      <c r="N1416" s="828">
        <f t="shared" ca="1" si="549"/>
        <v>9.3397053702985816E-2</v>
      </c>
      <c r="O1416" s="828">
        <f t="shared" ca="1" si="549"/>
        <v>3.0645626579865835E-3</v>
      </c>
      <c r="P1416" s="828">
        <f t="shared" ca="1" si="549"/>
        <v>6.3923392865977849E-3</v>
      </c>
      <c r="Q1416" s="828">
        <f t="shared" ca="1" si="549"/>
        <v>5.3233524815684359E-4</v>
      </c>
      <c r="R1416" s="828">
        <f t="shared" ca="1" si="542"/>
        <v>3.3841796223164737E-4</v>
      </c>
      <c r="S1416" s="828">
        <f t="shared" ca="1" si="542"/>
        <v>8.59122239569984E-4</v>
      </c>
      <c r="U1416" s="828">
        <f t="shared" ca="1" si="545"/>
        <v>1</v>
      </c>
    </row>
    <row r="1417" spans="2:21" ht="18" customHeight="1" x14ac:dyDescent="0.2">
      <c r="B1417" s="645">
        <f t="shared" si="510"/>
        <v>63</v>
      </c>
      <c r="D1417" s="620" t="s">
        <v>727</v>
      </c>
      <c r="G1417" s="645">
        <f t="shared" si="511"/>
        <v>63</v>
      </c>
      <c r="H1417" s="589" t="s">
        <v>786</v>
      </c>
      <c r="J1417" s="828">
        <f t="shared" ref="J1417:Q1417" ca="1" si="550">J1310/$U1310</f>
        <v>0.5220434734948457</v>
      </c>
      <c r="K1417" s="828">
        <f t="shared" ca="1" si="550"/>
        <v>7.3234910219164215E-2</v>
      </c>
      <c r="L1417" s="828">
        <f t="shared" ca="1" si="550"/>
        <v>0.28800912921560123</v>
      </c>
      <c r="M1417" s="828">
        <f t="shared" ca="1" si="550"/>
        <v>1.212865597286006E-2</v>
      </c>
      <c r="N1417" s="828">
        <f t="shared" ca="1" si="550"/>
        <v>9.3397053702985816E-2</v>
      </c>
      <c r="O1417" s="828">
        <f t="shared" ca="1" si="550"/>
        <v>3.0645626579865826E-3</v>
      </c>
      <c r="P1417" s="828">
        <f t="shared" ca="1" si="550"/>
        <v>6.3923392865977815E-3</v>
      </c>
      <c r="Q1417" s="828">
        <f t="shared" ca="1" si="550"/>
        <v>5.3233524815684337E-4</v>
      </c>
      <c r="R1417" s="828">
        <f t="shared" ca="1" si="542"/>
        <v>3.3841796223164726E-4</v>
      </c>
      <c r="S1417" s="828">
        <f t="shared" ca="1" si="542"/>
        <v>8.5912223956998389E-4</v>
      </c>
      <c r="U1417" s="828">
        <f t="shared" ca="1" si="545"/>
        <v>1</v>
      </c>
    </row>
    <row r="1418" spans="2:21" ht="18" customHeight="1" x14ac:dyDescent="0.2">
      <c r="B1418" s="645">
        <f t="shared" si="510"/>
        <v>64</v>
      </c>
      <c r="D1418" s="589" t="s">
        <v>728</v>
      </c>
      <c r="G1418" s="645">
        <f t="shared" si="511"/>
        <v>64</v>
      </c>
      <c r="H1418" s="589" t="s">
        <v>787</v>
      </c>
      <c r="J1418" s="828">
        <f t="shared" ref="J1418:Q1418" ca="1" si="551">J1311/$U1311</f>
        <v>0.52204347349484559</v>
      </c>
      <c r="K1418" s="828">
        <f t="shared" ca="1" si="551"/>
        <v>7.3234910219164229E-2</v>
      </c>
      <c r="L1418" s="828">
        <f t="shared" ca="1" si="551"/>
        <v>0.28800912921560129</v>
      </c>
      <c r="M1418" s="828">
        <f t="shared" ca="1" si="551"/>
        <v>1.2128655972860058E-2</v>
      </c>
      <c r="N1418" s="828">
        <f t="shared" ca="1" si="551"/>
        <v>9.339705370298583E-2</v>
      </c>
      <c r="O1418" s="828">
        <f t="shared" ca="1" si="551"/>
        <v>3.0645626579865835E-3</v>
      </c>
      <c r="P1418" s="828">
        <f t="shared" ca="1" si="551"/>
        <v>6.3923392865977841E-3</v>
      </c>
      <c r="Q1418" s="828">
        <f t="shared" ca="1" si="551"/>
        <v>5.323352481568437E-4</v>
      </c>
      <c r="R1418" s="828">
        <f t="shared" ca="1" si="542"/>
        <v>3.3841796223164742E-4</v>
      </c>
      <c r="S1418" s="828">
        <f t="shared" ca="1" si="542"/>
        <v>8.59122239569984E-4</v>
      </c>
      <c r="U1418" s="828">
        <f t="shared" ca="1" si="545"/>
        <v>1</v>
      </c>
    </row>
    <row r="1419" spans="2:21" ht="18" customHeight="1" x14ac:dyDescent="0.2">
      <c r="B1419" s="645">
        <f t="shared" ref="B1419:B1448" si="552">B1418+1</f>
        <v>65</v>
      </c>
      <c r="D1419" s="589" t="s">
        <v>729</v>
      </c>
      <c r="G1419" s="645">
        <f t="shared" ref="G1419:G1448" si="553">G1418+1</f>
        <v>65</v>
      </c>
      <c r="H1419" s="589" t="s">
        <v>788</v>
      </c>
      <c r="J1419" s="828">
        <f t="shared" ref="J1419:Q1419" ca="1" si="554">J1312/$U1312</f>
        <v>0.52204347349484581</v>
      </c>
      <c r="K1419" s="828">
        <f t="shared" ca="1" si="554"/>
        <v>7.3234910219164256E-2</v>
      </c>
      <c r="L1419" s="828">
        <f t="shared" ca="1" si="554"/>
        <v>0.2880091292156014</v>
      </c>
      <c r="M1419" s="828">
        <f t="shared" ca="1" si="554"/>
        <v>1.2128655972860065E-2</v>
      </c>
      <c r="N1419" s="828">
        <f t="shared" ca="1" si="554"/>
        <v>9.3397053702985872E-2</v>
      </c>
      <c r="O1419" s="828">
        <f t="shared" ca="1" si="554"/>
        <v>3.0645626579865852E-3</v>
      </c>
      <c r="P1419" s="828">
        <f t="shared" ca="1" si="554"/>
        <v>6.3923392865977849E-3</v>
      </c>
      <c r="Q1419" s="828">
        <f t="shared" ca="1" si="554"/>
        <v>5.3233524815684381E-4</v>
      </c>
      <c r="R1419" s="828">
        <f t="shared" ca="1" si="542"/>
        <v>3.3841796223164753E-4</v>
      </c>
      <c r="S1419" s="828">
        <f t="shared" ca="1" si="542"/>
        <v>8.5912223956998433E-4</v>
      </c>
      <c r="U1419" s="828">
        <f t="shared" ca="1" si="545"/>
        <v>1</v>
      </c>
    </row>
    <row r="1420" spans="2:21" ht="18" customHeight="1" x14ac:dyDescent="0.2">
      <c r="B1420" s="645">
        <f t="shared" si="552"/>
        <v>66</v>
      </c>
      <c r="D1420" s="589" t="s">
        <v>730</v>
      </c>
      <c r="G1420" s="645">
        <f t="shared" si="553"/>
        <v>66</v>
      </c>
      <c r="H1420" s="589" t="s">
        <v>789</v>
      </c>
      <c r="J1420" s="828">
        <f t="shared" ref="J1420:Q1420" ca="1" si="555">J1313/$U1313</f>
        <v>0.5220434734948457</v>
      </c>
      <c r="K1420" s="828">
        <f t="shared" ca="1" si="555"/>
        <v>7.3234910219164243E-2</v>
      </c>
      <c r="L1420" s="828">
        <f t="shared" ca="1" si="555"/>
        <v>0.2880091292156014</v>
      </c>
      <c r="M1420" s="828">
        <f t="shared" ca="1" si="555"/>
        <v>1.2128655972860064E-2</v>
      </c>
      <c r="N1420" s="828">
        <f t="shared" ca="1" si="555"/>
        <v>9.3397053702985872E-2</v>
      </c>
      <c r="O1420" s="828">
        <f t="shared" ca="1" si="555"/>
        <v>3.0645626579865852E-3</v>
      </c>
      <c r="P1420" s="828">
        <f t="shared" ca="1" si="555"/>
        <v>6.3923392865977867E-3</v>
      </c>
      <c r="Q1420" s="828">
        <f t="shared" ca="1" si="555"/>
        <v>5.3233524815684381E-4</v>
      </c>
      <c r="R1420" s="828">
        <f t="shared" ca="1" si="542"/>
        <v>3.3841796223164753E-4</v>
      </c>
      <c r="S1420" s="828">
        <f t="shared" ca="1" si="542"/>
        <v>8.5912223956998454E-4</v>
      </c>
      <c r="U1420" s="828">
        <f t="shared" ca="1" si="545"/>
        <v>1</v>
      </c>
    </row>
    <row r="1421" spans="2:21" ht="18" customHeight="1" x14ac:dyDescent="0.2">
      <c r="B1421" s="645">
        <f t="shared" si="552"/>
        <v>67</v>
      </c>
      <c r="D1421" s="589" t="s">
        <v>731</v>
      </c>
      <c r="G1421" s="645">
        <f t="shared" si="553"/>
        <v>67</v>
      </c>
      <c r="H1421" s="589" t="s">
        <v>790</v>
      </c>
      <c r="J1421" s="828">
        <f t="shared" ref="J1421:Q1421" ca="1" si="556">J1314/$U1314</f>
        <v>0</v>
      </c>
      <c r="K1421" s="828">
        <f t="shared" ca="1" si="556"/>
        <v>0</v>
      </c>
      <c r="L1421" s="828">
        <f t="shared" ca="1" si="556"/>
        <v>0</v>
      </c>
      <c r="M1421" s="828">
        <f t="shared" ca="1" si="556"/>
        <v>0</v>
      </c>
      <c r="N1421" s="828">
        <f t="shared" ca="1" si="556"/>
        <v>0</v>
      </c>
      <c r="O1421" s="828">
        <f t="shared" ca="1" si="556"/>
        <v>0</v>
      </c>
      <c r="P1421" s="828">
        <f t="shared" ca="1" si="556"/>
        <v>0</v>
      </c>
      <c r="Q1421" s="828">
        <f t="shared" ca="1" si="556"/>
        <v>0</v>
      </c>
      <c r="R1421" s="828">
        <f t="shared" ca="1" si="542"/>
        <v>0</v>
      </c>
      <c r="S1421" s="828">
        <f t="shared" ca="1" si="542"/>
        <v>0</v>
      </c>
      <c r="U1421" s="828">
        <f t="shared" ca="1" si="545"/>
        <v>0</v>
      </c>
    </row>
    <row r="1422" spans="2:21" ht="18" customHeight="1" x14ac:dyDescent="0.2">
      <c r="B1422" s="645">
        <f t="shared" si="552"/>
        <v>68</v>
      </c>
      <c r="D1422" s="589" t="s">
        <v>732</v>
      </c>
      <c r="G1422" s="645">
        <f t="shared" si="553"/>
        <v>68</v>
      </c>
      <c r="H1422" s="589" t="s">
        <v>791</v>
      </c>
      <c r="J1422" s="828">
        <f t="shared" ref="J1422:Q1422" ca="1" si="557">J1315/$U1315</f>
        <v>0.52192554162388183</v>
      </c>
      <c r="K1422" s="828">
        <f t="shared" ca="1" si="557"/>
        <v>7.3198227086796921E-2</v>
      </c>
      <c r="L1422" s="828">
        <f t="shared" ca="1" si="557"/>
        <v>0.2881831554090642</v>
      </c>
      <c r="M1422" s="828">
        <f t="shared" ca="1" si="557"/>
        <v>1.2120845979505981E-2</v>
      </c>
      <c r="N1422" s="828">
        <f t="shared" ca="1" si="557"/>
        <v>9.3371545578927878E-2</v>
      </c>
      <c r="O1422" s="828">
        <f t="shared" ca="1" si="557"/>
        <v>3.0553020750556411E-3</v>
      </c>
      <c r="P1422" s="828">
        <f t="shared" ca="1" si="557"/>
        <v>6.4181323877947095E-3</v>
      </c>
      <c r="Q1422" s="828">
        <f t="shared" ca="1" si="557"/>
        <v>5.3462984441155794E-4</v>
      </c>
      <c r="R1422" s="828">
        <f t="shared" ca="1" si="542"/>
        <v>3.3693129405859215E-4</v>
      </c>
      <c r="S1422" s="828">
        <f t="shared" ca="1" si="542"/>
        <v>8.5568872050262399E-4</v>
      </c>
      <c r="U1422" s="828">
        <f t="shared" ca="1" si="545"/>
        <v>1</v>
      </c>
    </row>
    <row r="1423" spans="2:21" ht="18" customHeight="1" x14ac:dyDescent="0.2">
      <c r="B1423" s="645">
        <f t="shared" si="552"/>
        <v>69</v>
      </c>
      <c r="D1423" s="589" t="s">
        <v>884</v>
      </c>
      <c r="G1423" s="645">
        <f t="shared" si="553"/>
        <v>69</v>
      </c>
      <c r="H1423" s="589" t="s">
        <v>885</v>
      </c>
      <c r="J1423" s="828">
        <f t="shared" ref="J1423:Q1423" ca="1" si="558">J1316/$U1316</f>
        <v>0.52266939110294264</v>
      </c>
      <c r="K1423" s="828">
        <f t="shared" ca="1" si="558"/>
        <v>7.3322717120621508E-2</v>
      </c>
      <c r="L1423" s="828">
        <f t="shared" ca="1" si="558"/>
        <v>0.28835444525616377</v>
      </c>
      <c r="M1423" s="828">
        <f t="shared" ca="1" si="558"/>
        <v>1.214319794057233E-2</v>
      </c>
      <c r="N1423" s="828">
        <f t="shared" ca="1" si="558"/>
        <v>9.3509034531068458E-2</v>
      </c>
      <c r="O1423" s="828">
        <f t="shared" ca="1" si="558"/>
        <v>3.0682369951369154E-3</v>
      </c>
      <c r="P1423" s="828">
        <f t="shared" ca="1" si="558"/>
        <v>6.4000035481383529E-3</v>
      </c>
      <c r="Q1423" s="828">
        <f t="shared" ca="1" si="558"/>
        <v>5.3297350535600277E-4</v>
      </c>
      <c r="R1423" s="828">
        <f t="shared" ca="1" si="542"/>
        <v>0</v>
      </c>
      <c r="S1423" s="828">
        <f t="shared" ca="1" si="542"/>
        <v>0</v>
      </c>
      <c r="U1423" s="828">
        <f ca="1">ROUND(SUM(I1423:T1423),6)</f>
        <v>1</v>
      </c>
    </row>
    <row r="1424" spans="2:21" ht="18" customHeight="1" x14ac:dyDescent="0.2">
      <c r="B1424" s="645">
        <f t="shared" si="552"/>
        <v>70</v>
      </c>
      <c r="G1424" s="645">
        <f t="shared" si="553"/>
        <v>70</v>
      </c>
      <c r="J1424" s="828"/>
      <c r="K1424" s="828"/>
      <c r="L1424" s="828"/>
      <c r="M1424" s="828"/>
      <c r="N1424" s="828"/>
      <c r="O1424" s="828"/>
      <c r="P1424" s="828"/>
      <c r="Q1424" s="828"/>
      <c r="R1424" s="828"/>
      <c r="S1424" s="828"/>
      <c r="U1424" s="828"/>
    </row>
    <row r="1425" spans="2:21" ht="18" customHeight="1" x14ac:dyDescent="0.2">
      <c r="B1425" s="645">
        <f t="shared" si="552"/>
        <v>71</v>
      </c>
      <c r="D1425" s="589" t="s">
        <v>733</v>
      </c>
      <c r="G1425" s="645">
        <f t="shared" si="553"/>
        <v>71</v>
      </c>
      <c r="H1425" s="589" t="s">
        <v>792</v>
      </c>
      <c r="J1425" s="828">
        <f t="shared" ref="J1425:Q1425" si="559">J1318/$U1318</f>
        <v>0.52204347349484559</v>
      </c>
      <c r="K1425" s="828">
        <f t="shared" si="559"/>
        <v>7.3234910219164229E-2</v>
      </c>
      <c r="L1425" s="828">
        <f t="shared" si="559"/>
        <v>0.28800912921560129</v>
      </c>
      <c r="M1425" s="828">
        <f t="shared" si="559"/>
        <v>1.2128655972860057E-2</v>
      </c>
      <c r="N1425" s="828">
        <f t="shared" si="559"/>
        <v>9.339705370298583E-2</v>
      </c>
      <c r="O1425" s="828">
        <f t="shared" si="559"/>
        <v>3.0645626579865839E-3</v>
      </c>
      <c r="P1425" s="828">
        <f t="shared" si="559"/>
        <v>6.3923392865977832E-3</v>
      </c>
      <c r="Q1425" s="828">
        <f t="shared" si="559"/>
        <v>5.3233524815684381E-4</v>
      </c>
      <c r="R1425" s="828">
        <f t="shared" ref="R1425:S1431" si="560">R1318/$U1318</f>
        <v>3.3841796223164737E-4</v>
      </c>
      <c r="S1425" s="828">
        <f t="shared" si="560"/>
        <v>8.5912223956998411E-4</v>
      </c>
      <c r="U1425" s="828">
        <f t="shared" ref="U1425:U1431" si="561">ROUND(SUM(I1425:T1425),6)</f>
        <v>1</v>
      </c>
    </row>
    <row r="1426" spans="2:21" ht="18" customHeight="1" x14ac:dyDescent="0.2">
      <c r="B1426" s="645">
        <f t="shared" si="552"/>
        <v>72</v>
      </c>
      <c r="D1426" s="589" t="s">
        <v>734</v>
      </c>
      <c r="G1426" s="645">
        <f t="shared" si="553"/>
        <v>72</v>
      </c>
      <c r="H1426" s="589" t="s">
        <v>793</v>
      </c>
      <c r="J1426" s="828">
        <f t="shared" ref="J1426:Q1426" ca="1" si="562">J1319/$U1319</f>
        <v>0.52155350379592735</v>
      </c>
      <c r="K1426" s="828">
        <f t="shared" ca="1" si="562"/>
        <v>7.3166174780963725E-2</v>
      </c>
      <c r="L1426" s="828">
        <f t="shared" ca="1" si="562"/>
        <v>0.28773881504926813</v>
      </c>
      <c r="M1426" s="828">
        <f t="shared" ca="1" si="562"/>
        <v>1.211727248811784E-2</v>
      </c>
      <c r="N1426" s="828">
        <f t="shared" ca="1" si="562"/>
        <v>9.3309394861134348E-2</v>
      </c>
      <c r="O1426" s="828">
        <f t="shared" ca="1" si="562"/>
        <v>3.0616863786744465E-3</v>
      </c>
      <c r="P1426" s="828">
        <f t="shared" ca="1" si="562"/>
        <v>6.3863396855786021E-3</v>
      </c>
      <c r="Q1426" s="828">
        <f t="shared" ca="1" si="562"/>
        <v>1.4703967231881215E-3</v>
      </c>
      <c r="R1426" s="828">
        <f t="shared" ca="1" si="560"/>
        <v>3.381003362953378E-4</v>
      </c>
      <c r="S1426" s="828">
        <f t="shared" ca="1" si="560"/>
        <v>8.5831590085217976E-4</v>
      </c>
      <c r="U1426" s="828">
        <f t="shared" ca="1" si="561"/>
        <v>1</v>
      </c>
    </row>
    <row r="1427" spans="2:21" ht="18" customHeight="1" x14ac:dyDescent="0.2">
      <c r="B1427" s="645">
        <f t="shared" si="552"/>
        <v>73</v>
      </c>
      <c r="D1427" s="620" t="s">
        <v>735</v>
      </c>
      <c r="G1427" s="645">
        <f t="shared" si="553"/>
        <v>73</v>
      </c>
      <c r="H1427" s="589" t="s">
        <v>794</v>
      </c>
      <c r="J1427" s="828">
        <f t="shared" ref="J1427:Q1427" si="563">J1320/$U1320</f>
        <v>0.5220434734948457</v>
      </c>
      <c r="K1427" s="828">
        <f t="shared" si="563"/>
        <v>7.3234910219164243E-2</v>
      </c>
      <c r="L1427" s="828">
        <f t="shared" si="563"/>
        <v>0.28800912921560134</v>
      </c>
      <c r="M1427" s="828">
        <f t="shared" si="563"/>
        <v>1.212865597286006E-2</v>
      </c>
      <c r="N1427" s="828">
        <f t="shared" si="563"/>
        <v>9.3397053702985858E-2</v>
      </c>
      <c r="O1427" s="828">
        <f t="shared" si="563"/>
        <v>3.0645626579865848E-3</v>
      </c>
      <c r="P1427" s="828">
        <f t="shared" si="563"/>
        <v>6.3923392865977858E-3</v>
      </c>
      <c r="Q1427" s="828">
        <f t="shared" si="563"/>
        <v>5.3233524815684392E-4</v>
      </c>
      <c r="R1427" s="828">
        <f t="shared" si="560"/>
        <v>3.3841796223164748E-4</v>
      </c>
      <c r="S1427" s="828">
        <f t="shared" si="560"/>
        <v>8.5912223956998433E-4</v>
      </c>
      <c r="U1427" s="828">
        <f t="shared" si="561"/>
        <v>1</v>
      </c>
    </row>
    <row r="1428" spans="2:21" ht="18" customHeight="1" x14ac:dyDescent="0.2">
      <c r="B1428" s="645">
        <f t="shared" si="552"/>
        <v>74</v>
      </c>
      <c r="D1428" s="589" t="s">
        <v>888</v>
      </c>
      <c r="G1428" s="645">
        <f t="shared" si="553"/>
        <v>74</v>
      </c>
      <c r="H1428" s="589" t="s">
        <v>795</v>
      </c>
      <c r="J1428" s="828">
        <f t="shared" ref="J1428:Q1428" si="564">J1321/$U1321</f>
        <v>0</v>
      </c>
      <c r="K1428" s="828">
        <f t="shared" si="564"/>
        <v>0</v>
      </c>
      <c r="L1428" s="828">
        <f t="shared" si="564"/>
        <v>0</v>
      </c>
      <c r="M1428" s="828">
        <f t="shared" si="564"/>
        <v>0</v>
      </c>
      <c r="N1428" s="828">
        <f t="shared" si="564"/>
        <v>0</v>
      </c>
      <c r="O1428" s="828">
        <f t="shared" si="564"/>
        <v>0</v>
      </c>
      <c r="P1428" s="828">
        <f t="shared" si="564"/>
        <v>0</v>
      </c>
      <c r="Q1428" s="828">
        <f t="shared" si="564"/>
        <v>0</v>
      </c>
      <c r="R1428" s="828">
        <f t="shared" si="560"/>
        <v>0</v>
      </c>
      <c r="S1428" s="828">
        <f t="shared" si="560"/>
        <v>0</v>
      </c>
      <c r="U1428" s="828">
        <f t="shared" si="561"/>
        <v>0</v>
      </c>
    </row>
    <row r="1429" spans="2:21" ht="18" customHeight="1" x14ac:dyDescent="0.2">
      <c r="B1429" s="645">
        <f t="shared" si="552"/>
        <v>75</v>
      </c>
      <c r="D1429" s="620" t="s">
        <v>736</v>
      </c>
      <c r="G1429" s="645">
        <f t="shared" si="553"/>
        <v>75</v>
      </c>
      <c r="H1429" s="589" t="s">
        <v>796</v>
      </c>
      <c r="J1429" s="828">
        <f t="shared" ref="J1429:Q1429" si="565">J1322/$U1322</f>
        <v>0</v>
      </c>
      <c r="K1429" s="828">
        <f t="shared" si="565"/>
        <v>0</v>
      </c>
      <c r="L1429" s="828">
        <f t="shared" si="565"/>
        <v>0</v>
      </c>
      <c r="M1429" s="828">
        <f t="shared" si="565"/>
        <v>0</v>
      </c>
      <c r="N1429" s="828">
        <f t="shared" si="565"/>
        <v>0</v>
      </c>
      <c r="O1429" s="828">
        <f t="shared" si="565"/>
        <v>0</v>
      </c>
      <c r="P1429" s="828">
        <f t="shared" si="565"/>
        <v>0</v>
      </c>
      <c r="Q1429" s="828">
        <f t="shared" si="565"/>
        <v>0</v>
      </c>
      <c r="R1429" s="828">
        <f t="shared" si="560"/>
        <v>0</v>
      </c>
      <c r="S1429" s="828">
        <f t="shared" si="560"/>
        <v>0</v>
      </c>
      <c r="U1429" s="828">
        <f t="shared" si="561"/>
        <v>0</v>
      </c>
    </row>
    <row r="1430" spans="2:21" ht="18" customHeight="1" x14ac:dyDescent="0.2">
      <c r="B1430" s="645">
        <f t="shared" si="552"/>
        <v>76</v>
      </c>
      <c r="D1430" s="589" t="s">
        <v>737</v>
      </c>
      <c r="G1430" s="645">
        <f t="shared" si="553"/>
        <v>76</v>
      </c>
      <c r="H1430" s="589" t="s">
        <v>797</v>
      </c>
      <c r="J1430" s="828">
        <f t="shared" ref="J1430:Q1430" ca="1" si="566">J1323/$U1323</f>
        <v>0.52188014407400507</v>
      </c>
      <c r="K1430" s="828">
        <f t="shared" ca="1" si="566"/>
        <v>7.3203954182589667E-2</v>
      </c>
      <c r="L1430" s="828">
        <f t="shared" ca="1" si="566"/>
        <v>0.28792333202819187</v>
      </c>
      <c r="M1430" s="828">
        <f t="shared" ca="1" si="566"/>
        <v>1.2123304904595981E-2</v>
      </c>
      <c r="N1430" s="828">
        <f t="shared" ca="1" si="566"/>
        <v>9.336791336677451E-2</v>
      </c>
      <c r="O1430" s="828">
        <f t="shared" ca="1" si="566"/>
        <v>3.0684624143964769E-3</v>
      </c>
      <c r="P1430" s="828">
        <f t="shared" ca="1" si="566"/>
        <v>6.3895075627674776E-3</v>
      </c>
      <c r="Q1430" s="828">
        <f t="shared" ca="1" si="566"/>
        <v>8.4553902369898903E-4</v>
      </c>
      <c r="R1430" s="828">
        <f t="shared" ca="1" si="560"/>
        <v>3.3863145380921323E-4</v>
      </c>
      <c r="S1430" s="828">
        <f t="shared" ca="1" si="560"/>
        <v>8.5921098917072657E-4</v>
      </c>
      <c r="U1430" s="828">
        <f t="shared" ca="1" si="561"/>
        <v>1</v>
      </c>
    </row>
    <row r="1431" spans="2:21" ht="18" customHeight="1" x14ac:dyDescent="0.2">
      <c r="B1431" s="645">
        <f t="shared" si="552"/>
        <v>77</v>
      </c>
      <c r="D1431" s="589" t="s">
        <v>738</v>
      </c>
      <c r="G1431" s="645">
        <f t="shared" si="553"/>
        <v>77</v>
      </c>
      <c r="H1431" s="589" t="s">
        <v>798</v>
      </c>
      <c r="J1431" s="828">
        <f t="shared" ref="J1431:Q1431" ca="1" si="567">J1324/$U1324</f>
        <v>0.52188014407400507</v>
      </c>
      <c r="K1431" s="828">
        <f t="shared" ca="1" si="567"/>
        <v>7.3203954182589667E-2</v>
      </c>
      <c r="L1431" s="828">
        <f t="shared" ca="1" si="567"/>
        <v>0.28792333202819187</v>
      </c>
      <c r="M1431" s="828">
        <f t="shared" ca="1" si="567"/>
        <v>1.2123304904595981E-2</v>
      </c>
      <c r="N1431" s="828">
        <f t="shared" ca="1" si="567"/>
        <v>9.336791336677451E-2</v>
      </c>
      <c r="O1431" s="828">
        <f t="shared" ca="1" si="567"/>
        <v>3.0684624143964769E-3</v>
      </c>
      <c r="P1431" s="828">
        <f t="shared" ca="1" si="567"/>
        <v>6.3895075627674776E-3</v>
      </c>
      <c r="Q1431" s="828">
        <f t="shared" ca="1" si="567"/>
        <v>8.4553902369898903E-4</v>
      </c>
      <c r="R1431" s="828">
        <f t="shared" ca="1" si="560"/>
        <v>3.3863145380921323E-4</v>
      </c>
      <c r="S1431" s="828">
        <f t="shared" ca="1" si="560"/>
        <v>8.5921098917072657E-4</v>
      </c>
      <c r="U1431" s="828">
        <f t="shared" ca="1" si="561"/>
        <v>1</v>
      </c>
    </row>
    <row r="1432" spans="2:21" ht="18" customHeight="1" x14ac:dyDescent="0.2">
      <c r="B1432" s="645">
        <f t="shared" si="552"/>
        <v>78</v>
      </c>
      <c r="G1432" s="645">
        <f t="shared" si="553"/>
        <v>78</v>
      </c>
      <c r="U1432" s="828"/>
    </row>
    <row r="1433" spans="2:21" ht="18" customHeight="1" x14ac:dyDescent="0.2">
      <c r="B1433" s="645">
        <f t="shared" si="552"/>
        <v>79</v>
      </c>
      <c r="G1433" s="645">
        <f t="shared" si="553"/>
        <v>79</v>
      </c>
      <c r="J1433" s="1581"/>
      <c r="K1433" s="1581"/>
      <c r="L1433" s="1581"/>
      <c r="M1433" s="1581"/>
      <c r="N1433" s="1581"/>
      <c r="O1433" s="1581"/>
      <c r="P1433" s="1581"/>
      <c r="Q1433" s="1581"/>
      <c r="R1433" s="1581"/>
      <c r="S1433" s="1581"/>
      <c r="U1433" s="828"/>
    </row>
    <row r="1434" spans="2:21" ht="18" customHeight="1" x14ac:dyDescent="0.2">
      <c r="B1434" s="645">
        <f t="shared" si="552"/>
        <v>80</v>
      </c>
      <c r="D1434" s="589" t="s">
        <v>739</v>
      </c>
      <c r="G1434" s="645">
        <f t="shared" si="553"/>
        <v>80</v>
      </c>
      <c r="H1434" s="589" t="s">
        <v>799</v>
      </c>
      <c r="J1434" s="828">
        <f t="shared" ref="J1434:Q1434" si="568">J1327/$U1327</f>
        <v>0</v>
      </c>
      <c r="K1434" s="828">
        <f t="shared" si="568"/>
        <v>0</v>
      </c>
      <c r="L1434" s="828">
        <f t="shared" si="568"/>
        <v>0</v>
      </c>
      <c r="M1434" s="828">
        <f t="shared" si="568"/>
        <v>0</v>
      </c>
      <c r="N1434" s="828">
        <f t="shared" si="568"/>
        <v>0</v>
      </c>
      <c r="O1434" s="828">
        <f t="shared" si="568"/>
        <v>0</v>
      </c>
      <c r="P1434" s="828">
        <f t="shared" si="568"/>
        <v>0</v>
      </c>
      <c r="Q1434" s="828">
        <f t="shared" si="568"/>
        <v>0</v>
      </c>
      <c r="R1434" s="828">
        <f t="shared" ref="R1434:S1442" si="569">R1327/$U1327</f>
        <v>0</v>
      </c>
      <c r="S1434" s="828">
        <f t="shared" si="569"/>
        <v>0</v>
      </c>
      <c r="U1434" s="828">
        <f t="shared" ref="U1434:U1442" si="570">ROUND(SUM(I1434:T1434),6)</f>
        <v>0</v>
      </c>
    </row>
    <row r="1435" spans="2:21" ht="18" customHeight="1" x14ac:dyDescent="0.2">
      <c r="B1435" s="645">
        <f t="shared" si="552"/>
        <v>81</v>
      </c>
      <c r="D1435" s="589" t="s">
        <v>740</v>
      </c>
      <c r="G1435" s="645">
        <f t="shared" si="553"/>
        <v>81</v>
      </c>
      <c r="H1435" s="589" t="s">
        <v>800</v>
      </c>
      <c r="J1435" s="828">
        <f t="shared" ref="J1435:Q1435" si="571">J1328/$U1328</f>
        <v>0</v>
      </c>
      <c r="K1435" s="828">
        <f t="shared" si="571"/>
        <v>0</v>
      </c>
      <c r="L1435" s="828">
        <f t="shared" si="571"/>
        <v>0</v>
      </c>
      <c r="M1435" s="828">
        <f t="shared" si="571"/>
        <v>0</v>
      </c>
      <c r="N1435" s="828">
        <f t="shared" si="571"/>
        <v>0</v>
      </c>
      <c r="O1435" s="828">
        <f t="shared" si="571"/>
        <v>0</v>
      </c>
      <c r="P1435" s="828">
        <f t="shared" si="571"/>
        <v>0</v>
      </c>
      <c r="Q1435" s="828">
        <f t="shared" si="571"/>
        <v>0</v>
      </c>
      <c r="R1435" s="828">
        <f t="shared" si="569"/>
        <v>0</v>
      </c>
      <c r="S1435" s="828">
        <f t="shared" si="569"/>
        <v>0</v>
      </c>
      <c r="U1435" s="828">
        <f t="shared" si="570"/>
        <v>0</v>
      </c>
    </row>
    <row r="1436" spans="2:21" ht="18" customHeight="1" x14ac:dyDescent="0.2">
      <c r="B1436" s="645">
        <f t="shared" si="552"/>
        <v>82</v>
      </c>
      <c r="D1436" s="589" t="s">
        <v>741</v>
      </c>
      <c r="G1436" s="645">
        <f t="shared" si="553"/>
        <v>82</v>
      </c>
      <c r="H1436" s="589" t="s">
        <v>801</v>
      </c>
      <c r="J1436" s="828">
        <f t="shared" ref="J1436:Q1436" si="572">J1329/$U1329</f>
        <v>0.52204347349484581</v>
      </c>
      <c r="K1436" s="828">
        <f t="shared" si="572"/>
        <v>7.323491021916427E-2</v>
      </c>
      <c r="L1436" s="828">
        <f t="shared" si="572"/>
        <v>0.2880091292156014</v>
      </c>
      <c r="M1436" s="828">
        <f t="shared" si="572"/>
        <v>1.2128655972860064E-2</v>
      </c>
      <c r="N1436" s="828">
        <f t="shared" si="572"/>
        <v>9.3397053702985885E-2</v>
      </c>
      <c r="O1436" s="828">
        <f t="shared" si="572"/>
        <v>3.0645626579865852E-3</v>
      </c>
      <c r="P1436" s="828">
        <f t="shared" si="572"/>
        <v>6.3923392865977867E-3</v>
      </c>
      <c r="Q1436" s="828">
        <f t="shared" si="572"/>
        <v>5.3233524815684413E-4</v>
      </c>
      <c r="R1436" s="828">
        <f t="shared" si="569"/>
        <v>3.3841796223164759E-4</v>
      </c>
      <c r="S1436" s="828">
        <f t="shared" si="569"/>
        <v>8.5912223956998454E-4</v>
      </c>
      <c r="U1436" s="828">
        <f t="shared" si="570"/>
        <v>1</v>
      </c>
    </row>
    <row r="1437" spans="2:21" ht="18" customHeight="1" x14ac:dyDescent="0.2">
      <c r="B1437" s="645">
        <f t="shared" si="552"/>
        <v>83</v>
      </c>
      <c r="D1437" s="589" t="s">
        <v>802</v>
      </c>
      <c r="G1437" s="645">
        <f t="shared" si="553"/>
        <v>83</v>
      </c>
      <c r="H1437" s="589" t="s">
        <v>803</v>
      </c>
      <c r="J1437" s="828">
        <f t="shared" ref="J1437:Q1437" ca="1" si="573">J1330/$U1330</f>
        <v>0.52204333548746173</v>
      </c>
      <c r="K1437" s="828">
        <f t="shared" ca="1" si="573"/>
        <v>7.3234890858787413E-2</v>
      </c>
      <c r="L1437" s="828">
        <f t="shared" ca="1" si="573"/>
        <v>0.28800905307752378</v>
      </c>
      <c r="M1437" s="828">
        <f t="shared" ca="1" si="573"/>
        <v>1.2128652766529234E-2</v>
      </c>
      <c r="N1437" s="828">
        <f t="shared" ca="1" si="573"/>
        <v>9.3397029012545874E-2</v>
      </c>
      <c r="O1437" s="828">
        <f t="shared" ca="1" si="573"/>
        <v>3.0645618478389687E-3</v>
      </c>
      <c r="P1437" s="828">
        <f t="shared" ca="1" si="573"/>
        <v>6.3923375967193221E-3</v>
      </c>
      <c r="Q1437" s="828">
        <f t="shared" ca="1" si="573"/>
        <v>5.3259946737378011E-4</v>
      </c>
      <c r="R1437" s="828">
        <f t="shared" ca="1" si="569"/>
        <v>3.3841787276749357E-4</v>
      </c>
      <c r="S1437" s="828">
        <f t="shared" ca="1" si="569"/>
        <v>8.5912201245247626E-4</v>
      </c>
      <c r="U1437" s="828">
        <f t="shared" ca="1" si="570"/>
        <v>1</v>
      </c>
    </row>
    <row r="1438" spans="2:21" ht="18" customHeight="1" x14ac:dyDescent="0.2">
      <c r="B1438" s="645">
        <f t="shared" si="552"/>
        <v>84</v>
      </c>
      <c r="D1438" s="589" t="s">
        <v>743</v>
      </c>
      <c r="G1438" s="645">
        <f t="shared" si="553"/>
        <v>84</v>
      </c>
      <c r="H1438" s="589" t="s">
        <v>804</v>
      </c>
      <c r="J1438" s="828">
        <f t="shared" ref="J1438:Q1438" si="574">J1331/$U1331</f>
        <v>0.52204347349484559</v>
      </c>
      <c r="K1438" s="828">
        <f t="shared" si="574"/>
        <v>7.3234910219164229E-2</v>
      </c>
      <c r="L1438" s="828">
        <f t="shared" si="574"/>
        <v>0.28800912921560129</v>
      </c>
      <c r="M1438" s="828">
        <f t="shared" si="574"/>
        <v>1.2128655972860058E-2</v>
      </c>
      <c r="N1438" s="828">
        <f t="shared" si="574"/>
        <v>9.3397053702985844E-2</v>
      </c>
      <c r="O1438" s="828">
        <f t="shared" si="574"/>
        <v>3.0645626579865839E-3</v>
      </c>
      <c r="P1438" s="828">
        <f t="shared" si="574"/>
        <v>6.3923392865977841E-3</v>
      </c>
      <c r="Q1438" s="828">
        <f t="shared" si="574"/>
        <v>5.3233524815684381E-4</v>
      </c>
      <c r="R1438" s="828">
        <f t="shared" si="569"/>
        <v>3.3841796223164742E-4</v>
      </c>
      <c r="S1438" s="828">
        <f t="shared" si="569"/>
        <v>8.5912223956998422E-4</v>
      </c>
      <c r="U1438" s="828">
        <f t="shared" si="570"/>
        <v>1</v>
      </c>
    </row>
    <row r="1439" spans="2:21" ht="18" customHeight="1" x14ac:dyDescent="0.2">
      <c r="B1439" s="645">
        <f t="shared" si="552"/>
        <v>85</v>
      </c>
      <c r="D1439" s="589" t="s">
        <v>744</v>
      </c>
      <c r="G1439" s="645">
        <f t="shared" si="553"/>
        <v>85</v>
      </c>
      <c r="H1439" s="589" t="s">
        <v>805</v>
      </c>
      <c r="J1439" s="828">
        <f t="shared" ref="J1439:Q1439" si="575">J1332/$U1332</f>
        <v>0</v>
      </c>
      <c r="K1439" s="828">
        <f t="shared" si="575"/>
        <v>0</v>
      </c>
      <c r="L1439" s="828">
        <f t="shared" si="575"/>
        <v>0</v>
      </c>
      <c r="M1439" s="828">
        <f t="shared" si="575"/>
        <v>0</v>
      </c>
      <c r="N1439" s="828">
        <f t="shared" si="575"/>
        <v>0</v>
      </c>
      <c r="O1439" s="828">
        <f t="shared" si="575"/>
        <v>0</v>
      </c>
      <c r="P1439" s="828">
        <f t="shared" si="575"/>
        <v>0</v>
      </c>
      <c r="Q1439" s="828">
        <f t="shared" si="575"/>
        <v>0</v>
      </c>
      <c r="R1439" s="828">
        <f t="shared" si="569"/>
        <v>0</v>
      </c>
      <c r="S1439" s="828">
        <f t="shared" si="569"/>
        <v>0</v>
      </c>
      <c r="U1439" s="828">
        <f t="shared" si="570"/>
        <v>0</v>
      </c>
    </row>
    <row r="1440" spans="2:21" ht="18" customHeight="1" x14ac:dyDescent="0.2">
      <c r="B1440" s="645">
        <f t="shared" si="552"/>
        <v>86</v>
      </c>
      <c r="D1440" s="589" t="s">
        <v>745</v>
      </c>
      <c r="G1440" s="645">
        <f t="shared" si="553"/>
        <v>86</v>
      </c>
      <c r="H1440" s="589" t="s">
        <v>806</v>
      </c>
      <c r="J1440" s="828">
        <f t="shared" ref="J1440:Q1440" si="576">J1333/$U1333</f>
        <v>0</v>
      </c>
      <c r="K1440" s="828">
        <f t="shared" si="576"/>
        <v>0</v>
      </c>
      <c r="L1440" s="828">
        <f t="shared" si="576"/>
        <v>0</v>
      </c>
      <c r="M1440" s="828">
        <f t="shared" si="576"/>
        <v>0</v>
      </c>
      <c r="N1440" s="828">
        <f t="shared" si="576"/>
        <v>0</v>
      </c>
      <c r="O1440" s="828">
        <f t="shared" si="576"/>
        <v>0</v>
      </c>
      <c r="P1440" s="828">
        <f t="shared" si="576"/>
        <v>0</v>
      </c>
      <c r="Q1440" s="828">
        <f t="shared" si="576"/>
        <v>0</v>
      </c>
      <c r="R1440" s="828">
        <f t="shared" si="569"/>
        <v>0</v>
      </c>
      <c r="S1440" s="828">
        <f t="shared" si="569"/>
        <v>0</v>
      </c>
      <c r="U1440" s="828">
        <f t="shared" si="570"/>
        <v>0</v>
      </c>
    </row>
    <row r="1441" spans="2:21" ht="18" customHeight="1" x14ac:dyDescent="0.2">
      <c r="B1441" s="645">
        <f t="shared" si="552"/>
        <v>87</v>
      </c>
      <c r="D1441" s="620" t="s">
        <v>746</v>
      </c>
      <c r="G1441" s="645">
        <f t="shared" si="553"/>
        <v>87</v>
      </c>
      <c r="H1441" s="589" t="s">
        <v>807</v>
      </c>
      <c r="J1441" s="828">
        <f t="shared" ref="J1441:Q1441" ca="1" si="577">J1334/$U1334</f>
        <v>0.52204341541170141</v>
      </c>
      <c r="K1441" s="828">
        <f t="shared" ca="1" si="577"/>
        <v>7.323490207096571E-2</v>
      </c>
      <c r="L1441" s="828">
        <f t="shared" ca="1" si="577"/>
        <v>0.28800909717138151</v>
      </c>
      <c r="M1441" s="828">
        <f t="shared" ca="1" si="577"/>
        <v>1.2128654623412149E-2</v>
      </c>
      <c r="N1441" s="828">
        <f t="shared" ca="1" si="577"/>
        <v>9.3397043311524569E-2</v>
      </c>
      <c r="O1441" s="828">
        <f t="shared" ca="1" si="577"/>
        <v>3.0645623170198946E-3</v>
      </c>
      <c r="P1441" s="828">
        <f t="shared" ca="1" si="577"/>
        <v>6.3923385753789225E-3</v>
      </c>
      <c r="Q1441" s="828">
        <f t="shared" ca="1" si="577"/>
        <v>5.3244645005380998E-4</v>
      </c>
      <c r="R1441" s="828">
        <f t="shared" ca="1" si="569"/>
        <v>3.3841792457888414E-4</v>
      </c>
      <c r="S1441" s="828">
        <f t="shared" ca="1" si="569"/>
        <v>8.5912214398307734E-4</v>
      </c>
      <c r="U1441" s="828">
        <f t="shared" ca="1" si="570"/>
        <v>1</v>
      </c>
    </row>
    <row r="1442" spans="2:21" ht="18" customHeight="1" x14ac:dyDescent="0.2">
      <c r="B1442" s="645">
        <f t="shared" si="552"/>
        <v>88</v>
      </c>
      <c r="D1442" s="589" t="s">
        <v>662</v>
      </c>
      <c r="G1442" s="645">
        <f t="shared" si="553"/>
        <v>88</v>
      </c>
      <c r="H1442" s="589" t="s">
        <v>808</v>
      </c>
      <c r="J1442" s="828">
        <f t="shared" ref="J1442:Q1442" ca="1" si="578">J1335/$U1335</f>
        <v>0.52199041479052499</v>
      </c>
      <c r="K1442" s="828">
        <f t="shared" ca="1" si="578"/>
        <v>7.3224855851644122E-2</v>
      </c>
      <c r="L1442" s="828">
        <f t="shared" ca="1" si="578"/>
        <v>0.28798125637174132</v>
      </c>
      <c r="M1442" s="828">
        <f t="shared" ca="1" si="578"/>
        <v>1.212691801194726E-2</v>
      </c>
      <c r="N1442" s="828">
        <f t="shared" ca="1" si="578"/>
        <v>9.3387587241862899E-2</v>
      </c>
      <c r="O1442" s="828">
        <f t="shared" ca="1" si="578"/>
        <v>3.0658283629267039E-3</v>
      </c>
      <c r="P1442" s="828">
        <f t="shared" ca="1" si="578"/>
        <v>6.3914195795951416E-3</v>
      </c>
      <c r="Q1442" s="828">
        <f t="shared" ca="1" si="578"/>
        <v>6.3408156415990433E-4</v>
      </c>
      <c r="R1442" s="828">
        <f t="shared" ca="1" si="569"/>
        <v>3.3848724033074256E-4</v>
      </c>
      <c r="S1442" s="828">
        <f t="shared" ca="1" si="569"/>
        <v>8.5915098526703499E-4</v>
      </c>
      <c r="U1442" s="828">
        <f t="shared" ca="1" si="570"/>
        <v>1</v>
      </c>
    </row>
    <row r="1443" spans="2:21" ht="18" customHeight="1" x14ac:dyDescent="0.2">
      <c r="B1443" s="645">
        <f t="shared" si="552"/>
        <v>89</v>
      </c>
      <c r="G1443" s="645">
        <f t="shared" si="553"/>
        <v>89</v>
      </c>
      <c r="J1443" s="1581"/>
      <c r="K1443" s="1581"/>
      <c r="L1443" s="1581"/>
      <c r="M1443" s="1581"/>
      <c r="N1443" s="1581"/>
      <c r="O1443" s="1581"/>
      <c r="P1443" s="1581"/>
      <c r="Q1443" s="1581"/>
      <c r="R1443" s="1581"/>
      <c r="S1443" s="1581"/>
      <c r="U1443" s="828"/>
    </row>
    <row r="1444" spans="2:21" ht="18" customHeight="1" x14ac:dyDescent="0.2">
      <c r="B1444" s="645">
        <f t="shared" si="552"/>
        <v>90</v>
      </c>
      <c r="G1444" s="645">
        <f t="shared" si="553"/>
        <v>90</v>
      </c>
      <c r="J1444" s="1581"/>
      <c r="K1444" s="1581"/>
      <c r="L1444" s="1581"/>
      <c r="M1444" s="1581"/>
      <c r="N1444" s="1581"/>
      <c r="O1444" s="1581"/>
      <c r="P1444" s="1581"/>
      <c r="Q1444" s="1581"/>
      <c r="R1444" s="1581"/>
      <c r="S1444" s="1581"/>
      <c r="U1444" s="828"/>
    </row>
    <row r="1445" spans="2:21" ht="18" customHeight="1" x14ac:dyDescent="0.2">
      <c r="B1445" s="645">
        <f t="shared" si="552"/>
        <v>91</v>
      </c>
      <c r="D1445" s="589" t="s">
        <v>747</v>
      </c>
      <c r="G1445" s="645">
        <f t="shared" si="553"/>
        <v>91</v>
      </c>
      <c r="H1445" s="589" t="s">
        <v>809</v>
      </c>
      <c r="J1445" s="828">
        <f t="shared" ref="J1445:Q1445" ca="1" si="579">J1338/$U1338</f>
        <v>0.52191599692811064</v>
      </c>
      <c r="K1445" s="828">
        <f t="shared" ca="1" si="579"/>
        <v>7.3194299502797128E-2</v>
      </c>
      <c r="L1445" s="828">
        <f t="shared" ca="1" si="579"/>
        <v>0.28821302072414989</v>
      </c>
      <c r="M1445" s="828">
        <f t="shared" ca="1" si="579"/>
        <v>1.211994993052075E-2</v>
      </c>
      <c r="N1445" s="828">
        <f t="shared" ca="1" si="579"/>
        <v>9.3369182359356706E-2</v>
      </c>
      <c r="O1445" s="828">
        <f t="shared" ca="1" si="579"/>
        <v>3.0537451608243322E-3</v>
      </c>
      <c r="P1445" s="828">
        <f t="shared" ca="1" si="579"/>
        <v>6.4220815029409481E-3</v>
      </c>
      <c r="Q1445" s="828">
        <f t="shared" ca="1" si="579"/>
        <v>5.1984568702085395E-4</v>
      </c>
      <c r="R1445" s="828">
        <f ca="1">R1338/$U1338</f>
        <v>3.3670125612222338E-4</v>
      </c>
      <c r="S1445" s="828">
        <f ca="1">S1338/$U1338</f>
        <v>8.5517694815657346E-4</v>
      </c>
      <c r="U1445" s="828">
        <f ca="1">ROUND(SUM(I1445:T1445),6)</f>
        <v>1</v>
      </c>
    </row>
    <row r="1446" spans="2:21" ht="18" customHeight="1" x14ac:dyDescent="0.2">
      <c r="B1446" s="645">
        <f t="shared" si="552"/>
        <v>92</v>
      </c>
      <c r="D1446" s="589" t="s">
        <v>748</v>
      </c>
      <c r="G1446" s="645">
        <f t="shared" si="553"/>
        <v>92</v>
      </c>
      <c r="H1446" s="589" t="s">
        <v>810</v>
      </c>
      <c r="J1446" s="828">
        <f t="shared" ref="J1446:Q1446" ca="1" si="580">J1339/$U1339</f>
        <v>0.52263075511874202</v>
      </c>
      <c r="K1446" s="828">
        <f t="shared" ca="1" si="580"/>
        <v>7.3300478871666921E-2</v>
      </c>
      <c r="L1446" s="828">
        <f t="shared" ca="1" si="580"/>
        <v>0.28829609829230851</v>
      </c>
      <c r="M1446" s="828">
        <f t="shared" ca="1" si="580"/>
        <v>1.2137009526932408E-2</v>
      </c>
      <c r="N1446" s="828">
        <f t="shared" ca="1" si="580"/>
        <v>9.3472451931590317E-2</v>
      </c>
      <c r="O1446" s="828">
        <f t="shared" ca="1" si="580"/>
        <v>3.0680684000003984E-3</v>
      </c>
      <c r="P1446" s="828">
        <f t="shared" ca="1" si="580"/>
        <v>6.4016870563267632E-3</v>
      </c>
      <c r="Q1446" s="828">
        <f t="shared" ca="1" si="580"/>
        <v>6.9345080243266423E-4</v>
      </c>
      <c r="R1446" s="802">
        <v>0</v>
      </c>
      <c r="S1446" s="802">
        <v>0</v>
      </c>
      <c r="T1446" s="620" t="s">
        <v>0</v>
      </c>
      <c r="U1446" s="828">
        <f ca="1">ROUND(SUM(I1446:T1446),6)</f>
        <v>1</v>
      </c>
    </row>
    <row r="1447" spans="2:21" ht="18" customHeight="1" x14ac:dyDescent="0.25">
      <c r="B1447" s="645">
        <f t="shared" si="552"/>
        <v>93</v>
      </c>
      <c r="G1447" s="645">
        <f t="shared" si="553"/>
        <v>93</v>
      </c>
      <c r="U1447" s="1572"/>
    </row>
    <row r="1448" spans="2:21" ht="18" customHeight="1" x14ac:dyDescent="0.25">
      <c r="B1448" s="645">
        <f t="shared" si="552"/>
        <v>94</v>
      </c>
      <c r="G1448" s="645">
        <f t="shared" si="553"/>
        <v>94</v>
      </c>
      <c r="U1448" s="1572"/>
    </row>
  </sheetData>
  <phoneticPr fontId="0" type="noConversion"/>
  <pageMargins left="0.35" right="0.35" top="1.5" bottom="0.5" header="1.5" footer="0.5"/>
  <pageSetup scale="53" pageOrder="overThenDown" orientation="landscape" r:id="rId1"/>
  <headerFooter alignWithMargins="0">
    <oddHeader xml:space="preserve">&amp;RSchedules II-I-1-MET and II-I-2-MET
Page &amp;P of &amp;N
</oddHeader>
  </headerFooter>
  <rowBreaks count="39" manualBreakCount="39">
    <brk id="41" min="1" max="20" man="1"/>
    <brk id="85" min="1" max="20" man="1"/>
    <brk id="123" min="1" max="20" man="1"/>
    <brk id="168" min="1" max="20" man="1"/>
    <brk id="200" min="1" max="20" man="1"/>
    <brk id="226" min="1" max="20" man="1"/>
    <brk id="245" min="1" max="20" man="1"/>
    <brk id="277" min="1" max="20" man="1"/>
    <brk id="327" min="1" max="20" man="1"/>
    <brk id="369" min="1" max="20" man="1"/>
    <brk id="389" min="1" max="20" man="1"/>
    <brk id="414" min="1" max="20" man="1"/>
    <brk id="436" min="1" max="20" man="1"/>
    <brk id="456" min="1" max="20" man="1"/>
    <brk id="479" min="1" max="20" man="1"/>
    <brk id="504" min="1" max="20" man="1"/>
    <brk id="549" min="1" max="20" man="1"/>
    <brk id="575" min="1" max="20" man="1"/>
    <brk id="622" min="1" max="20" man="1"/>
    <brk id="664" min="1" max="20" man="1"/>
    <brk id="709" min="1" max="20" man="1"/>
    <brk id="754" min="1" max="20" man="1"/>
    <brk id="788" min="1" max="20" man="1"/>
    <brk id="828" min="1" max="20" man="1"/>
    <brk id="874" min="1" max="20" man="1"/>
    <brk id="925" min="1" max="20" man="1"/>
    <brk id="958" min="1" max="20" man="1"/>
    <brk id="979" min="1" max="20" man="1"/>
    <brk id="1032" min="1" max="20" man="1"/>
    <brk id="1071" min="1" max="20" man="1"/>
    <brk id="1104" min="1" max="20" man="1"/>
    <brk id="1146" min="1" max="20" man="1"/>
    <brk id="1163" min="1" max="20" man="1"/>
    <brk id="1190" min="1" max="20" man="1"/>
    <brk id="1234" min="1" max="20" man="1"/>
    <brk id="1285" min="1" max="20" man="1"/>
    <brk id="1316" min="1" max="20" man="1"/>
    <brk id="1341" min="1" max="20" man="1"/>
    <brk id="1391" min="1" max="20" man="1"/>
  </rowBreaks>
  <colBreaks count="1" manualBreakCount="1">
    <brk id="12" min="1" max="14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AA1449"/>
  <sheetViews>
    <sheetView view="pageBreakPreview" topLeftCell="A574" zoomScale="75" zoomScaleNormal="75" zoomScaleSheetLayoutView="75" workbookViewId="0">
      <selection activeCell="D580" sqref="D579:D580"/>
    </sheetView>
  </sheetViews>
  <sheetFormatPr defaultRowHeight="14.25" x14ac:dyDescent="0.2"/>
  <cols>
    <col min="1" max="1" width="2.5" customWidth="1"/>
    <col min="2" max="2" width="7.5" customWidth="1"/>
    <col min="3" max="3" width="7.375" customWidth="1"/>
    <col min="4" max="4" width="34.125" customWidth="1"/>
    <col min="5" max="5" width="8.5" customWidth="1"/>
    <col min="6" max="6" width="13.625" customWidth="1"/>
    <col min="7" max="7" width="4.625" customWidth="1"/>
    <col min="8" max="8" width="13.625" customWidth="1"/>
    <col min="9" max="9" width="1.125" customWidth="1"/>
    <col min="10" max="10" width="17" customWidth="1"/>
    <col min="11" max="11" width="13" customWidth="1"/>
    <col min="12" max="12" width="14.5" customWidth="1"/>
    <col min="13" max="13" width="10.75" customWidth="1"/>
    <col min="14" max="14" width="13" customWidth="1"/>
    <col min="15" max="15" width="11.625" customWidth="1"/>
    <col min="16" max="16" width="12.25" customWidth="1"/>
    <col min="17" max="17" width="13" customWidth="1"/>
    <col min="18" max="19" width="10.75" customWidth="1"/>
    <col min="20" max="20" width="1.125" customWidth="1"/>
    <col min="21" max="21" width="14.125" customWidth="1"/>
    <col min="22" max="22" width="16.125" customWidth="1"/>
    <col min="23" max="23" width="16" customWidth="1"/>
    <col min="24" max="26" width="14.375" customWidth="1"/>
  </cols>
  <sheetData>
    <row r="1" spans="1:23" x14ac:dyDescent="0.2">
      <c r="A1" s="130" t="s">
        <v>0</v>
      </c>
      <c r="J1" s="101" t="s">
        <v>0</v>
      </c>
      <c r="U1" s="172"/>
    </row>
    <row r="2" spans="1:23" ht="15" x14ac:dyDescent="0.2">
      <c r="A2" s="321"/>
      <c r="B2" s="1062"/>
      <c r="H2" s="105"/>
      <c r="U2" s="105"/>
    </row>
    <row r="3" spans="1:23" ht="15.75" thickBot="1" x14ac:dyDescent="0.25">
      <c r="A3" s="45"/>
      <c r="B3" s="10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101"/>
    </row>
    <row r="4" spans="1:23" ht="15.75" x14ac:dyDescent="0.25">
      <c r="A4" s="45"/>
      <c r="B4" s="829" t="str">
        <f>'WP II-I-1.1'!B3</f>
        <v>2025 RATE CASE</v>
      </c>
      <c r="C4" s="867"/>
      <c r="D4" s="868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138"/>
      <c r="V4" s="138"/>
      <c r="W4" s="138"/>
    </row>
    <row r="5" spans="1:23" ht="15.75" x14ac:dyDescent="0.25">
      <c r="A5" s="45"/>
      <c r="B5" s="826" t="str">
        <f>'WP II-I-1.1'!B4</f>
        <v>ONCOR ELECTRIC DELIVERY COMPANY LLC</v>
      </c>
      <c r="C5" s="752"/>
      <c r="D5" s="869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105"/>
      <c r="V5" s="64"/>
      <c r="W5" s="138"/>
    </row>
    <row r="6" spans="1:23" ht="15.75" x14ac:dyDescent="0.25">
      <c r="A6" s="45"/>
      <c r="B6" s="341" t="str">
        <f>"II-I-1-TBILLTDCS:  CLASS REVENUE REQUIREMENT"</f>
        <v>II-I-1-TBILLTDCS:  CLASS REVENUE REQUIREMENT</v>
      </c>
      <c r="C6" s="752"/>
      <c r="D6" s="830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138"/>
    </row>
    <row r="7" spans="1:23" ht="15.75" x14ac:dyDescent="0.25">
      <c r="A7" s="45"/>
      <c r="B7" s="341" t="str">
        <f>'WP II-I-1.1'!B6</f>
        <v>TEST YEAR ENDING 12/31/2024</v>
      </c>
      <c r="C7" s="752"/>
      <c r="D7" s="830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138"/>
    </row>
    <row r="8" spans="1:23" ht="15.75" x14ac:dyDescent="0.25">
      <c r="A8" s="45"/>
      <c r="B8" s="341" t="str">
        <f>'WP II-I-2.2'!$B$7</f>
        <v>SPONSOR:  MATTHEW A. TROXLE</v>
      </c>
      <c r="C8" s="752"/>
      <c r="D8" s="830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138"/>
    </row>
    <row r="9" spans="1:23" ht="16.5" thickBot="1" x14ac:dyDescent="0.3">
      <c r="A9" s="45"/>
      <c r="B9" s="345"/>
      <c r="C9" s="752"/>
      <c r="D9" s="830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138"/>
    </row>
    <row r="10" spans="1:23" ht="15.75" thickBot="1" x14ac:dyDescent="0.25">
      <c r="A10" s="45"/>
      <c r="B10" s="174"/>
      <c r="C10" s="175"/>
      <c r="D10" s="176"/>
      <c r="E10" s="177"/>
      <c r="F10" s="177"/>
      <c r="G10" s="177"/>
      <c r="H10" s="177"/>
      <c r="I10" s="406"/>
      <c r="J10" s="13"/>
      <c r="K10" s="177"/>
      <c r="L10" s="13"/>
      <c r="M10" s="177"/>
      <c r="N10" s="177"/>
      <c r="O10" s="177"/>
      <c r="P10" s="177"/>
      <c r="Q10" s="13"/>
      <c r="R10" s="328" t="str">
        <f>" "</f>
        <v xml:space="preserve"> </v>
      </c>
      <c r="S10" s="329"/>
      <c r="T10" s="177"/>
      <c r="U10" s="12"/>
      <c r="V10" s="64"/>
      <c r="W10" s="138"/>
    </row>
    <row r="11" spans="1:23" ht="15.75" x14ac:dyDescent="0.25">
      <c r="A11" s="45"/>
      <c r="B11" s="174" t="s">
        <v>2</v>
      </c>
      <c r="C11" s="179"/>
      <c r="D11" s="180" t="s">
        <v>678</v>
      </c>
      <c r="E11" s="181" t="s">
        <v>350</v>
      </c>
      <c r="F11" s="226" t="s">
        <v>906</v>
      </c>
      <c r="G11" s="181"/>
      <c r="H11" s="181"/>
      <c r="I11" s="330"/>
      <c r="J11" s="14" t="s">
        <v>679</v>
      </c>
      <c r="K11" s="181" t="s">
        <v>388</v>
      </c>
      <c r="L11" s="14" t="s">
        <v>388</v>
      </c>
      <c r="M11" s="181" t="s">
        <v>389</v>
      </c>
      <c r="N11" s="181" t="s">
        <v>389</v>
      </c>
      <c r="O11" s="181" t="s">
        <v>389</v>
      </c>
      <c r="P11" s="181" t="s">
        <v>390</v>
      </c>
      <c r="Q11" s="14" t="s">
        <v>391</v>
      </c>
      <c r="R11" s="331" t="s">
        <v>386</v>
      </c>
      <c r="S11" s="12" t="s">
        <v>386</v>
      </c>
      <c r="T11" s="181"/>
      <c r="U11" s="14" t="s">
        <v>10</v>
      </c>
      <c r="V11" s="64"/>
      <c r="W11" s="138"/>
    </row>
    <row r="12" spans="1:23" ht="15" x14ac:dyDescent="0.2">
      <c r="A12" s="45"/>
      <c r="B12" s="174"/>
      <c r="C12" s="179"/>
      <c r="D12" s="181"/>
      <c r="E12" s="181"/>
      <c r="F12" s="181"/>
      <c r="G12" s="181"/>
      <c r="H12" s="181"/>
      <c r="I12" s="330"/>
      <c r="J12" s="14"/>
      <c r="K12" s="181" t="s">
        <v>680</v>
      </c>
      <c r="L12" s="14" t="s">
        <v>681</v>
      </c>
      <c r="M12" s="181" t="s">
        <v>680</v>
      </c>
      <c r="N12" s="181" t="s">
        <v>681</v>
      </c>
      <c r="O12" s="181" t="s">
        <v>393</v>
      </c>
      <c r="P12" s="181"/>
      <c r="Q12" s="14"/>
      <c r="R12" s="174" t="s">
        <v>411</v>
      </c>
      <c r="S12" s="14" t="s">
        <v>394</v>
      </c>
      <c r="T12" s="181"/>
      <c r="U12" s="14"/>
      <c r="V12" s="64"/>
      <c r="W12" s="138"/>
    </row>
    <row r="13" spans="1:23" ht="15.75" thickBot="1" x14ac:dyDescent="0.25">
      <c r="A13" s="45"/>
      <c r="B13" s="182"/>
      <c r="C13" s="182"/>
      <c r="D13" s="184"/>
      <c r="E13" s="184"/>
      <c r="F13" s="15" t="s">
        <v>13</v>
      </c>
      <c r="G13" s="15" t="s">
        <v>14</v>
      </c>
      <c r="H13" s="15" t="s">
        <v>15</v>
      </c>
      <c r="I13" s="182"/>
      <c r="J13" s="15" t="s">
        <v>16</v>
      </c>
      <c r="K13" s="182" t="s">
        <v>17</v>
      </c>
      <c r="L13" s="15" t="s">
        <v>18</v>
      </c>
      <c r="M13" s="15" t="s">
        <v>19</v>
      </c>
      <c r="N13" s="15" t="s">
        <v>20</v>
      </c>
      <c r="O13" s="15" t="s">
        <v>21</v>
      </c>
      <c r="P13" s="15" t="s">
        <v>22</v>
      </c>
      <c r="Q13" s="15" t="s">
        <v>397</v>
      </c>
      <c r="R13" s="182" t="s">
        <v>398</v>
      </c>
      <c r="S13" s="15" t="s">
        <v>682</v>
      </c>
      <c r="T13" s="15"/>
      <c r="U13" s="15" t="s">
        <v>683</v>
      </c>
      <c r="V13" s="64"/>
      <c r="W13" s="138"/>
    </row>
    <row r="14" spans="1:23" ht="15" x14ac:dyDescent="0.2">
      <c r="A14" s="45"/>
      <c r="B14" s="64"/>
      <c r="C14" s="11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1"/>
      <c r="V14" s="64"/>
      <c r="W14" s="138"/>
    </row>
    <row r="15" spans="1:23" ht="15.75" x14ac:dyDescent="0.25">
      <c r="A15" s="45"/>
      <c r="B15" s="16">
        <f t="shared" ref="B15:B24" si="0">B14+1</f>
        <v>1</v>
      </c>
      <c r="C15" s="11"/>
      <c r="D15" s="186" t="s">
        <v>592</v>
      </c>
      <c r="E15" s="55" t="s">
        <v>236</v>
      </c>
      <c r="F15" s="98">
        <f>F661+F709</f>
        <v>189681.03</v>
      </c>
      <c r="G15" s="185"/>
      <c r="H15" s="185"/>
      <c r="I15" s="185"/>
      <c r="J15" s="98">
        <f t="shared" ref="J15:Q15" ca="1" si="1">J661+J709</f>
        <v>27.561199718379211</v>
      </c>
      <c r="K15" s="98">
        <f t="shared" ca="1" si="1"/>
        <v>0.52070457405819093</v>
      </c>
      <c r="L15" s="98">
        <f t="shared" ca="1" si="1"/>
        <v>17.702674967076518</v>
      </c>
      <c r="M15" s="98">
        <f t="shared" ca="1" si="1"/>
        <v>8.2838024879358495E-3</v>
      </c>
      <c r="N15" s="98">
        <f t="shared" ca="1" si="1"/>
        <v>5.207091209131903</v>
      </c>
      <c r="O15" s="98">
        <f ca="1">O661+O709</f>
        <v>2.2381102943078912</v>
      </c>
      <c r="P15" s="98">
        <f t="shared" ca="1" si="1"/>
        <v>0</v>
      </c>
      <c r="Q15" s="98">
        <f t="shared" ca="1" si="1"/>
        <v>189627.43743111237</v>
      </c>
      <c r="R15" s="98">
        <f ca="1">R661+R709</f>
        <v>0.15470692749697321</v>
      </c>
      <c r="S15" s="98">
        <f ca="1">S661+S709</f>
        <v>0.19979739468472471</v>
      </c>
      <c r="T15" s="185"/>
      <c r="U15" s="98">
        <f ca="1">SUM(I15:T15)</f>
        <v>189681.03</v>
      </c>
      <c r="V15" s="64"/>
      <c r="W15" s="643">
        <f ca="1">F15-U15</f>
        <v>0</v>
      </c>
    </row>
    <row r="16" spans="1:23" ht="15.75" x14ac:dyDescent="0.25">
      <c r="A16" s="45"/>
      <c r="B16" s="16">
        <f t="shared" si="0"/>
        <v>2</v>
      </c>
      <c r="C16" s="11"/>
      <c r="D16" s="186" t="s">
        <v>593</v>
      </c>
      <c r="E16" s="55" t="s">
        <v>236</v>
      </c>
      <c r="F16" s="98">
        <f>F729+F739+F749</f>
        <v>17097126.300000001</v>
      </c>
      <c r="G16" s="185"/>
      <c r="H16" s="185"/>
      <c r="I16" s="185"/>
      <c r="J16" s="98">
        <f t="shared" ref="J16:Q16" si="2">J729+J739+J749</f>
        <v>8911343.1724822111</v>
      </c>
      <c r="K16" s="98">
        <f t="shared" si="2"/>
        <v>1100131.8068272776</v>
      </c>
      <c r="L16" s="98">
        <f t="shared" si="2"/>
        <v>5033112.3178909924</v>
      </c>
      <c r="M16" s="98">
        <f t="shared" si="2"/>
        <v>173119.82975270355</v>
      </c>
      <c r="N16" s="98">
        <f t="shared" si="2"/>
        <v>1530953.5045840617</v>
      </c>
      <c r="O16" s="98">
        <f>O729+O739+O749</f>
        <v>85191.226735892997</v>
      </c>
      <c r="P16" s="98">
        <f t="shared" si="2"/>
        <v>202491.26270646564</v>
      </c>
      <c r="Q16" s="98">
        <f t="shared" si="2"/>
        <v>43791.364060050364</v>
      </c>
      <c r="R16" s="98">
        <f>R729+R739+R749</f>
        <v>4801.717144855038</v>
      </c>
      <c r="S16" s="98">
        <f>S729+S739+S749</f>
        <v>12190.097815487641</v>
      </c>
      <c r="T16" s="185"/>
      <c r="U16" s="98">
        <f>SUM(I16:T16)</f>
        <v>17097126.299999997</v>
      </c>
      <c r="V16" s="64"/>
      <c r="W16" s="643">
        <f t="shared" ref="W16:W33" si="3">F16-U16</f>
        <v>0</v>
      </c>
    </row>
    <row r="17" spans="1:23" ht="17.25" x14ac:dyDescent="0.35">
      <c r="A17" s="45"/>
      <c r="B17" s="16">
        <f t="shared" si="0"/>
        <v>3</v>
      </c>
      <c r="C17" s="11"/>
      <c r="D17" s="559" t="s">
        <v>594</v>
      </c>
      <c r="E17" s="1005" t="s">
        <v>236</v>
      </c>
      <c r="F17" s="205">
        <f>F783</f>
        <v>40849531.700000003</v>
      </c>
      <c r="G17" s="185"/>
      <c r="H17" s="185"/>
      <c r="I17" s="185"/>
      <c r="J17" s="204">
        <f t="shared" ref="J17:Q17" ca="1" si="4">J783</f>
        <v>21221743.417999078</v>
      </c>
      <c r="K17" s="204">
        <f t="shared" ca="1" si="4"/>
        <v>2605710.016297291</v>
      </c>
      <c r="L17" s="204">
        <f t="shared" ca="1" si="4"/>
        <v>11764408.923019744</v>
      </c>
      <c r="M17" s="204">
        <f t="shared" ca="1" si="4"/>
        <v>404946.70530260797</v>
      </c>
      <c r="N17" s="204">
        <f t="shared" ca="1" si="4"/>
        <v>3572683.1706997268</v>
      </c>
      <c r="O17" s="204">
        <f ca="1">O783</f>
        <v>197893.06840715962</v>
      </c>
      <c r="P17" s="204">
        <f t="shared" ca="1" si="4"/>
        <v>469983.11794811714</v>
      </c>
      <c r="Q17" s="204">
        <f t="shared" ca="1" si="4"/>
        <v>572452.80452077754</v>
      </c>
      <c r="R17" s="204">
        <f ca="1">R783</f>
        <v>11221.910173299204</v>
      </c>
      <c r="S17" s="204">
        <f ca="1">S783</f>
        <v>28488.565632192382</v>
      </c>
      <c r="T17" s="185"/>
      <c r="U17" s="204">
        <f ca="1">SUM(I17:T17)</f>
        <v>40849531.699999996</v>
      </c>
      <c r="V17" s="64"/>
      <c r="W17" s="643">
        <f t="shared" ca="1" si="3"/>
        <v>0</v>
      </c>
    </row>
    <row r="18" spans="1:23" ht="15.75" x14ac:dyDescent="0.25">
      <c r="A18" s="229"/>
      <c r="B18" s="16">
        <f t="shared" si="0"/>
        <v>4</v>
      </c>
      <c r="C18" s="138"/>
      <c r="D18" s="186" t="s">
        <v>458</v>
      </c>
      <c r="E18" s="1005"/>
      <c r="F18" s="805">
        <f>SUM(F15:F17)</f>
        <v>58136339.030000001</v>
      </c>
      <c r="G18" s="55"/>
      <c r="H18" s="19"/>
      <c r="I18" s="55"/>
      <c r="J18" s="51">
        <f t="shared" ref="J18:Q18" ca="1" si="5">SUM(J15:J17)</f>
        <v>30133114.151681006</v>
      </c>
      <c r="K18" s="51">
        <f t="shared" ca="1" si="5"/>
        <v>3705842.3438291429</v>
      </c>
      <c r="L18" s="51">
        <f t="shared" ca="1" si="5"/>
        <v>16797538.943585705</v>
      </c>
      <c r="M18" s="51">
        <f t="shared" ca="1" si="5"/>
        <v>578066.54333911394</v>
      </c>
      <c r="N18" s="51">
        <f t="shared" ca="1" si="5"/>
        <v>5103641.8823749982</v>
      </c>
      <c r="O18" s="51">
        <f ca="1">SUM(O15:O17)</f>
        <v>283086.53325334692</v>
      </c>
      <c r="P18" s="51">
        <f t="shared" ca="1" si="5"/>
        <v>672474.38065458275</v>
      </c>
      <c r="Q18" s="51">
        <f t="shared" ca="1" si="5"/>
        <v>805871.60601194028</v>
      </c>
      <c r="R18" s="51">
        <f ca="1">SUM(R15:R17)</f>
        <v>16023.782025081739</v>
      </c>
      <c r="S18" s="51">
        <f ca="1">SUM(S15:S17)</f>
        <v>40678.86324507471</v>
      </c>
      <c r="T18" s="48"/>
      <c r="U18" s="190">
        <f ca="1">SUM(I18:T18)</f>
        <v>58136339.029999994</v>
      </c>
      <c r="V18" t="b">
        <f ca="1">'WP II-I-1.1'!$I$495=U18</f>
        <v>1</v>
      </c>
      <c r="W18" s="643">
        <f t="shared" ca="1" si="3"/>
        <v>0</v>
      </c>
    </row>
    <row r="19" spans="1:23" ht="15.75" x14ac:dyDescent="0.25">
      <c r="A19" s="229"/>
      <c r="B19" s="16">
        <f t="shared" si="0"/>
        <v>5</v>
      </c>
      <c r="C19" s="138"/>
      <c r="D19" s="186"/>
      <c r="E19" s="1005"/>
      <c r="F19" s="18"/>
      <c r="G19" s="55"/>
      <c r="H19" s="19"/>
      <c r="I19" s="55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98"/>
      <c r="W19" s="643">
        <f t="shared" si="3"/>
        <v>0</v>
      </c>
    </row>
    <row r="20" spans="1:23" ht="15.75" x14ac:dyDescent="0.25">
      <c r="A20" s="229"/>
      <c r="B20" s="16">
        <f t="shared" si="0"/>
        <v>6</v>
      </c>
      <c r="C20" s="138"/>
      <c r="D20" s="154" t="s">
        <v>590</v>
      </c>
      <c r="E20" s="1005" t="s">
        <v>280</v>
      </c>
      <c r="F20" s="18">
        <f>F1065</f>
        <v>39993573.500000007</v>
      </c>
      <c r="G20" s="55"/>
      <c r="H20" s="19"/>
      <c r="I20" s="55"/>
      <c r="J20" s="48">
        <f t="shared" ref="J20:Q20" ca="1" si="6">J1065</f>
        <v>19713789.410575829</v>
      </c>
      <c r="K20" s="48">
        <f t="shared" ca="1" si="6"/>
        <v>2750719.7990622539</v>
      </c>
      <c r="L20" s="48">
        <f t="shared" ca="1" si="6"/>
        <v>10750842.641179133</v>
      </c>
      <c r="M20" s="48">
        <f t="shared" ca="1" si="6"/>
        <v>452236.05642088241</v>
      </c>
      <c r="N20" s="48">
        <f t="shared" ca="1" si="6"/>
        <v>3481177.0861694608</v>
      </c>
      <c r="O20" s="48">
        <f ca="1">O1065</f>
        <v>114220.04704807984</v>
      </c>
      <c r="P20" s="48">
        <f t="shared" ca="1" si="6"/>
        <v>238250.40488556543</v>
      </c>
      <c r="Q20" s="48">
        <f t="shared" ca="1" si="6"/>
        <v>2447703.7766578086</v>
      </c>
      <c r="R20" s="48">
        <f ca="1">R1065</f>
        <v>12613.256729235814</v>
      </c>
      <c r="S20" s="48">
        <f ca="1">S1065</f>
        <v>32021.021271754009</v>
      </c>
      <c r="T20" s="48"/>
      <c r="U20" s="98">
        <f ca="1">SUM(I20:T20)</f>
        <v>39993573.499999993</v>
      </c>
      <c r="W20" s="643">
        <f t="shared" ca="1" si="3"/>
        <v>0</v>
      </c>
    </row>
    <row r="21" spans="1:23" ht="17.25" x14ac:dyDescent="0.35">
      <c r="A21" s="229"/>
      <c r="B21" s="16">
        <f t="shared" si="0"/>
        <v>7</v>
      </c>
      <c r="C21" s="138"/>
      <c r="D21" s="560" t="s">
        <v>591</v>
      </c>
      <c r="E21" s="1005" t="s">
        <v>313</v>
      </c>
      <c r="F21" s="810">
        <f>F1067+F1068</f>
        <v>0</v>
      </c>
      <c r="G21" s="55"/>
      <c r="H21" s="19"/>
      <c r="I21" s="55"/>
      <c r="J21" s="557">
        <f t="shared" ref="J21:Q21" ca="1" si="7">J1067+J1068</f>
        <v>0</v>
      </c>
      <c r="K21" s="557">
        <f t="shared" ca="1" si="7"/>
        <v>0</v>
      </c>
      <c r="L21" s="557">
        <f t="shared" ca="1" si="7"/>
        <v>0</v>
      </c>
      <c r="M21" s="557">
        <f t="shared" ca="1" si="7"/>
        <v>0</v>
      </c>
      <c r="N21" s="557">
        <f t="shared" ca="1" si="7"/>
        <v>0</v>
      </c>
      <c r="O21" s="557">
        <f ca="1">O1067+O1068</f>
        <v>0</v>
      </c>
      <c r="P21" s="557">
        <f t="shared" ca="1" si="7"/>
        <v>0</v>
      </c>
      <c r="Q21" s="557">
        <f t="shared" ca="1" si="7"/>
        <v>0</v>
      </c>
      <c r="R21" s="557">
        <f ca="1">R1067+R1068</f>
        <v>0</v>
      </c>
      <c r="S21" s="557">
        <f ca="1">S1067+S1068</f>
        <v>0</v>
      </c>
      <c r="T21" s="48"/>
      <c r="U21" s="204">
        <f ca="1">SUM(I21:T21)</f>
        <v>0</v>
      </c>
      <c r="W21" s="643">
        <f t="shared" ca="1" si="3"/>
        <v>0</v>
      </c>
    </row>
    <row r="22" spans="1:23" ht="15.75" x14ac:dyDescent="0.25">
      <c r="A22" s="229"/>
      <c r="B22" s="16">
        <f t="shared" si="0"/>
        <v>8</v>
      </c>
      <c r="C22" s="138"/>
      <c r="D22" s="11" t="s">
        <v>459</v>
      </c>
      <c r="E22" s="1005"/>
      <c r="F22" s="805">
        <f>SUM(F20:F21)</f>
        <v>39993573.500000007</v>
      </c>
      <c r="G22" s="55"/>
      <c r="H22" s="55"/>
      <c r="I22" s="55"/>
      <c r="J22" s="51">
        <f t="shared" ref="J22:Q22" ca="1" si="8">SUM(J20:J21)</f>
        <v>19713789.410575829</v>
      </c>
      <c r="K22" s="51">
        <f t="shared" ca="1" si="8"/>
        <v>2750719.7990622539</v>
      </c>
      <c r="L22" s="51">
        <f t="shared" ca="1" si="8"/>
        <v>10750842.641179133</v>
      </c>
      <c r="M22" s="51">
        <f t="shared" ca="1" si="8"/>
        <v>452236.05642088241</v>
      </c>
      <c r="N22" s="51">
        <f t="shared" ca="1" si="8"/>
        <v>3481177.0861694608</v>
      </c>
      <c r="O22" s="51">
        <f ca="1">SUM(O20:O21)</f>
        <v>114220.04704807984</v>
      </c>
      <c r="P22" s="51">
        <f t="shared" ca="1" si="8"/>
        <v>238250.40488556543</v>
      </c>
      <c r="Q22" s="51">
        <f t="shared" ca="1" si="8"/>
        <v>2447703.7766578086</v>
      </c>
      <c r="R22" s="51">
        <f ca="1">SUM(R20:R21)</f>
        <v>12613.256729235814</v>
      </c>
      <c r="S22" s="51">
        <f ca="1">SUM(S20:S21)</f>
        <v>32021.021271754009</v>
      </c>
      <c r="T22" s="48"/>
      <c r="U22" s="190">
        <f ca="1">SUM(I22:T22)</f>
        <v>39993573.499999993</v>
      </c>
      <c r="V22" s="612" t="b">
        <f ca="1">'WP II-I-1.1'!$I$496=U22</f>
        <v>1</v>
      </c>
      <c r="W22" s="643">
        <f t="shared" ca="1" si="3"/>
        <v>0</v>
      </c>
    </row>
    <row r="23" spans="1:23" ht="15.75" x14ac:dyDescent="0.25">
      <c r="A23" s="229"/>
      <c r="B23" s="16">
        <f t="shared" si="0"/>
        <v>9</v>
      </c>
      <c r="C23" s="138"/>
      <c r="D23" s="11"/>
      <c r="E23" s="1005"/>
      <c r="F23" s="18"/>
      <c r="G23" s="55"/>
      <c r="H23" s="55"/>
      <c r="I23" s="5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98"/>
      <c r="W23" s="643">
        <f t="shared" si="3"/>
        <v>0</v>
      </c>
    </row>
    <row r="24" spans="1:23" ht="15.75" x14ac:dyDescent="0.25">
      <c r="A24" s="229"/>
      <c r="B24" s="16">
        <f t="shared" si="0"/>
        <v>10</v>
      </c>
      <c r="C24" s="138"/>
      <c r="D24" s="11" t="s">
        <v>343</v>
      </c>
      <c r="E24" s="1005" t="s">
        <v>288</v>
      </c>
      <c r="F24" s="18">
        <f>+F1103</f>
        <v>3557512.7199999979</v>
      </c>
      <c r="G24" s="55"/>
      <c r="H24" s="55"/>
      <c r="I24" s="55"/>
      <c r="J24" s="48">
        <f t="shared" ref="J24:Q24" ca="1" si="9">+J1103</f>
        <v>1755406.2004838458</v>
      </c>
      <c r="K24" s="48">
        <f t="shared" ca="1" si="9"/>
        <v>244120.53770243903</v>
      </c>
      <c r="L24" s="48">
        <f t="shared" ca="1" si="9"/>
        <v>958581.12362197612</v>
      </c>
      <c r="M24" s="48">
        <f t="shared" ca="1" si="9"/>
        <v>40091.56114808745</v>
      </c>
      <c r="N24" s="48">
        <f t="shared" ca="1" si="9"/>
        <v>309761.07432131341</v>
      </c>
      <c r="O24" s="48">
        <f ca="1">+O1103</f>
        <v>10363.499133782501</v>
      </c>
      <c r="P24" s="48">
        <f t="shared" ca="1" si="9"/>
        <v>21865.026622390542</v>
      </c>
      <c r="Q24" s="48">
        <f t="shared" ca="1" si="9"/>
        <v>213393.02577702951</v>
      </c>
      <c r="R24" s="48">
        <f ca="1">+R1103</f>
        <v>1111.5030820204738</v>
      </c>
      <c r="S24" s="48">
        <f ca="1">+S1103</f>
        <v>2819.1681071142948</v>
      </c>
      <c r="T24" s="48"/>
      <c r="U24" s="98">
        <f ca="1">SUM(I24:T24)</f>
        <v>3557512.7199999988</v>
      </c>
      <c r="V24" s="612">
        <f ca="1">'WP II-I-1.1'!$I$497-U24</f>
        <v>0</v>
      </c>
      <c r="W24" s="643">
        <f t="shared" ca="1" si="3"/>
        <v>0</v>
      </c>
    </row>
    <row r="25" spans="1:23" ht="15.75" x14ac:dyDescent="0.25">
      <c r="A25" s="229"/>
      <c r="B25" s="16">
        <f t="shared" ref="B25:B30" si="10">B24+1</f>
        <v>11</v>
      </c>
      <c r="C25" s="138"/>
      <c r="D25" s="186" t="s">
        <v>460</v>
      </c>
      <c r="E25" s="1005" t="s">
        <v>299</v>
      </c>
      <c r="F25" s="18">
        <f>+F1162</f>
        <v>2876698.2188438536</v>
      </c>
      <c r="G25" s="55"/>
      <c r="H25" s="55"/>
      <c r="I25" s="55"/>
      <c r="J25" s="48">
        <f t="shared" ref="J25:Q25" ca="1" si="11">+J1162</f>
        <v>1412861.305467905</v>
      </c>
      <c r="K25" s="48">
        <f t="shared" ca="1" si="11"/>
        <v>198475.47045895652</v>
      </c>
      <c r="L25" s="48">
        <f t="shared" ca="1" si="11"/>
        <v>769974.21524807287</v>
      </c>
      <c r="M25" s="48">
        <f t="shared" ca="1" si="11"/>
        <v>32705.505162742433</v>
      </c>
      <c r="N25" s="48">
        <f t="shared" ca="1" si="11"/>
        <v>249979.64170885924</v>
      </c>
      <c r="O25" s="48">
        <f ca="1">+O1162</f>
        <v>7879.6008511555829</v>
      </c>
      <c r="P25" s="48">
        <f t="shared" ca="1" si="11"/>
        <v>16607.116578404602</v>
      </c>
      <c r="Q25" s="48">
        <f t="shared" ca="1" si="11"/>
        <v>185104.67007146263</v>
      </c>
      <c r="R25" s="48">
        <f ca="1">+R1162</f>
        <v>881.8027733468241</v>
      </c>
      <c r="S25" s="48">
        <f ca="1">+S1162</f>
        <v>2228.890522947363</v>
      </c>
      <c r="T25" s="48"/>
      <c r="U25" s="98">
        <f ca="1">SUM(I25:T25)</f>
        <v>2876698.2188438531</v>
      </c>
      <c r="V25" s="612">
        <f ca="1">'WP II-I-1.1'!$I$498-U25</f>
        <v>0</v>
      </c>
      <c r="W25" s="643">
        <f t="shared" ca="1" si="3"/>
        <v>0</v>
      </c>
    </row>
    <row r="26" spans="1:23" ht="15.75" x14ac:dyDescent="0.25">
      <c r="A26" s="229"/>
      <c r="B26" s="16">
        <f t="shared" si="10"/>
        <v>12</v>
      </c>
      <c r="C26" s="138"/>
      <c r="D26" s="122"/>
      <c r="E26" s="121"/>
      <c r="F26" s="18"/>
      <c r="G26" s="187"/>
      <c r="H26" s="187"/>
      <c r="I26" s="18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W26" s="643">
        <f t="shared" si="3"/>
        <v>0</v>
      </c>
    </row>
    <row r="27" spans="1:23" ht="15.75" x14ac:dyDescent="0.25">
      <c r="A27" s="229"/>
      <c r="B27" s="16">
        <f t="shared" si="10"/>
        <v>13</v>
      </c>
      <c r="C27" s="138"/>
      <c r="D27" s="11" t="s">
        <v>461</v>
      </c>
      <c r="E27" s="1005" t="s">
        <v>462</v>
      </c>
      <c r="F27" s="18">
        <f>+F83</f>
        <v>17186005.438984018</v>
      </c>
      <c r="G27" s="55"/>
      <c r="H27" s="55"/>
      <c r="I27" s="55"/>
      <c r="J27" s="48">
        <f t="shared" ref="J27:Q27" ca="1" si="12">+J83</f>
        <v>8471555.3926066291</v>
      </c>
      <c r="K27" s="48">
        <f t="shared" ca="1" si="12"/>
        <v>1178975.0708231817</v>
      </c>
      <c r="L27" s="48">
        <f t="shared" ca="1" si="12"/>
        <v>4629668.9748669351</v>
      </c>
      <c r="M27" s="48">
        <f t="shared" ca="1" si="12"/>
        <v>193678.97595298479</v>
      </c>
      <c r="N27" s="48">
        <f t="shared" ca="1" si="12"/>
        <v>1495538.8550142425</v>
      </c>
      <c r="O27" s="48">
        <f ca="1">+O83</f>
        <v>49840.499920072703</v>
      </c>
      <c r="P27" s="48">
        <f t="shared" ca="1" si="12"/>
        <v>106709.78835241777</v>
      </c>
      <c r="Q27" s="48">
        <f t="shared" ca="1" si="12"/>
        <v>1041574.9393666255</v>
      </c>
      <c r="R27" s="48">
        <f ca="1">+R83</f>
        <v>5232.6037035050067</v>
      </c>
      <c r="S27" s="48">
        <f ca="1">+S83</f>
        <v>13230.338377419092</v>
      </c>
      <c r="T27" s="48"/>
      <c r="U27" s="98">
        <f ca="1">SUM(I27:T27)</f>
        <v>17186005.438984014</v>
      </c>
      <c r="V27" t="b">
        <f ca="1">ROUND('WP II-I-1.1'!$I$494,0)=ROUND(U27,0)</f>
        <v>1</v>
      </c>
      <c r="W27" s="643">
        <f t="shared" ca="1" si="3"/>
        <v>0</v>
      </c>
    </row>
    <row r="28" spans="1:23" ht="15.75" x14ac:dyDescent="0.25">
      <c r="A28" s="229"/>
      <c r="B28" s="16">
        <f t="shared" si="10"/>
        <v>14</v>
      </c>
      <c r="C28" s="138"/>
      <c r="D28" s="186"/>
      <c r="E28" s="121"/>
      <c r="F28" s="1"/>
      <c r="G28" s="187"/>
      <c r="H28" s="187"/>
      <c r="I28" s="187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8"/>
      <c r="W28" s="643">
        <f t="shared" si="3"/>
        <v>0</v>
      </c>
    </row>
    <row r="29" spans="1:23" ht="15.75" x14ac:dyDescent="0.25">
      <c r="A29" s="229"/>
      <c r="B29" s="16">
        <f t="shared" si="10"/>
        <v>15</v>
      </c>
      <c r="C29" s="188"/>
      <c r="D29" s="189" t="s">
        <v>463</v>
      </c>
      <c r="E29" s="121"/>
      <c r="F29" s="805">
        <f>+F18+F22+F24+F25+F27</f>
        <v>121750128.90782787</v>
      </c>
      <c r="G29" s="187"/>
      <c r="H29" s="187"/>
      <c r="I29" s="187"/>
      <c r="J29" s="51">
        <f t="shared" ref="J29:Q29" ca="1" si="13">+J18+J22+J24+J25+J27</f>
        <v>61486726.460815214</v>
      </c>
      <c r="K29" s="51">
        <f t="shared" ca="1" si="13"/>
        <v>8078133.221875974</v>
      </c>
      <c r="L29" s="51">
        <f t="shared" ca="1" si="13"/>
        <v>33906605.898501828</v>
      </c>
      <c r="M29" s="51">
        <f t="shared" ca="1" si="13"/>
        <v>1296778.6420238111</v>
      </c>
      <c r="N29" s="51">
        <f t="shared" ca="1" si="13"/>
        <v>10640098.539588872</v>
      </c>
      <c r="O29" s="51">
        <f ca="1">+O18+O22+O24+O25+O27</f>
        <v>465390.1802064376</v>
      </c>
      <c r="P29" s="51">
        <f t="shared" ca="1" si="13"/>
        <v>1055906.7170933611</v>
      </c>
      <c r="Q29" s="51">
        <f t="shared" ca="1" si="13"/>
        <v>4693648.0178848663</v>
      </c>
      <c r="R29" s="51">
        <f ca="1">+R18+R22+R24+R25+R27</f>
        <v>35862.94831318986</v>
      </c>
      <c r="S29" s="51">
        <f ca="1">+S18+S22+S24+S25+S27</f>
        <v>90978.281524309466</v>
      </c>
      <c r="T29" s="51"/>
      <c r="U29" s="190">
        <f ca="1">SUM(I29:T29)</f>
        <v>121750128.90782787</v>
      </c>
      <c r="V29" t="b">
        <f ca="1">'WP II-I-1.1'!$I$509=U29</f>
        <v>1</v>
      </c>
      <c r="W29" s="643">
        <f t="shared" ca="1" si="3"/>
        <v>0</v>
      </c>
    </row>
    <row r="30" spans="1:23" ht="15.75" x14ac:dyDescent="0.25">
      <c r="A30" s="229"/>
      <c r="B30" s="16">
        <f t="shared" si="10"/>
        <v>16</v>
      </c>
      <c r="C30" s="138"/>
      <c r="D30" s="11"/>
      <c r="E30" s="1005"/>
      <c r="F30" s="1"/>
      <c r="G30" s="55"/>
      <c r="H30" s="55"/>
      <c r="I30" s="5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W30" s="643"/>
    </row>
    <row r="31" spans="1:23" ht="15.75" x14ac:dyDescent="0.25">
      <c r="A31" s="229"/>
      <c r="B31" s="16">
        <f>B30+1</f>
        <v>17</v>
      </c>
      <c r="C31" s="138"/>
      <c r="D31" s="11" t="s">
        <v>464</v>
      </c>
      <c r="E31" s="1005" t="s">
        <v>318</v>
      </c>
      <c r="F31" s="18">
        <f>+F1222</f>
        <v>85782</v>
      </c>
      <c r="G31" s="55"/>
      <c r="H31" s="55"/>
      <c r="I31" s="55"/>
      <c r="J31" s="48">
        <f t="shared" ref="J31:Q31" ca="1" si="14">+J1222</f>
        <v>73406.182311487879</v>
      </c>
      <c r="K31" s="48">
        <f t="shared" ca="1" si="14"/>
        <v>6088.8709227171576</v>
      </c>
      <c r="L31" s="48">
        <f t="shared" ca="1" si="14"/>
        <v>4974.9858428528742</v>
      </c>
      <c r="M31" s="48">
        <f t="shared" ca="1" si="14"/>
        <v>66.470538219749315</v>
      </c>
      <c r="N31" s="48">
        <f t="shared" ca="1" si="14"/>
        <v>148.80071362877214</v>
      </c>
      <c r="O31" s="48">
        <f ca="1">+O1222</f>
        <v>3.4560439329566628</v>
      </c>
      <c r="P31" s="48">
        <f t="shared" ca="1" si="14"/>
        <v>7.2089259951243276</v>
      </c>
      <c r="Q31" s="48">
        <f t="shared" ca="1" si="14"/>
        <v>1086.0247011654799</v>
      </c>
      <c r="R31" s="48">
        <f ca="1">+R1222</f>
        <v>0</v>
      </c>
      <c r="S31" s="48">
        <f ca="1">+S1222</f>
        <v>0</v>
      </c>
      <c r="T31" s="48"/>
      <c r="U31" s="98">
        <f ca="1">SUM(I31:T31)</f>
        <v>85781.999999999985</v>
      </c>
      <c r="V31" t="b">
        <f ca="1">'WP II-I-1.1'!$I$499=-U31</f>
        <v>1</v>
      </c>
      <c r="W31" s="643">
        <f t="shared" ca="1" si="3"/>
        <v>0</v>
      </c>
    </row>
    <row r="32" spans="1:23" ht="15.75" thickBot="1" x14ac:dyDescent="0.25">
      <c r="A32" s="229"/>
      <c r="B32" s="16">
        <f>B31+1</f>
        <v>18</v>
      </c>
      <c r="C32" s="13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W32" s="138"/>
    </row>
    <row r="33" spans="1:23" ht="16.5" thickBot="1" x14ac:dyDescent="0.3">
      <c r="A33" s="229"/>
      <c r="B33" s="16">
        <f>B32+1</f>
        <v>19</v>
      </c>
      <c r="C33" s="138"/>
      <c r="D33" s="192" t="s">
        <v>337</v>
      </c>
      <c r="E33" s="193"/>
      <c r="F33" s="194">
        <f>+F29-F31</f>
        <v>121664346.90782787</v>
      </c>
      <c r="G33" s="193"/>
      <c r="H33" s="332"/>
      <c r="I33" s="543"/>
      <c r="J33" s="381">
        <f t="shared" ref="J33:Q33" ca="1" si="15">+J29-J31</f>
        <v>61413320.278503723</v>
      </c>
      <c r="K33" s="812">
        <f t="shared" ca="1" si="15"/>
        <v>8072044.3509532567</v>
      </c>
      <c r="L33" s="812">
        <f t="shared" ca="1" si="15"/>
        <v>33901630.912658975</v>
      </c>
      <c r="M33" s="812">
        <f t="shared" ca="1" si="15"/>
        <v>1296712.1714855914</v>
      </c>
      <c r="N33" s="812">
        <f t="shared" ca="1" si="15"/>
        <v>10639949.738875244</v>
      </c>
      <c r="O33" s="812">
        <f ca="1">+O29-O31</f>
        <v>465386.72416250466</v>
      </c>
      <c r="P33" s="812">
        <f t="shared" ca="1" si="15"/>
        <v>1055899.508167366</v>
      </c>
      <c r="Q33" s="812">
        <f t="shared" ca="1" si="15"/>
        <v>4692561.9931837013</v>
      </c>
      <c r="R33" s="812">
        <f ca="1">+R29-R31</f>
        <v>35862.94831318986</v>
      </c>
      <c r="S33" s="315">
        <f ca="1">+S29-S31</f>
        <v>90978.281524309466</v>
      </c>
      <c r="T33" s="914"/>
      <c r="U33" s="195">
        <f ca="1">SUM(I33:T33)</f>
        <v>121664346.90782787</v>
      </c>
      <c r="V33" t="b">
        <f ca="1">'WP II-I-1.1'!$I$500=U33</f>
        <v>1</v>
      </c>
      <c r="W33" s="643">
        <f t="shared" ca="1" si="3"/>
        <v>0</v>
      </c>
    </row>
    <row r="34" spans="1:23" ht="15.75" x14ac:dyDescent="0.25">
      <c r="A34" s="45"/>
      <c r="B34" s="16"/>
      <c r="C34" s="138"/>
      <c r="D34" s="11"/>
      <c r="E34" s="121"/>
      <c r="F34" s="23"/>
      <c r="G34" s="121"/>
      <c r="H34" s="121"/>
      <c r="I34" s="121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64"/>
      <c r="W34" s="138"/>
    </row>
    <row r="35" spans="1:23" ht="15" x14ac:dyDescent="0.2">
      <c r="A35" s="45"/>
      <c r="B35" s="16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64"/>
      <c r="W35" s="643"/>
    </row>
    <row r="36" spans="1:23" ht="15" x14ac:dyDescent="0.2">
      <c r="A36" s="45"/>
      <c r="B36" s="16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64"/>
      <c r="W36" s="138"/>
    </row>
    <row r="37" spans="1:23" ht="15" x14ac:dyDescent="0.2">
      <c r="A37" s="45"/>
      <c r="B37" s="16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64"/>
      <c r="W37" s="138"/>
    </row>
    <row r="38" spans="1:23" ht="15" x14ac:dyDescent="0.2">
      <c r="A38" s="45"/>
      <c r="B38" s="16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64"/>
      <c r="W38" s="138"/>
    </row>
    <row r="39" spans="1:23" ht="15" x14ac:dyDescent="0.2">
      <c r="A39" s="45"/>
      <c r="B39" s="16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64"/>
      <c r="W39" s="138"/>
    </row>
    <row r="40" spans="1:23" ht="15.75" x14ac:dyDescent="0.25">
      <c r="A40" s="45"/>
      <c r="B40" s="64"/>
      <c r="C40" s="64"/>
      <c r="D40" s="64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64"/>
      <c r="V40" s="64"/>
      <c r="W40" s="138"/>
    </row>
    <row r="41" spans="1:23" ht="16.5" thickBot="1" x14ac:dyDescent="0.3">
      <c r="A41" s="45"/>
      <c r="B41" s="64"/>
      <c r="C41" s="64"/>
      <c r="D41" s="64"/>
      <c r="E41" s="121"/>
      <c r="F41" s="121"/>
      <c r="G41" s="121"/>
      <c r="H41" s="105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05"/>
      <c r="V41" s="105">
        <f>$H$2</f>
        <v>0</v>
      </c>
      <c r="W41" s="138"/>
    </row>
    <row r="42" spans="1:23" ht="15.75" x14ac:dyDescent="0.25">
      <c r="A42" s="45"/>
      <c r="B42" s="829" t="str">
        <f>+$B$4</f>
        <v>2025 RATE CASE</v>
      </c>
      <c r="C42" s="867"/>
      <c r="D42" s="868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105"/>
      <c r="V42" s="138"/>
      <c r="W42" s="138"/>
    </row>
    <row r="43" spans="1:23" ht="15.75" x14ac:dyDescent="0.25">
      <c r="A43" s="229"/>
      <c r="B43" s="826" t="str">
        <f>+$B$5</f>
        <v>ONCOR ELECTRIC DELIVERY COMPANY LLC</v>
      </c>
      <c r="C43" s="752"/>
      <c r="D43" s="869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105"/>
      <c r="V43" s="64"/>
      <c r="W43" s="138"/>
    </row>
    <row r="44" spans="1:23" ht="15.75" x14ac:dyDescent="0.25">
      <c r="A44" s="45"/>
      <c r="B44" s="826" t="str">
        <f>+$B$6</f>
        <v>II-I-1-TBILLTDCS:  CLASS REVENUE REQUIREMENT</v>
      </c>
      <c r="C44" s="752"/>
      <c r="D44" s="830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138"/>
    </row>
    <row r="45" spans="1:23" ht="15.75" x14ac:dyDescent="0.25">
      <c r="A45" s="45"/>
      <c r="B45" s="341" t="str">
        <f>+$B$7</f>
        <v>TEST YEAR ENDING 12/31/2024</v>
      </c>
      <c r="C45" s="752"/>
      <c r="D45" s="830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138"/>
    </row>
    <row r="46" spans="1:23" ht="15.75" x14ac:dyDescent="0.25">
      <c r="A46" s="45"/>
      <c r="B46" s="341" t="str">
        <f>+$B$8</f>
        <v>SPONSOR:  MATTHEW A. TROXLE</v>
      </c>
      <c r="C46" s="752"/>
      <c r="D46" s="830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138"/>
    </row>
    <row r="47" spans="1:23" ht="16.5" thickBot="1" x14ac:dyDescent="0.3">
      <c r="A47" s="45"/>
      <c r="B47" s="345"/>
      <c r="C47" s="752"/>
      <c r="D47" s="830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138"/>
    </row>
    <row r="48" spans="1:23" ht="15.75" thickBot="1" x14ac:dyDescent="0.25">
      <c r="A48" s="45"/>
      <c r="B48" s="174"/>
      <c r="C48" s="175"/>
      <c r="D48" s="198"/>
      <c r="E48" s="177"/>
      <c r="F48" s="13"/>
      <c r="G48" s="177"/>
      <c r="H48" s="177"/>
      <c r="I48" s="177"/>
      <c r="J48" s="177"/>
      <c r="K48" s="177"/>
      <c r="L48" s="13"/>
      <c r="M48" s="177"/>
      <c r="N48" s="177"/>
      <c r="O48" s="177"/>
      <c r="P48" s="177"/>
      <c r="Q48" s="13"/>
      <c r="R48" s="328" t="str">
        <f>R$10</f>
        <v xml:space="preserve"> </v>
      </c>
      <c r="S48" s="329"/>
      <c r="T48" s="177"/>
      <c r="U48" s="12"/>
      <c r="V48" s="64"/>
      <c r="W48" s="138"/>
    </row>
    <row r="49" spans="1:23" ht="15.75" x14ac:dyDescent="0.25">
      <c r="A49" s="45"/>
      <c r="B49" s="174" t="s">
        <v>2</v>
      </c>
      <c r="C49" s="179"/>
      <c r="D49" s="180" t="s">
        <v>685</v>
      </c>
      <c r="E49" s="181" t="s">
        <v>350</v>
      </c>
      <c r="F49" s="226" t="str">
        <f>F$11</f>
        <v>TBILLTDCS</v>
      </c>
      <c r="G49" s="181"/>
      <c r="H49" s="181"/>
      <c r="I49" s="181"/>
      <c r="J49" s="181" t="s">
        <v>679</v>
      </c>
      <c r="K49" s="181" t="s">
        <v>388</v>
      </c>
      <c r="L49" s="14" t="s">
        <v>388</v>
      </c>
      <c r="M49" s="181" t="s">
        <v>389</v>
      </c>
      <c r="N49" s="181" t="s">
        <v>389</v>
      </c>
      <c r="O49" s="181" t="s">
        <v>389</v>
      </c>
      <c r="P49" s="181" t="s">
        <v>390</v>
      </c>
      <c r="Q49" s="14" t="s">
        <v>391</v>
      </c>
      <c r="R49" s="331" t="str">
        <f>R$11</f>
        <v>Wholesale</v>
      </c>
      <c r="S49" s="12" t="str">
        <f>S$11</f>
        <v>Wholesale</v>
      </c>
      <c r="T49" s="181"/>
      <c r="U49" s="14" t="s">
        <v>10</v>
      </c>
      <c r="V49" s="64"/>
      <c r="W49" s="138"/>
    </row>
    <row r="50" spans="1:23" ht="15" x14ac:dyDescent="0.2">
      <c r="A50" s="45"/>
      <c r="B50" s="174"/>
      <c r="C50" s="179"/>
      <c r="D50" s="181"/>
      <c r="E50" s="181"/>
      <c r="F50" s="14"/>
      <c r="G50" s="181"/>
      <c r="H50" s="181"/>
      <c r="I50" s="181"/>
      <c r="J50" s="181"/>
      <c r="K50" s="181" t="s">
        <v>680</v>
      </c>
      <c r="L50" s="14" t="s">
        <v>681</v>
      </c>
      <c r="M50" s="181" t="s">
        <v>680</v>
      </c>
      <c r="N50" s="181" t="s">
        <v>681</v>
      </c>
      <c r="O50" s="181" t="s">
        <v>393</v>
      </c>
      <c r="P50" s="181"/>
      <c r="Q50" s="14"/>
      <c r="R50" s="174" t="str">
        <f>R$12</f>
        <v>XFMR</v>
      </c>
      <c r="S50" s="14" t="str">
        <f>S$12</f>
        <v>DLS</v>
      </c>
      <c r="T50" s="181"/>
      <c r="U50" s="14"/>
      <c r="V50" s="64"/>
      <c r="W50" s="138"/>
    </row>
    <row r="51" spans="1:23" ht="15.75" thickBot="1" x14ac:dyDescent="0.25">
      <c r="A51" s="45"/>
      <c r="B51" s="182"/>
      <c r="C51" s="182"/>
      <c r="D51" s="184"/>
      <c r="E51" s="184"/>
      <c r="F51" s="15" t="s">
        <v>13</v>
      </c>
      <c r="G51" s="15" t="s">
        <v>14</v>
      </c>
      <c r="H51" s="15" t="s">
        <v>15</v>
      </c>
      <c r="I51" s="15"/>
      <c r="J51" s="182" t="str">
        <f t="shared" ref="J51:Q51" si="16">J$13</f>
        <v>(d)</v>
      </c>
      <c r="K51" s="182" t="str">
        <f t="shared" si="16"/>
        <v>(e)</v>
      </c>
      <c r="L51" s="15" t="str">
        <f t="shared" si="16"/>
        <v>(f)</v>
      </c>
      <c r="M51" s="182" t="str">
        <f t="shared" si="16"/>
        <v>(g)</v>
      </c>
      <c r="N51" s="182" t="str">
        <f t="shared" si="16"/>
        <v>(h)</v>
      </c>
      <c r="O51" s="182" t="str">
        <f>O$13</f>
        <v>(i)</v>
      </c>
      <c r="P51" s="182" t="str">
        <f t="shared" si="16"/>
        <v>(j)</v>
      </c>
      <c r="Q51" s="182" t="str">
        <f t="shared" si="16"/>
        <v>(k)</v>
      </c>
      <c r="R51" s="182" t="str">
        <f>R$13</f>
        <v>(l)</v>
      </c>
      <c r="S51" s="15" t="str">
        <f>S$13</f>
        <v>(m)</v>
      </c>
      <c r="T51" s="15"/>
      <c r="U51" s="15" t="s">
        <v>683</v>
      </c>
      <c r="V51" s="64"/>
      <c r="W51" s="138"/>
    </row>
    <row r="52" spans="1:23" ht="15" x14ac:dyDescent="0.2">
      <c r="A52" s="45"/>
      <c r="B52" s="6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8"/>
      <c r="V52" s="64"/>
      <c r="W52" s="138"/>
    </row>
    <row r="53" spans="1:23" ht="15.75" x14ac:dyDescent="0.25">
      <c r="A53" s="45"/>
      <c r="B53" s="16">
        <f t="shared" ref="B53:B58" si="17">B52+1</f>
        <v>1</v>
      </c>
      <c r="C53" s="11"/>
      <c r="D53" s="199" t="s">
        <v>596</v>
      </c>
      <c r="E53" s="200" t="s">
        <v>24</v>
      </c>
      <c r="F53" s="98">
        <f>F106</f>
        <v>145326</v>
      </c>
      <c r="G53" s="11"/>
      <c r="H53" s="11"/>
      <c r="I53" s="11"/>
      <c r="J53" s="98">
        <f t="shared" ref="J53:Q53" ca="1" si="18">J106</f>
        <v>71634.663001077977</v>
      </c>
      <c r="K53" s="98">
        <f t="shared" ca="1" si="18"/>
        <v>9995.3835212680133</v>
      </c>
      <c r="L53" s="98">
        <f t="shared" ca="1" si="18"/>
        <v>39065.700334880006</v>
      </c>
      <c r="M53" s="98">
        <f t="shared" ca="1" si="18"/>
        <v>1643.305445946738</v>
      </c>
      <c r="N53" s="98">
        <f t="shared" ca="1" si="18"/>
        <v>12649.670858360856</v>
      </c>
      <c r="O53" s="98">
        <f ca="1">O106</f>
        <v>415.0452461395891</v>
      </c>
      <c r="P53" s="98">
        <f t="shared" ca="1" si="18"/>
        <v>865.73855022981797</v>
      </c>
      <c r="Q53" s="98">
        <f t="shared" ca="1" si="18"/>
        <v>8894.3039572738508</v>
      </c>
      <c r="R53" s="98">
        <f ca="1">R106</f>
        <v>45.833217365108013</v>
      </c>
      <c r="S53" s="98">
        <f ca="1">S106</f>
        <v>116.35586745802854</v>
      </c>
      <c r="T53" s="11"/>
      <c r="U53" s="98">
        <f ca="1">SUM(I53:T53)</f>
        <v>145326</v>
      </c>
      <c r="V53" s="64"/>
      <c r="W53" s="643">
        <f t="shared" ref="W53:W83" ca="1" si="19">F53-U53</f>
        <v>0</v>
      </c>
    </row>
    <row r="54" spans="1:23" ht="15.75" x14ac:dyDescent="0.25">
      <c r="A54" s="45"/>
      <c r="B54" s="16">
        <f t="shared" si="17"/>
        <v>2</v>
      </c>
      <c r="C54" s="11"/>
      <c r="D54" s="199" t="s">
        <v>597</v>
      </c>
      <c r="E54" s="200" t="s">
        <v>24</v>
      </c>
      <c r="F54" s="98">
        <f>F121</f>
        <v>0</v>
      </c>
      <c r="G54" s="11"/>
      <c r="H54" s="11"/>
      <c r="I54" s="11"/>
      <c r="J54" s="98">
        <f t="shared" ref="J54:Q54" ca="1" si="20">J121</f>
        <v>0</v>
      </c>
      <c r="K54" s="98">
        <f t="shared" ca="1" si="20"/>
        <v>0</v>
      </c>
      <c r="L54" s="98">
        <f t="shared" ca="1" si="20"/>
        <v>0</v>
      </c>
      <c r="M54" s="98">
        <f t="shared" ca="1" si="20"/>
        <v>0</v>
      </c>
      <c r="N54" s="98">
        <f t="shared" ca="1" si="20"/>
        <v>0</v>
      </c>
      <c r="O54" s="98">
        <f ca="1">O121</f>
        <v>0</v>
      </c>
      <c r="P54" s="98">
        <f t="shared" ca="1" si="20"/>
        <v>0</v>
      </c>
      <c r="Q54" s="98">
        <f t="shared" ca="1" si="20"/>
        <v>0</v>
      </c>
      <c r="R54" s="98">
        <f ca="1">R121</f>
        <v>0</v>
      </c>
      <c r="S54" s="98">
        <f ca="1">S121</f>
        <v>0</v>
      </c>
      <c r="T54" s="11"/>
      <c r="U54" s="98">
        <f ca="1">SUM(I54:T54)</f>
        <v>0</v>
      </c>
      <c r="V54" s="64"/>
      <c r="W54" s="643">
        <f t="shared" ca="1" si="19"/>
        <v>0</v>
      </c>
    </row>
    <row r="55" spans="1:23" ht="17.25" x14ac:dyDescent="0.35">
      <c r="A55" s="45"/>
      <c r="B55" s="16">
        <f t="shared" si="17"/>
        <v>3</v>
      </c>
      <c r="C55" s="11"/>
      <c r="D55" s="558" t="s">
        <v>595</v>
      </c>
      <c r="E55" s="200" t="s">
        <v>24</v>
      </c>
      <c r="F55" s="204">
        <f>F159</f>
        <v>334873235.67999995</v>
      </c>
      <c r="G55" s="11"/>
      <c r="H55" s="11"/>
      <c r="I55" s="11"/>
      <c r="J55" s="204">
        <f t="shared" ref="J55:Q55" ca="1" si="21">J159</f>
        <v>165067031.26775223</v>
      </c>
      <c r="K55" s="204">
        <f t="shared" ca="1" si="21"/>
        <v>23032261.409724146</v>
      </c>
      <c r="L55" s="204">
        <f t="shared" ca="1" si="21"/>
        <v>90018699.167709321</v>
      </c>
      <c r="M55" s="204">
        <f t="shared" ca="1" si="21"/>
        <v>3786652.160623353</v>
      </c>
      <c r="N55" s="204">
        <f t="shared" ca="1" si="21"/>
        <v>29148508.942834057</v>
      </c>
      <c r="O55" s="204">
        <f ca="1">O159</f>
        <v>956384.57349934755</v>
      </c>
      <c r="P55" s="204">
        <f t="shared" ca="1" si="21"/>
        <v>1994912.6072992531</v>
      </c>
      <c r="Q55" s="204">
        <f t="shared" ca="1" si="21"/>
        <v>20495054.878643345</v>
      </c>
      <c r="R55" s="204">
        <f ca="1">R159</f>
        <v>105613.02038643106</v>
      </c>
      <c r="S55" s="204">
        <f ca="1">S159</f>
        <v>268117.65152844792</v>
      </c>
      <c r="T55" s="11"/>
      <c r="U55" s="204">
        <f ca="1">SUM(I55:T55)</f>
        <v>334873235.68000001</v>
      </c>
      <c r="V55" s="64"/>
      <c r="W55" s="643">
        <f t="shared" ca="1" si="19"/>
        <v>0</v>
      </c>
    </row>
    <row r="56" spans="1:23" ht="15.75" x14ac:dyDescent="0.25">
      <c r="A56" s="229"/>
      <c r="B56" s="16">
        <f t="shared" si="17"/>
        <v>4</v>
      </c>
      <c r="C56" s="138"/>
      <c r="D56" s="199" t="s">
        <v>467</v>
      </c>
      <c r="E56" s="200"/>
      <c r="F56" s="208">
        <f>SUM(F53:F55)</f>
        <v>335018561.67999995</v>
      </c>
      <c r="G56" s="200"/>
      <c r="H56" s="200"/>
      <c r="I56" s="200"/>
      <c r="J56" s="208">
        <f t="shared" ref="J56:Q56" ca="1" si="22">SUM(J53:J55)</f>
        <v>165138665.93075332</v>
      </c>
      <c r="K56" s="208">
        <f t="shared" ca="1" si="22"/>
        <v>23042256.793245412</v>
      </c>
      <c r="L56" s="208">
        <f t="shared" ca="1" si="22"/>
        <v>90057764.868044198</v>
      </c>
      <c r="M56" s="208">
        <f t="shared" ca="1" si="22"/>
        <v>3788295.4660692997</v>
      </c>
      <c r="N56" s="208">
        <f t="shared" ca="1" si="22"/>
        <v>29161158.613692418</v>
      </c>
      <c r="O56" s="208">
        <f ca="1">SUM(O53:O55)</f>
        <v>956799.61874548718</v>
      </c>
      <c r="P56" s="208">
        <f t="shared" ca="1" si="22"/>
        <v>1995778.345849483</v>
      </c>
      <c r="Q56" s="208">
        <f t="shared" ca="1" si="22"/>
        <v>20503949.182600617</v>
      </c>
      <c r="R56" s="208">
        <f ca="1">SUM(R53:R55)</f>
        <v>105658.85360379617</v>
      </c>
      <c r="S56" s="208">
        <f ca="1">SUM(S53:S55)</f>
        <v>268234.00739590597</v>
      </c>
      <c r="T56" s="201"/>
      <c r="U56" s="190">
        <f ca="1">SUM(I56:T56)</f>
        <v>335018561.67999989</v>
      </c>
      <c r="V56" s="64"/>
      <c r="W56" s="643">
        <f t="shared" ca="1" si="19"/>
        <v>0</v>
      </c>
    </row>
    <row r="57" spans="1:23" ht="15.75" x14ac:dyDescent="0.25">
      <c r="A57" s="229"/>
      <c r="B57" s="16">
        <f t="shared" si="17"/>
        <v>5</v>
      </c>
      <c r="C57" s="138"/>
      <c r="D57" s="199"/>
      <c r="E57" s="200"/>
      <c r="F57" s="201"/>
      <c r="G57" s="200"/>
      <c r="H57" s="200"/>
      <c r="I57" s="200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98"/>
      <c r="V57" s="64"/>
      <c r="W57" s="643">
        <f t="shared" si="19"/>
        <v>0</v>
      </c>
    </row>
    <row r="58" spans="1:23" ht="15.75" x14ac:dyDescent="0.25">
      <c r="A58" s="229"/>
      <c r="B58" s="16">
        <f t="shared" si="17"/>
        <v>6</v>
      </c>
      <c r="C58" s="138"/>
      <c r="D58" s="199" t="s">
        <v>468</v>
      </c>
      <c r="E58" s="200" t="s">
        <v>86</v>
      </c>
      <c r="F58" s="201">
        <f>+F199</f>
        <v>21845189.11999999</v>
      </c>
      <c r="G58" s="200"/>
      <c r="H58" s="200"/>
      <c r="I58" s="200"/>
      <c r="J58" s="201">
        <f t="shared" ref="J58:Q58" ca="1" si="23">+J199</f>
        <v>10768016.465092374</v>
      </c>
      <c r="K58" s="201">
        <f t="shared" ca="1" si="23"/>
        <v>1502491.2496664817</v>
      </c>
      <c r="L58" s="201">
        <f t="shared" ca="1" si="23"/>
        <v>5872298.2255116133</v>
      </c>
      <c r="M58" s="201">
        <f t="shared" ca="1" si="23"/>
        <v>247019.2412137705</v>
      </c>
      <c r="N58" s="201">
        <f t="shared" ca="1" si="23"/>
        <v>1901479.7916865905</v>
      </c>
      <c r="O58" s="201">
        <f ca="1">+O199</f>
        <v>62388.986797106343</v>
      </c>
      <c r="P58" s="201">
        <f t="shared" ca="1" si="23"/>
        <v>130136.53687739976</v>
      </c>
      <c r="Q58" s="201">
        <f t="shared" ca="1" si="23"/>
        <v>1336978.6000950388</v>
      </c>
      <c r="R58" s="201">
        <f ca="1">+R199</f>
        <v>6889.5813640976367</v>
      </c>
      <c r="S58" s="201">
        <f ca="1">+S199</f>
        <v>17490.441695514135</v>
      </c>
      <c r="T58" s="201"/>
      <c r="U58" s="98">
        <f ca="1">SUM(I58:T58)</f>
        <v>21845189.119999986</v>
      </c>
      <c r="V58" s="64"/>
      <c r="W58" s="643">
        <f t="shared" ca="1" si="19"/>
        <v>0</v>
      </c>
    </row>
    <row r="59" spans="1:23" ht="17.25" x14ac:dyDescent="0.35">
      <c r="A59" s="229"/>
      <c r="B59" s="16">
        <f t="shared" ref="B59:B83" si="24">B58+1</f>
        <v>7</v>
      </c>
      <c r="C59" s="138"/>
      <c r="D59" s="199" t="s">
        <v>469</v>
      </c>
      <c r="E59" s="200" t="s">
        <v>104</v>
      </c>
      <c r="F59" s="203">
        <f>+F219</f>
        <v>51364318.699999981</v>
      </c>
      <c r="G59" s="200"/>
      <c r="H59" s="200"/>
      <c r="I59" s="200"/>
      <c r="J59" s="203">
        <f t="shared" ref="J59:Q59" ca="1" si="25">+J219</f>
        <v>25318701.817668319</v>
      </c>
      <c r="K59" s="203">
        <f t="shared" ca="1" si="25"/>
        <v>3532788.7970159375</v>
      </c>
      <c r="L59" s="203">
        <f t="shared" ca="1" si="25"/>
        <v>13807461.034085253</v>
      </c>
      <c r="M59" s="203">
        <f t="shared" ca="1" si="25"/>
        <v>580813.23814770812</v>
      </c>
      <c r="N59" s="203">
        <f t="shared" ca="1" si="25"/>
        <v>4470925.5427036416</v>
      </c>
      <c r="O59" s="203">
        <f ca="1">+O219</f>
        <v>146694.44075825252</v>
      </c>
      <c r="P59" s="203">
        <f t="shared" ca="1" si="25"/>
        <v>305988.40403561894</v>
      </c>
      <c r="Q59" s="203">
        <f t="shared" ca="1" si="25"/>
        <v>3143620.9836924234</v>
      </c>
      <c r="R59" s="203">
        <f ca="1">+R219</f>
        <v>16199.386096003356</v>
      </c>
      <c r="S59" s="203">
        <f ca="1">+S219</f>
        <v>41125.055796823253</v>
      </c>
      <c r="T59" s="203"/>
      <c r="U59" s="204">
        <f ca="1">SUM(I59:T59)</f>
        <v>51364318.699999981</v>
      </c>
      <c r="V59" s="64"/>
      <c r="W59" s="643">
        <f t="shared" ca="1" si="19"/>
        <v>0</v>
      </c>
    </row>
    <row r="60" spans="1:23" ht="15.75" x14ac:dyDescent="0.25">
      <c r="A60" s="229"/>
      <c r="B60" s="16">
        <f t="shared" si="24"/>
        <v>8</v>
      </c>
      <c r="C60" s="188"/>
      <c r="D60" s="207" t="s">
        <v>470</v>
      </c>
      <c r="E60" s="200"/>
      <c r="F60" s="208">
        <f>+F56+F58+F59</f>
        <v>408228069.49999994</v>
      </c>
      <c r="G60" s="200"/>
      <c r="H60" s="200"/>
      <c r="I60" s="200"/>
      <c r="J60" s="208">
        <f t="shared" ref="J60:Q60" ca="1" si="26">+J56+J58+J59</f>
        <v>201225384.213514</v>
      </c>
      <c r="K60" s="208">
        <f t="shared" ca="1" si="26"/>
        <v>28077536.839927834</v>
      </c>
      <c r="L60" s="208">
        <f t="shared" ca="1" si="26"/>
        <v>109737524.12764107</v>
      </c>
      <c r="M60" s="208">
        <f t="shared" ca="1" si="26"/>
        <v>4616127.945430778</v>
      </c>
      <c r="N60" s="208">
        <f t="shared" ca="1" si="26"/>
        <v>35533563.948082648</v>
      </c>
      <c r="O60" s="208">
        <f ca="1">+O56+O58+O59</f>
        <v>1165883.0463008462</v>
      </c>
      <c r="P60" s="208">
        <f t="shared" ca="1" si="26"/>
        <v>2431903.2867625016</v>
      </c>
      <c r="Q60" s="208">
        <f t="shared" ca="1" si="26"/>
        <v>24984548.766388077</v>
      </c>
      <c r="R60" s="208">
        <f ca="1">+R56+R58+R59</f>
        <v>128747.82106389717</v>
      </c>
      <c r="S60" s="208">
        <f ca="1">+S56+S58+S59</f>
        <v>326849.50488824333</v>
      </c>
      <c r="T60" s="208"/>
      <c r="U60" s="190">
        <f ca="1">SUM(I60:T60)</f>
        <v>408228069.49999976</v>
      </c>
      <c r="V60" s="104"/>
      <c r="W60" s="643">
        <f t="shared" ca="1" si="19"/>
        <v>0</v>
      </c>
    </row>
    <row r="61" spans="1:23" ht="15.75" x14ac:dyDescent="0.25">
      <c r="A61" s="229"/>
      <c r="B61" s="16">
        <f t="shared" si="24"/>
        <v>9</v>
      </c>
      <c r="C61" s="138"/>
      <c r="D61" s="199"/>
      <c r="E61" s="200"/>
      <c r="F61" s="201"/>
      <c r="G61" s="200"/>
      <c r="H61" s="200"/>
      <c r="I61" s="200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64"/>
      <c r="W61" s="643">
        <f t="shared" si="19"/>
        <v>0</v>
      </c>
    </row>
    <row r="62" spans="1:23" ht="15.75" x14ac:dyDescent="0.25">
      <c r="A62" s="229"/>
      <c r="B62" s="16">
        <f t="shared" si="24"/>
        <v>10</v>
      </c>
      <c r="C62" s="138"/>
      <c r="D62" s="209" t="s">
        <v>471</v>
      </c>
      <c r="E62" s="200" t="s">
        <v>34</v>
      </c>
      <c r="F62" s="201">
        <f>+F363+F320</f>
        <v>129824318.92</v>
      </c>
      <c r="G62" s="200"/>
      <c r="H62" s="200"/>
      <c r="I62" s="200"/>
      <c r="J62" s="201">
        <f t="shared" ref="J62:Q62" ca="1" si="27">+J363+J320</f>
        <v>63993513.446862034</v>
      </c>
      <c r="K62" s="201">
        <f t="shared" ca="1" si="27"/>
        <v>8929192.69774721</v>
      </c>
      <c r="L62" s="201">
        <f t="shared" ca="1" si="27"/>
        <v>34898627.493419021</v>
      </c>
      <c r="M62" s="201">
        <f t="shared" ca="1" si="27"/>
        <v>1468016.8056477308</v>
      </c>
      <c r="N62" s="201">
        <f t="shared" ca="1" si="27"/>
        <v>11300351.649043323</v>
      </c>
      <c r="O62" s="201">
        <f ca="1">+O363+O320</f>
        <v>370773.06470319087</v>
      </c>
      <c r="P62" s="201">
        <f t="shared" ca="1" si="27"/>
        <v>773391.66870604258</v>
      </c>
      <c r="Q62" s="201">
        <f t="shared" ca="1" si="27"/>
        <v>7945563.4471501214</v>
      </c>
      <c r="R62" s="201">
        <f ca="1">+R363+R320</f>
        <v>40944.26481384931</v>
      </c>
      <c r="S62" s="201">
        <f ca="1">+S363+S320</f>
        <v>103944.38190746561</v>
      </c>
      <c r="T62" s="201"/>
      <c r="U62" s="98">
        <f ca="1">SUM(I62:T62)</f>
        <v>129824318.92</v>
      </c>
      <c r="V62" s="64"/>
      <c r="W62" s="643">
        <f t="shared" ca="1" si="19"/>
        <v>0</v>
      </c>
    </row>
    <row r="63" spans="1:23" ht="16.5" thickBot="1" x14ac:dyDescent="0.3">
      <c r="A63" s="229"/>
      <c r="B63" s="16">
        <f t="shared" si="24"/>
        <v>11</v>
      </c>
      <c r="C63" s="138"/>
      <c r="D63" s="199"/>
      <c r="E63" s="200"/>
      <c r="F63" s="210"/>
      <c r="G63" s="200"/>
      <c r="H63" s="200"/>
      <c r="I63" s="20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01"/>
      <c r="V63" s="64"/>
      <c r="W63" s="643">
        <f t="shared" si="19"/>
        <v>0</v>
      </c>
    </row>
    <row r="64" spans="1:23" ht="16.5" thickBot="1" x14ac:dyDescent="0.3">
      <c r="A64" s="229"/>
      <c r="B64" s="16">
        <f t="shared" si="24"/>
        <v>12</v>
      </c>
      <c r="C64" s="188"/>
      <c r="D64" s="921" t="s">
        <v>472</v>
      </c>
      <c r="E64" s="916"/>
      <c r="F64" s="922">
        <f>+F60-F62</f>
        <v>278403750.57999992</v>
      </c>
      <c r="G64" s="916"/>
      <c r="H64" s="916"/>
      <c r="I64" s="919"/>
      <c r="J64" s="922">
        <f t="shared" ref="J64:Q64" ca="1" si="28">+J60-J62</f>
        <v>137231870.76665196</v>
      </c>
      <c r="K64" s="922">
        <f t="shared" ca="1" si="28"/>
        <v>19148344.142180622</v>
      </c>
      <c r="L64" s="922">
        <f t="shared" ca="1" si="28"/>
        <v>74838896.634222046</v>
      </c>
      <c r="M64" s="922">
        <f t="shared" ca="1" si="28"/>
        <v>3148111.1397830471</v>
      </c>
      <c r="N64" s="922">
        <f t="shared" ca="1" si="28"/>
        <v>24233212.299039327</v>
      </c>
      <c r="O64" s="922">
        <f ca="1">+O60-O62</f>
        <v>795109.98159765522</v>
      </c>
      <c r="P64" s="922">
        <f t="shared" ca="1" si="28"/>
        <v>1658511.6180564589</v>
      </c>
      <c r="Q64" s="922">
        <f t="shared" ca="1" si="28"/>
        <v>17038985.319237955</v>
      </c>
      <c r="R64" s="922">
        <f ca="1">+R60-R62</f>
        <v>87803.556250047855</v>
      </c>
      <c r="S64" s="922">
        <f ca="1">+S60-S62</f>
        <v>222905.12298077773</v>
      </c>
      <c r="T64" s="923"/>
      <c r="U64" s="918">
        <f ca="1">SUM(I64:T64)</f>
        <v>278403750.57999992</v>
      </c>
      <c r="V64" s="104"/>
      <c r="W64" s="643">
        <f t="shared" ca="1" si="19"/>
        <v>0</v>
      </c>
    </row>
    <row r="65" spans="1:23" ht="15.75" x14ac:dyDescent="0.25">
      <c r="A65" s="229"/>
      <c r="B65" s="16">
        <f t="shared" si="24"/>
        <v>13</v>
      </c>
      <c r="C65" s="138"/>
      <c r="D65" s="199"/>
      <c r="E65" s="200"/>
      <c r="F65" s="11"/>
      <c r="G65" s="200"/>
      <c r="H65" s="200"/>
      <c r="I65" s="20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64"/>
      <c r="W65" s="643">
        <f t="shared" si="19"/>
        <v>0</v>
      </c>
    </row>
    <row r="66" spans="1:23" ht="15.75" x14ac:dyDescent="0.25">
      <c r="A66" s="229"/>
      <c r="B66" s="16">
        <f t="shared" si="24"/>
        <v>14</v>
      </c>
      <c r="C66" s="138"/>
      <c r="D66" s="213" t="s">
        <v>473</v>
      </c>
      <c r="E66" s="214"/>
      <c r="F66" s="11"/>
      <c r="G66" s="214"/>
      <c r="H66" s="214"/>
      <c r="I66" s="21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64"/>
      <c r="W66" s="643">
        <f t="shared" si="19"/>
        <v>0</v>
      </c>
    </row>
    <row r="67" spans="1:23" ht="15.75" x14ac:dyDescent="0.25">
      <c r="A67" s="229"/>
      <c r="B67" s="16">
        <f t="shared" si="24"/>
        <v>15</v>
      </c>
      <c r="C67" s="138"/>
      <c r="D67" s="39"/>
      <c r="E67" s="200"/>
      <c r="F67" s="11"/>
      <c r="G67" s="200"/>
      <c r="H67" s="200"/>
      <c r="I67" s="20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64"/>
      <c r="W67" s="643">
        <f t="shared" si="19"/>
        <v>0</v>
      </c>
    </row>
    <row r="68" spans="1:23" ht="15.75" x14ac:dyDescent="0.25">
      <c r="A68" s="229"/>
      <c r="B68" s="16">
        <f t="shared" si="24"/>
        <v>16</v>
      </c>
      <c r="C68" s="138"/>
      <c r="D68" s="39" t="s">
        <v>111</v>
      </c>
      <c r="E68" s="200" t="s">
        <v>112</v>
      </c>
      <c r="F68" s="201">
        <f>+F244</f>
        <v>0</v>
      </c>
      <c r="G68" s="200"/>
      <c r="H68" s="200"/>
      <c r="I68" s="200"/>
      <c r="J68" s="201">
        <f t="shared" ref="J68:Q68" si="29">+J244</f>
        <v>0</v>
      </c>
      <c r="K68" s="201">
        <f t="shared" si="29"/>
        <v>0</v>
      </c>
      <c r="L68" s="201">
        <f t="shared" si="29"/>
        <v>0</v>
      </c>
      <c r="M68" s="201">
        <f t="shared" si="29"/>
        <v>0</v>
      </c>
      <c r="N68" s="201">
        <f t="shared" si="29"/>
        <v>0</v>
      </c>
      <c r="O68" s="201">
        <f>+O244</f>
        <v>0</v>
      </c>
      <c r="P68" s="201">
        <f t="shared" si="29"/>
        <v>0</v>
      </c>
      <c r="Q68" s="201">
        <f t="shared" si="29"/>
        <v>0</v>
      </c>
      <c r="R68" s="201">
        <f>+R244</f>
        <v>0</v>
      </c>
      <c r="S68" s="201">
        <f>+S244</f>
        <v>0</v>
      </c>
      <c r="T68" s="201"/>
      <c r="U68" s="98">
        <f t="shared" ref="U68:U77" si="30">SUM(I68:T68)</f>
        <v>0</v>
      </c>
      <c r="V68" s="64"/>
      <c r="W68" s="643">
        <f t="shared" si="19"/>
        <v>0</v>
      </c>
    </row>
    <row r="69" spans="1:23" ht="15.75" x14ac:dyDescent="0.25">
      <c r="A69" s="229"/>
      <c r="B69" s="16">
        <f t="shared" si="24"/>
        <v>17</v>
      </c>
      <c r="C69" s="138"/>
      <c r="D69" s="39" t="s">
        <v>113</v>
      </c>
      <c r="E69" s="200" t="s">
        <v>114</v>
      </c>
      <c r="F69" s="201">
        <f>+F388</f>
        <v>0</v>
      </c>
      <c r="G69" s="200"/>
      <c r="H69" s="200"/>
      <c r="I69" s="200"/>
      <c r="J69" s="201">
        <f t="shared" ref="J69:Q69" si="31">+J388</f>
        <v>0</v>
      </c>
      <c r="K69" s="201">
        <f t="shared" si="31"/>
        <v>0</v>
      </c>
      <c r="L69" s="201">
        <f t="shared" si="31"/>
        <v>0</v>
      </c>
      <c r="M69" s="201">
        <f t="shared" si="31"/>
        <v>0</v>
      </c>
      <c r="N69" s="201">
        <f t="shared" si="31"/>
        <v>0</v>
      </c>
      <c r="O69" s="201">
        <f>+O388</f>
        <v>0</v>
      </c>
      <c r="P69" s="201">
        <f t="shared" si="31"/>
        <v>0</v>
      </c>
      <c r="Q69" s="201">
        <f t="shared" si="31"/>
        <v>0</v>
      </c>
      <c r="R69" s="201">
        <f>+R388</f>
        <v>0</v>
      </c>
      <c r="S69" s="201">
        <f>+S388</f>
        <v>0</v>
      </c>
      <c r="T69" s="201"/>
      <c r="U69" s="98">
        <f t="shared" si="30"/>
        <v>0</v>
      </c>
      <c r="V69" s="64"/>
      <c r="W69" s="643">
        <f t="shared" si="19"/>
        <v>0</v>
      </c>
    </row>
    <row r="70" spans="1:23" ht="15.75" x14ac:dyDescent="0.25">
      <c r="A70" s="229"/>
      <c r="B70" s="16">
        <f t="shared" si="24"/>
        <v>18</v>
      </c>
      <c r="C70" s="138"/>
      <c r="D70" s="40" t="s">
        <v>474</v>
      </c>
      <c r="E70" s="200" t="s">
        <v>475</v>
      </c>
      <c r="F70" s="98">
        <f>F409</f>
        <v>0</v>
      </c>
      <c r="G70" s="200"/>
      <c r="H70" s="350"/>
      <c r="I70" s="200"/>
      <c r="J70" s="98">
        <f t="shared" ref="J70:Q70" si="32">J409</f>
        <v>0</v>
      </c>
      <c r="K70" s="98">
        <f t="shared" si="32"/>
        <v>0</v>
      </c>
      <c r="L70" s="98">
        <f t="shared" si="32"/>
        <v>0</v>
      </c>
      <c r="M70" s="98">
        <f t="shared" si="32"/>
        <v>0</v>
      </c>
      <c r="N70" s="98">
        <f t="shared" si="32"/>
        <v>0</v>
      </c>
      <c r="O70" s="98">
        <f>O409</f>
        <v>0</v>
      </c>
      <c r="P70" s="98">
        <f t="shared" si="32"/>
        <v>0</v>
      </c>
      <c r="Q70" s="98">
        <f t="shared" si="32"/>
        <v>0</v>
      </c>
      <c r="R70" s="98">
        <f>R409</f>
        <v>0</v>
      </c>
      <c r="S70" s="98">
        <f>S409</f>
        <v>0</v>
      </c>
      <c r="T70" s="98"/>
      <c r="U70" s="98">
        <f t="shared" si="30"/>
        <v>0</v>
      </c>
      <c r="V70" s="64"/>
      <c r="W70" s="643">
        <f t="shared" si="19"/>
        <v>0</v>
      </c>
    </row>
    <row r="71" spans="1:23" ht="15.75" x14ac:dyDescent="0.25">
      <c r="A71" s="229"/>
      <c r="B71" s="16">
        <f t="shared" si="24"/>
        <v>19</v>
      </c>
      <c r="C71" s="138"/>
      <c r="D71" s="39" t="s">
        <v>476</v>
      </c>
      <c r="E71" s="200" t="s">
        <v>116</v>
      </c>
      <c r="F71" s="201">
        <f>+F435</f>
        <v>0</v>
      </c>
      <c r="G71" s="200"/>
      <c r="H71" s="200"/>
      <c r="I71" s="200"/>
      <c r="J71" s="201">
        <f t="shared" ref="J71:Q71" ca="1" si="33">+J435</f>
        <v>0</v>
      </c>
      <c r="K71" s="201">
        <f t="shared" ca="1" si="33"/>
        <v>0</v>
      </c>
      <c r="L71" s="201">
        <f t="shared" ca="1" si="33"/>
        <v>0</v>
      </c>
      <c r="M71" s="201">
        <f t="shared" ca="1" si="33"/>
        <v>0</v>
      </c>
      <c r="N71" s="201">
        <f t="shared" ca="1" si="33"/>
        <v>0</v>
      </c>
      <c r="O71" s="201">
        <f ca="1">+O435</f>
        <v>0</v>
      </c>
      <c r="P71" s="201">
        <f t="shared" ca="1" si="33"/>
        <v>0</v>
      </c>
      <c r="Q71" s="201">
        <f t="shared" ca="1" si="33"/>
        <v>0</v>
      </c>
      <c r="R71" s="201">
        <f ca="1">+R435</f>
        <v>0</v>
      </c>
      <c r="S71" s="201">
        <f ca="1">+S435</f>
        <v>0</v>
      </c>
      <c r="T71" s="201"/>
      <c r="U71" s="98">
        <f t="shared" ca="1" si="30"/>
        <v>0</v>
      </c>
      <c r="V71" s="64"/>
      <c r="W71" s="643">
        <f t="shared" ca="1" si="19"/>
        <v>0</v>
      </c>
    </row>
    <row r="72" spans="1:23" ht="15.75" x14ac:dyDescent="0.25">
      <c r="A72" s="229"/>
      <c r="B72" s="16">
        <f t="shared" si="24"/>
        <v>20</v>
      </c>
      <c r="C72" s="138"/>
      <c r="D72" s="39" t="s">
        <v>118</v>
      </c>
      <c r="E72" s="200" t="s">
        <v>119</v>
      </c>
      <c r="F72" s="201">
        <f>+F455</f>
        <v>175757.58000000461</v>
      </c>
      <c r="G72" s="200"/>
      <c r="H72" s="350"/>
      <c r="I72" s="200"/>
      <c r="J72" s="201">
        <f t="shared" ref="J72:Q72" ca="1" si="34">+J455</f>
        <v>90603.251643622134</v>
      </c>
      <c r="K72" s="201">
        <f t="shared" ca="1" si="34"/>
        <v>11185.211466504536</v>
      </c>
      <c r="L72" s="201">
        <f t="shared" ca="1" si="34"/>
        <v>51172.592795944955</v>
      </c>
      <c r="M72" s="201">
        <f t="shared" ca="1" si="34"/>
        <v>1760.1355300862861</v>
      </c>
      <c r="N72" s="201">
        <f t="shared" ca="1" si="34"/>
        <v>15565.488358107961</v>
      </c>
      <c r="O72" s="201">
        <f ca="1">+O455</f>
        <v>866.17481917531984</v>
      </c>
      <c r="P72" s="201">
        <f t="shared" ca="1" si="34"/>
        <v>2058.7592390568734</v>
      </c>
      <c r="Q72" s="201">
        <f t="shared" ca="1" si="34"/>
        <v>2373.2041951663396</v>
      </c>
      <c r="R72" s="201">
        <f ca="1">+R455</f>
        <v>48.821356079719727</v>
      </c>
      <c r="S72" s="201">
        <f ca="1">+S455</f>
        <v>123.94059626046811</v>
      </c>
      <c r="T72" s="201"/>
      <c r="U72" s="98">
        <f t="shared" ca="1" si="30"/>
        <v>175757.58000000459</v>
      </c>
      <c r="V72" s="64"/>
      <c r="W72" s="643">
        <f t="shared" ca="1" si="19"/>
        <v>0</v>
      </c>
    </row>
    <row r="73" spans="1:23" ht="15.75" x14ac:dyDescent="0.25">
      <c r="A73" s="229"/>
      <c r="B73" s="16">
        <f t="shared" si="24"/>
        <v>21</v>
      </c>
      <c r="C73" s="138"/>
      <c r="D73" s="39" t="s">
        <v>120</v>
      </c>
      <c r="E73" s="200" t="s">
        <v>121</v>
      </c>
      <c r="F73" s="201">
        <f>+F476</f>
        <v>529501.175314861</v>
      </c>
      <c r="G73" s="200"/>
      <c r="H73" s="200"/>
      <c r="I73" s="200"/>
      <c r="J73" s="201">
        <f t="shared" ref="J73:Q73" si="35">+J476</f>
        <v>207606.13645560484</v>
      </c>
      <c r="K73" s="201">
        <f t="shared" si="35"/>
        <v>6289.6321654009789</v>
      </c>
      <c r="L73" s="201">
        <f t="shared" si="35"/>
        <v>221051.64195974506</v>
      </c>
      <c r="M73" s="201">
        <f t="shared" si="35"/>
        <v>4.2560916355768263</v>
      </c>
      <c r="N73" s="201">
        <f t="shared" si="35"/>
        <v>36602.637500708021</v>
      </c>
      <c r="O73" s="201">
        <f>+O476</f>
        <v>6977.131207379417</v>
      </c>
      <c r="P73" s="201">
        <f t="shared" si="35"/>
        <v>48120.849292618048</v>
      </c>
      <c r="Q73" s="201">
        <f t="shared" si="35"/>
        <v>1698.7056308252329</v>
      </c>
      <c r="R73" s="201">
        <f>+R476</f>
        <v>527.67437103067891</v>
      </c>
      <c r="S73" s="201">
        <f>+S476</f>
        <v>622.51063991296451</v>
      </c>
      <c r="T73" s="201"/>
      <c r="U73" s="98">
        <f t="shared" si="30"/>
        <v>529501.17531486077</v>
      </c>
      <c r="V73" s="64"/>
      <c r="W73" s="643">
        <f t="shared" si="19"/>
        <v>0</v>
      </c>
    </row>
    <row r="74" spans="1:23" ht="15.75" x14ac:dyDescent="0.25">
      <c r="A74" s="229"/>
      <c r="B74" s="16">
        <f t="shared" si="24"/>
        <v>22</v>
      </c>
      <c r="C74" s="138"/>
      <c r="D74" s="40" t="s">
        <v>477</v>
      </c>
      <c r="E74" s="200" t="s">
        <v>123</v>
      </c>
      <c r="F74" s="201">
        <f>F499</f>
        <v>0</v>
      </c>
      <c r="G74" s="200"/>
      <c r="H74" s="200"/>
      <c r="I74" s="200"/>
      <c r="J74" s="201">
        <f t="shared" ref="J74:Q74" si="36">J499</f>
        <v>0</v>
      </c>
      <c r="K74" s="201">
        <f t="shared" si="36"/>
        <v>0</v>
      </c>
      <c r="L74" s="201">
        <f t="shared" si="36"/>
        <v>0</v>
      </c>
      <c r="M74" s="201">
        <f t="shared" si="36"/>
        <v>0</v>
      </c>
      <c r="N74" s="201">
        <f t="shared" si="36"/>
        <v>0</v>
      </c>
      <c r="O74" s="201">
        <f>O499</f>
        <v>0</v>
      </c>
      <c r="P74" s="201">
        <f t="shared" si="36"/>
        <v>0</v>
      </c>
      <c r="Q74" s="201">
        <f t="shared" si="36"/>
        <v>0</v>
      </c>
      <c r="R74" s="201">
        <f>R499</f>
        <v>0</v>
      </c>
      <c r="S74" s="201">
        <f>S499</f>
        <v>0</v>
      </c>
      <c r="T74" s="201"/>
      <c r="U74" s="98">
        <f t="shared" si="30"/>
        <v>0</v>
      </c>
      <c r="V74" s="64"/>
      <c r="W74" s="643">
        <f t="shared" si="19"/>
        <v>0</v>
      </c>
    </row>
    <row r="75" spans="1:23" ht="15.75" x14ac:dyDescent="0.25">
      <c r="A75" s="229"/>
      <c r="B75" s="16">
        <f t="shared" si="24"/>
        <v>23</v>
      </c>
      <c r="C75" s="138"/>
      <c r="D75" s="40" t="s">
        <v>478</v>
      </c>
      <c r="E75" s="200" t="s">
        <v>127</v>
      </c>
      <c r="F75" s="201">
        <f>F614</f>
        <v>2989198.340000012</v>
      </c>
      <c r="G75" s="200"/>
      <c r="H75" s="200"/>
      <c r="I75" s="200"/>
      <c r="J75" s="201">
        <f t="shared" ref="J75:Q75" ca="1" si="37">J614</f>
        <v>1525046.3529425552</v>
      </c>
      <c r="K75" s="201">
        <f t="shared" ca="1" si="37"/>
        <v>195636.10811133322</v>
      </c>
      <c r="L75" s="201">
        <f t="shared" ca="1" si="37"/>
        <v>852434.46097823046</v>
      </c>
      <c r="M75" s="201">
        <f t="shared" ca="1" si="37"/>
        <v>31235.993257548151</v>
      </c>
      <c r="N75" s="201">
        <f t="shared" ca="1" si="37"/>
        <v>264193.25017216092</v>
      </c>
      <c r="O75" s="201">
        <f ca="1">O614</f>
        <v>12854.575051311189</v>
      </c>
      <c r="P75" s="201">
        <f t="shared" ca="1" si="37"/>
        <v>29781.159878161889</v>
      </c>
      <c r="Q75" s="201">
        <f t="shared" ca="1" si="37"/>
        <v>84818.153785298578</v>
      </c>
      <c r="R75" s="201">
        <f ca="1">R614</f>
        <v>-1922.1009695685593</v>
      </c>
      <c r="S75" s="201">
        <f ca="1">S614</f>
        <v>-4879.6132070246467</v>
      </c>
      <c r="T75" s="201"/>
      <c r="U75" s="98">
        <f t="shared" ca="1" si="30"/>
        <v>2989198.3400000068</v>
      </c>
      <c r="V75" s="64"/>
      <c r="W75" s="643">
        <f t="shared" ca="1" si="19"/>
        <v>5.1222741603851318E-9</v>
      </c>
    </row>
    <row r="76" spans="1:23" ht="17.25" x14ac:dyDescent="0.35">
      <c r="A76" s="229"/>
      <c r="B76" s="16">
        <f t="shared" si="24"/>
        <v>24</v>
      </c>
      <c r="C76" s="138"/>
      <c r="D76" s="40" t="s">
        <v>1107</v>
      </c>
      <c r="E76" s="200" t="s">
        <v>480</v>
      </c>
      <c r="F76" s="203">
        <f>+F413</f>
        <v>-52031200.460000001</v>
      </c>
      <c r="G76" s="200"/>
      <c r="H76" s="200"/>
      <c r="I76" s="200"/>
      <c r="J76" s="203">
        <f t="shared" ref="J76:Q76" ca="1" si="38">+J413</f>
        <v>-25647423.795422953</v>
      </c>
      <c r="K76" s="203">
        <f t="shared" ca="1" si="38"/>
        <v>-3578656.2877233042</v>
      </c>
      <c r="L76" s="203">
        <f t="shared" ca="1" si="38"/>
        <v>-13986728.357172368</v>
      </c>
      <c r="M76" s="203">
        <f t="shared" ca="1" si="38"/>
        <v>-588354.14912035316</v>
      </c>
      <c r="N76" s="203">
        <f t="shared" ca="1" si="38"/>
        <v>-4528973.2063388117</v>
      </c>
      <c r="O76" s="203">
        <f ca="1">+O413</f>
        <v>-148599.02840413287</v>
      </c>
      <c r="P76" s="203">
        <f t="shared" ca="1" si="38"/>
        <v>-309961.16354236315</v>
      </c>
      <c r="Q76" s="203">
        <f t="shared" ca="1" si="38"/>
        <v>-3184435.7661608197</v>
      </c>
      <c r="R76" s="203">
        <f ca="1">+R413</f>
        <v>-16409.708658125106</v>
      </c>
      <c r="S76" s="203">
        <f ca="1">+S413</f>
        <v>-41658.997456792844</v>
      </c>
      <c r="T76" s="203"/>
      <c r="U76" s="204">
        <f t="shared" ca="1" si="30"/>
        <v>-52031200.460000008</v>
      </c>
      <c r="V76" s="64"/>
      <c r="W76" s="643">
        <f t="shared" ca="1" si="19"/>
        <v>0</v>
      </c>
    </row>
    <row r="77" spans="1:23" ht="15.75" x14ac:dyDescent="0.25">
      <c r="A77" s="229"/>
      <c r="B77" s="16">
        <f t="shared" si="24"/>
        <v>25</v>
      </c>
      <c r="C77" s="188"/>
      <c r="D77" s="153" t="s">
        <v>444</v>
      </c>
      <c r="E77" s="153"/>
      <c r="F77" s="208">
        <f>SUM(F68:F76)</f>
        <v>-48336743.364685126</v>
      </c>
      <c r="G77" s="153"/>
      <c r="H77" s="153"/>
      <c r="I77" s="153"/>
      <c r="J77" s="208">
        <f t="shared" ref="J77:Q77" ca="1" si="39">SUM(J68:J76)</f>
        <v>-23824168.054381169</v>
      </c>
      <c r="K77" s="208">
        <f t="shared" ca="1" si="39"/>
        <v>-3365545.3359800656</v>
      </c>
      <c r="L77" s="208">
        <f t="shared" ca="1" si="39"/>
        <v>-12862069.661438448</v>
      </c>
      <c r="M77" s="208">
        <f t="shared" ca="1" si="39"/>
        <v>-555353.76424108318</v>
      </c>
      <c r="N77" s="208">
        <f t="shared" ca="1" si="39"/>
        <v>-4212611.8303078348</v>
      </c>
      <c r="O77" s="208">
        <f ca="1">SUM(O68:O76)</f>
        <v>-127901.14732626695</v>
      </c>
      <c r="P77" s="208">
        <f t="shared" ca="1" si="39"/>
        <v>-230000.39513252635</v>
      </c>
      <c r="Q77" s="208">
        <f t="shared" ca="1" si="39"/>
        <v>-3095545.7025495297</v>
      </c>
      <c r="R77" s="208">
        <f ca="1">SUM(R68:R76)</f>
        <v>-17755.313900583267</v>
      </c>
      <c r="S77" s="208">
        <f ca="1">SUM(S68:S76)</f>
        <v>-45792.159427644059</v>
      </c>
      <c r="T77" s="208"/>
      <c r="U77" s="190">
        <f t="shared" ca="1" si="30"/>
        <v>-48336743.364685155</v>
      </c>
      <c r="V77" s="104"/>
      <c r="W77" s="643">
        <f t="shared" ca="1" si="19"/>
        <v>0</v>
      </c>
    </row>
    <row r="78" spans="1:23" ht="15.75" thickBot="1" x14ac:dyDescent="0.25">
      <c r="A78" s="229"/>
      <c r="B78" s="16">
        <f t="shared" si="24"/>
        <v>26</v>
      </c>
      <c r="C78" s="138"/>
      <c r="D78" s="39"/>
      <c r="E78" s="39"/>
      <c r="F78" s="11"/>
      <c r="G78" s="39"/>
      <c r="H78" s="39"/>
      <c r="I78" s="3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64"/>
      <c r="W78" s="643">
        <f t="shared" si="19"/>
        <v>0</v>
      </c>
    </row>
    <row r="79" spans="1:23" ht="16.5" thickBot="1" x14ac:dyDescent="0.3">
      <c r="A79" s="229"/>
      <c r="B79" s="16">
        <f t="shared" si="24"/>
        <v>27</v>
      </c>
      <c r="C79" s="188"/>
      <c r="D79" s="215" t="s">
        <v>481</v>
      </c>
      <c r="E79" s="216"/>
      <c r="F79" s="217">
        <f>+F64+F77</f>
        <v>230067007.21531481</v>
      </c>
      <c r="G79" s="216"/>
      <c r="H79" s="216"/>
      <c r="I79" s="905"/>
      <c r="J79" s="291">
        <f t="shared" ref="J79:Q79" ca="1" si="40">+J64+J77</f>
        <v>113407702.7122708</v>
      </c>
      <c r="K79" s="814">
        <f t="shared" ca="1" si="40"/>
        <v>15782798.806200556</v>
      </c>
      <c r="L79" s="814">
        <f t="shared" ca="1" si="40"/>
        <v>61976826.972783595</v>
      </c>
      <c r="M79" s="814">
        <f t="shared" ca="1" si="40"/>
        <v>2592757.3755419641</v>
      </c>
      <c r="N79" s="814">
        <f t="shared" ca="1" si="40"/>
        <v>20020600.468731493</v>
      </c>
      <c r="O79" s="814">
        <f ca="1">+O64+O77</f>
        <v>667208.83427138824</v>
      </c>
      <c r="P79" s="814">
        <f t="shared" ca="1" si="40"/>
        <v>1428511.2229239326</v>
      </c>
      <c r="Q79" s="814">
        <f t="shared" ca="1" si="40"/>
        <v>13943439.616688425</v>
      </c>
      <c r="R79" s="814">
        <f ca="1">+R64+R77</f>
        <v>70048.242349464592</v>
      </c>
      <c r="S79" s="218">
        <f ca="1">+S64+S77</f>
        <v>177112.96355313365</v>
      </c>
      <c r="T79" s="907"/>
      <c r="U79" s="218">
        <f ca="1">SUM(I79:T79)</f>
        <v>230067007.21531478</v>
      </c>
      <c r="V79" s="104" t="b">
        <f ca="1">IF(ROUND(U79-'WP II-I-1.1'!I492,2)=0,TRUE,U79-'WP II-I-1.1'!I492)</f>
        <v>1</v>
      </c>
      <c r="W79" s="643">
        <f t="shared" ca="1" si="19"/>
        <v>0</v>
      </c>
    </row>
    <row r="80" spans="1:23" ht="15" x14ac:dyDescent="0.2">
      <c r="A80" s="229"/>
      <c r="B80" s="16">
        <f t="shared" si="24"/>
        <v>28</v>
      </c>
      <c r="C80" s="138"/>
      <c r="D80" s="220"/>
      <c r="E80" s="220"/>
      <c r="F80" s="201"/>
      <c r="G80" s="220"/>
      <c r="H80" s="220"/>
      <c r="I80" s="220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64"/>
      <c r="W80" s="643">
        <f t="shared" si="19"/>
        <v>0</v>
      </c>
    </row>
    <row r="81" spans="1:23" ht="15.75" x14ac:dyDescent="0.25">
      <c r="A81" s="45"/>
      <c r="B81" s="16">
        <f t="shared" si="24"/>
        <v>29</v>
      </c>
      <c r="C81" s="138"/>
      <c r="D81" s="46" t="s">
        <v>482</v>
      </c>
      <c r="E81" s="220"/>
      <c r="F81" s="221">
        <f>F620</f>
        <v>7.4700000000000003E-2</v>
      </c>
      <c r="G81" s="220"/>
      <c r="H81" s="220"/>
      <c r="I81" s="220"/>
      <c r="J81" s="221">
        <f t="shared" ref="J81:Q81" si="41">J620</f>
        <v>7.4700000000000003E-2</v>
      </c>
      <c r="K81" s="221">
        <f t="shared" si="41"/>
        <v>7.4700000000000003E-2</v>
      </c>
      <c r="L81" s="221">
        <f t="shared" si="41"/>
        <v>7.4700000000000003E-2</v>
      </c>
      <c r="M81" s="221">
        <f t="shared" si="41"/>
        <v>7.4700000000000003E-2</v>
      </c>
      <c r="N81" s="221">
        <f t="shared" si="41"/>
        <v>7.4700000000000003E-2</v>
      </c>
      <c r="O81" s="221">
        <f>O620</f>
        <v>7.4700000000000003E-2</v>
      </c>
      <c r="P81" s="221">
        <f t="shared" si="41"/>
        <v>7.4700000000000003E-2</v>
      </c>
      <c r="Q81" s="221">
        <f t="shared" si="41"/>
        <v>7.4700000000000003E-2</v>
      </c>
      <c r="R81" s="221">
        <f>R620</f>
        <v>7.4700000000000003E-2</v>
      </c>
      <c r="S81" s="221">
        <f>S620</f>
        <v>7.4700000000000003E-2</v>
      </c>
      <c r="T81" s="221"/>
      <c r="U81" s="221">
        <f ca="1">U83/U79</f>
        <v>7.4700000000000003E-2</v>
      </c>
      <c r="V81" s="64"/>
      <c r="W81" s="643">
        <f t="shared" ca="1" si="19"/>
        <v>0</v>
      </c>
    </row>
    <row r="82" spans="1:23" ht="15.75" thickBot="1" x14ac:dyDescent="0.25">
      <c r="A82" s="538"/>
      <c r="B82" s="16">
        <f t="shared" si="24"/>
        <v>30</v>
      </c>
      <c r="C82" s="138"/>
      <c r="D82" s="1"/>
      <c r="E82" s="1"/>
      <c r="F82" s="201"/>
      <c r="G82" s="1"/>
      <c r="H82" s="1"/>
      <c r="I82" s="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64"/>
      <c r="W82" s="643">
        <f t="shared" si="19"/>
        <v>0</v>
      </c>
    </row>
    <row r="83" spans="1:23" ht="16.5" thickBot="1" x14ac:dyDescent="0.3">
      <c r="A83" s="118"/>
      <c r="B83" s="16">
        <f t="shared" si="24"/>
        <v>31</v>
      </c>
      <c r="C83" s="188"/>
      <c r="D83" s="223" t="s">
        <v>483</v>
      </c>
      <c r="E83" s="224"/>
      <c r="F83" s="217">
        <f>+F79*F81</f>
        <v>17186005.438984018</v>
      </c>
      <c r="G83" s="224"/>
      <c r="H83" s="224"/>
      <c r="I83" s="906"/>
      <c r="J83" s="291">
        <f t="shared" ref="J83:Q83" ca="1" si="42">+J79*J81</f>
        <v>8471555.3926066291</v>
      </c>
      <c r="K83" s="814">
        <f t="shared" ca="1" si="42"/>
        <v>1178975.0708231817</v>
      </c>
      <c r="L83" s="814">
        <f t="shared" ca="1" si="42"/>
        <v>4629668.9748669351</v>
      </c>
      <c r="M83" s="814">
        <f t="shared" ca="1" si="42"/>
        <v>193678.97595298474</v>
      </c>
      <c r="N83" s="814">
        <f t="shared" ca="1" si="42"/>
        <v>1495538.8550142425</v>
      </c>
      <c r="O83" s="814">
        <f ca="1">+O79*O81</f>
        <v>49840.499920072703</v>
      </c>
      <c r="P83" s="814">
        <f t="shared" ca="1" si="42"/>
        <v>106709.78835241777</v>
      </c>
      <c r="Q83" s="814">
        <f t="shared" ca="1" si="42"/>
        <v>1041574.9393666254</v>
      </c>
      <c r="R83" s="814">
        <f ca="1">+R79*R81</f>
        <v>5232.6037035050049</v>
      </c>
      <c r="S83" s="218">
        <f ca="1">+S79*S81</f>
        <v>13230.338377419084</v>
      </c>
      <c r="T83" s="218"/>
      <c r="U83" s="218">
        <f ca="1">SUM(I83:T83)</f>
        <v>17186005.438984014</v>
      </c>
      <c r="V83" s="104" t="b">
        <f ca="1">IF(ROUND(U83-'WP II-I-1.1'!I494,2)=0,TRUE,U83-'WP II-I-1.1'!I494)</f>
        <v>1</v>
      </c>
      <c r="W83" s="643">
        <f t="shared" ca="1" si="19"/>
        <v>0</v>
      </c>
    </row>
    <row r="84" spans="1:23" ht="15.75" x14ac:dyDescent="0.25">
      <c r="A84" s="118"/>
      <c r="B84" s="16"/>
      <c r="C84" s="188"/>
      <c r="V84" s="104"/>
      <c r="W84" s="138"/>
    </row>
    <row r="85" spans="1:23" ht="15.75" x14ac:dyDescent="0.25">
      <c r="A85" s="118"/>
      <c r="B85" s="16"/>
      <c r="C85" s="18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04"/>
      <c r="W85" s="138"/>
    </row>
    <row r="86" spans="1:23" ht="15.75" x14ac:dyDescent="0.25">
      <c r="A86" s="118"/>
      <c r="B86" s="16"/>
      <c r="C86" s="18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04"/>
      <c r="W86" s="138"/>
    </row>
    <row r="87" spans="1:23" ht="15.75" x14ac:dyDescent="0.25">
      <c r="A87" s="118"/>
      <c r="B87" s="16"/>
      <c r="C87" s="18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04"/>
      <c r="W87" s="138"/>
    </row>
    <row r="88" spans="1:23" ht="15.75" x14ac:dyDescent="0.25">
      <c r="A88" s="118"/>
      <c r="B88" s="16"/>
      <c r="C88" s="18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04"/>
      <c r="W88" s="138"/>
    </row>
    <row r="89" spans="1:23" ht="6.6" customHeight="1" x14ac:dyDescent="0.25">
      <c r="A89" s="118"/>
      <c r="B89" s="16"/>
      <c r="C89" s="18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04"/>
      <c r="W89" s="138"/>
    </row>
    <row r="90" spans="1:23" ht="4.5" customHeight="1" thickBot="1" x14ac:dyDescent="0.3">
      <c r="A90" s="118"/>
      <c r="B90" s="104"/>
      <c r="C90" s="16"/>
      <c r="V90" s="104"/>
      <c r="W90" s="138"/>
    </row>
    <row r="91" spans="1:23" ht="15.75" x14ac:dyDescent="0.25">
      <c r="A91" s="45"/>
      <c r="B91" s="829" t="str">
        <f>+$B$4</f>
        <v>2025 RATE CASE</v>
      </c>
      <c r="C91" s="844"/>
      <c r="D91" s="336"/>
      <c r="V91" s="105">
        <f>$H$2</f>
        <v>0</v>
      </c>
      <c r="W91" s="138"/>
    </row>
    <row r="92" spans="1:23" ht="15.75" x14ac:dyDescent="0.25">
      <c r="A92" s="229"/>
      <c r="B92" s="826" t="str">
        <f>+$B$5</f>
        <v>ONCOR ELECTRIC DELIVERY COMPANY LLC</v>
      </c>
      <c r="C92" s="8"/>
      <c r="D92" s="340"/>
      <c r="V92" s="64"/>
      <c r="W92" s="138"/>
    </row>
    <row r="93" spans="1:23" ht="15.75" x14ac:dyDescent="0.25">
      <c r="A93" s="45"/>
      <c r="B93" s="826" t="str">
        <f>+$B$6</f>
        <v>II-I-1-TBILLTDCS:  CLASS REVENUE REQUIREMENT</v>
      </c>
      <c r="C93" s="82"/>
      <c r="D93" s="340"/>
      <c r="V93" s="64"/>
      <c r="W93" s="138"/>
    </row>
    <row r="94" spans="1:23" ht="15.75" x14ac:dyDescent="0.25">
      <c r="A94" s="45"/>
      <c r="B94" s="341" t="str">
        <f>+$B$7</f>
        <v>TEST YEAR ENDING 12/31/2024</v>
      </c>
      <c r="C94" s="82"/>
      <c r="D94" s="340"/>
      <c r="V94" s="64"/>
      <c r="W94" s="138"/>
    </row>
    <row r="95" spans="1:23" ht="15.75" x14ac:dyDescent="0.25">
      <c r="A95" s="45"/>
      <c r="B95" s="341" t="str">
        <f>+$B$8</f>
        <v>SPONSOR:  MATTHEW A. TROXLE</v>
      </c>
      <c r="C95" s="82"/>
      <c r="D95" s="340"/>
      <c r="V95" s="64"/>
      <c r="W95" s="138"/>
    </row>
    <row r="96" spans="1:23" ht="16.5" thickBot="1" x14ac:dyDescent="0.3">
      <c r="A96" s="45"/>
      <c r="B96" s="345"/>
      <c r="C96" s="843"/>
      <c r="D96" s="839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11"/>
      <c r="V96" s="64"/>
      <c r="W96" s="138"/>
    </row>
    <row r="97" spans="1:23" ht="15.75" thickBot="1" x14ac:dyDescent="0.25">
      <c r="A97" s="45"/>
      <c r="B97" s="12"/>
      <c r="C97" s="13"/>
      <c r="D97" s="13"/>
      <c r="E97" s="13"/>
      <c r="F97" s="13"/>
      <c r="G97" s="13"/>
      <c r="H97" s="13"/>
      <c r="I97" s="13"/>
      <c r="J97" s="177"/>
      <c r="K97" s="177"/>
      <c r="L97" s="13"/>
      <c r="M97" s="177"/>
      <c r="N97" s="177"/>
      <c r="O97" s="177"/>
      <c r="P97" s="177"/>
      <c r="Q97" s="13"/>
      <c r="R97" s="328" t="str">
        <f>R$10</f>
        <v xml:space="preserve"> </v>
      </c>
      <c r="S97" s="329"/>
      <c r="T97" s="177"/>
      <c r="U97" s="12"/>
      <c r="V97" s="64"/>
      <c r="W97" s="138"/>
    </row>
    <row r="98" spans="1:23" ht="15.75" x14ac:dyDescent="0.25">
      <c r="A98" s="45"/>
      <c r="B98" s="14" t="s">
        <v>2</v>
      </c>
      <c r="C98" s="14" t="s">
        <v>349</v>
      </c>
      <c r="D98" s="226" t="s">
        <v>484</v>
      </c>
      <c r="E98" s="14" t="s">
        <v>350</v>
      </c>
      <c r="F98" s="226" t="str">
        <f>F$11</f>
        <v>TBILLTDCS</v>
      </c>
      <c r="G98" s="181" t="s">
        <v>688</v>
      </c>
      <c r="H98" s="181" t="s">
        <v>355</v>
      </c>
      <c r="I98" s="14"/>
      <c r="J98" s="181" t="s">
        <v>679</v>
      </c>
      <c r="K98" s="181" t="s">
        <v>388</v>
      </c>
      <c r="L98" s="14" t="s">
        <v>388</v>
      </c>
      <c r="M98" s="181" t="s">
        <v>389</v>
      </c>
      <c r="N98" s="181" t="s">
        <v>389</v>
      </c>
      <c r="O98" s="181" t="s">
        <v>389</v>
      </c>
      <c r="P98" s="181" t="s">
        <v>390</v>
      </c>
      <c r="Q98" s="14" t="s">
        <v>391</v>
      </c>
      <c r="R98" s="331" t="str">
        <f>R$11</f>
        <v>Wholesale</v>
      </c>
      <c r="S98" s="12" t="str">
        <f>S$11</f>
        <v>Wholesale</v>
      </c>
      <c r="T98" s="181"/>
      <c r="U98" s="14" t="s">
        <v>10</v>
      </c>
      <c r="V98" s="64"/>
      <c r="W98" s="138"/>
    </row>
    <row r="99" spans="1:23" ht="15" x14ac:dyDescent="0.2">
      <c r="A99" s="45"/>
      <c r="B99" s="14"/>
      <c r="C99" s="14"/>
      <c r="D99" s="14"/>
      <c r="E99" s="14"/>
      <c r="F99" s="14"/>
      <c r="G99" s="181" t="s">
        <v>689</v>
      </c>
      <c r="H99" s="181" t="s">
        <v>690</v>
      </c>
      <c r="I99" s="14"/>
      <c r="J99" s="181"/>
      <c r="K99" s="181" t="s">
        <v>680</v>
      </c>
      <c r="L99" s="14" t="s">
        <v>681</v>
      </c>
      <c r="M99" s="181" t="s">
        <v>680</v>
      </c>
      <c r="N99" s="181" t="s">
        <v>681</v>
      </c>
      <c r="O99" s="181" t="s">
        <v>393</v>
      </c>
      <c r="P99" s="181"/>
      <c r="Q99" s="14"/>
      <c r="R99" s="174" t="str">
        <f>R$12</f>
        <v>XFMR</v>
      </c>
      <c r="S99" s="14" t="str">
        <f>S$12</f>
        <v>DLS</v>
      </c>
      <c r="T99" s="181"/>
      <c r="U99" s="14"/>
      <c r="V99" s="64"/>
      <c r="W99" s="138"/>
    </row>
    <row r="100" spans="1:23" ht="15.75" thickBot="1" x14ac:dyDescent="0.25">
      <c r="A100" s="45"/>
      <c r="B100" s="15"/>
      <c r="C100" s="15"/>
      <c r="D100" s="15"/>
      <c r="E100" s="15"/>
      <c r="F100" s="15" t="s">
        <v>13</v>
      </c>
      <c r="G100" s="15" t="s">
        <v>14</v>
      </c>
      <c r="H100" s="15" t="s">
        <v>15</v>
      </c>
      <c r="I100" s="15"/>
      <c r="J100" s="182" t="str">
        <f t="shared" ref="J100:Q100" si="43">J$13</f>
        <v>(d)</v>
      </c>
      <c r="K100" s="182" t="str">
        <f t="shared" si="43"/>
        <v>(e)</v>
      </c>
      <c r="L100" s="15" t="str">
        <f t="shared" si="43"/>
        <v>(f)</v>
      </c>
      <c r="M100" s="182" t="str">
        <f t="shared" si="43"/>
        <v>(g)</v>
      </c>
      <c r="N100" s="182" t="str">
        <f t="shared" si="43"/>
        <v>(h)</v>
      </c>
      <c r="O100" s="182" t="str">
        <f>O$13</f>
        <v>(i)</v>
      </c>
      <c r="P100" s="182" t="str">
        <f t="shared" si="43"/>
        <v>(j)</v>
      </c>
      <c r="Q100" s="182" t="str">
        <f t="shared" si="43"/>
        <v>(k)</v>
      </c>
      <c r="R100" s="182" t="str">
        <f>R$13</f>
        <v>(l)</v>
      </c>
      <c r="S100" s="15" t="str">
        <f>S$13</f>
        <v>(m)</v>
      </c>
      <c r="T100" s="15"/>
      <c r="U100" s="15" t="s">
        <v>683</v>
      </c>
      <c r="V100" s="64"/>
      <c r="W100" s="138"/>
    </row>
    <row r="101" spans="1:23" ht="15" x14ac:dyDescent="0.2">
      <c r="A101" s="45"/>
      <c r="B101" s="64"/>
      <c r="C101" s="64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64"/>
      <c r="W101" s="643">
        <f t="shared" ref="W101:W121" si="44">F101-U101</f>
        <v>0</v>
      </c>
    </row>
    <row r="102" spans="1:23" ht="15.75" x14ac:dyDescent="0.25">
      <c r="A102" s="45"/>
      <c r="B102" s="16">
        <f t="shared" ref="B102:B121" si="45">B101+1</f>
        <v>1</v>
      </c>
      <c r="C102" s="8" t="s">
        <v>485</v>
      </c>
      <c r="D102" s="8"/>
      <c r="E102" s="19" t="s">
        <v>24</v>
      </c>
      <c r="F102" s="19"/>
      <c r="G102" s="19"/>
      <c r="H102" s="19"/>
      <c r="I102" s="913"/>
      <c r="J102" s="961"/>
      <c r="K102" s="961"/>
      <c r="L102" s="961"/>
      <c r="M102" s="961"/>
      <c r="N102" s="961"/>
      <c r="O102" s="961"/>
      <c r="P102" s="961"/>
      <c r="Q102" s="961"/>
      <c r="R102" s="961"/>
      <c r="S102" s="961"/>
      <c r="T102" s="913"/>
      <c r="U102" s="8"/>
      <c r="V102" s="64"/>
      <c r="W102" s="643">
        <f t="shared" si="44"/>
        <v>0</v>
      </c>
    </row>
    <row r="103" spans="1:23" ht="15" x14ac:dyDescent="0.2">
      <c r="A103" s="45"/>
      <c r="B103" s="16">
        <f t="shared" si="45"/>
        <v>2</v>
      </c>
      <c r="C103" s="1" t="s">
        <v>25</v>
      </c>
      <c r="D103" s="1" t="s">
        <v>26</v>
      </c>
      <c r="E103" s="16"/>
      <c r="F103" s="97">
        <f>' WP II-I-1.4'!I103</f>
        <v>0</v>
      </c>
      <c r="G103" s="16">
        <v>65</v>
      </c>
      <c r="H103" s="45" t="str">
        <f>VLOOKUP(G103,FactorTable,2)</f>
        <v>PLT_N XINT</v>
      </c>
      <c r="I103" s="16"/>
      <c r="J103" s="369">
        <f t="shared" ref="J103:S105" ca="1" si="46">$F103*HLOOKUP(J$1354,FactorTable,$G103+1)</f>
        <v>0</v>
      </c>
      <c r="K103" s="369">
        <f t="shared" ca="1" si="46"/>
        <v>0</v>
      </c>
      <c r="L103" s="369">
        <f t="shared" ca="1" si="46"/>
        <v>0</v>
      </c>
      <c r="M103" s="369">
        <f t="shared" ca="1" si="46"/>
        <v>0</v>
      </c>
      <c r="N103" s="369">
        <f t="shared" ca="1" si="46"/>
        <v>0</v>
      </c>
      <c r="O103" s="369">
        <f t="shared" ca="1" si="46"/>
        <v>0</v>
      </c>
      <c r="P103" s="369">
        <f t="shared" ca="1" si="46"/>
        <v>0</v>
      </c>
      <c r="Q103" s="369">
        <f t="shared" ca="1" si="46"/>
        <v>0</v>
      </c>
      <c r="R103" s="369">
        <f t="shared" ca="1" si="46"/>
        <v>0</v>
      </c>
      <c r="S103" s="369">
        <f t="shared" ca="1" si="46"/>
        <v>0</v>
      </c>
      <c r="T103" s="16"/>
      <c r="U103" s="97">
        <f ca="1">SUM(I103:T103)</f>
        <v>0</v>
      </c>
      <c r="V103" s="64"/>
      <c r="W103" s="643">
        <f t="shared" ca="1" si="44"/>
        <v>0</v>
      </c>
    </row>
    <row r="104" spans="1:23" ht="15" x14ac:dyDescent="0.2">
      <c r="A104" s="45"/>
      <c r="B104" s="16">
        <f t="shared" si="45"/>
        <v>3</v>
      </c>
      <c r="C104" s="1" t="s">
        <v>27</v>
      </c>
      <c r="D104" s="1" t="s">
        <v>28</v>
      </c>
      <c r="E104" s="16"/>
      <c r="F104" s="97">
        <f>' WP II-I-1.4'!I104</f>
        <v>0</v>
      </c>
      <c r="G104" s="16">
        <v>65</v>
      </c>
      <c r="H104" s="45" t="str">
        <f>VLOOKUP(G104,FactorTable,2)</f>
        <v>PLT_N XINT</v>
      </c>
      <c r="I104" s="16"/>
      <c r="J104" s="369">
        <f t="shared" ca="1" si="46"/>
        <v>0</v>
      </c>
      <c r="K104" s="369">
        <f t="shared" ca="1" si="46"/>
        <v>0</v>
      </c>
      <c r="L104" s="369">
        <f t="shared" ca="1" si="46"/>
        <v>0</v>
      </c>
      <c r="M104" s="369">
        <f t="shared" ca="1" si="46"/>
        <v>0</v>
      </c>
      <c r="N104" s="369">
        <f t="shared" ca="1" si="46"/>
        <v>0</v>
      </c>
      <c r="O104" s="369">
        <f t="shared" ca="1" si="46"/>
        <v>0</v>
      </c>
      <c r="P104" s="369">
        <f t="shared" ca="1" si="46"/>
        <v>0</v>
      </c>
      <c r="Q104" s="369">
        <f t="shared" ca="1" si="46"/>
        <v>0</v>
      </c>
      <c r="R104" s="369">
        <f t="shared" ca="1" si="46"/>
        <v>0</v>
      </c>
      <c r="S104" s="369">
        <f t="shared" ca="1" si="46"/>
        <v>0</v>
      </c>
      <c r="T104" s="16"/>
      <c r="U104" s="97">
        <f ca="1">SUM(I104:T104)</f>
        <v>0</v>
      </c>
      <c r="V104" s="64"/>
      <c r="W104" s="643">
        <f t="shared" ca="1" si="44"/>
        <v>0</v>
      </c>
    </row>
    <row r="105" spans="1:23" ht="15" x14ac:dyDescent="0.2">
      <c r="A105" s="45"/>
      <c r="B105" s="16">
        <f t="shared" si="45"/>
        <v>4</v>
      </c>
      <c r="C105" s="1" t="s">
        <v>29</v>
      </c>
      <c r="D105" s="1" t="s">
        <v>32</v>
      </c>
      <c r="E105" s="16"/>
      <c r="F105" s="97">
        <f>' WP II-I-1.4'!I105</f>
        <v>145326</v>
      </c>
      <c r="G105" s="16">
        <v>65</v>
      </c>
      <c r="H105" s="45" t="str">
        <f>VLOOKUP(G105,FactorTable,2)</f>
        <v>PLT_N XINT</v>
      </c>
      <c r="I105" s="16"/>
      <c r="J105" s="370">
        <f t="shared" ca="1" si="46"/>
        <v>71634.663001077977</v>
      </c>
      <c r="K105" s="370">
        <f t="shared" ca="1" si="46"/>
        <v>9995.3835212680133</v>
      </c>
      <c r="L105" s="370">
        <f t="shared" ca="1" si="46"/>
        <v>39065.700334880006</v>
      </c>
      <c r="M105" s="370">
        <f t="shared" ca="1" si="46"/>
        <v>1643.305445946738</v>
      </c>
      <c r="N105" s="370">
        <f t="shared" ca="1" si="46"/>
        <v>12649.670858360856</v>
      </c>
      <c r="O105" s="370">
        <f t="shared" ca="1" si="46"/>
        <v>415.0452461395891</v>
      </c>
      <c r="P105" s="370">
        <f t="shared" ca="1" si="46"/>
        <v>865.73855022981797</v>
      </c>
      <c r="Q105" s="370">
        <f t="shared" ca="1" si="46"/>
        <v>8894.3039572738508</v>
      </c>
      <c r="R105" s="370">
        <f t="shared" ca="1" si="46"/>
        <v>45.833217365108013</v>
      </c>
      <c r="S105" s="370">
        <f t="shared" ca="1" si="46"/>
        <v>116.35586745802854</v>
      </c>
      <c r="T105" s="16"/>
      <c r="U105" s="97">
        <f ca="1">SUM(I105:T105)</f>
        <v>145326</v>
      </c>
      <c r="V105" s="64"/>
      <c r="W105" s="643">
        <f t="shared" ca="1" si="44"/>
        <v>0</v>
      </c>
    </row>
    <row r="106" spans="1:23" ht="15.75" x14ac:dyDescent="0.25">
      <c r="A106" s="45"/>
      <c r="B106" s="16">
        <f t="shared" si="45"/>
        <v>5</v>
      </c>
      <c r="C106" s="8"/>
      <c r="D106" s="233" t="s">
        <v>444</v>
      </c>
      <c r="E106" s="19"/>
      <c r="F106" s="234">
        <f>SUM(F103:F105)</f>
        <v>145326</v>
      </c>
      <c r="G106" s="16"/>
      <c r="H106" s="19"/>
      <c r="I106" s="913"/>
      <c r="J106" s="816">
        <f t="shared" ref="J106:Q106" ca="1" si="47">SUM(J103:J105)</f>
        <v>71634.663001077977</v>
      </c>
      <c r="K106" s="816">
        <f t="shared" ca="1" si="47"/>
        <v>9995.3835212680133</v>
      </c>
      <c r="L106" s="816">
        <f t="shared" ca="1" si="47"/>
        <v>39065.700334880006</v>
      </c>
      <c r="M106" s="816">
        <f t="shared" ca="1" si="47"/>
        <v>1643.305445946738</v>
      </c>
      <c r="N106" s="816">
        <f t="shared" ca="1" si="47"/>
        <v>12649.670858360856</v>
      </c>
      <c r="O106" s="816">
        <f ca="1">SUM(O103:O105)</f>
        <v>415.0452461395891</v>
      </c>
      <c r="P106" s="816">
        <f t="shared" ca="1" si="47"/>
        <v>865.73855022981797</v>
      </c>
      <c r="Q106" s="816">
        <f t="shared" ca="1" si="47"/>
        <v>8894.3039572738508</v>
      </c>
      <c r="R106" s="816">
        <f ca="1">SUM(R103:R105)</f>
        <v>45.833217365108013</v>
      </c>
      <c r="S106" s="816">
        <f ca="1">SUM(S103:S105)</f>
        <v>116.35586745802854</v>
      </c>
      <c r="T106" s="913"/>
      <c r="U106" s="235">
        <f ca="1">SUM(I106:T106)</f>
        <v>145326</v>
      </c>
      <c r="V106" s="64"/>
      <c r="W106" s="643">
        <f t="shared" ca="1" si="44"/>
        <v>0</v>
      </c>
    </row>
    <row r="107" spans="1:23" ht="15.75" x14ac:dyDescent="0.25">
      <c r="A107" s="45"/>
      <c r="B107" s="16">
        <f t="shared" si="45"/>
        <v>6</v>
      </c>
      <c r="C107" s="8" t="s">
        <v>517</v>
      </c>
      <c r="D107" s="8"/>
      <c r="E107" s="19" t="s">
        <v>24</v>
      </c>
      <c r="F107" s="19"/>
      <c r="G107" s="16"/>
      <c r="H107" s="16"/>
      <c r="I107" s="913"/>
      <c r="J107" s="961"/>
      <c r="K107" s="961"/>
      <c r="L107" s="961"/>
      <c r="M107" s="961"/>
      <c r="N107" s="961"/>
      <c r="O107" s="961"/>
      <c r="P107" s="961"/>
      <c r="Q107" s="961"/>
      <c r="R107" s="961"/>
      <c r="S107" s="961"/>
      <c r="T107" s="913"/>
      <c r="U107" s="8"/>
      <c r="V107" s="64"/>
      <c r="W107" s="643">
        <f t="shared" si="44"/>
        <v>0</v>
      </c>
    </row>
    <row r="108" spans="1:23" ht="15.75" x14ac:dyDescent="0.25">
      <c r="A108" s="45"/>
      <c r="B108" s="16">
        <f t="shared" si="45"/>
        <v>7</v>
      </c>
      <c r="C108" s="1" t="s">
        <v>37</v>
      </c>
      <c r="D108" s="1" t="s">
        <v>38</v>
      </c>
      <c r="E108" s="19"/>
      <c r="F108" s="97">
        <f>' WP II-I-1.4'!I108</f>
        <v>0</v>
      </c>
      <c r="G108" s="16">
        <v>28</v>
      </c>
      <c r="H108" s="26" t="str">
        <f t="shared" ref="H108:H120" si="48">VLOOKUP(G108,FactorTable,2)</f>
        <v>NCP XHV</v>
      </c>
      <c r="I108" s="913"/>
      <c r="J108" s="18">
        <f t="shared" ref="J108:S120" si="49">$F108*HLOOKUP(J$1354,FactorTable,$G108+1)</f>
        <v>0</v>
      </c>
      <c r="K108" s="18">
        <f t="shared" si="49"/>
        <v>0</v>
      </c>
      <c r="L108" s="18">
        <f t="shared" si="49"/>
        <v>0</v>
      </c>
      <c r="M108" s="18">
        <f t="shared" si="49"/>
        <v>0</v>
      </c>
      <c r="N108" s="18">
        <f t="shared" si="49"/>
        <v>0</v>
      </c>
      <c r="O108" s="18">
        <f t="shared" si="49"/>
        <v>0</v>
      </c>
      <c r="P108" s="18">
        <f t="shared" si="49"/>
        <v>0</v>
      </c>
      <c r="Q108" s="18">
        <f t="shared" si="49"/>
        <v>0</v>
      </c>
      <c r="R108" s="18">
        <f t="shared" si="49"/>
        <v>0</v>
      </c>
      <c r="S108" s="18">
        <f t="shared" si="49"/>
        <v>0</v>
      </c>
      <c r="T108" s="913"/>
      <c r="U108" s="97">
        <f t="shared" ref="U108:U121" si="50">SUM(I108:T108)</f>
        <v>0</v>
      </c>
      <c r="V108" s="64"/>
      <c r="W108" s="643">
        <f t="shared" si="44"/>
        <v>0</v>
      </c>
    </row>
    <row r="109" spans="1:23" ht="15" x14ac:dyDescent="0.2">
      <c r="A109" s="45"/>
      <c r="B109" s="16">
        <f t="shared" si="45"/>
        <v>8</v>
      </c>
      <c r="C109" s="1" t="s">
        <v>39</v>
      </c>
      <c r="D109" s="1" t="s">
        <v>40</v>
      </c>
      <c r="E109" s="16"/>
      <c r="F109" s="97">
        <f>' WP II-I-1.4'!I109</f>
        <v>0</v>
      </c>
      <c r="G109" s="16">
        <v>28</v>
      </c>
      <c r="H109" s="26" t="str">
        <f t="shared" si="48"/>
        <v>NCP XHV</v>
      </c>
      <c r="I109" s="16"/>
      <c r="J109" s="18">
        <f t="shared" si="49"/>
        <v>0</v>
      </c>
      <c r="K109" s="18">
        <f t="shared" si="49"/>
        <v>0</v>
      </c>
      <c r="L109" s="18">
        <f t="shared" si="49"/>
        <v>0</v>
      </c>
      <c r="M109" s="18">
        <f t="shared" si="49"/>
        <v>0</v>
      </c>
      <c r="N109" s="18">
        <f t="shared" si="49"/>
        <v>0</v>
      </c>
      <c r="O109" s="18">
        <f t="shared" si="49"/>
        <v>0</v>
      </c>
      <c r="P109" s="18">
        <f t="shared" si="49"/>
        <v>0</v>
      </c>
      <c r="Q109" s="18">
        <f t="shared" si="49"/>
        <v>0</v>
      </c>
      <c r="R109" s="18">
        <f t="shared" si="49"/>
        <v>0</v>
      </c>
      <c r="S109" s="18">
        <f t="shared" si="49"/>
        <v>0</v>
      </c>
      <c r="T109" s="16"/>
      <c r="U109" s="97">
        <f t="shared" si="50"/>
        <v>0</v>
      </c>
      <c r="V109" s="64"/>
      <c r="W109" s="643">
        <f t="shared" si="44"/>
        <v>0</v>
      </c>
    </row>
    <row r="110" spans="1:23" ht="15" x14ac:dyDescent="0.2">
      <c r="A110" s="45"/>
      <c r="B110" s="16">
        <f t="shared" si="45"/>
        <v>9</v>
      </c>
      <c r="C110" s="1" t="s">
        <v>1229</v>
      </c>
      <c r="D110" s="1" t="s">
        <v>1230</v>
      </c>
      <c r="E110" s="16"/>
      <c r="F110" s="229">
        <f>' WP II-I-1.4'!I110</f>
        <v>0</v>
      </c>
      <c r="G110" s="16">
        <v>67</v>
      </c>
      <c r="H110" s="26" t="str">
        <f t="shared" ref="H110:H112" si="51">VLOOKUP(G110,FactorTable,2)</f>
        <v>PLTTRAN_N</v>
      </c>
      <c r="I110" s="16"/>
      <c r="J110" s="18">
        <f t="shared" ca="1" si="49"/>
        <v>0</v>
      </c>
      <c r="K110" s="18">
        <f t="shared" ca="1" si="49"/>
        <v>0</v>
      </c>
      <c r="L110" s="18">
        <f t="shared" ca="1" si="49"/>
        <v>0</v>
      </c>
      <c r="M110" s="18">
        <f t="shared" ca="1" si="49"/>
        <v>0</v>
      </c>
      <c r="N110" s="18">
        <f t="shared" ca="1" si="49"/>
        <v>0</v>
      </c>
      <c r="O110" s="18">
        <f t="shared" ca="1" si="49"/>
        <v>0</v>
      </c>
      <c r="P110" s="18">
        <f t="shared" ca="1" si="49"/>
        <v>0</v>
      </c>
      <c r="Q110" s="18">
        <f t="shared" ca="1" si="49"/>
        <v>0</v>
      </c>
      <c r="R110" s="18">
        <f t="shared" ca="1" si="49"/>
        <v>0</v>
      </c>
      <c r="S110" s="18">
        <f t="shared" ca="1" si="49"/>
        <v>0</v>
      </c>
      <c r="T110" s="16"/>
      <c r="U110" s="97">
        <f t="shared" ref="U110:U112" ca="1" si="52">SUM(I110:T110)</f>
        <v>0</v>
      </c>
      <c r="V110" s="64"/>
      <c r="W110" s="643"/>
    </row>
    <row r="111" spans="1:23" ht="15" x14ac:dyDescent="0.2">
      <c r="A111" s="45"/>
      <c r="B111" s="16">
        <f t="shared" si="45"/>
        <v>10</v>
      </c>
      <c r="C111" s="1" t="s">
        <v>1231</v>
      </c>
      <c r="D111" s="1" t="s">
        <v>1232</v>
      </c>
      <c r="E111" s="16"/>
      <c r="F111" s="229">
        <f>' WP II-I-1.4'!I111</f>
        <v>0</v>
      </c>
      <c r="G111" s="16">
        <v>67</v>
      </c>
      <c r="H111" s="26" t="str">
        <f t="shared" si="51"/>
        <v>PLTTRAN_N</v>
      </c>
      <c r="I111" s="16"/>
      <c r="J111" s="18">
        <f t="shared" ca="1" si="49"/>
        <v>0</v>
      </c>
      <c r="K111" s="18">
        <f t="shared" ca="1" si="49"/>
        <v>0</v>
      </c>
      <c r="L111" s="18">
        <f t="shared" ca="1" si="49"/>
        <v>0</v>
      </c>
      <c r="M111" s="18">
        <f t="shared" ca="1" si="49"/>
        <v>0</v>
      </c>
      <c r="N111" s="18">
        <f t="shared" ca="1" si="49"/>
        <v>0</v>
      </c>
      <c r="O111" s="18">
        <f t="shared" ca="1" si="49"/>
        <v>0</v>
      </c>
      <c r="P111" s="18">
        <f t="shared" ca="1" si="49"/>
        <v>0</v>
      </c>
      <c r="Q111" s="18">
        <f t="shared" ca="1" si="49"/>
        <v>0</v>
      </c>
      <c r="R111" s="18">
        <f t="shared" ca="1" si="49"/>
        <v>0</v>
      </c>
      <c r="S111" s="18">
        <f t="shared" ca="1" si="49"/>
        <v>0</v>
      </c>
      <c r="T111" s="16"/>
      <c r="U111" s="97">
        <f t="shared" ca="1" si="52"/>
        <v>0</v>
      </c>
      <c r="V111" s="64"/>
      <c r="W111" s="643"/>
    </row>
    <row r="112" spans="1:23" ht="15" x14ac:dyDescent="0.2">
      <c r="A112" s="45"/>
      <c r="B112" s="16">
        <f t="shared" si="45"/>
        <v>11</v>
      </c>
      <c r="C112" s="1" t="s">
        <v>1233</v>
      </c>
      <c r="D112" s="1" t="s">
        <v>103</v>
      </c>
      <c r="E112" s="16"/>
      <c r="F112" s="229">
        <f>' WP II-I-1.4'!I112</f>
        <v>0</v>
      </c>
      <c r="G112" s="16">
        <v>67</v>
      </c>
      <c r="H112" s="26" t="str">
        <f t="shared" si="51"/>
        <v>PLTTRAN_N</v>
      </c>
      <c r="I112" s="16"/>
      <c r="J112" s="18">
        <f t="shared" ca="1" si="49"/>
        <v>0</v>
      </c>
      <c r="K112" s="18">
        <f t="shared" ca="1" si="49"/>
        <v>0</v>
      </c>
      <c r="L112" s="18">
        <f t="shared" ca="1" si="49"/>
        <v>0</v>
      </c>
      <c r="M112" s="18">
        <f t="shared" ca="1" si="49"/>
        <v>0</v>
      </c>
      <c r="N112" s="18">
        <f t="shared" ca="1" si="49"/>
        <v>0</v>
      </c>
      <c r="O112" s="18">
        <f t="shared" ca="1" si="49"/>
        <v>0</v>
      </c>
      <c r="P112" s="18">
        <f t="shared" ca="1" si="49"/>
        <v>0</v>
      </c>
      <c r="Q112" s="18">
        <f t="shared" ca="1" si="49"/>
        <v>0</v>
      </c>
      <c r="R112" s="18">
        <f t="shared" ca="1" si="49"/>
        <v>0</v>
      </c>
      <c r="S112" s="18">
        <f t="shared" ca="1" si="49"/>
        <v>0</v>
      </c>
      <c r="T112" s="16"/>
      <c r="U112" s="97">
        <f t="shared" ca="1" si="52"/>
        <v>0</v>
      </c>
      <c r="V112" s="64"/>
      <c r="W112" s="643"/>
    </row>
    <row r="113" spans="1:23" ht="15" x14ac:dyDescent="0.2">
      <c r="A113" s="45"/>
      <c r="B113" s="16">
        <f t="shared" si="45"/>
        <v>12</v>
      </c>
      <c r="C113" s="1" t="s">
        <v>41</v>
      </c>
      <c r="D113" s="1" t="s">
        <v>42</v>
      </c>
      <c r="E113" s="16"/>
      <c r="F113" s="97">
        <f>' WP II-I-1.4'!I113</f>
        <v>0</v>
      </c>
      <c r="G113" s="16">
        <v>28</v>
      </c>
      <c r="H113" s="26" t="str">
        <f t="shared" si="48"/>
        <v>NCP XHV</v>
      </c>
      <c r="I113" s="16"/>
      <c r="J113" s="18">
        <f t="shared" si="49"/>
        <v>0</v>
      </c>
      <c r="K113" s="18">
        <f t="shared" si="49"/>
        <v>0</v>
      </c>
      <c r="L113" s="18">
        <f t="shared" si="49"/>
        <v>0</v>
      </c>
      <c r="M113" s="18">
        <f t="shared" si="49"/>
        <v>0</v>
      </c>
      <c r="N113" s="18">
        <f t="shared" si="49"/>
        <v>0</v>
      </c>
      <c r="O113" s="18">
        <f t="shared" si="49"/>
        <v>0</v>
      </c>
      <c r="P113" s="18">
        <f t="shared" si="49"/>
        <v>0</v>
      </c>
      <c r="Q113" s="18">
        <f t="shared" si="49"/>
        <v>0</v>
      </c>
      <c r="R113" s="18">
        <f t="shared" si="49"/>
        <v>0</v>
      </c>
      <c r="S113" s="18">
        <f t="shared" si="49"/>
        <v>0</v>
      </c>
      <c r="T113" s="16"/>
      <c r="U113" s="97">
        <f t="shared" si="50"/>
        <v>0</v>
      </c>
      <c r="V113" s="64"/>
      <c r="W113" s="643">
        <f t="shared" si="44"/>
        <v>0</v>
      </c>
    </row>
    <row r="114" spans="1:23" ht="15" x14ac:dyDescent="0.2">
      <c r="A114" s="45"/>
      <c r="B114" s="16">
        <f t="shared" si="45"/>
        <v>13</v>
      </c>
      <c r="C114" s="1" t="s">
        <v>43</v>
      </c>
      <c r="D114" s="1" t="s">
        <v>44</v>
      </c>
      <c r="E114" s="16"/>
      <c r="F114" s="97">
        <f>' WP II-I-1.4'!I114</f>
        <v>0</v>
      </c>
      <c r="G114" s="16">
        <v>28</v>
      </c>
      <c r="H114" s="26" t="str">
        <f t="shared" si="48"/>
        <v>NCP XHV</v>
      </c>
      <c r="I114" s="16"/>
      <c r="J114" s="18">
        <f t="shared" si="49"/>
        <v>0</v>
      </c>
      <c r="K114" s="18">
        <f t="shared" si="49"/>
        <v>0</v>
      </c>
      <c r="L114" s="18">
        <f t="shared" si="49"/>
        <v>0</v>
      </c>
      <c r="M114" s="18">
        <f t="shared" si="49"/>
        <v>0</v>
      </c>
      <c r="N114" s="18">
        <f t="shared" si="49"/>
        <v>0</v>
      </c>
      <c r="O114" s="18">
        <f t="shared" si="49"/>
        <v>0</v>
      </c>
      <c r="P114" s="18">
        <f t="shared" si="49"/>
        <v>0</v>
      </c>
      <c r="Q114" s="18">
        <f t="shared" si="49"/>
        <v>0</v>
      </c>
      <c r="R114" s="18">
        <f t="shared" si="49"/>
        <v>0</v>
      </c>
      <c r="S114" s="18">
        <f t="shared" si="49"/>
        <v>0</v>
      </c>
      <c r="T114" s="16"/>
      <c r="U114" s="97">
        <f t="shared" si="50"/>
        <v>0</v>
      </c>
      <c r="V114" s="64"/>
      <c r="W114" s="643">
        <f t="shared" si="44"/>
        <v>0</v>
      </c>
    </row>
    <row r="115" spans="1:23" ht="15" x14ac:dyDescent="0.2">
      <c r="A115" s="45"/>
      <c r="B115" s="16">
        <f t="shared" si="45"/>
        <v>14</v>
      </c>
      <c r="C115" s="1" t="s">
        <v>45</v>
      </c>
      <c r="D115" s="1" t="s">
        <v>46</v>
      </c>
      <c r="E115" s="16"/>
      <c r="F115" s="97">
        <f>' WP II-I-1.4'!I115</f>
        <v>0</v>
      </c>
      <c r="G115" s="16">
        <v>28</v>
      </c>
      <c r="H115" s="26" t="str">
        <f t="shared" si="48"/>
        <v>NCP XHV</v>
      </c>
      <c r="I115" s="16"/>
      <c r="J115" s="18">
        <f t="shared" si="49"/>
        <v>0</v>
      </c>
      <c r="K115" s="18">
        <f t="shared" si="49"/>
        <v>0</v>
      </c>
      <c r="L115" s="18">
        <f t="shared" si="49"/>
        <v>0</v>
      </c>
      <c r="M115" s="18">
        <f t="shared" si="49"/>
        <v>0</v>
      </c>
      <c r="N115" s="18">
        <f t="shared" si="49"/>
        <v>0</v>
      </c>
      <c r="O115" s="18">
        <f t="shared" si="49"/>
        <v>0</v>
      </c>
      <c r="P115" s="18">
        <f t="shared" si="49"/>
        <v>0</v>
      </c>
      <c r="Q115" s="18">
        <f t="shared" si="49"/>
        <v>0</v>
      </c>
      <c r="R115" s="18">
        <f t="shared" si="49"/>
        <v>0</v>
      </c>
      <c r="S115" s="18">
        <f t="shared" si="49"/>
        <v>0</v>
      </c>
      <c r="T115" s="16"/>
      <c r="U115" s="97">
        <f t="shared" si="50"/>
        <v>0</v>
      </c>
      <c r="V115" s="64"/>
      <c r="W115" s="643">
        <f t="shared" si="44"/>
        <v>0</v>
      </c>
    </row>
    <row r="116" spans="1:23" ht="15" x14ac:dyDescent="0.2">
      <c r="A116" s="45"/>
      <c r="B116" s="16">
        <f t="shared" si="45"/>
        <v>15</v>
      </c>
      <c r="C116" s="1" t="s">
        <v>47</v>
      </c>
      <c r="D116" s="1" t="s">
        <v>48</v>
      </c>
      <c r="E116" s="16"/>
      <c r="F116" s="97">
        <f>' WP II-I-1.4'!I116</f>
        <v>0</v>
      </c>
      <c r="G116" s="16">
        <v>28</v>
      </c>
      <c r="H116" s="26" t="str">
        <f t="shared" si="48"/>
        <v>NCP XHV</v>
      </c>
      <c r="I116" s="16"/>
      <c r="J116" s="18">
        <f t="shared" si="49"/>
        <v>0</v>
      </c>
      <c r="K116" s="18">
        <f t="shared" si="49"/>
        <v>0</v>
      </c>
      <c r="L116" s="18">
        <f t="shared" si="49"/>
        <v>0</v>
      </c>
      <c r="M116" s="18">
        <f t="shared" si="49"/>
        <v>0</v>
      </c>
      <c r="N116" s="18">
        <f t="shared" si="49"/>
        <v>0</v>
      </c>
      <c r="O116" s="18">
        <f t="shared" si="49"/>
        <v>0</v>
      </c>
      <c r="P116" s="18">
        <f t="shared" si="49"/>
        <v>0</v>
      </c>
      <c r="Q116" s="18">
        <f t="shared" si="49"/>
        <v>0</v>
      </c>
      <c r="R116" s="18">
        <f t="shared" si="49"/>
        <v>0</v>
      </c>
      <c r="S116" s="18">
        <f t="shared" si="49"/>
        <v>0</v>
      </c>
      <c r="T116" s="16"/>
      <c r="U116" s="97">
        <f t="shared" si="50"/>
        <v>0</v>
      </c>
      <c r="V116" s="64"/>
      <c r="W116" s="643">
        <f t="shared" si="44"/>
        <v>0</v>
      </c>
    </row>
    <row r="117" spans="1:23" ht="15" x14ac:dyDescent="0.2">
      <c r="A117" s="45"/>
      <c r="B117" s="16">
        <f t="shared" si="45"/>
        <v>16</v>
      </c>
      <c r="C117" s="1" t="s">
        <v>49</v>
      </c>
      <c r="D117" s="1" t="s">
        <v>486</v>
      </c>
      <c r="E117" s="16"/>
      <c r="F117" s="97">
        <f>' WP II-I-1.4'!I117</f>
        <v>0</v>
      </c>
      <c r="G117" s="16">
        <v>28</v>
      </c>
      <c r="H117" s="26" t="str">
        <f t="shared" si="48"/>
        <v>NCP XHV</v>
      </c>
      <c r="I117" s="16"/>
      <c r="J117" s="18">
        <f t="shared" si="49"/>
        <v>0</v>
      </c>
      <c r="K117" s="18">
        <f t="shared" si="49"/>
        <v>0</v>
      </c>
      <c r="L117" s="18">
        <f t="shared" si="49"/>
        <v>0</v>
      </c>
      <c r="M117" s="18">
        <f t="shared" si="49"/>
        <v>0</v>
      </c>
      <c r="N117" s="18">
        <f t="shared" si="49"/>
        <v>0</v>
      </c>
      <c r="O117" s="18">
        <f t="shared" si="49"/>
        <v>0</v>
      </c>
      <c r="P117" s="18">
        <f t="shared" si="49"/>
        <v>0</v>
      </c>
      <c r="Q117" s="18">
        <f t="shared" si="49"/>
        <v>0</v>
      </c>
      <c r="R117" s="18">
        <f t="shared" si="49"/>
        <v>0</v>
      </c>
      <c r="S117" s="18">
        <f t="shared" si="49"/>
        <v>0</v>
      </c>
      <c r="T117" s="16"/>
      <c r="U117" s="97">
        <f t="shared" si="50"/>
        <v>0</v>
      </c>
      <c r="V117" s="64"/>
      <c r="W117" s="643">
        <f t="shared" si="44"/>
        <v>0</v>
      </c>
    </row>
    <row r="118" spans="1:23" ht="15" x14ac:dyDescent="0.2">
      <c r="A118" s="45"/>
      <c r="B118" s="16">
        <f t="shared" si="45"/>
        <v>17</v>
      </c>
      <c r="C118" s="1" t="s">
        <v>51</v>
      </c>
      <c r="D118" s="647" t="s">
        <v>644</v>
      </c>
      <c r="E118" s="16"/>
      <c r="F118" s="97">
        <f>' WP II-I-1.4'!I118</f>
        <v>0</v>
      </c>
      <c r="G118" s="16">
        <v>28</v>
      </c>
      <c r="H118" s="26" t="str">
        <f t="shared" si="48"/>
        <v>NCP XHV</v>
      </c>
      <c r="I118" s="16"/>
      <c r="J118" s="18">
        <f t="shared" si="49"/>
        <v>0</v>
      </c>
      <c r="K118" s="18">
        <f t="shared" si="49"/>
        <v>0</v>
      </c>
      <c r="L118" s="18">
        <f t="shared" si="49"/>
        <v>0</v>
      </c>
      <c r="M118" s="18">
        <f t="shared" si="49"/>
        <v>0</v>
      </c>
      <c r="N118" s="18">
        <f t="shared" si="49"/>
        <v>0</v>
      </c>
      <c r="O118" s="18">
        <f t="shared" si="49"/>
        <v>0</v>
      </c>
      <c r="P118" s="18">
        <f t="shared" si="49"/>
        <v>0</v>
      </c>
      <c r="Q118" s="18">
        <f t="shared" si="49"/>
        <v>0</v>
      </c>
      <c r="R118" s="18">
        <f t="shared" si="49"/>
        <v>0</v>
      </c>
      <c r="S118" s="18">
        <f t="shared" si="49"/>
        <v>0</v>
      </c>
      <c r="T118" s="16"/>
      <c r="U118" s="97">
        <f t="shared" si="50"/>
        <v>0</v>
      </c>
      <c r="V118" s="64"/>
      <c r="W118" s="643">
        <f t="shared" si="44"/>
        <v>0</v>
      </c>
    </row>
    <row r="119" spans="1:23" ht="15" x14ac:dyDescent="0.2">
      <c r="A119" s="45"/>
      <c r="B119" s="16">
        <f t="shared" si="45"/>
        <v>18</v>
      </c>
      <c r="C119" s="1" t="s">
        <v>53</v>
      </c>
      <c r="D119" s="29" t="s">
        <v>487</v>
      </c>
      <c r="E119" s="16"/>
      <c r="F119" s="97">
        <f>' WP II-I-1.4'!I119</f>
        <v>0</v>
      </c>
      <c r="G119" s="16">
        <v>28</v>
      </c>
      <c r="H119" s="26" t="str">
        <f t="shared" si="48"/>
        <v>NCP XHV</v>
      </c>
      <c r="I119" s="16"/>
      <c r="J119" s="18">
        <f t="shared" si="49"/>
        <v>0</v>
      </c>
      <c r="K119" s="18">
        <f t="shared" si="49"/>
        <v>0</v>
      </c>
      <c r="L119" s="18">
        <f t="shared" si="49"/>
        <v>0</v>
      </c>
      <c r="M119" s="18">
        <f t="shared" si="49"/>
        <v>0</v>
      </c>
      <c r="N119" s="18">
        <f t="shared" si="49"/>
        <v>0</v>
      </c>
      <c r="O119" s="18">
        <f t="shared" si="49"/>
        <v>0</v>
      </c>
      <c r="P119" s="18">
        <f t="shared" si="49"/>
        <v>0</v>
      </c>
      <c r="Q119" s="18">
        <f t="shared" si="49"/>
        <v>0</v>
      </c>
      <c r="R119" s="18">
        <f t="shared" si="49"/>
        <v>0</v>
      </c>
      <c r="S119" s="18">
        <f t="shared" si="49"/>
        <v>0</v>
      </c>
      <c r="T119" s="16"/>
      <c r="U119" s="97">
        <f t="shared" si="50"/>
        <v>0</v>
      </c>
      <c r="V119" s="64"/>
      <c r="W119" s="643">
        <f t="shared" si="44"/>
        <v>0</v>
      </c>
    </row>
    <row r="120" spans="1:23" ht="15" x14ac:dyDescent="0.2">
      <c r="A120" s="45"/>
      <c r="B120" s="16">
        <f t="shared" si="45"/>
        <v>19</v>
      </c>
      <c r="C120" s="1" t="s">
        <v>55</v>
      </c>
      <c r="D120" s="1" t="s">
        <v>56</v>
      </c>
      <c r="E120" s="16"/>
      <c r="F120" s="97">
        <f>' WP II-I-1.4'!I120</f>
        <v>0</v>
      </c>
      <c r="G120" s="16">
        <v>28</v>
      </c>
      <c r="H120" s="26" t="str">
        <f t="shared" si="48"/>
        <v>NCP XHV</v>
      </c>
      <c r="I120" s="16"/>
      <c r="J120" s="80">
        <f t="shared" si="49"/>
        <v>0</v>
      </c>
      <c r="K120" s="80">
        <f t="shared" si="49"/>
        <v>0</v>
      </c>
      <c r="L120" s="80">
        <f t="shared" si="49"/>
        <v>0</v>
      </c>
      <c r="M120" s="80">
        <f t="shared" si="49"/>
        <v>0</v>
      </c>
      <c r="N120" s="80">
        <f t="shared" si="49"/>
        <v>0</v>
      </c>
      <c r="O120" s="80">
        <f t="shared" si="49"/>
        <v>0</v>
      </c>
      <c r="P120" s="80">
        <f t="shared" si="49"/>
        <v>0</v>
      </c>
      <c r="Q120" s="80">
        <f t="shared" si="49"/>
        <v>0</v>
      </c>
      <c r="R120" s="80">
        <f t="shared" si="49"/>
        <v>0</v>
      </c>
      <c r="S120" s="80">
        <f t="shared" si="49"/>
        <v>0</v>
      </c>
      <c r="T120" s="16"/>
      <c r="U120" s="97">
        <f t="shared" si="50"/>
        <v>0</v>
      </c>
      <c r="V120" s="64"/>
      <c r="W120" s="643">
        <f t="shared" si="44"/>
        <v>0</v>
      </c>
    </row>
    <row r="121" spans="1:23" ht="15.75" x14ac:dyDescent="0.25">
      <c r="A121" s="45"/>
      <c r="B121" s="16">
        <f t="shared" si="45"/>
        <v>20</v>
      </c>
      <c r="C121" s="8"/>
      <c r="D121" s="233" t="s">
        <v>444</v>
      </c>
      <c r="E121" s="19"/>
      <c r="F121" s="21">
        <f>SUM(F108:F120)</f>
        <v>0</v>
      </c>
      <c r="G121" s="16"/>
      <c r="H121" s="19"/>
      <c r="I121" s="19"/>
      <c r="J121" s="805">
        <f t="shared" ref="J121:Q121" ca="1" si="53">SUM(J108:J120)</f>
        <v>0</v>
      </c>
      <c r="K121" s="805">
        <f t="shared" ca="1" si="53"/>
        <v>0</v>
      </c>
      <c r="L121" s="805">
        <f t="shared" ca="1" si="53"/>
        <v>0</v>
      </c>
      <c r="M121" s="805">
        <f t="shared" ca="1" si="53"/>
        <v>0</v>
      </c>
      <c r="N121" s="805">
        <f t="shared" ca="1" si="53"/>
        <v>0</v>
      </c>
      <c r="O121" s="805">
        <f ca="1">SUM(O108:O120)</f>
        <v>0</v>
      </c>
      <c r="P121" s="805">
        <f t="shared" ca="1" si="53"/>
        <v>0</v>
      </c>
      <c r="Q121" s="805">
        <f t="shared" ca="1" si="53"/>
        <v>0</v>
      </c>
      <c r="R121" s="805">
        <f ca="1">SUM(R108:R120)</f>
        <v>0</v>
      </c>
      <c r="S121" s="805">
        <f ca="1">SUM(S108:S120)</f>
        <v>0</v>
      </c>
      <c r="T121" s="19"/>
      <c r="U121" s="235">
        <f t="shared" ca="1" si="50"/>
        <v>0</v>
      </c>
      <c r="V121" s="64"/>
      <c r="W121" s="643">
        <f t="shared" ca="1" si="44"/>
        <v>0</v>
      </c>
    </row>
    <row r="122" spans="1:23" ht="15" x14ac:dyDescent="0.2">
      <c r="A122" s="45"/>
      <c r="B122" s="16"/>
      <c r="C122" s="1"/>
      <c r="D122" s="1"/>
      <c r="E122" s="16"/>
      <c r="F122" s="18"/>
      <c r="G122" s="16"/>
      <c r="H122" s="10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05"/>
      <c r="V122" s="105">
        <f>$H$2</f>
        <v>0</v>
      </c>
      <c r="W122" s="138"/>
    </row>
    <row r="123" spans="1:23" ht="15.75" thickBot="1" x14ac:dyDescent="0.25">
      <c r="A123" s="45"/>
      <c r="B123" s="16"/>
      <c r="C123" s="1"/>
      <c r="D123" s="1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"/>
      <c r="V123" s="105"/>
      <c r="W123" s="138"/>
    </row>
    <row r="124" spans="1:23" ht="15.75" x14ac:dyDescent="0.25">
      <c r="A124" s="45"/>
      <c r="B124" s="829" t="str">
        <f>+$B$4</f>
        <v>2025 RATE CASE</v>
      </c>
      <c r="C124" s="844"/>
      <c r="D124" s="551"/>
      <c r="F124" s="64"/>
      <c r="U124" s="105"/>
      <c r="W124" s="138"/>
    </row>
    <row r="125" spans="1:23" ht="15.75" x14ac:dyDescent="0.25">
      <c r="A125" s="229"/>
      <c r="B125" s="826" t="str">
        <f>+$B$5</f>
        <v>ONCOR ELECTRIC DELIVERY COMPANY LLC</v>
      </c>
      <c r="C125" s="8"/>
      <c r="D125" s="870"/>
      <c r="F125" s="64"/>
      <c r="U125" s="105"/>
      <c r="V125" s="64"/>
      <c r="W125" s="138"/>
    </row>
    <row r="126" spans="1:23" ht="15.75" x14ac:dyDescent="0.25">
      <c r="A126" s="45"/>
      <c r="B126" s="826" t="str">
        <f>+$B$6</f>
        <v>II-I-1-TBILLTDCS:  CLASS REVENUE REQUIREMENT</v>
      </c>
      <c r="C126" s="82"/>
      <c r="D126" s="870"/>
      <c r="F126" s="11"/>
      <c r="U126" s="11"/>
      <c r="V126" s="64"/>
      <c r="W126" s="138"/>
    </row>
    <row r="127" spans="1:23" ht="15.75" x14ac:dyDescent="0.25">
      <c r="A127" s="45"/>
      <c r="B127" s="341" t="str">
        <f>+$B$7</f>
        <v>TEST YEAR ENDING 12/31/2024</v>
      </c>
      <c r="C127" s="82"/>
      <c r="D127" s="870"/>
      <c r="F127" s="11"/>
      <c r="K127" s="101" t="s">
        <v>0</v>
      </c>
      <c r="U127" s="11"/>
      <c r="V127" s="64"/>
      <c r="W127" s="138"/>
    </row>
    <row r="128" spans="1:23" ht="15.75" x14ac:dyDescent="0.25">
      <c r="A128" s="45"/>
      <c r="B128" s="341" t="str">
        <f>+$B$8</f>
        <v>SPONSOR:  MATTHEW A. TROXLE</v>
      </c>
      <c r="C128" s="82"/>
      <c r="D128" s="870"/>
      <c r="F128" s="11"/>
      <c r="U128" s="11"/>
      <c r="V128" s="64"/>
      <c r="W128" s="138"/>
    </row>
    <row r="129" spans="1:23" ht="16.5" thickBot="1" x14ac:dyDescent="0.3">
      <c r="A129" s="45"/>
      <c r="B129" s="345"/>
      <c r="C129" s="843"/>
      <c r="D129" s="871"/>
      <c r="F129" s="11"/>
      <c r="U129" s="11"/>
      <c r="V129" s="64"/>
      <c r="W129" s="138"/>
    </row>
    <row r="130" spans="1:23" ht="15.75" thickBot="1" x14ac:dyDescent="0.25">
      <c r="A130" s="45"/>
      <c r="B130" s="12"/>
      <c r="C130" s="13"/>
      <c r="D130" s="13"/>
      <c r="E130" s="13"/>
      <c r="F130" s="12"/>
      <c r="G130" s="13"/>
      <c r="H130" s="13"/>
      <c r="I130" s="13"/>
      <c r="J130" s="177"/>
      <c r="K130" s="177"/>
      <c r="L130" s="13"/>
      <c r="M130" s="177"/>
      <c r="N130" s="177"/>
      <c r="O130" s="177"/>
      <c r="P130" s="177"/>
      <c r="Q130" s="13"/>
      <c r="R130" s="328" t="str">
        <f>R$10</f>
        <v xml:space="preserve"> </v>
      </c>
      <c r="S130" s="329"/>
      <c r="T130" s="177"/>
      <c r="U130" s="12"/>
      <c r="V130" s="64"/>
      <c r="W130" s="138"/>
    </row>
    <row r="131" spans="1:23" ht="15.75" x14ac:dyDescent="0.25">
      <c r="A131" s="45"/>
      <c r="B131" s="14" t="s">
        <v>2</v>
      </c>
      <c r="C131" s="14" t="s">
        <v>349</v>
      </c>
      <c r="D131" s="226" t="s">
        <v>518</v>
      </c>
      <c r="E131" s="14" t="s">
        <v>350</v>
      </c>
      <c r="F131" s="226" t="str">
        <f>F$11</f>
        <v>TBILLTDCS</v>
      </c>
      <c r="G131" s="181" t="s">
        <v>688</v>
      </c>
      <c r="H131" s="181" t="s">
        <v>355</v>
      </c>
      <c r="I131" s="14"/>
      <c r="J131" s="181" t="s">
        <v>679</v>
      </c>
      <c r="K131" s="181" t="s">
        <v>388</v>
      </c>
      <c r="L131" s="14" t="s">
        <v>388</v>
      </c>
      <c r="M131" s="181" t="s">
        <v>389</v>
      </c>
      <c r="N131" s="181" t="s">
        <v>389</v>
      </c>
      <c r="O131" s="181" t="s">
        <v>389</v>
      </c>
      <c r="P131" s="181" t="s">
        <v>390</v>
      </c>
      <c r="Q131" s="14" t="s">
        <v>391</v>
      </c>
      <c r="R131" s="331" t="str">
        <f>R$11</f>
        <v>Wholesale</v>
      </c>
      <c r="S131" s="12" t="str">
        <f>S$11</f>
        <v>Wholesale</v>
      </c>
      <c r="T131" s="181"/>
      <c r="U131" s="14" t="s">
        <v>10</v>
      </c>
      <c r="V131" s="64"/>
      <c r="W131" s="138"/>
    </row>
    <row r="132" spans="1:23" ht="15" x14ac:dyDescent="0.2">
      <c r="A132" s="45"/>
      <c r="B132" s="14"/>
      <c r="C132" s="14"/>
      <c r="D132" s="14"/>
      <c r="E132" s="14"/>
      <c r="F132" s="14"/>
      <c r="G132" s="181" t="s">
        <v>689</v>
      </c>
      <c r="H132" s="181" t="s">
        <v>690</v>
      </c>
      <c r="I132" s="14"/>
      <c r="J132" s="181"/>
      <c r="K132" s="181" t="s">
        <v>680</v>
      </c>
      <c r="L132" s="14" t="s">
        <v>681</v>
      </c>
      <c r="M132" s="181" t="s">
        <v>680</v>
      </c>
      <c r="N132" s="181" t="s">
        <v>681</v>
      </c>
      <c r="O132" s="181" t="s">
        <v>393</v>
      </c>
      <c r="P132" s="181"/>
      <c r="Q132" s="14"/>
      <c r="R132" s="174" t="str">
        <f>R$12</f>
        <v>XFMR</v>
      </c>
      <c r="S132" s="14" t="str">
        <f>S$12</f>
        <v>DLS</v>
      </c>
      <c r="T132" s="181"/>
      <c r="U132" s="14"/>
      <c r="V132" s="64"/>
      <c r="W132" s="138"/>
    </row>
    <row r="133" spans="1:23" ht="15.75" thickBot="1" x14ac:dyDescent="0.25">
      <c r="A133" s="45"/>
      <c r="B133" s="15"/>
      <c r="C133" s="15"/>
      <c r="D133" s="15"/>
      <c r="E133" s="15"/>
      <c r="F133" s="15" t="s">
        <v>13</v>
      </c>
      <c r="G133" s="15" t="s">
        <v>14</v>
      </c>
      <c r="H133" s="15" t="s">
        <v>15</v>
      </c>
      <c r="I133" s="15"/>
      <c r="J133" s="182" t="str">
        <f t="shared" ref="J133:Q133" si="54">J$13</f>
        <v>(d)</v>
      </c>
      <c r="K133" s="182" t="str">
        <f t="shared" si="54"/>
        <v>(e)</v>
      </c>
      <c r="L133" s="15" t="str">
        <f t="shared" si="54"/>
        <v>(f)</v>
      </c>
      <c r="M133" s="182" t="str">
        <f t="shared" si="54"/>
        <v>(g)</v>
      </c>
      <c r="N133" s="182" t="str">
        <f t="shared" si="54"/>
        <v>(h)</v>
      </c>
      <c r="O133" s="182" t="str">
        <f>O$13</f>
        <v>(i)</v>
      </c>
      <c r="P133" s="182" t="str">
        <f t="shared" si="54"/>
        <v>(j)</v>
      </c>
      <c r="Q133" s="182" t="str">
        <f t="shared" si="54"/>
        <v>(k)</v>
      </c>
      <c r="R133" s="182" t="str">
        <f>R$13</f>
        <v>(l)</v>
      </c>
      <c r="S133" s="15" t="str">
        <f>S$13</f>
        <v>(m)</v>
      </c>
      <c r="T133" s="15"/>
      <c r="U133" s="15" t="s">
        <v>683</v>
      </c>
      <c r="V133" s="64"/>
      <c r="W133" s="138"/>
    </row>
    <row r="134" spans="1:23" ht="15" x14ac:dyDescent="0.2">
      <c r="A134" s="45"/>
      <c r="B134" s="64"/>
      <c r="C134" s="64"/>
      <c r="D134" s="96"/>
      <c r="E134" s="96"/>
      <c r="F134" s="227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64"/>
      <c r="W134" s="643">
        <f t="shared" ref="W134:W168" si="55">F134-U134</f>
        <v>0</v>
      </c>
    </row>
    <row r="135" spans="1:23" ht="15.75" x14ac:dyDescent="0.25">
      <c r="A135" s="45"/>
      <c r="B135" s="16">
        <v>1</v>
      </c>
      <c r="C135" s="8" t="s">
        <v>518</v>
      </c>
      <c r="D135" s="8"/>
      <c r="E135" s="19" t="s">
        <v>24</v>
      </c>
      <c r="F135" s="21"/>
      <c r="G135" s="19"/>
      <c r="H135" s="19"/>
      <c r="I135" s="913"/>
      <c r="J135" s="961"/>
      <c r="K135" s="961"/>
      <c r="L135" s="961"/>
      <c r="M135" s="961"/>
      <c r="N135" s="961"/>
      <c r="O135" s="961"/>
      <c r="P135" s="961"/>
      <c r="Q135" s="961"/>
      <c r="R135" s="961"/>
      <c r="S135" s="961"/>
      <c r="T135" s="961"/>
      <c r="U135" s="8"/>
      <c r="V135" s="64"/>
      <c r="W135" s="643">
        <f t="shared" si="55"/>
        <v>0</v>
      </c>
    </row>
    <row r="136" spans="1:23" ht="15" x14ac:dyDescent="0.2">
      <c r="A136" s="45"/>
      <c r="B136" s="16">
        <f t="shared" ref="B136:B137" si="56">B135+1</f>
        <v>2</v>
      </c>
      <c r="C136" s="1" t="s">
        <v>59</v>
      </c>
      <c r="D136" s="1" t="s">
        <v>40</v>
      </c>
      <c r="E136" s="16"/>
      <c r="F136" s="97">
        <f>' WP II-I-1.4'!I136</f>
        <v>0</v>
      </c>
      <c r="G136" s="16">
        <v>54</v>
      </c>
      <c r="H136" s="26" t="str">
        <f t="shared" ref="H136:H158" si="57">VLOOKUP(G136,FactorTable,2)</f>
        <v>PLT 362-373</v>
      </c>
      <c r="I136" s="16"/>
      <c r="J136" s="98">
        <f t="shared" ref="J136:S145" ca="1" si="58">$F136*HLOOKUP(J$1354,FactorTable,$G136+1)</f>
        <v>0</v>
      </c>
      <c r="K136" s="98">
        <f t="shared" ca="1" si="58"/>
        <v>0</v>
      </c>
      <c r="L136" s="98">
        <f t="shared" ca="1" si="58"/>
        <v>0</v>
      </c>
      <c r="M136" s="98">
        <f t="shared" ca="1" si="58"/>
        <v>0</v>
      </c>
      <c r="N136" s="98">
        <f t="shared" ca="1" si="58"/>
        <v>0</v>
      </c>
      <c r="O136" s="98">
        <f t="shared" ca="1" si="58"/>
        <v>0</v>
      </c>
      <c r="P136" s="98">
        <f t="shared" ca="1" si="58"/>
        <v>0</v>
      </c>
      <c r="Q136" s="98">
        <f t="shared" ca="1" si="58"/>
        <v>0</v>
      </c>
      <c r="R136" s="98">
        <f t="shared" ca="1" si="58"/>
        <v>0</v>
      </c>
      <c r="S136" s="98">
        <f t="shared" ca="1" si="58"/>
        <v>0</v>
      </c>
      <c r="T136" s="16"/>
      <c r="U136" s="97">
        <f t="shared" ref="U136:U159" ca="1" si="59">SUM(I136:T136)</f>
        <v>0</v>
      </c>
      <c r="V136" s="64"/>
      <c r="W136" s="643">
        <f t="shared" ca="1" si="55"/>
        <v>0</v>
      </c>
    </row>
    <row r="137" spans="1:23" ht="15" x14ac:dyDescent="0.2">
      <c r="A137" s="45"/>
      <c r="B137" s="16">
        <f t="shared" si="56"/>
        <v>3</v>
      </c>
      <c r="C137" s="1" t="s">
        <v>60</v>
      </c>
      <c r="D137" s="29" t="s">
        <v>42</v>
      </c>
      <c r="E137" s="16"/>
      <c r="F137" s="97">
        <f>' WP II-I-1.4'!I137</f>
        <v>0</v>
      </c>
      <c r="G137" s="16">
        <v>54</v>
      </c>
      <c r="H137" s="26" t="str">
        <f t="shared" si="57"/>
        <v>PLT 362-373</v>
      </c>
      <c r="I137" s="16"/>
      <c r="J137" s="98">
        <f t="shared" ca="1" si="58"/>
        <v>0</v>
      </c>
      <c r="K137" s="98">
        <f t="shared" ca="1" si="58"/>
        <v>0</v>
      </c>
      <c r="L137" s="98">
        <f t="shared" ca="1" si="58"/>
        <v>0</v>
      </c>
      <c r="M137" s="98">
        <f t="shared" ca="1" si="58"/>
        <v>0</v>
      </c>
      <c r="N137" s="98">
        <f t="shared" ca="1" si="58"/>
        <v>0</v>
      </c>
      <c r="O137" s="98">
        <f t="shared" ca="1" si="58"/>
        <v>0</v>
      </c>
      <c r="P137" s="98">
        <f t="shared" ca="1" si="58"/>
        <v>0</v>
      </c>
      <c r="Q137" s="98">
        <f t="shared" ca="1" si="58"/>
        <v>0</v>
      </c>
      <c r="R137" s="98">
        <f t="shared" ca="1" si="58"/>
        <v>0</v>
      </c>
      <c r="S137" s="98">
        <f t="shared" ca="1" si="58"/>
        <v>0</v>
      </c>
      <c r="T137" s="16"/>
      <c r="U137" s="97">
        <f t="shared" ca="1" si="59"/>
        <v>0</v>
      </c>
      <c r="V137" s="64"/>
      <c r="W137" s="643">
        <f t="shared" ca="1" si="55"/>
        <v>0</v>
      </c>
    </row>
    <row r="138" spans="1:23" ht="15" x14ac:dyDescent="0.2">
      <c r="A138" s="45"/>
      <c r="B138" s="16">
        <f>B137+1</f>
        <v>4</v>
      </c>
      <c r="C138" s="1" t="s">
        <v>61</v>
      </c>
      <c r="D138" s="1" t="s">
        <v>44</v>
      </c>
      <c r="E138" s="16"/>
      <c r="F138" s="229">
        <f>' WP II-I-1.4'!I138</f>
        <v>0</v>
      </c>
      <c r="G138" s="16">
        <v>28</v>
      </c>
      <c r="H138" s="26" t="str">
        <f t="shared" si="57"/>
        <v>NCP XHV</v>
      </c>
      <c r="I138" s="16"/>
      <c r="J138" s="98">
        <f t="shared" si="58"/>
        <v>0</v>
      </c>
      <c r="K138" s="98">
        <f t="shared" si="58"/>
        <v>0</v>
      </c>
      <c r="L138" s="98">
        <f t="shared" si="58"/>
        <v>0</v>
      </c>
      <c r="M138" s="98">
        <f t="shared" si="58"/>
        <v>0</v>
      </c>
      <c r="N138" s="98">
        <f t="shared" si="58"/>
        <v>0</v>
      </c>
      <c r="O138" s="98">
        <f t="shared" si="58"/>
        <v>0</v>
      </c>
      <c r="P138" s="98">
        <f t="shared" si="58"/>
        <v>0</v>
      </c>
      <c r="Q138" s="98">
        <f t="shared" si="58"/>
        <v>0</v>
      </c>
      <c r="R138" s="98">
        <f t="shared" si="58"/>
        <v>0</v>
      </c>
      <c r="S138" s="98">
        <f t="shared" si="58"/>
        <v>0</v>
      </c>
      <c r="T138" s="16"/>
      <c r="U138" s="97">
        <f t="shared" si="59"/>
        <v>0</v>
      </c>
      <c r="V138" s="64"/>
      <c r="W138" s="643">
        <f t="shared" si="55"/>
        <v>0</v>
      </c>
    </row>
    <row r="139" spans="1:23" ht="15" x14ac:dyDescent="0.2">
      <c r="A139" s="45"/>
      <c r="B139" s="16">
        <f t="shared" ref="B139:B168" si="60">B138+1</f>
        <v>5</v>
      </c>
      <c r="C139" s="1" t="s">
        <v>1234</v>
      </c>
      <c r="D139" s="1" t="s">
        <v>1230</v>
      </c>
      <c r="E139" s="16"/>
      <c r="F139" s="229">
        <f>' WP II-I-1.4'!I139</f>
        <v>0</v>
      </c>
      <c r="G139" s="16">
        <v>58</v>
      </c>
      <c r="H139" s="26" t="str">
        <f t="shared" ref="H139:H141" si="61">VLOOKUP(G139,FactorTable,2)</f>
        <v>PLTDIST_N</v>
      </c>
      <c r="I139" s="16"/>
      <c r="J139" s="98">
        <f t="shared" ca="1" si="58"/>
        <v>0</v>
      </c>
      <c r="K139" s="98">
        <f t="shared" ca="1" si="58"/>
        <v>0</v>
      </c>
      <c r="L139" s="98">
        <f t="shared" ca="1" si="58"/>
        <v>0</v>
      </c>
      <c r="M139" s="98">
        <f t="shared" ca="1" si="58"/>
        <v>0</v>
      </c>
      <c r="N139" s="98">
        <f t="shared" ca="1" si="58"/>
        <v>0</v>
      </c>
      <c r="O139" s="98">
        <f t="shared" ca="1" si="58"/>
        <v>0</v>
      </c>
      <c r="P139" s="98">
        <f t="shared" ca="1" si="58"/>
        <v>0</v>
      </c>
      <c r="Q139" s="98">
        <f t="shared" ca="1" si="58"/>
        <v>0</v>
      </c>
      <c r="R139" s="98">
        <f t="shared" ca="1" si="58"/>
        <v>0</v>
      </c>
      <c r="S139" s="98">
        <f t="shared" ca="1" si="58"/>
        <v>0</v>
      </c>
      <c r="T139" s="16"/>
      <c r="U139" s="97">
        <f t="shared" ref="U139:U141" ca="1" si="62">SUM(I139:T139)</f>
        <v>0</v>
      </c>
      <c r="V139" s="64"/>
      <c r="W139" s="643">
        <f t="shared" ref="W139:W141" ca="1" si="63">F139-U139</f>
        <v>0</v>
      </c>
    </row>
    <row r="140" spans="1:23" ht="15" x14ac:dyDescent="0.2">
      <c r="A140" s="45"/>
      <c r="B140" s="16">
        <f t="shared" si="60"/>
        <v>6</v>
      </c>
      <c r="C140" s="1" t="s">
        <v>1235</v>
      </c>
      <c r="D140" s="1" t="s">
        <v>1232</v>
      </c>
      <c r="E140" s="16"/>
      <c r="F140" s="229">
        <f>' WP II-I-1.4'!I140</f>
        <v>334873235.67999995</v>
      </c>
      <c r="G140" s="16">
        <v>58</v>
      </c>
      <c r="H140" s="26" t="str">
        <f t="shared" si="61"/>
        <v>PLTDIST_N</v>
      </c>
      <c r="I140" s="16"/>
      <c r="J140" s="98">
        <f t="shared" ca="1" si="58"/>
        <v>165067031.26775223</v>
      </c>
      <c r="K140" s="98">
        <f t="shared" ca="1" si="58"/>
        <v>23032261.409724146</v>
      </c>
      <c r="L140" s="98">
        <f t="shared" ca="1" si="58"/>
        <v>90018699.167709321</v>
      </c>
      <c r="M140" s="98">
        <f t="shared" ca="1" si="58"/>
        <v>3786652.160623353</v>
      </c>
      <c r="N140" s="98">
        <f t="shared" ca="1" si="58"/>
        <v>29148508.942834057</v>
      </c>
      <c r="O140" s="98">
        <f t="shared" ca="1" si="58"/>
        <v>956384.57349934755</v>
      </c>
      <c r="P140" s="98">
        <f t="shared" ca="1" si="58"/>
        <v>1994912.6072992531</v>
      </c>
      <c r="Q140" s="98">
        <f t="shared" ca="1" si="58"/>
        <v>20495054.878643345</v>
      </c>
      <c r="R140" s="98">
        <f t="shared" ca="1" si="58"/>
        <v>105613.02038643106</v>
      </c>
      <c r="S140" s="98">
        <f t="shared" ca="1" si="58"/>
        <v>268117.65152844792</v>
      </c>
      <c r="T140" s="16"/>
      <c r="U140" s="97">
        <f t="shared" ca="1" si="62"/>
        <v>334873235.68000001</v>
      </c>
      <c r="V140" s="64"/>
      <c r="W140" s="643">
        <f t="shared" ca="1" si="63"/>
        <v>0</v>
      </c>
    </row>
    <row r="141" spans="1:23" ht="15" x14ac:dyDescent="0.2">
      <c r="A141" s="620" t="s">
        <v>1240</v>
      </c>
      <c r="B141" s="16">
        <f t="shared" si="60"/>
        <v>7</v>
      </c>
      <c r="C141" s="1" t="s">
        <v>1236</v>
      </c>
      <c r="D141" s="647" t="s">
        <v>103</v>
      </c>
      <c r="E141" s="16"/>
      <c r="F141" s="229">
        <f>' WP II-I-1.4'!I141</f>
        <v>0</v>
      </c>
      <c r="G141" s="16">
        <v>58</v>
      </c>
      <c r="H141" s="26" t="str">
        <f t="shared" si="61"/>
        <v>PLTDIST_N</v>
      </c>
      <c r="I141" s="16"/>
      <c r="J141" s="98">
        <f t="shared" ca="1" si="58"/>
        <v>0</v>
      </c>
      <c r="K141" s="98">
        <f t="shared" ca="1" si="58"/>
        <v>0</v>
      </c>
      <c r="L141" s="98">
        <f t="shared" ca="1" si="58"/>
        <v>0</v>
      </c>
      <c r="M141" s="98">
        <f t="shared" ca="1" si="58"/>
        <v>0</v>
      </c>
      <c r="N141" s="98">
        <f t="shared" ca="1" si="58"/>
        <v>0</v>
      </c>
      <c r="O141" s="98">
        <f t="shared" ca="1" si="58"/>
        <v>0</v>
      </c>
      <c r="P141" s="98">
        <f t="shared" ca="1" si="58"/>
        <v>0</v>
      </c>
      <c r="Q141" s="98">
        <f t="shared" ca="1" si="58"/>
        <v>0</v>
      </c>
      <c r="R141" s="98">
        <f t="shared" ca="1" si="58"/>
        <v>0</v>
      </c>
      <c r="S141" s="98">
        <f t="shared" ca="1" si="58"/>
        <v>0</v>
      </c>
      <c r="T141" s="16"/>
      <c r="U141" s="97">
        <f t="shared" ca="1" si="62"/>
        <v>0</v>
      </c>
      <c r="V141" s="64"/>
      <c r="W141" s="643">
        <f t="shared" ca="1" si="63"/>
        <v>0</v>
      </c>
    </row>
    <row r="142" spans="1:23" ht="15" x14ac:dyDescent="0.2">
      <c r="A142" s="45"/>
      <c r="B142" s="16">
        <f t="shared" si="60"/>
        <v>8</v>
      </c>
      <c r="C142" s="1" t="s">
        <v>359</v>
      </c>
      <c r="D142" s="29" t="s">
        <v>489</v>
      </c>
      <c r="E142" s="16"/>
      <c r="F142" s="97">
        <f>' WP II-I-1.4'!I142</f>
        <v>0</v>
      </c>
      <c r="G142" s="16">
        <v>30</v>
      </c>
      <c r="H142" s="26" t="str">
        <f t="shared" si="57"/>
        <v>NCP XSS</v>
      </c>
      <c r="I142" s="16"/>
      <c r="J142" s="98">
        <f t="shared" si="58"/>
        <v>0</v>
      </c>
      <c r="K142" s="98">
        <f t="shared" si="58"/>
        <v>0</v>
      </c>
      <c r="L142" s="98">
        <f t="shared" si="58"/>
        <v>0</v>
      </c>
      <c r="M142" s="98">
        <f t="shared" si="58"/>
        <v>0</v>
      </c>
      <c r="N142" s="98">
        <f t="shared" si="58"/>
        <v>0</v>
      </c>
      <c r="O142" s="98">
        <f t="shared" si="58"/>
        <v>0</v>
      </c>
      <c r="P142" s="98">
        <f t="shared" si="58"/>
        <v>0</v>
      </c>
      <c r="Q142" s="98">
        <f t="shared" si="58"/>
        <v>0</v>
      </c>
      <c r="R142" s="98">
        <f t="shared" si="58"/>
        <v>0</v>
      </c>
      <c r="S142" s="98">
        <f t="shared" si="58"/>
        <v>0</v>
      </c>
      <c r="T142" s="16"/>
      <c r="U142" s="97">
        <f t="shared" si="59"/>
        <v>0</v>
      </c>
      <c r="V142" s="64"/>
      <c r="W142" s="643">
        <f t="shared" si="55"/>
        <v>0</v>
      </c>
    </row>
    <row r="143" spans="1:23" ht="15" x14ac:dyDescent="0.2">
      <c r="A143" s="45"/>
      <c r="B143" s="16">
        <f t="shared" si="60"/>
        <v>9</v>
      </c>
      <c r="C143" s="1" t="s">
        <v>361</v>
      </c>
      <c r="D143" s="29" t="s">
        <v>490</v>
      </c>
      <c r="E143" s="16"/>
      <c r="F143" s="97">
        <f>' WP II-I-1.4'!I143</f>
        <v>0</v>
      </c>
      <c r="G143" s="16">
        <v>32</v>
      </c>
      <c r="H143" s="26" t="str">
        <f t="shared" si="57"/>
        <v>NCP SEC</v>
      </c>
      <c r="I143" s="16"/>
      <c r="J143" s="98">
        <f t="shared" si="58"/>
        <v>0</v>
      </c>
      <c r="K143" s="98">
        <f t="shared" si="58"/>
        <v>0</v>
      </c>
      <c r="L143" s="98">
        <f t="shared" si="58"/>
        <v>0</v>
      </c>
      <c r="M143" s="98">
        <f t="shared" si="58"/>
        <v>0</v>
      </c>
      <c r="N143" s="98">
        <f t="shared" si="58"/>
        <v>0</v>
      </c>
      <c r="O143" s="98">
        <f t="shared" si="58"/>
        <v>0</v>
      </c>
      <c r="P143" s="98">
        <f t="shared" si="58"/>
        <v>0</v>
      </c>
      <c r="Q143" s="98">
        <f t="shared" si="58"/>
        <v>0</v>
      </c>
      <c r="R143" s="98">
        <f t="shared" si="58"/>
        <v>0</v>
      </c>
      <c r="S143" s="98">
        <f t="shared" si="58"/>
        <v>0</v>
      </c>
      <c r="T143" s="16"/>
      <c r="U143" s="97">
        <f t="shared" si="59"/>
        <v>0</v>
      </c>
      <c r="V143" s="64"/>
      <c r="W143" s="643">
        <f t="shared" si="55"/>
        <v>0</v>
      </c>
    </row>
    <row r="144" spans="1:23" ht="15" x14ac:dyDescent="0.2">
      <c r="A144" s="45"/>
      <c r="B144" s="16">
        <f t="shared" si="60"/>
        <v>10</v>
      </c>
      <c r="C144" s="1" t="s">
        <v>364</v>
      </c>
      <c r="D144" s="1" t="s">
        <v>491</v>
      </c>
      <c r="E144" s="16"/>
      <c r="F144" s="97">
        <f>' WP II-I-1.4'!I144</f>
        <v>0</v>
      </c>
      <c r="G144" s="16">
        <v>30</v>
      </c>
      <c r="H144" s="26" t="str">
        <f t="shared" si="57"/>
        <v>NCP XSS</v>
      </c>
      <c r="I144" s="16"/>
      <c r="J144" s="98">
        <f t="shared" si="58"/>
        <v>0</v>
      </c>
      <c r="K144" s="98">
        <f t="shared" si="58"/>
        <v>0</v>
      </c>
      <c r="L144" s="98">
        <f t="shared" si="58"/>
        <v>0</v>
      </c>
      <c r="M144" s="98">
        <f t="shared" si="58"/>
        <v>0</v>
      </c>
      <c r="N144" s="98">
        <f t="shared" si="58"/>
        <v>0</v>
      </c>
      <c r="O144" s="98">
        <f t="shared" si="58"/>
        <v>0</v>
      </c>
      <c r="P144" s="98">
        <f t="shared" si="58"/>
        <v>0</v>
      </c>
      <c r="Q144" s="98">
        <f t="shared" si="58"/>
        <v>0</v>
      </c>
      <c r="R144" s="98">
        <f t="shared" si="58"/>
        <v>0</v>
      </c>
      <c r="S144" s="98">
        <f t="shared" si="58"/>
        <v>0</v>
      </c>
      <c r="T144" s="16"/>
      <c r="U144" s="97">
        <f t="shared" si="59"/>
        <v>0</v>
      </c>
      <c r="V144" s="64"/>
      <c r="W144" s="643">
        <f t="shared" si="55"/>
        <v>0</v>
      </c>
    </row>
    <row r="145" spans="1:23" ht="15" x14ac:dyDescent="0.2">
      <c r="A145" s="45"/>
      <c r="B145" s="16">
        <f t="shared" si="60"/>
        <v>11</v>
      </c>
      <c r="C145" s="1" t="s">
        <v>366</v>
      </c>
      <c r="D145" s="1" t="s">
        <v>492</v>
      </c>
      <c r="E145" s="16"/>
      <c r="F145" s="97">
        <f>' WP II-I-1.4'!I145</f>
        <v>0</v>
      </c>
      <c r="G145" s="16">
        <v>32</v>
      </c>
      <c r="H145" s="26" t="str">
        <f t="shared" si="57"/>
        <v>NCP SEC</v>
      </c>
      <c r="I145" s="16"/>
      <c r="J145" s="98">
        <f t="shared" si="58"/>
        <v>0</v>
      </c>
      <c r="K145" s="98">
        <f t="shared" si="58"/>
        <v>0</v>
      </c>
      <c r="L145" s="98">
        <f t="shared" si="58"/>
        <v>0</v>
      </c>
      <c r="M145" s="98">
        <f t="shared" si="58"/>
        <v>0</v>
      </c>
      <c r="N145" s="98">
        <f t="shared" si="58"/>
        <v>0</v>
      </c>
      <c r="O145" s="98">
        <f t="shared" si="58"/>
        <v>0</v>
      </c>
      <c r="P145" s="98">
        <f t="shared" si="58"/>
        <v>0</v>
      </c>
      <c r="Q145" s="98">
        <f t="shared" si="58"/>
        <v>0</v>
      </c>
      <c r="R145" s="98">
        <f t="shared" si="58"/>
        <v>0</v>
      </c>
      <c r="S145" s="98">
        <f t="shared" si="58"/>
        <v>0</v>
      </c>
      <c r="T145" s="16"/>
      <c r="U145" s="97">
        <f t="shared" si="59"/>
        <v>0</v>
      </c>
      <c r="V145" s="64"/>
      <c r="W145" s="643">
        <f t="shared" si="55"/>
        <v>0</v>
      </c>
    </row>
    <row r="146" spans="1:23" ht="15" x14ac:dyDescent="0.2">
      <c r="A146" s="45"/>
      <c r="B146" s="16">
        <f t="shared" si="60"/>
        <v>12</v>
      </c>
      <c r="C146" s="1" t="s">
        <v>369</v>
      </c>
      <c r="D146" s="1" t="s">
        <v>370</v>
      </c>
      <c r="E146" s="16"/>
      <c r="F146" s="97">
        <f>' WP II-I-1.4'!I146</f>
        <v>0</v>
      </c>
      <c r="G146" s="16">
        <v>30</v>
      </c>
      <c r="H146" s="26" t="str">
        <f t="shared" si="57"/>
        <v>NCP XSS</v>
      </c>
      <c r="I146" s="16"/>
      <c r="J146" s="98">
        <f t="shared" ref="J146:S158" si="64">$F146*HLOOKUP(J$1354,FactorTable,$G146+1)</f>
        <v>0</v>
      </c>
      <c r="K146" s="98">
        <f t="shared" si="64"/>
        <v>0</v>
      </c>
      <c r="L146" s="98">
        <f t="shared" si="64"/>
        <v>0</v>
      </c>
      <c r="M146" s="98">
        <f t="shared" si="64"/>
        <v>0</v>
      </c>
      <c r="N146" s="98">
        <f t="shared" si="64"/>
        <v>0</v>
      </c>
      <c r="O146" s="98">
        <f t="shared" si="64"/>
        <v>0</v>
      </c>
      <c r="P146" s="98">
        <f t="shared" si="64"/>
        <v>0</v>
      </c>
      <c r="Q146" s="98">
        <f t="shared" si="64"/>
        <v>0</v>
      </c>
      <c r="R146" s="98">
        <f t="shared" si="64"/>
        <v>0</v>
      </c>
      <c r="S146" s="98">
        <f t="shared" si="64"/>
        <v>0</v>
      </c>
      <c r="T146" s="16"/>
      <c r="U146" s="97">
        <f t="shared" si="59"/>
        <v>0</v>
      </c>
      <c r="V146" s="64"/>
      <c r="W146" s="643">
        <f t="shared" si="55"/>
        <v>0</v>
      </c>
    </row>
    <row r="147" spans="1:23" ht="15" x14ac:dyDescent="0.2">
      <c r="A147" s="45"/>
      <c r="B147" s="16">
        <f t="shared" si="60"/>
        <v>13</v>
      </c>
      <c r="C147" s="1" t="s">
        <v>371</v>
      </c>
      <c r="D147" s="1" t="s">
        <v>372</v>
      </c>
      <c r="E147" s="16"/>
      <c r="F147" s="97">
        <f>' WP II-I-1.4'!I147</f>
        <v>0</v>
      </c>
      <c r="G147" s="16">
        <v>32</v>
      </c>
      <c r="H147" s="26" t="str">
        <f t="shared" si="57"/>
        <v>NCP SEC</v>
      </c>
      <c r="I147" s="16"/>
      <c r="J147" s="98">
        <f t="shared" si="64"/>
        <v>0</v>
      </c>
      <c r="K147" s="98">
        <f t="shared" si="64"/>
        <v>0</v>
      </c>
      <c r="L147" s="98">
        <f t="shared" si="64"/>
        <v>0</v>
      </c>
      <c r="M147" s="98">
        <f t="shared" si="64"/>
        <v>0</v>
      </c>
      <c r="N147" s="98">
        <f t="shared" si="64"/>
        <v>0</v>
      </c>
      <c r="O147" s="98">
        <f t="shared" si="64"/>
        <v>0</v>
      </c>
      <c r="P147" s="98">
        <f t="shared" si="64"/>
        <v>0</v>
      </c>
      <c r="Q147" s="98">
        <f t="shared" si="64"/>
        <v>0</v>
      </c>
      <c r="R147" s="98">
        <f t="shared" si="64"/>
        <v>0</v>
      </c>
      <c r="S147" s="98">
        <f t="shared" si="64"/>
        <v>0</v>
      </c>
      <c r="T147" s="16"/>
      <c r="U147" s="97">
        <f t="shared" si="59"/>
        <v>0</v>
      </c>
      <c r="V147" s="64"/>
      <c r="W147" s="643">
        <f t="shared" si="55"/>
        <v>0</v>
      </c>
    </row>
    <row r="148" spans="1:23" ht="15" x14ac:dyDescent="0.2">
      <c r="A148" s="45"/>
      <c r="B148" s="16">
        <f t="shared" si="60"/>
        <v>14</v>
      </c>
      <c r="C148" s="1" t="s">
        <v>374</v>
      </c>
      <c r="D148" s="29" t="s">
        <v>493</v>
      </c>
      <c r="E148" s="28"/>
      <c r="F148" s="97">
        <f>' WP II-I-1.4'!I148</f>
        <v>0</v>
      </c>
      <c r="G148" s="16">
        <v>30</v>
      </c>
      <c r="H148" s="26" t="str">
        <f t="shared" si="57"/>
        <v>NCP XSS</v>
      </c>
      <c r="I148" s="28"/>
      <c r="J148" s="98">
        <f t="shared" si="64"/>
        <v>0</v>
      </c>
      <c r="K148" s="98">
        <f t="shared" si="64"/>
        <v>0</v>
      </c>
      <c r="L148" s="98">
        <f t="shared" si="64"/>
        <v>0</v>
      </c>
      <c r="M148" s="98">
        <f t="shared" si="64"/>
        <v>0</v>
      </c>
      <c r="N148" s="98">
        <f t="shared" si="64"/>
        <v>0</v>
      </c>
      <c r="O148" s="98">
        <f t="shared" si="64"/>
        <v>0</v>
      </c>
      <c r="P148" s="98">
        <f t="shared" si="64"/>
        <v>0</v>
      </c>
      <c r="Q148" s="98">
        <f t="shared" si="64"/>
        <v>0</v>
      </c>
      <c r="R148" s="98">
        <f t="shared" si="64"/>
        <v>0</v>
      </c>
      <c r="S148" s="98">
        <f t="shared" si="64"/>
        <v>0</v>
      </c>
      <c r="T148" s="28"/>
      <c r="U148" s="97">
        <f t="shared" si="59"/>
        <v>0</v>
      </c>
      <c r="V148" s="64"/>
      <c r="W148" s="643">
        <f t="shared" si="55"/>
        <v>0</v>
      </c>
    </row>
    <row r="149" spans="1:23" ht="15" x14ac:dyDescent="0.2">
      <c r="A149" s="45"/>
      <c r="B149" s="16">
        <f t="shared" si="60"/>
        <v>15</v>
      </c>
      <c r="C149" s="1" t="s">
        <v>376</v>
      </c>
      <c r="D149" s="29" t="s">
        <v>494</v>
      </c>
      <c r="E149" s="28"/>
      <c r="F149" s="97">
        <f>' WP II-I-1.4'!I149</f>
        <v>0</v>
      </c>
      <c r="G149" s="16">
        <v>32</v>
      </c>
      <c r="H149" s="26" t="str">
        <f t="shared" si="57"/>
        <v>NCP SEC</v>
      </c>
      <c r="I149" s="28"/>
      <c r="J149" s="98">
        <f t="shared" si="64"/>
        <v>0</v>
      </c>
      <c r="K149" s="98">
        <f t="shared" si="64"/>
        <v>0</v>
      </c>
      <c r="L149" s="98">
        <f t="shared" si="64"/>
        <v>0</v>
      </c>
      <c r="M149" s="98">
        <f t="shared" si="64"/>
        <v>0</v>
      </c>
      <c r="N149" s="98">
        <f t="shared" si="64"/>
        <v>0</v>
      </c>
      <c r="O149" s="98">
        <f t="shared" si="64"/>
        <v>0</v>
      </c>
      <c r="P149" s="98">
        <f t="shared" si="64"/>
        <v>0</v>
      </c>
      <c r="Q149" s="98">
        <f t="shared" si="64"/>
        <v>0</v>
      </c>
      <c r="R149" s="98">
        <f t="shared" si="64"/>
        <v>0</v>
      </c>
      <c r="S149" s="98">
        <f t="shared" si="64"/>
        <v>0</v>
      </c>
      <c r="T149" s="28"/>
      <c r="U149" s="97">
        <f t="shared" si="59"/>
        <v>0</v>
      </c>
      <c r="V149" s="64"/>
      <c r="W149" s="643">
        <f t="shared" si="55"/>
        <v>0</v>
      </c>
    </row>
    <row r="150" spans="1:23" ht="15" x14ac:dyDescent="0.2">
      <c r="A150" s="45"/>
      <c r="B150" s="16">
        <f t="shared" si="60"/>
        <v>16</v>
      </c>
      <c r="C150" s="1" t="s">
        <v>379</v>
      </c>
      <c r="D150" s="1" t="str">
        <f>'WP II-I-1.2'!D39</f>
        <v>Regulators, Protectors, Primary Transformers</v>
      </c>
      <c r="E150" s="16"/>
      <c r="F150" s="97">
        <f>' WP II-I-1.4'!I150</f>
        <v>0</v>
      </c>
      <c r="G150" s="16">
        <v>30</v>
      </c>
      <c r="H150" s="26" t="str">
        <f t="shared" si="57"/>
        <v>NCP XSS</v>
      </c>
      <c r="I150" s="16"/>
      <c r="J150" s="98">
        <f t="shared" si="64"/>
        <v>0</v>
      </c>
      <c r="K150" s="98">
        <f t="shared" si="64"/>
        <v>0</v>
      </c>
      <c r="L150" s="98">
        <f t="shared" si="64"/>
        <v>0</v>
      </c>
      <c r="M150" s="98">
        <f t="shared" si="64"/>
        <v>0</v>
      </c>
      <c r="N150" s="98">
        <f t="shared" si="64"/>
        <v>0</v>
      </c>
      <c r="O150" s="98">
        <f t="shared" si="64"/>
        <v>0</v>
      </c>
      <c r="P150" s="98">
        <f t="shared" si="64"/>
        <v>0</v>
      </c>
      <c r="Q150" s="98">
        <f t="shared" si="64"/>
        <v>0</v>
      </c>
      <c r="R150" s="98">
        <f t="shared" si="64"/>
        <v>0</v>
      </c>
      <c r="S150" s="98">
        <f t="shared" si="64"/>
        <v>0</v>
      </c>
      <c r="T150" s="16"/>
      <c r="U150" s="97">
        <f t="shared" si="59"/>
        <v>0</v>
      </c>
      <c r="V150" s="64"/>
      <c r="W150" s="643">
        <f t="shared" si="55"/>
        <v>0</v>
      </c>
    </row>
    <row r="151" spans="1:23" ht="15" x14ac:dyDescent="0.2">
      <c r="A151" s="45"/>
      <c r="B151" s="16">
        <f t="shared" si="60"/>
        <v>17</v>
      </c>
      <c r="C151" s="1" t="s">
        <v>381</v>
      </c>
      <c r="D151" s="1" t="str">
        <f>'WP II-I-1.2'!D40</f>
        <v>Secondary Transformers</v>
      </c>
      <c r="E151" s="16"/>
      <c r="F151" s="97">
        <f>' WP II-I-1.4'!I151</f>
        <v>0</v>
      </c>
      <c r="G151" s="16">
        <v>32</v>
      </c>
      <c r="H151" s="26" t="str">
        <f t="shared" si="57"/>
        <v>NCP SEC</v>
      </c>
      <c r="I151" s="16"/>
      <c r="J151" s="98">
        <f t="shared" si="64"/>
        <v>0</v>
      </c>
      <c r="K151" s="98">
        <f t="shared" si="64"/>
        <v>0</v>
      </c>
      <c r="L151" s="98">
        <f t="shared" si="64"/>
        <v>0</v>
      </c>
      <c r="M151" s="98">
        <f t="shared" si="64"/>
        <v>0</v>
      </c>
      <c r="N151" s="98">
        <f t="shared" si="64"/>
        <v>0</v>
      </c>
      <c r="O151" s="98">
        <f t="shared" si="64"/>
        <v>0</v>
      </c>
      <c r="P151" s="98">
        <f t="shared" si="64"/>
        <v>0</v>
      </c>
      <c r="Q151" s="98">
        <f t="shared" si="64"/>
        <v>0</v>
      </c>
      <c r="R151" s="98">
        <f t="shared" si="64"/>
        <v>0</v>
      </c>
      <c r="S151" s="98">
        <f t="shared" si="64"/>
        <v>0</v>
      </c>
      <c r="T151" s="16"/>
      <c r="U151" s="97">
        <f t="shared" si="59"/>
        <v>0</v>
      </c>
      <c r="V151" s="64"/>
      <c r="W151" s="643">
        <f t="shared" si="55"/>
        <v>0</v>
      </c>
    </row>
    <row r="152" spans="1:23" ht="15" x14ac:dyDescent="0.2">
      <c r="A152" s="45"/>
      <c r="B152" s="16">
        <f t="shared" si="60"/>
        <v>18</v>
      </c>
      <c r="C152" s="1" t="s">
        <v>383</v>
      </c>
      <c r="D152" s="1" t="str">
        <f>'WP II-I-1.2'!D41</f>
        <v>Capacitors</v>
      </c>
      <c r="E152" s="16"/>
      <c r="F152" s="97">
        <f>' WP II-I-1.4'!I152</f>
        <v>0</v>
      </c>
      <c r="G152" s="16">
        <v>26</v>
      </c>
      <c r="H152" s="26" t="str">
        <f t="shared" si="57"/>
        <v>NCP ALL</v>
      </c>
      <c r="I152" s="16"/>
      <c r="J152" s="98">
        <f t="shared" si="64"/>
        <v>0</v>
      </c>
      <c r="K152" s="98">
        <f t="shared" si="64"/>
        <v>0</v>
      </c>
      <c r="L152" s="98">
        <f t="shared" si="64"/>
        <v>0</v>
      </c>
      <c r="M152" s="98">
        <f t="shared" si="64"/>
        <v>0</v>
      </c>
      <c r="N152" s="98">
        <f t="shared" si="64"/>
        <v>0</v>
      </c>
      <c r="O152" s="98">
        <f t="shared" si="64"/>
        <v>0</v>
      </c>
      <c r="P152" s="98">
        <f t="shared" si="64"/>
        <v>0</v>
      </c>
      <c r="Q152" s="98">
        <f t="shared" si="64"/>
        <v>0</v>
      </c>
      <c r="R152" s="98">
        <f t="shared" si="64"/>
        <v>0</v>
      </c>
      <c r="S152" s="98">
        <f t="shared" si="64"/>
        <v>0</v>
      </c>
      <c r="T152" s="16"/>
      <c r="U152" s="97">
        <f t="shared" si="59"/>
        <v>0</v>
      </c>
      <c r="V152" s="64"/>
      <c r="W152" s="643">
        <f t="shared" si="55"/>
        <v>0</v>
      </c>
    </row>
    <row r="153" spans="1:23" ht="15" x14ac:dyDescent="0.2">
      <c r="A153" s="45"/>
      <c r="B153" s="16">
        <f t="shared" si="60"/>
        <v>19</v>
      </c>
      <c r="C153" s="1" t="s">
        <v>72</v>
      </c>
      <c r="D153" s="29" t="s">
        <v>73</v>
      </c>
      <c r="E153" s="28"/>
      <c r="F153" s="97">
        <f>' WP II-I-1.4'!I153</f>
        <v>0</v>
      </c>
      <c r="G153" s="16">
        <v>7</v>
      </c>
      <c r="H153" s="26" t="str">
        <f t="shared" si="57"/>
        <v>CUS W SEC</v>
      </c>
      <c r="I153" s="28"/>
      <c r="J153" s="98">
        <f t="shared" si="64"/>
        <v>0</v>
      </c>
      <c r="K153" s="98">
        <f t="shared" si="64"/>
        <v>0</v>
      </c>
      <c r="L153" s="98">
        <f t="shared" si="64"/>
        <v>0</v>
      </c>
      <c r="M153" s="98">
        <f t="shared" si="64"/>
        <v>0</v>
      </c>
      <c r="N153" s="98">
        <f t="shared" si="64"/>
        <v>0</v>
      </c>
      <c r="O153" s="98">
        <f t="shared" si="64"/>
        <v>0</v>
      </c>
      <c r="P153" s="98">
        <f t="shared" si="64"/>
        <v>0</v>
      </c>
      <c r="Q153" s="98">
        <f t="shared" si="64"/>
        <v>0</v>
      </c>
      <c r="R153" s="98">
        <f t="shared" si="64"/>
        <v>0</v>
      </c>
      <c r="S153" s="98">
        <f t="shared" si="64"/>
        <v>0</v>
      </c>
      <c r="T153" s="28"/>
      <c r="U153" s="97">
        <f t="shared" si="59"/>
        <v>0</v>
      </c>
      <c r="V153" s="64"/>
      <c r="W153" s="643">
        <f t="shared" si="55"/>
        <v>0</v>
      </c>
    </row>
    <row r="154" spans="1:23" ht="15" x14ac:dyDescent="0.2">
      <c r="A154" s="45"/>
      <c r="B154" s="16">
        <f t="shared" si="60"/>
        <v>20</v>
      </c>
      <c r="C154" s="1" t="s">
        <v>74</v>
      </c>
      <c r="D154" s="1" t="s">
        <v>75</v>
      </c>
      <c r="E154" s="16"/>
      <c r="F154" s="97">
        <f>' WP II-I-1.4'!I154</f>
        <v>0</v>
      </c>
      <c r="G154" s="16">
        <v>6</v>
      </c>
      <c r="H154" s="26" t="str">
        <f t="shared" si="57"/>
        <v>CUS W ALL</v>
      </c>
      <c r="I154" s="16"/>
      <c r="J154" s="98">
        <f t="shared" si="64"/>
        <v>0</v>
      </c>
      <c r="K154" s="98">
        <f t="shared" si="64"/>
        <v>0</v>
      </c>
      <c r="L154" s="98">
        <f t="shared" si="64"/>
        <v>0</v>
      </c>
      <c r="M154" s="98">
        <f t="shared" si="64"/>
        <v>0</v>
      </c>
      <c r="N154" s="98">
        <f t="shared" si="64"/>
        <v>0</v>
      </c>
      <c r="O154" s="98">
        <f t="shared" si="64"/>
        <v>0</v>
      </c>
      <c r="P154" s="98">
        <f t="shared" si="64"/>
        <v>0</v>
      </c>
      <c r="Q154" s="98">
        <f t="shared" si="64"/>
        <v>0</v>
      </c>
      <c r="R154" s="98">
        <f t="shared" si="64"/>
        <v>0</v>
      </c>
      <c r="S154" s="98">
        <f t="shared" si="64"/>
        <v>0</v>
      </c>
      <c r="T154" s="16"/>
      <c r="U154" s="97">
        <f t="shared" si="59"/>
        <v>0</v>
      </c>
      <c r="V154" s="64"/>
      <c r="W154" s="643">
        <f t="shared" si="55"/>
        <v>0</v>
      </c>
    </row>
    <row r="155" spans="1:23" ht="15" x14ac:dyDescent="0.2">
      <c r="A155" s="45"/>
      <c r="B155" s="16">
        <f t="shared" si="60"/>
        <v>21</v>
      </c>
      <c r="C155" s="1" t="s">
        <v>76</v>
      </c>
      <c r="D155" s="1" t="s">
        <v>495</v>
      </c>
      <c r="E155" s="16"/>
      <c r="F155" s="97">
        <f>' WP II-I-1.4'!I155</f>
        <v>0</v>
      </c>
      <c r="G155" s="16">
        <v>33</v>
      </c>
      <c r="H155" s="26" t="str">
        <f t="shared" si="57"/>
        <v>NCP LGT</v>
      </c>
      <c r="I155" s="16"/>
      <c r="J155" s="98">
        <f t="shared" si="64"/>
        <v>0</v>
      </c>
      <c r="K155" s="98">
        <f t="shared" si="64"/>
        <v>0</v>
      </c>
      <c r="L155" s="98">
        <f t="shared" si="64"/>
        <v>0</v>
      </c>
      <c r="M155" s="98">
        <f t="shared" si="64"/>
        <v>0</v>
      </c>
      <c r="N155" s="98">
        <f t="shared" si="64"/>
        <v>0</v>
      </c>
      <c r="O155" s="98">
        <f t="shared" si="64"/>
        <v>0</v>
      </c>
      <c r="P155" s="98">
        <f t="shared" si="64"/>
        <v>0</v>
      </c>
      <c r="Q155" s="98">
        <f t="shared" si="64"/>
        <v>0</v>
      </c>
      <c r="R155" s="98">
        <f t="shared" si="64"/>
        <v>0</v>
      </c>
      <c r="S155" s="98">
        <f t="shared" si="64"/>
        <v>0</v>
      </c>
      <c r="T155" s="16"/>
      <c r="U155" s="97">
        <f t="shared" si="59"/>
        <v>0</v>
      </c>
      <c r="V155" s="64"/>
      <c r="W155" s="643">
        <f t="shared" si="55"/>
        <v>0</v>
      </c>
    </row>
    <row r="156" spans="1:23" ht="15" x14ac:dyDescent="0.2">
      <c r="A156" s="45"/>
      <c r="B156" s="16">
        <f t="shared" si="60"/>
        <v>22</v>
      </c>
      <c r="C156" s="1" t="s">
        <v>78</v>
      </c>
      <c r="D156" s="1" t="s">
        <v>496</v>
      </c>
      <c r="E156" s="16"/>
      <c r="F156" s="97">
        <f>' WP II-I-1.4'!I156</f>
        <v>0</v>
      </c>
      <c r="G156" s="16">
        <v>6</v>
      </c>
      <c r="H156" s="26" t="str">
        <f t="shared" si="57"/>
        <v>CUS W ALL</v>
      </c>
      <c r="I156" s="16"/>
      <c r="J156" s="98">
        <f t="shared" si="64"/>
        <v>0</v>
      </c>
      <c r="K156" s="98">
        <f t="shared" si="64"/>
        <v>0</v>
      </c>
      <c r="L156" s="98">
        <f t="shared" si="64"/>
        <v>0</v>
      </c>
      <c r="M156" s="98">
        <f t="shared" si="64"/>
        <v>0</v>
      </c>
      <c r="N156" s="98">
        <f t="shared" si="64"/>
        <v>0</v>
      </c>
      <c r="O156" s="98">
        <f t="shared" si="64"/>
        <v>0</v>
      </c>
      <c r="P156" s="98">
        <f t="shared" si="64"/>
        <v>0</v>
      </c>
      <c r="Q156" s="98">
        <f t="shared" si="64"/>
        <v>0</v>
      </c>
      <c r="R156" s="98">
        <f t="shared" si="64"/>
        <v>0</v>
      </c>
      <c r="S156" s="98">
        <f t="shared" si="64"/>
        <v>0</v>
      </c>
      <c r="T156" s="16"/>
      <c r="U156" s="97">
        <f t="shared" si="59"/>
        <v>0</v>
      </c>
      <c r="V156" s="64"/>
      <c r="W156" s="643">
        <f t="shared" si="55"/>
        <v>0</v>
      </c>
    </row>
    <row r="157" spans="1:23" ht="15" x14ac:dyDescent="0.2">
      <c r="A157" s="45"/>
      <c r="B157" s="16">
        <f t="shared" si="60"/>
        <v>23</v>
      </c>
      <c r="C157" s="1" t="s">
        <v>80</v>
      </c>
      <c r="D157" s="1" t="s">
        <v>84</v>
      </c>
      <c r="E157" s="16"/>
      <c r="F157" s="97">
        <f>' WP II-I-1.4'!I157</f>
        <v>0</v>
      </c>
      <c r="G157" s="16">
        <v>33</v>
      </c>
      <c r="H157" s="26" t="str">
        <f t="shared" si="57"/>
        <v>NCP LGT</v>
      </c>
      <c r="I157" s="16"/>
      <c r="J157" s="98">
        <f t="shared" si="64"/>
        <v>0</v>
      </c>
      <c r="K157" s="98">
        <f t="shared" si="64"/>
        <v>0</v>
      </c>
      <c r="L157" s="98">
        <f t="shared" si="64"/>
        <v>0</v>
      </c>
      <c r="M157" s="98">
        <f t="shared" si="64"/>
        <v>0</v>
      </c>
      <c r="N157" s="98">
        <f t="shared" si="64"/>
        <v>0</v>
      </c>
      <c r="O157" s="98">
        <f t="shared" si="64"/>
        <v>0</v>
      </c>
      <c r="P157" s="98">
        <f t="shared" si="64"/>
        <v>0</v>
      </c>
      <c r="Q157" s="98">
        <f t="shared" si="64"/>
        <v>0</v>
      </c>
      <c r="R157" s="98">
        <f t="shared" si="64"/>
        <v>0</v>
      </c>
      <c r="S157" s="98">
        <f t="shared" si="64"/>
        <v>0</v>
      </c>
      <c r="T157" s="16"/>
      <c r="U157" s="97">
        <f t="shared" si="59"/>
        <v>0</v>
      </c>
      <c r="V157" s="64"/>
      <c r="W157" s="643">
        <f t="shared" si="55"/>
        <v>0</v>
      </c>
    </row>
    <row r="158" spans="1:23" ht="15" x14ac:dyDescent="0.2">
      <c r="A158" s="45"/>
      <c r="B158" s="16">
        <f t="shared" si="60"/>
        <v>24</v>
      </c>
      <c r="C158" s="1" t="s">
        <v>82</v>
      </c>
      <c r="D158" s="1" t="s">
        <v>38</v>
      </c>
      <c r="E158" s="16"/>
      <c r="F158" s="97">
        <f>' WP II-I-1.4'!I158</f>
        <v>0</v>
      </c>
      <c r="G158" s="16">
        <v>54</v>
      </c>
      <c r="H158" s="26" t="str">
        <f t="shared" si="57"/>
        <v>PLT 362-373</v>
      </c>
      <c r="I158" s="16"/>
      <c r="J158" s="145">
        <f t="shared" ca="1" si="64"/>
        <v>0</v>
      </c>
      <c r="K158" s="145">
        <f t="shared" ca="1" si="64"/>
        <v>0</v>
      </c>
      <c r="L158" s="145">
        <f t="shared" ca="1" si="64"/>
        <v>0</v>
      </c>
      <c r="M158" s="145">
        <f t="shared" ca="1" si="64"/>
        <v>0</v>
      </c>
      <c r="N158" s="145">
        <f t="shared" ca="1" si="64"/>
        <v>0</v>
      </c>
      <c r="O158" s="145">
        <f t="shared" ca="1" si="64"/>
        <v>0</v>
      </c>
      <c r="P158" s="145">
        <f t="shared" ca="1" si="64"/>
        <v>0</v>
      </c>
      <c r="Q158" s="145">
        <f t="shared" ca="1" si="64"/>
        <v>0</v>
      </c>
      <c r="R158" s="145">
        <f t="shared" ca="1" si="64"/>
        <v>0</v>
      </c>
      <c r="S158" s="145">
        <f t="shared" ca="1" si="64"/>
        <v>0</v>
      </c>
      <c r="T158" s="16"/>
      <c r="U158" s="97">
        <f t="shared" ca="1" si="59"/>
        <v>0</v>
      </c>
      <c r="V158" s="64"/>
      <c r="W158" s="643">
        <f t="shared" ca="1" si="55"/>
        <v>0</v>
      </c>
    </row>
    <row r="159" spans="1:23" ht="15.75" x14ac:dyDescent="0.25">
      <c r="A159" s="45"/>
      <c r="B159" s="16">
        <f t="shared" si="60"/>
        <v>25</v>
      </c>
      <c r="C159" s="64"/>
      <c r="D159" s="233" t="s">
        <v>444</v>
      </c>
      <c r="E159" s="121"/>
      <c r="F159" s="21">
        <f>SUM(F136:F158)</f>
        <v>334873235.67999995</v>
      </c>
      <c r="G159" s="121"/>
      <c r="H159" s="121"/>
      <c r="I159" s="121"/>
      <c r="J159" s="805">
        <f t="shared" ref="J159:S159" ca="1" si="65">SUM(J136:J158)</f>
        <v>165067031.26775223</v>
      </c>
      <c r="K159" s="805">
        <f t="shared" ca="1" si="65"/>
        <v>23032261.409724146</v>
      </c>
      <c r="L159" s="805">
        <f t="shared" ca="1" si="65"/>
        <v>90018699.167709321</v>
      </c>
      <c r="M159" s="805">
        <f t="shared" ca="1" si="65"/>
        <v>3786652.160623353</v>
      </c>
      <c r="N159" s="805">
        <f t="shared" ca="1" si="65"/>
        <v>29148508.942834057</v>
      </c>
      <c r="O159" s="805">
        <f t="shared" ca="1" si="65"/>
        <v>956384.57349934755</v>
      </c>
      <c r="P159" s="805">
        <f t="shared" ca="1" si="65"/>
        <v>1994912.6072992531</v>
      </c>
      <c r="Q159" s="805">
        <f t="shared" ca="1" si="65"/>
        <v>20495054.878643345</v>
      </c>
      <c r="R159" s="805">
        <f t="shared" ca="1" si="65"/>
        <v>105613.02038643106</v>
      </c>
      <c r="S159" s="805">
        <f t="shared" ca="1" si="65"/>
        <v>268117.65152844792</v>
      </c>
      <c r="T159" s="121"/>
      <c r="U159" s="235">
        <f t="shared" ca="1" si="59"/>
        <v>334873235.68000001</v>
      </c>
      <c r="V159" s="64"/>
      <c r="W159" s="643">
        <f t="shared" ca="1" si="55"/>
        <v>0</v>
      </c>
    </row>
    <row r="160" spans="1:23" ht="15" x14ac:dyDescent="0.2">
      <c r="A160" s="45"/>
      <c r="B160" s="16">
        <f t="shared" si="60"/>
        <v>26</v>
      </c>
      <c r="C160" s="64"/>
      <c r="D160" s="1"/>
      <c r="E160" s="16"/>
      <c r="F160" s="18"/>
      <c r="G160" s="16"/>
      <c r="H160" s="16"/>
      <c r="I160" s="1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6"/>
      <c r="U160" s="1"/>
      <c r="V160" s="64"/>
      <c r="W160" s="643">
        <f t="shared" si="55"/>
        <v>0</v>
      </c>
    </row>
    <row r="161" spans="1:23" ht="15.75" x14ac:dyDescent="0.25">
      <c r="A161" s="45"/>
      <c r="B161" s="16">
        <f t="shared" si="60"/>
        <v>27</v>
      </c>
      <c r="C161" s="64"/>
      <c r="D161" s="233" t="s">
        <v>519</v>
      </c>
      <c r="E161" s="16"/>
      <c r="F161" s="805">
        <f>SUM(F142:F143)</f>
        <v>0</v>
      </c>
      <c r="G161" s="16"/>
      <c r="H161" s="16"/>
      <c r="I161" s="16"/>
      <c r="J161" s="805">
        <f t="shared" ref="J161:Q161" si="66">SUM(J142:J143)</f>
        <v>0</v>
      </c>
      <c r="K161" s="805">
        <f t="shared" si="66"/>
        <v>0</v>
      </c>
      <c r="L161" s="805">
        <f t="shared" si="66"/>
        <v>0</v>
      </c>
      <c r="M161" s="805">
        <f t="shared" si="66"/>
        <v>0</v>
      </c>
      <c r="N161" s="805">
        <f t="shared" si="66"/>
        <v>0</v>
      </c>
      <c r="O161" s="805">
        <f>SUM(O142:O143)</f>
        <v>0</v>
      </c>
      <c r="P161" s="805">
        <f t="shared" si="66"/>
        <v>0</v>
      </c>
      <c r="Q161" s="805">
        <f t="shared" si="66"/>
        <v>0</v>
      </c>
      <c r="R161" s="805">
        <f>SUM(R142:R143)</f>
        <v>0</v>
      </c>
      <c r="S161" s="805">
        <f>SUM(S142:S143)</f>
        <v>0</v>
      </c>
      <c r="T161" s="16"/>
      <c r="U161" s="235">
        <f>SUM(I161:T161)</f>
        <v>0</v>
      </c>
      <c r="V161" s="64"/>
      <c r="W161" s="643">
        <f t="shared" si="55"/>
        <v>0</v>
      </c>
    </row>
    <row r="162" spans="1:23" ht="15.75" x14ac:dyDescent="0.25">
      <c r="A162" s="45"/>
      <c r="B162" s="16">
        <f t="shared" si="60"/>
        <v>28</v>
      </c>
      <c r="C162" s="64"/>
      <c r="D162" s="233" t="s">
        <v>520</v>
      </c>
      <c r="E162" s="16"/>
      <c r="F162" s="805">
        <f>SUM(F144:F145)</f>
        <v>0</v>
      </c>
      <c r="G162" s="16"/>
      <c r="H162" s="16"/>
      <c r="I162" s="16"/>
      <c r="J162" s="805">
        <f t="shared" ref="J162:Q162" si="67">SUM(J144:J145)</f>
        <v>0</v>
      </c>
      <c r="K162" s="805">
        <f t="shared" si="67"/>
        <v>0</v>
      </c>
      <c r="L162" s="805">
        <f t="shared" si="67"/>
        <v>0</v>
      </c>
      <c r="M162" s="805">
        <f t="shared" si="67"/>
        <v>0</v>
      </c>
      <c r="N162" s="805">
        <f t="shared" si="67"/>
        <v>0</v>
      </c>
      <c r="O162" s="805">
        <f>SUM(O144:O145)</f>
        <v>0</v>
      </c>
      <c r="P162" s="805">
        <f t="shared" si="67"/>
        <v>0</v>
      </c>
      <c r="Q162" s="805">
        <f t="shared" si="67"/>
        <v>0</v>
      </c>
      <c r="R162" s="805">
        <f>SUM(R144:R145)</f>
        <v>0</v>
      </c>
      <c r="S162" s="805">
        <f>SUM(S144:S145)</f>
        <v>0</v>
      </c>
      <c r="T162" s="16"/>
      <c r="U162" s="235">
        <f>SUM(I162:T162)</f>
        <v>0</v>
      </c>
      <c r="V162" s="64"/>
      <c r="W162" s="643">
        <f t="shared" si="55"/>
        <v>0</v>
      </c>
    </row>
    <row r="163" spans="1:23" ht="15.75" x14ac:dyDescent="0.25">
      <c r="A163" s="45"/>
      <c r="B163" s="16">
        <f t="shared" si="60"/>
        <v>29</v>
      </c>
      <c r="C163" s="64"/>
      <c r="D163" s="233" t="s">
        <v>521</v>
      </c>
      <c r="E163" s="16"/>
      <c r="F163" s="805">
        <f>SUM(F146:F147)</f>
        <v>0</v>
      </c>
      <c r="G163" s="16"/>
      <c r="H163" s="16"/>
      <c r="I163" s="16"/>
      <c r="J163" s="805">
        <f t="shared" ref="J163:Q163" si="68">SUM(J146:J147)</f>
        <v>0</v>
      </c>
      <c r="K163" s="805">
        <f t="shared" si="68"/>
        <v>0</v>
      </c>
      <c r="L163" s="805">
        <f t="shared" si="68"/>
        <v>0</v>
      </c>
      <c r="M163" s="805">
        <f t="shared" si="68"/>
        <v>0</v>
      </c>
      <c r="N163" s="805">
        <f t="shared" si="68"/>
        <v>0</v>
      </c>
      <c r="O163" s="805">
        <f>SUM(O146:O147)</f>
        <v>0</v>
      </c>
      <c r="P163" s="805">
        <f t="shared" si="68"/>
        <v>0</v>
      </c>
      <c r="Q163" s="805">
        <f t="shared" si="68"/>
        <v>0</v>
      </c>
      <c r="R163" s="805">
        <f>SUM(R146:R147)</f>
        <v>0</v>
      </c>
      <c r="S163" s="805">
        <f>SUM(S146:S147)</f>
        <v>0</v>
      </c>
      <c r="T163" s="16"/>
      <c r="U163" s="235">
        <f>SUM(I163:T163)</f>
        <v>0</v>
      </c>
      <c r="V163" s="64"/>
      <c r="W163" s="643">
        <f t="shared" si="55"/>
        <v>0</v>
      </c>
    </row>
    <row r="164" spans="1:23" ht="15.75" x14ac:dyDescent="0.25">
      <c r="A164" s="45"/>
      <c r="B164" s="16">
        <f t="shared" si="60"/>
        <v>30</v>
      </c>
      <c r="C164" s="64"/>
      <c r="D164" s="233" t="s">
        <v>522</v>
      </c>
      <c r="E164" s="16"/>
      <c r="F164" s="805">
        <f>SUM(F148:F149)</f>
        <v>0</v>
      </c>
      <c r="G164" s="16"/>
      <c r="H164" s="16"/>
      <c r="I164" s="16"/>
      <c r="J164" s="805">
        <f t="shared" ref="J164:Q164" si="69">SUM(J148:J149)</f>
        <v>0</v>
      </c>
      <c r="K164" s="805">
        <f t="shared" si="69"/>
        <v>0</v>
      </c>
      <c r="L164" s="805">
        <f t="shared" si="69"/>
        <v>0</v>
      </c>
      <c r="M164" s="805">
        <f t="shared" si="69"/>
        <v>0</v>
      </c>
      <c r="N164" s="805">
        <f t="shared" si="69"/>
        <v>0</v>
      </c>
      <c r="O164" s="805">
        <f>SUM(O148:O149)</f>
        <v>0</v>
      </c>
      <c r="P164" s="805">
        <f t="shared" si="69"/>
        <v>0</v>
      </c>
      <c r="Q164" s="805">
        <f t="shared" si="69"/>
        <v>0</v>
      </c>
      <c r="R164" s="805">
        <f>SUM(R148:R149)</f>
        <v>0</v>
      </c>
      <c r="S164" s="805">
        <f>SUM(S148:S149)</f>
        <v>0</v>
      </c>
      <c r="T164" s="16"/>
      <c r="U164" s="235">
        <f>SUM(I164:T164)</f>
        <v>0</v>
      </c>
      <c r="V164" s="64"/>
      <c r="W164" s="643">
        <f t="shared" si="55"/>
        <v>0</v>
      </c>
    </row>
    <row r="165" spans="1:23" ht="15.75" x14ac:dyDescent="0.25">
      <c r="A165" s="45"/>
      <c r="B165" s="16">
        <f t="shared" si="60"/>
        <v>31</v>
      </c>
      <c r="C165" s="64"/>
      <c r="D165" s="233" t="s">
        <v>523</v>
      </c>
      <c r="E165" s="16"/>
      <c r="F165" s="805">
        <f>SUM(F150:F152)</f>
        <v>0</v>
      </c>
      <c r="G165" s="16"/>
      <c r="H165" s="16"/>
      <c r="I165" s="16"/>
      <c r="J165" s="805">
        <f t="shared" ref="J165:Q165" si="70">SUM(J150:J152)</f>
        <v>0</v>
      </c>
      <c r="K165" s="805">
        <f t="shared" si="70"/>
        <v>0</v>
      </c>
      <c r="L165" s="805">
        <f t="shared" si="70"/>
        <v>0</v>
      </c>
      <c r="M165" s="805">
        <f t="shared" si="70"/>
        <v>0</v>
      </c>
      <c r="N165" s="805">
        <f t="shared" si="70"/>
        <v>0</v>
      </c>
      <c r="O165" s="805">
        <f>SUM(O150:O152)</f>
        <v>0</v>
      </c>
      <c r="P165" s="805">
        <f t="shared" si="70"/>
        <v>0</v>
      </c>
      <c r="Q165" s="805">
        <f t="shared" si="70"/>
        <v>0</v>
      </c>
      <c r="R165" s="805">
        <f>SUM(R150:R152)</f>
        <v>0</v>
      </c>
      <c r="S165" s="805">
        <f>SUM(S150:S152)</f>
        <v>0</v>
      </c>
      <c r="T165" s="16"/>
      <c r="U165" s="235">
        <f>SUM(I165:T165)</f>
        <v>0</v>
      </c>
      <c r="V165" s="64"/>
      <c r="W165" s="643">
        <f t="shared" si="55"/>
        <v>0</v>
      </c>
    </row>
    <row r="166" spans="1:23" ht="15.75" thickBot="1" x14ac:dyDescent="0.25">
      <c r="A166" s="45"/>
      <c r="B166" s="16">
        <f t="shared" si="60"/>
        <v>32</v>
      </c>
      <c r="C166" s="64"/>
      <c r="D166" s="1"/>
      <c r="E166" s="16"/>
      <c r="F166" s="18"/>
      <c r="G166" s="16"/>
      <c r="H166" s="16"/>
      <c r="I166" s="1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6"/>
      <c r="U166" s="1"/>
      <c r="V166" s="64"/>
      <c r="W166" s="643">
        <f t="shared" si="55"/>
        <v>0</v>
      </c>
    </row>
    <row r="167" spans="1:23" ht="15.75" x14ac:dyDescent="0.25">
      <c r="A167" s="45"/>
      <c r="B167" s="16">
        <f t="shared" si="60"/>
        <v>33</v>
      </c>
      <c r="C167" s="239" t="s">
        <v>497</v>
      </c>
      <c r="D167" s="240"/>
      <c r="E167" s="241" t="s">
        <v>24</v>
      </c>
      <c r="F167" s="242">
        <f>F106+F121+F159</f>
        <v>335018561.67999995</v>
      </c>
      <c r="G167" s="241"/>
      <c r="H167" s="372"/>
      <c r="I167" s="373"/>
      <c r="J167" s="374">
        <f t="shared" ref="J167:S167" ca="1" si="71">J106+J121+J159</f>
        <v>165138665.93075332</v>
      </c>
      <c r="K167" s="817">
        <f t="shared" ca="1" si="71"/>
        <v>23042256.793245412</v>
      </c>
      <c r="L167" s="817">
        <f t="shared" ca="1" si="71"/>
        <v>90057764.868044198</v>
      </c>
      <c r="M167" s="817">
        <f t="shared" ca="1" si="71"/>
        <v>3788295.4660692997</v>
      </c>
      <c r="N167" s="817">
        <f t="shared" ca="1" si="71"/>
        <v>29161158.613692418</v>
      </c>
      <c r="O167" s="817">
        <f t="shared" ca="1" si="71"/>
        <v>956799.61874548718</v>
      </c>
      <c r="P167" s="817">
        <f t="shared" ca="1" si="71"/>
        <v>1995778.345849483</v>
      </c>
      <c r="Q167" s="817">
        <f t="shared" ca="1" si="71"/>
        <v>20503949.182600617</v>
      </c>
      <c r="R167" s="817">
        <f t="shared" ca="1" si="71"/>
        <v>105658.85360379617</v>
      </c>
      <c r="S167" s="566">
        <f t="shared" ca="1" si="71"/>
        <v>268234.00739590597</v>
      </c>
      <c r="T167" s="373"/>
      <c r="U167" s="243">
        <f ca="1">SUM(I167:T167)</f>
        <v>335018561.67999989</v>
      </c>
      <c r="V167" s="64"/>
      <c r="W167" s="643">
        <f t="shared" ca="1" si="55"/>
        <v>0</v>
      </c>
    </row>
    <row r="168" spans="1:23" ht="16.5" thickBot="1" x14ac:dyDescent="0.3">
      <c r="A168" s="45"/>
      <c r="B168" s="16">
        <f t="shared" si="60"/>
        <v>34</v>
      </c>
      <c r="C168" s="245" t="s">
        <v>498</v>
      </c>
      <c r="D168" s="246"/>
      <c r="E168" s="247" t="s">
        <v>24</v>
      </c>
      <c r="F168" s="248">
        <f>F121+F159</f>
        <v>334873235.67999995</v>
      </c>
      <c r="G168" s="247"/>
      <c r="H168" s="375"/>
      <c r="I168" s="376"/>
      <c r="J168" s="377">
        <f t="shared" ref="J168:S168" ca="1" si="72">J121+J159</f>
        <v>165067031.26775223</v>
      </c>
      <c r="K168" s="248">
        <f t="shared" ca="1" si="72"/>
        <v>23032261.409724146</v>
      </c>
      <c r="L168" s="248">
        <f t="shared" ca="1" si="72"/>
        <v>90018699.167709321</v>
      </c>
      <c r="M168" s="248">
        <f t="shared" ca="1" si="72"/>
        <v>3786652.160623353</v>
      </c>
      <c r="N168" s="248">
        <f t="shared" ca="1" si="72"/>
        <v>29148508.942834057</v>
      </c>
      <c r="O168" s="248">
        <f t="shared" ca="1" si="72"/>
        <v>956384.57349934755</v>
      </c>
      <c r="P168" s="248">
        <f t="shared" ca="1" si="72"/>
        <v>1994912.6072992531</v>
      </c>
      <c r="Q168" s="248">
        <f t="shared" ca="1" si="72"/>
        <v>20495054.878643345</v>
      </c>
      <c r="R168" s="248">
        <f t="shared" ca="1" si="72"/>
        <v>105613.02038643106</v>
      </c>
      <c r="S168" s="378">
        <f t="shared" ca="1" si="72"/>
        <v>268117.65152844792</v>
      </c>
      <c r="T168" s="376"/>
      <c r="U168" s="249">
        <f ca="1">SUM(I168:T168)</f>
        <v>334873235.68000001</v>
      </c>
      <c r="V168" s="64"/>
      <c r="W168" s="643">
        <f t="shared" ca="1" si="55"/>
        <v>0</v>
      </c>
    </row>
    <row r="169" spans="1:23" ht="15" x14ac:dyDescent="0.2">
      <c r="A169" s="45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W169" s="138"/>
    </row>
    <row r="170" spans="1:23" ht="15" x14ac:dyDescent="0.2">
      <c r="A170" s="45"/>
      <c r="B170" s="64"/>
      <c r="C170" s="64"/>
      <c r="D170" s="64"/>
      <c r="E170" s="64"/>
      <c r="F170" s="64"/>
      <c r="G170" s="64"/>
      <c r="H170" s="105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105"/>
      <c r="V170" s="105">
        <f>$H$2</f>
        <v>0</v>
      </c>
      <c r="W170" s="138"/>
    </row>
    <row r="171" spans="1:23" ht="15.75" thickBot="1" x14ac:dyDescent="0.25">
      <c r="A171" s="45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105"/>
      <c r="W171" s="138"/>
    </row>
    <row r="172" spans="1:23" ht="15.75" x14ac:dyDescent="0.25">
      <c r="A172" s="45"/>
      <c r="B172" s="829" t="str">
        <f>+$B$4</f>
        <v>2025 RATE CASE</v>
      </c>
      <c r="C172" s="844"/>
      <c r="D172" s="551"/>
      <c r="F172" s="11"/>
      <c r="U172" s="105"/>
      <c r="W172" s="138"/>
    </row>
    <row r="173" spans="1:23" ht="15.75" x14ac:dyDescent="0.25">
      <c r="A173" s="229"/>
      <c r="B173" s="826" t="str">
        <f>+$B$5</f>
        <v>ONCOR ELECTRIC DELIVERY COMPANY LLC</v>
      </c>
      <c r="C173" s="8"/>
      <c r="D173" s="870"/>
      <c r="F173" s="11"/>
      <c r="U173" s="105"/>
      <c r="V173" s="64"/>
      <c r="W173" s="138"/>
    </row>
    <row r="174" spans="1:23" ht="15.75" x14ac:dyDescent="0.25">
      <c r="A174" s="45"/>
      <c r="B174" s="826" t="str">
        <f>+$B$6</f>
        <v>II-I-1-TBILLTDCS:  CLASS REVENUE REQUIREMENT</v>
      </c>
      <c r="C174" s="82"/>
      <c r="D174" s="870"/>
      <c r="F174" s="11"/>
      <c r="U174" s="11"/>
      <c r="V174" s="64"/>
      <c r="W174" s="138"/>
    </row>
    <row r="175" spans="1:23" ht="15.75" x14ac:dyDescent="0.25">
      <c r="A175" s="45"/>
      <c r="B175" s="341" t="str">
        <f>+$B$7</f>
        <v>TEST YEAR ENDING 12/31/2024</v>
      </c>
      <c r="C175" s="82"/>
      <c r="D175" s="870"/>
      <c r="F175" s="11"/>
      <c r="U175" s="11"/>
      <c r="V175" s="64"/>
      <c r="W175" s="138"/>
    </row>
    <row r="176" spans="1:23" ht="15.75" x14ac:dyDescent="0.25">
      <c r="A176" s="45"/>
      <c r="B176" s="341" t="str">
        <f>+$B$8</f>
        <v>SPONSOR:  MATTHEW A. TROXLE</v>
      </c>
      <c r="C176" s="82"/>
      <c r="D176" s="870"/>
      <c r="F176" s="11"/>
      <c r="U176" s="11"/>
      <c r="V176" s="64"/>
      <c r="W176" s="138"/>
    </row>
    <row r="177" spans="1:23" ht="16.5" thickBot="1" x14ac:dyDescent="0.3">
      <c r="A177" s="45"/>
      <c r="B177" s="345"/>
      <c r="C177" s="843"/>
      <c r="D177" s="871"/>
      <c r="F177" s="11"/>
      <c r="U177" s="11"/>
      <c r="V177" s="64"/>
      <c r="W177" s="138"/>
    </row>
    <row r="178" spans="1:23" ht="15.75" thickBot="1" x14ac:dyDescent="0.25">
      <c r="A178" s="45"/>
      <c r="B178" s="12"/>
      <c r="C178" s="13"/>
      <c r="D178" s="13"/>
      <c r="E178" s="13"/>
      <c r="F178" s="12"/>
      <c r="G178" s="13"/>
      <c r="H178" s="13"/>
      <c r="I178" s="13"/>
      <c r="J178" s="177"/>
      <c r="K178" s="177"/>
      <c r="L178" s="13"/>
      <c r="M178" s="177"/>
      <c r="N178" s="177"/>
      <c r="O178" s="177"/>
      <c r="P178" s="177"/>
      <c r="Q178" s="13"/>
      <c r="R178" s="328" t="str">
        <f>R$10</f>
        <v xml:space="preserve"> </v>
      </c>
      <c r="S178" s="329"/>
      <c r="T178" s="177"/>
      <c r="U178" s="12"/>
      <c r="V178" s="64"/>
      <c r="W178" s="138"/>
    </row>
    <row r="179" spans="1:23" ht="15.75" x14ac:dyDescent="0.25">
      <c r="A179" s="45"/>
      <c r="B179" s="14" t="s">
        <v>2</v>
      </c>
      <c r="C179" s="14" t="s">
        <v>349</v>
      </c>
      <c r="D179" s="226" t="s">
        <v>499</v>
      </c>
      <c r="E179" s="14" t="s">
        <v>350</v>
      </c>
      <c r="F179" s="226" t="str">
        <f>F$11</f>
        <v>TBILLTDCS</v>
      </c>
      <c r="G179" s="181" t="s">
        <v>688</v>
      </c>
      <c r="H179" s="181" t="s">
        <v>355</v>
      </c>
      <c r="I179" s="14"/>
      <c r="J179" s="181" t="s">
        <v>679</v>
      </c>
      <c r="K179" s="181" t="s">
        <v>388</v>
      </c>
      <c r="L179" s="14" t="s">
        <v>388</v>
      </c>
      <c r="M179" s="181" t="s">
        <v>389</v>
      </c>
      <c r="N179" s="181" t="s">
        <v>389</v>
      </c>
      <c r="O179" s="181" t="s">
        <v>389</v>
      </c>
      <c r="P179" s="181" t="s">
        <v>390</v>
      </c>
      <c r="Q179" s="14" t="s">
        <v>391</v>
      </c>
      <c r="R179" s="331" t="str">
        <f>R$11</f>
        <v>Wholesale</v>
      </c>
      <c r="S179" s="12" t="str">
        <f>S$11</f>
        <v>Wholesale</v>
      </c>
      <c r="T179" s="181"/>
      <c r="U179" s="14" t="s">
        <v>10</v>
      </c>
      <c r="V179" s="64"/>
      <c r="W179" s="138"/>
    </row>
    <row r="180" spans="1:23" ht="15" x14ac:dyDescent="0.2">
      <c r="A180" s="45"/>
      <c r="B180" s="14"/>
      <c r="C180" s="14"/>
      <c r="D180" s="14"/>
      <c r="E180" s="14"/>
      <c r="F180" s="14"/>
      <c r="G180" s="181" t="s">
        <v>689</v>
      </c>
      <c r="H180" s="181" t="s">
        <v>690</v>
      </c>
      <c r="I180" s="14"/>
      <c r="J180" s="181"/>
      <c r="K180" s="181" t="s">
        <v>680</v>
      </c>
      <c r="L180" s="14" t="s">
        <v>681</v>
      </c>
      <c r="M180" s="181" t="s">
        <v>680</v>
      </c>
      <c r="N180" s="181" t="s">
        <v>681</v>
      </c>
      <c r="O180" s="181" t="s">
        <v>393</v>
      </c>
      <c r="P180" s="181"/>
      <c r="Q180" s="14"/>
      <c r="R180" s="174" t="str">
        <f>R$12</f>
        <v>XFMR</v>
      </c>
      <c r="S180" s="14" t="str">
        <f>S$12</f>
        <v>DLS</v>
      </c>
      <c r="T180" s="181"/>
      <c r="U180" s="14"/>
      <c r="V180" s="64"/>
      <c r="W180" s="138"/>
    </row>
    <row r="181" spans="1:23" ht="15.75" thickBot="1" x14ac:dyDescent="0.25">
      <c r="A181" s="45"/>
      <c r="B181" s="15"/>
      <c r="C181" s="15"/>
      <c r="D181" s="15"/>
      <c r="E181" s="15"/>
      <c r="F181" s="15" t="s">
        <v>13</v>
      </c>
      <c r="G181" s="15" t="s">
        <v>14</v>
      </c>
      <c r="H181" s="15" t="s">
        <v>15</v>
      </c>
      <c r="I181" s="15"/>
      <c r="J181" s="182" t="str">
        <f t="shared" ref="J181:Q181" si="73">J$13</f>
        <v>(d)</v>
      </c>
      <c r="K181" s="182" t="str">
        <f t="shared" si="73"/>
        <v>(e)</v>
      </c>
      <c r="L181" s="15" t="str">
        <f t="shared" si="73"/>
        <v>(f)</v>
      </c>
      <c r="M181" s="182" t="str">
        <f t="shared" si="73"/>
        <v>(g)</v>
      </c>
      <c r="N181" s="182" t="str">
        <f t="shared" si="73"/>
        <v>(h)</v>
      </c>
      <c r="O181" s="182" t="str">
        <f>O$13</f>
        <v>(i)</v>
      </c>
      <c r="P181" s="182" t="str">
        <f t="shared" si="73"/>
        <v>(j)</v>
      </c>
      <c r="Q181" s="182" t="str">
        <f t="shared" si="73"/>
        <v>(k)</v>
      </c>
      <c r="R181" s="182" t="str">
        <f>R$13</f>
        <v>(l)</v>
      </c>
      <c r="S181" s="15" t="str">
        <f>S$13</f>
        <v>(m)</v>
      </c>
      <c r="T181" s="15"/>
      <c r="U181" s="15" t="s">
        <v>683</v>
      </c>
      <c r="V181" s="64"/>
      <c r="W181" s="138"/>
    </row>
    <row r="182" spans="1:23" ht="15" x14ac:dyDescent="0.2">
      <c r="A182" s="45"/>
      <c r="B182" s="64"/>
      <c r="C182" s="96"/>
      <c r="D182" s="96"/>
      <c r="E182" s="251"/>
      <c r="F182" s="96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1"/>
      <c r="V182" s="64"/>
      <c r="W182" s="643">
        <f t="shared" ref="W182:W245" si="74">F182-U182</f>
        <v>0</v>
      </c>
    </row>
    <row r="183" spans="1:23" ht="15.75" x14ac:dyDescent="0.25">
      <c r="A183" s="45"/>
      <c r="B183" s="16">
        <f t="shared" ref="B183:B199" si="75">B182+1</f>
        <v>1</v>
      </c>
      <c r="C183" s="47" t="s">
        <v>499</v>
      </c>
      <c r="D183" s="47"/>
      <c r="E183" s="55" t="s">
        <v>86</v>
      </c>
      <c r="F183" s="47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47"/>
      <c r="V183" s="64"/>
      <c r="W183" s="643">
        <f t="shared" si="74"/>
        <v>0</v>
      </c>
    </row>
    <row r="184" spans="1:23" ht="15" x14ac:dyDescent="0.2">
      <c r="A184" s="45"/>
      <c r="B184" s="16">
        <f t="shared" si="75"/>
        <v>2</v>
      </c>
      <c r="C184" s="11" t="s">
        <v>87</v>
      </c>
      <c r="D184" s="11" t="s">
        <v>38</v>
      </c>
      <c r="E184" s="10"/>
      <c r="F184" s="97">
        <f>' WP II-I-1.4'!I184</f>
        <v>2615601.4699999988</v>
      </c>
      <c r="G184" s="10">
        <v>87</v>
      </c>
      <c r="H184" s="45" t="str">
        <f t="shared" ref="H184:H192" si="76">VLOOKUP(G184,FactorTable,2)</f>
        <v>PAYROLL XAG</v>
      </c>
      <c r="I184" s="10"/>
      <c r="J184" s="369">
        <f t="shared" ref="J184:S192" ca="1" si="77">$F184*HLOOKUP(J$1354,FactorTable,$G184+1)</f>
        <v>1289292.5550044323</v>
      </c>
      <c r="K184" s="369">
        <f t="shared" ca="1" si="77"/>
        <v>179898.57170390966</v>
      </c>
      <c r="L184" s="369">
        <f t="shared" ca="1" si="77"/>
        <v>703110.95896461478</v>
      </c>
      <c r="M184" s="369">
        <f t="shared" ca="1" si="77"/>
        <v>29576.484180926273</v>
      </c>
      <c r="N184" s="369">
        <f t="shared" ca="1" si="77"/>
        <v>227670.8757699572</v>
      </c>
      <c r="O184" s="369">
        <f t="shared" ca="1" si="77"/>
        <v>7470.0532314879756</v>
      </c>
      <c r="P184" s="369">
        <f t="shared" ca="1" si="77"/>
        <v>15581.706127030136</v>
      </c>
      <c r="Q184" s="369">
        <f t="shared" ca="1" si="77"/>
        <v>160081.15894796731</v>
      </c>
      <c r="R184" s="369">
        <f t="shared" ca="1" si="77"/>
        <v>824.91385378394864</v>
      </c>
      <c r="S184" s="369">
        <f t="shared" ca="1" si="77"/>
        <v>2094.1922158894117</v>
      </c>
      <c r="T184" s="10"/>
      <c r="U184" s="97">
        <f t="shared" ref="U184:U193" ca="1" si="78">SUM(I184:T184)</f>
        <v>2615601.4699999993</v>
      </c>
      <c r="V184" s="64"/>
      <c r="W184" s="643">
        <f t="shared" ca="1" si="74"/>
        <v>0</v>
      </c>
    </row>
    <row r="185" spans="1:23" ht="15" x14ac:dyDescent="0.2">
      <c r="A185" s="45"/>
      <c r="B185" s="16">
        <f t="shared" si="75"/>
        <v>3</v>
      </c>
      <c r="C185" s="11" t="s">
        <v>88</v>
      </c>
      <c r="D185" s="11" t="s">
        <v>40</v>
      </c>
      <c r="E185" s="10"/>
      <c r="F185" s="97">
        <f>' WP II-I-1.4'!I185</f>
        <v>1318.1000000000001</v>
      </c>
      <c r="G185" s="10">
        <v>87</v>
      </c>
      <c r="H185" s="45" t="str">
        <f t="shared" si="76"/>
        <v>PAYROLL XAG</v>
      </c>
      <c r="I185" s="10"/>
      <c r="J185" s="369">
        <f t="shared" ca="1" si="77"/>
        <v>649.72303167857717</v>
      </c>
      <c r="K185" s="369">
        <f t="shared" ca="1" si="77"/>
        <v>90.657659464812681</v>
      </c>
      <c r="L185" s="369">
        <f t="shared" ca="1" si="77"/>
        <v>354.32406872414674</v>
      </c>
      <c r="M185" s="369">
        <f t="shared" ca="1" si="77"/>
        <v>14.904703276099223</v>
      </c>
      <c r="N185" s="369">
        <f t="shared" ca="1" si="77"/>
        <v>114.73192104926473</v>
      </c>
      <c r="O185" s="369">
        <f t="shared" ca="1" si="77"/>
        <v>3.7644409048387275</v>
      </c>
      <c r="P185" s="369">
        <f t="shared" ca="1" si="77"/>
        <v>7.8522080223629915</v>
      </c>
      <c r="Q185" s="369">
        <f t="shared" ca="1" si="77"/>
        <v>80.670919491919321</v>
      </c>
      <c r="R185" s="369">
        <f t="shared" ca="1" si="77"/>
        <v>0.41570513059568792</v>
      </c>
      <c r="S185" s="369">
        <f t="shared" ca="1" si="77"/>
        <v>1.0553422573829014</v>
      </c>
      <c r="T185" s="10"/>
      <c r="U185" s="97">
        <f t="shared" ca="1" si="78"/>
        <v>1318.1</v>
      </c>
      <c r="V185" s="64"/>
      <c r="W185" s="643">
        <f t="shared" ca="1" si="74"/>
        <v>0</v>
      </c>
    </row>
    <row r="186" spans="1:23" ht="15" x14ac:dyDescent="0.2">
      <c r="A186" s="45"/>
      <c r="B186" s="16">
        <f t="shared" si="75"/>
        <v>4</v>
      </c>
      <c r="C186" s="11" t="s">
        <v>89</v>
      </c>
      <c r="D186" s="11" t="s">
        <v>42</v>
      </c>
      <c r="E186" s="10"/>
      <c r="F186" s="97">
        <f>' WP II-I-1.4'!I186</f>
        <v>18151522.199999988</v>
      </c>
      <c r="G186" s="10">
        <v>87</v>
      </c>
      <c r="H186" s="45" t="str">
        <f t="shared" si="76"/>
        <v>PAYROLL XAG</v>
      </c>
      <c r="I186" s="10"/>
      <c r="J186" s="369">
        <f t="shared" ca="1" si="77"/>
        <v>8947319.6520483941</v>
      </c>
      <c r="K186" s="369">
        <f t="shared" ca="1" si="77"/>
        <v>1248444.3656593477</v>
      </c>
      <c r="L186" s="369">
        <f t="shared" ca="1" si="77"/>
        <v>4879387.9064112511</v>
      </c>
      <c r="M186" s="369">
        <f t="shared" ca="1" si="77"/>
        <v>205252.29679123554</v>
      </c>
      <c r="N186" s="369">
        <f t="shared" ca="1" si="77"/>
        <v>1579970.4210411762</v>
      </c>
      <c r="O186" s="369">
        <f t="shared" ca="1" si="77"/>
        <v>51840.021739449359</v>
      </c>
      <c r="P186" s="369">
        <f t="shared" ca="1" si="77"/>
        <v>108132.56068351402</v>
      </c>
      <c r="Q186" s="369">
        <f t="shared" ca="1" si="77"/>
        <v>1110917.2187633603</v>
      </c>
      <c r="R186" s="369">
        <f t="shared" ca="1" si="77"/>
        <v>5724.6649773625086</v>
      </c>
      <c r="S186" s="369">
        <f t="shared" ca="1" si="77"/>
        <v>14533.091884897834</v>
      </c>
      <c r="T186" s="10"/>
      <c r="U186" s="97">
        <f t="shared" ca="1" si="78"/>
        <v>18151522.199999988</v>
      </c>
      <c r="V186" s="64"/>
      <c r="W186" s="643">
        <f t="shared" ca="1" si="74"/>
        <v>0</v>
      </c>
    </row>
    <row r="187" spans="1:23" ht="15" x14ac:dyDescent="0.2">
      <c r="A187" s="45"/>
      <c r="B187" s="16">
        <f t="shared" si="75"/>
        <v>5</v>
      </c>
      <c r="C187" s="11" t="s">
        <v>90</v>
      </c>
      <c r="D187" s="11" t="s">
        <v>91</v>
      </c>
      <c r="E187" s="10"/>
      <c r="F187" s="97">
        <f>' WP II-I-1.4'!I187</f>
        <v>1076747.3500000006</v>
      </c>
      <c r="G187" s="10">
        <v>87</v>
      </c>
      <c r="H187" s="45" t="str">
        <f t="shared" si="76"/>
        <v>PAYROLL XAG</v>
      </c>
      <c r="I187" s="10"/>
      <c r="J187" s="369">
        <f t="shared" ca="1" si="77"/>
        <v>530754.53500787064</v>
      </c>
      <c r="K187" s="369">
        <f t="shared" ca="1" si="77"/>
        <v>74057.654643759583</v>
      </c>
      <c r="L187" s="369">
        <f t="shared" ca="1" si="77"/>
        <v>289445.036067023</v>
      </c>
      <c r="M187" s="369">
        <f t="shared" ca="1" si="77"/>
        <v>12175.555538332572</v>
      </c>
      <c r="N187" s="369">
        <f t="shared" ca="1" si="77"/>
        <v>93723.76295440791</v>
      </c>
      <c r="O187" s="369">
        <f t="shared" ca="1" si="77"/>
        <v>3075.1473852641711</v>
      </c>
      <c r="P187" s="369">
        <f t="shared" ca="1" si="77"/>
        <v>6414.4178588332416</v>
      </c>
      <c r="Q187" s="369">
        <f t="shared" ca="1" si="77"/>
        <v>65899.551464219345</v>
      </c>
      <c r="R187" s="369">
        <f t="shared" ca="1" si="77"/>
        <v>339.58682782058344</v>
      </c>
      <c r="S187" s="369">
        <f t="shared" ca="1" si="77"/>
        <v>862.10225246950722</v>
      </c>
      <c r="T187" s="10"/>
      <c r="U187" s="97">
        <f t="shared" ca="1" si="78"/>
        <v>1076747.3500000006</v>
      </c>
      <c r="V187" s="64"/>
      <c r="W187" s="643">
        <f t="shared" ca="1" si="74"/>
        <v>0</v>
      </c>
    </row>
    <row r="188" spans="1:23" ht="15" x14ac:dyDescent="0.2">
      <c r="A188" s="45"/>
      <c r="B188" s="16">
        <f t="shared" si="75"/>
        <v>6</v>
      </c>
      <c r="C188" s="11" t="s">
        <v>92</v>
      </c>
      <c r="D188" s="11" t="s">
        <v>94</v>
      </c>
      <c r="E188" s="10"/>
      <c r="F188" s="97">
        <f>' WP II-I-1.4'!I188</f>
        <v>0</v>
      </c>
      <c r="G188" s="10">
        <v>87</v>
      </c>
      <c r="H188" s="45" t="str">
        <f t="shared" si="76"/>
        <v>PAYROLL XAG</v>
      </c>
      <c r="I188" s="10"/>
      <c r="J188" s="369">
        <f t="shared" ca="1" si="77"/>
        <v>0</v>
      </c>
      <c r="K188" s="369">
        <f t="shared" ca="1" si="77"/>
        <v>0</v>
      </c>
      <c r="L188" s="369">
        <f t="shared" ca="1" si="77"/>
        <v>0</v>
      </c>
      <c r="M188" s="369">
        <f t="shared" ca="1" si="77"/>
        <v>0</v>
      </c>
      <c r="N188" s="369">
        <f t="shared" ca="1" si="77"/>
        <v>0</v>
      </c>
      <c r="O188" s="369">
        <f t="shared" ca="1" si="77"/>
        <v>0</v>
      </c>
      <c r="P188" s="369">
        <f t="shared" ca="1" si="77"/>
        <v>0</v>
      </c>
      <c r="Q188" s="369">
        <f t="shared" ca="1" si="77"/>
        <v>0</v>
      </c>
      <c r="R188" s="369">
        <f t="shared" ca="1" si="77"/>
        <v>0</v>
      </c>
      <c r="S188" s="369">
        <f t="shared" ca="1" si="77"/>
        <v>0</v>
      </c>
      <c r="T188" s="10"/>
      <c r="U188" s="97">
        <f t="shared" ca="1" si="78"/>
        <v>0</v>
      </c>
      <c r="V188" s="64"/>
      <c r="W188" s="643">
        <f t="shared" ca="1" si="74"/>
        <v>0</v>
      </c>
    </row>
    <row r="189" spans="1:23" ht="15" x14ac:dyDescent="0.2">
      <c r="A189" s="45"/>
      <c r="B189" s="16">
        <f t="shared" si="75"/>
        <v>7</v>
      </c>
      <c r="C189" s="11" t="s">
        <v>95</v>
      </c>
      <c r="D189" s="11" t="s">
        <v>500</v>
      </c>
      <c r="E189" s="10"/>
      <c r="F189" s="97">
        <f>' WP II-I-1.4'!I189</f>
        <v>0</v>
      </c>
      <c r="G189" s="10">
        <v>87</v>
      </c>
      <c r="H189" s="45" t="str">
        <f t="shared" si="76"/>
        <v>PAYROLL XAG</v>
      </c>
      <c r="I189" s="10"/>
      <c r="J189" s="369">
        <f t="shared" ca="1" si="77"/>
        <v>0</v>
      </c>
      <c r="K189" s="369">
        <f t="shared" ca="1" si="77"/>
        <v>0</v>
      </c>
      <c r="L189" s="369">
        <f t="shared" ca="1" si="77"/>
        <v>0</v>
      </c>
      <c r="M189" s="369">
        <f t="shared" ca="1" si="77"/>
        <v>0</v>
      </c>
      <c r="N189" s="369">
        <f t="shared" ca="1" si="77"/>
        <v>0</v>
      </c>
      <c r="O189" s="369">
        <f t="shared" ca="1" si="77"/>
        <v>0</v>
      </c>
      <c r="P189" s="369">
        <f t="shared" ca="1" si="77"/>
        <v>0</v>
      </c>
      <c r="Q189" s="369">
        <f t="shared" ca="1" si="77"/>
        <v>0</v>
      </c>
      <c r="R189" s="369">
        <f t="shared" ca="1" si="77"/>
        <v>0</v>
      </c>
      <c r="S189" s="369">
        <f t="shared" ca="1" si="77"/>
        <v>0</v>
      </c>
      <c r="T189" s="10"/>
      <c r="U189" s="97">
        <f t="shared" ca="1" si="78"/>
        <v>0</v>
      </c>
      <c r="V189" s="64"/>
      <c r="W189" s="643">
        <f t="shared" ca="1" si="74"/>
        <v>0</v>
      </c>
    </row>
    <row r="190" spans="1:23" ht="15" x14ac:dyDescent="0.2">
      <c r="A190" s="45"/>
      <c r="B190" s="16">
        <f t="shared" si="75"/>
        <v>8</v>
      </c>
      <c r="C190" s="11" t="s">
        <v>97</v>
      </c>
      <c r="D190" s="11" t="s">
        <v>501</v>
      </c>
      <c r="E190" s="10"/>
      <c r="F190" s="97">
        <f>' WP II-I-1.4'!I190</f>
        <v>0</v>
      </c>
      <c r="G190" s="10">
        <v>87</v>
      </c>
      <c r="H190" s="45" t="str">
        <f t="shared" si="76"/>
        <v>PAYROLL XAG</v>
      </c>
      <c r="I190" s="10"/>
      <c r="J190" s="369">
        <f t="shared" ca="1" si="77"/>
        <v>0</v>
      </c>
      <c r="K190" s="369">
        <f t="shared" ca="1" si="77"/>
        <v>0</v>
      </c>
      <c r="L190" s="369">
        <f t="shared" ca="1" si="77"/>
        <v>0</v>
      </c>
      <c r="M190" s="369">
        <f t="shared" ca="1" si="77"/>
        <v>0</v>
      </c>
      <c r="N190" s="369">
        <f t="shared" ca="1" si="77"/>
        <v>0</v>
      </c>
      <c r="O190" s="369">
        <f t="shared" ca="1" si="77"/>
        <v>0</v>
      </c>
      <c r="P190" s="369">
        <f t="shared" ca="1" si="77"/>
        <v>0</v>
      </c>
      <c r="Q190" s="369">
        <f t="shared" ca="1" si="77"/>
        <v>0</v>
      </c>
      <c r="R190" s="369">
        <f t="shared" ca="1" si="77"/>
        <v>0</v>
      </c>
      <c r="S190" s="369">
        <f t="shared" ca="1" si="77"/>
        <v>0</v>
      </c>
      <c r="T190" s="10"/>
      <c r="U190" s="97">
        <f t="shared" ca="1" si="78"/>
        <v>0</v>
      </c>
      <c r="V190" s="64"/>
      <c r="W190" s="643">
        <f t="shared" ca="1" si="74"/>
        <v>0</v>
      </c>
    </row>
    <row r="191" spans="1:23" ht="15" x14ac:dyDescent="0.2">
      <c r="A191" s="45"/>
      <c r="B191" s="16">
        <f t="shared" si="75"/>
        <v>9</v>
      </c>
      <c r="C191" s="11" t="s">
        <v>99</v>
      </c>
      <c r="D191" s="11" t="s">
        <v>100</v>
      </c>
      <c r="E191" s="10"/>
      <c r="F191" s="97">
        <f>' WP II-I-1.4'!I191</f>
        <v>0</v>
      </c>
      <c r="G191" s="10">
        <v>87</v>
      </c>
      <c r="H191" s="45" t="str">
        <f t="shared" si="76"/>
        <v>PAYROLL XAG</v>
      </c>
      <c r="I191" s="10"/>
      <c r="J191" s="369">
        <f t="shared" ca="1" si="77"/>
        <v>0</v>
      </c>
      <c r="K191" s="369">
        <f t="shared" ca="1" si="77"/>
        <v>0</v>
      </c>
      <c r="L191" s="369">
        <f t="shared" ca="1" si="77"/>
        <v>0</v>
      </c>
      <c r="M191" s="369">
        <f t="shared" ca="1" si="77"/>
        <v>0</v>
      </c>
      <c r="N191" s="369">
        <f t="shared" ca="1" si="77"/>
        <v>0</v>
      </c>
      <c r="O191" s="369">
        <f t="shared" ca="1" si="77"/>
        <v>0</v>
      </c>
      <c r="P191" s="369">
        <f t="shared" ca="1" si="77"/>
        <v>0</v>
      </c>
      <c r="Q191" s="369">
        <f t="shared" ca="1" si="77"/>
        <v>0</v>
      </c>
      <c r="R191" s="369">
        <f t="shared" ca="1" si="77"/>
        <v>0</v>
      </c>
      <c r="S191" s="369">
        <f t="shared" ca="1" si="77"/>
        <v>0</v>
      </c>
      <c r="T191" s="10"/>
      <c r="U191" s="97">
        <f t="shared" ca="1" si="78"/>
        <v>0</v>
      </c>
      <c r="V191" s="64"/>
      <c r="W191" s="643">
        <f t="shared" ca="1" si="74"/>
        <v>0</v>
      </c>
    </row>
    <row r="192" spans="1:23" ht="15" x14ac:dyDescent="0.2">
      <c r="A192" s="45"/>
      <c r="B192" s="16">
        <f t="shared" si="75"/>
        <v>10</v>
      </c>
      <c r="C192" s="11" t="s">
        <v>101</v>
      </c>
      <c r="D192" s="11" t="s">
        <v>102</v>
      </c>
      <c r="E192" s="10"/>
      <c r="F192" s="97">
        <f>' WP II-I-1.4'!I192</f>
        <v>0</v>
      </c>
      <c r="G192" s="10">
        <v>87</v>
      </c>
      <c r="H192" s="45" t="str">
        <f t="shared" si="76"/>
        <v>PAYROLL XAG</v>
      </c>
      <c r="I192" s="10"/>
      <c r="J192" s="370">
        <f t="shared" ca="1" si="77"/>
        <v>0</v>
      </c>
      <c r="K192" s="370">
        <f t="shared" ca="1" si="77"/>
        <v>0</v>
      </c>
      <c r="L192" s="370">
        <f t="shared" ca="1" si="77"/>
        <v>0</v>
      </c>
      <c r="M192" s="370">
        <f t="shared" ca="1" si="77"/>
        <v>0</v>
      </c>
      <c r="N192" s="370">
        <f t="shared" ca="1" si="77"/>
        <v>0</v>
      </c>
      <c r="O192" s="370">
        <f t="shared" ca="1" si="77"/>
        <v>0</v>
      </c>
      <c r="P192" s="370">
        <f t="shared" ca="1" si="77"/>
        <v>0</v>
      </c>
      <c r="Q192" s="370">
        <f t="shared" ca="1" si="77"/>
        <v>0</v>
      </c>
      <c r="R192" s="370">
        <f t="shared" ca="1" si="77"/>
        <v>0</v>
      </c>
      <c r="S192" s="370">
        <f t="shared" ca="1" si="77"/>
        <v>0</v>
      </c>
      <c r="T192" s="10"/>
      <c r="U192" s="97">
        <f t="shared" ca="1" si="78"/>
        <v>0</v>
      </c>
      <c r="V192" s="64"/>
      <c r="W192" s="643">
        <f t="shared" ca="1" si="74"/>
        <v>0</v>
      </c>
    </row>
    <row r="193" spans="1:23" ht="15.75" x14ac:dyDescent="0.25">
      <c r="A193" s="45"/>
      <c r="B193" s="16">
        <f t="shared" si="75"/>
        <v>11</v>
      </c>
      <c r="C193" s="1"/>
      <c r="D193" s="233" t="s">
        <v>444</v>
      </c>
      <c r="E193" s="19"/>
      <c r="F193" s="20">
        <f>SUM(F184:F192)</f>
        <v>21845189.11999999</v>
      </c>
      <c r="G193" s="19"/>
      <c r="H193" s="19"/>
      <c r="I193" s="913"/>
      <c r="J193" s="804">
        <f t="shared" ref="J193:Q193" ca="1" si="79">SUM(J184:J192)</f>
        <v>10768016.465092374</v>
      </c>
      <c r="K193" s="804">
        <f t="shared" ca="1" si="79"/>
        <v>1502491.2496664817</v>
      </c>
      <c r="L193" s="804">
        <f t="shared" ca="1" si="79"/>
        <v>5872298.2255116133</v>
      </c>
      <c r="M193" s="804">
        <f t="shared" ca="1" si="79"/>
        <v>247019.2412137705</v>
      </c>
      <c r="N193" s="804">
        <f t="shared" ca="1" si="79"/>
        <v>1901479.7916865905</v>
      </c>
      <c r="O193" s="804">
        <f ca="1">SUM(O184:O192)</f>
        <v>62388.986797106343</v>
      </c>
      <c r="P193" s="804">
        <f t="shared" ca="1" si="79"/>
        <v>130136.53687739976</v>
      </c>
      <c r="Q193" s="804">
        <f t="shared" ca="1" si="79"/>
        <v>1336978.6000950388</v>
      </c>
      <c r="R193" s="804">
        <f ca="1">SUM(R184:R192)</f>
        <v>6889.5813640976367</v>
      </c>
      <c r="S193" s="804">
        <f ca="1">SUM(S184:S192)</f>
        <v>17490.441695514135</v>
      </c>
      <c r="T193" s="913"/>
      <c r="U193" s="235">
        <f t="shared" ca="1" si="78"/>
        <v>21845189.119999986</v>
      </c>
      <c r="V193" s="64"/>
      <c r="W193" s="643">
        <f t="shared" ca="1" si="74"/>
        <v>0</v>
      </c>
    </row>
    <row r="194" spans="1:23" ht="15.75" x14ac:dyDescent="0.25">
      <c r="A194" s="45"/>
      <c r="B194" s="16">
        <f t="shared" si="75"/>
        <v>12</v>
      </c>
      <c r="C194" s="8"/>
      <c r="D194" s="233"/>
      <c r="E194" s="19"/>
      <c r="F194" s="17"/>
      <c r="G194" s="19"/>
      <c r="H194" s="19"/>
      <c r="I194" s="913"/>
      <c r="J194" s="961"/>
      <c r="K194" s="961"/>
      <c r="L194" s="961"/>
      <c r="M194" s="961"/>
      <c r="N194" s="961"/>
      <c r="O194" s="961"/>
      <c r="P194" s="961"/>
      <c r="Q194" s="961"/>
      <c r="R194" s="961"/>
      <c r="S194" s="961"/>
      <c r="T194" s="913"/>
      <c r="U194" s="98"/>
      <c r="V194" s="64"/>
      <c r="W194" s="643">
        <f t="shared" si="74"/>
        <v>0</v>
      </c>
    </row>
    <row r="195" spans="1:23" ht="15" x14ac:dyDescent="0.2">
      <c r="A195" s="45"/>
      <c r="B195" s="16">
        <f t="shared" si="75"/>
        <v>13</v>
      </c>
      <c r="C195" s="1" t="s">
        <v>105</v>
      </c>
      <c r="D195" s="1" t="s">
        <v>502</v>
      </c>
      <c r="E195" s="16"/>
      <c r="F195" s="97">
        <f>' WP II-I-1.4'!I195</f>
        <v>0</v>
      </c>
      <c r="G195" s="10">
        <v>87</v>
      </c>
      <c r="H195" s="45" t="str">
        <f>VLOOKUP(G195,FactorTable,2)</f>
        <v>PAYROLL XAG</v>
      </c>
      <c r="I195" s="16"/>
      <c r="J195" s="369">
        <f t="shared" ref="J195:S196" ca="1" si="80">$F195*HLOOKUP(J$1354,FactorTable,$G195+1)</f>
        <v>0</v>
      </c>
      <c r="K195" s="369">
        <f t="shared" ca="1" si="80"/>
        <v>0</v>
      </c>
      <c r="L195" s="369">
        <f t="shared" ca="1" si="80"/>
        <v>0</v>
      </c>
      <c r="M195" s="369">
        <f t="shared" ca="1" si="80"/>
        <v>0</v>
      </c>
      <c r="N195" s="369">
        <f t="shared" ca="1" si="80"/>
        <v>0</v>
      </c>
      <c r="O195" s="369">
        <f t="shared" ca="1" si="80"/>
        <v>0</v>
      </c>
      <c r="P195" s="369">
        <f t="shared" ca="1" si="80"/>
        <v>0</v>
      </c>
      <c r="Q195" s="369">
        <f t="shared" ca="1" si="80"/>
        <v>0</v>
      </c>
      <c r="R195" s="369">
        <f t="shared" ca="1" si="80"/>
        <v>0</v>
      </c>
      <c r="S195" s="369">
        <f t="shared" ca="1" si="80"/>
        <v>0</v>
      </c>
      <c r="T195" s="16"/>
      <c r="U195" s="97">
        <f ca="1">SUM(I195:T195)</f>
        <v>0</v>
      </c>
      <c r="V195" s="64"/>
      <c r="W195" s="643">
        <f t="shared" ca="1" si="74"/>
        <v>0</v>
      </c>
    </row>
    <row r="196" spans="1:23" ht="15" x14ac:dyDescent="0.2">
      <c r="A196" s="45"/>
      <c r="B196" s="16">
        <f t="shared" si="75"/>
        <v>14</v>
      </c>
      <c r="C196" s="1" t="s">
        <v>107</v>
      </c>
      <c r="D196" s="1" t="s">
        <v>503</v>
      </c>
      <c r="E196" s="16"/>
      <c r="F196" s="97">
        <f>' WP II-I-1.4'!I196</f>
        <v>0</v>
      </c>
      <c r="G196" s="10">
        <v>87</v>
      </c>
      <c r="H196" s="45" t="str">
        <f>VLOOKUP(G196,FactorTable,2)</f>
        <v>PAYROLL XAG</v>
      </c>
      <c r="I196" s="16"/>
      <c r="J196" s="370">
        <f t="shared" ca="1" si="80"/>
        <v>0</v>
      </c>
      <c r="K196" s="370">
        <f t="shared" ca="1" si="80"/>
        <v>0</v>
      </c>
      <c r="L196" s="370">
        <f t="shared" ca="1" si="80"/>
        <v>0</v>
      </c>
      <c r="M196" s="370">
        <f t="shared" ca="1" si="80"/>
        <v>0</v>
      </c>
      <c r="N196" s="370">
        <f t="shared" ca="1" si="80"/>
        <v>0</v>
      </c>
      <c r="O196" s="370">
        <f t="shared" ca="1" si="80"/>
        <v>0</v>
      </c>
      <c r="P196" s="370">
        <f t="shared" ca="1" si="80"/>
        <v>0</v>
      </c>
      <c r="Q196" s="370">
        <f t="shared" ca="1" si="80"/>
        <v>0</v>
      </c>
      <c r="R196" s="370">
        <f t="shared" ca="1" si="80"/>
        <v>0</v>
      </c>
      <c r="S196" s="370">
        <f t="shared" ca="1" si="80"/>
        <v>0</v>
      </c>
      <c r="T196" s="16"/>
      <c r="U196" s="97">
        <f ca="1">SUM(I196:T196)</f>
        <v>0</v>
      </c>
      <c r="V196" s="64"/>
      <c r="W196" s="643">
        <f t="shared" ca="1" si="74"/>
        <v>0</v>
      </c>
    </row>
    <row r="197" spans="1:23" ht="15.75" x14ac:dyDescent="0.25">
      <c r="A197" s="45"/>
      <c r="B197" s="16">
        <f t="shared" si="75"/>
        <v>15</v>
      </c>
      <c r="C197" s="8"/>
      <c r="D197" s="233" t="s">
        <v>444</v>
      </c>
      <c r="E197" s="19"/>
      <c r="F197" s="20">
        <f>+F196+F195</f>
        <v>0</v>
      </c>
      <c r="G197" s="19"/>
      <c r="H197" s="19"/>
      <c r="I197" s="19"/>
      <c r="J197" s="804">
        <f t="shared" ref="J197:Q197" ca="1" si="81">+J196+J195</f>
        <v>0</v>
      </c>
      <c r="K197" s="804">
        <f t="shared" ca="1" si="81"/>
        <v>0</v>
      </c>
      <c r="L197" s="804">
        <f t="shared" ca="1" si="81"/>
        <v>0</v>
      </c>
      <c r="M197" s="804">
        <f t="shared" ca="1" si="81"/>
        <v>0</v>
      </c>
      <c r="N197" s="804">
        <f t="shared" ca="1" si="81"/>
        <v>0</v>
      </c>
      <c r="O197" s="804">
        <f ca="1">+O196+O195</f>
        <v>0</v>
      </c>
      <c r="P197" s="804">
        <f t="shared" ca="1" si="81"/>
        <v>0</v>
      </c>
      <c r="Q197" s="804">
        <f t="shared" ca="1" si="81"/>
        <v>0</v>
      </c>
      <c r="R197" s="804">
        <f ca="1">+R196+R195</f>
        <v>0</v>
      </c>
      <c r="S197" s="804">
        <f ca="1">+S196+S195</f>
        <v>0</v>
      </c>
      <c r="T197" s="19"/>
      <c r="U197" s="20">
        <f ca="1">SUM(I197:T197)</f>
        <v>0</v>
      </c>
      <c r="V197" s="64"/>
      <c r="W197" s="643">
        <f t="shared" ca="1" si="74"/>
        <v>0</v>
      </c>
    </row>
    <row r="198" spans="1:23" ht="16.5" thickBot="1" x14ac:dyDescent="0.3">
      <c r="A198" s="45"/>
      <c r="B198" s="16">
        <f t="shared" si="75"/>
        <v>16</v>
      </c>
      <c r="C198" s="8"/>
      <c r="D198" s="233"/>
      <c r="E198" s="19"/>
      <c r="F198" s="21"/>
      <c r="G198" s="19"/>
      <c r="H198" s="19"/>
      <c r="I198" s="19"/>
      <c r="J198" s="805"/>
      <c r="K198" s="805"/>
      <c r="L198" s="805"/>
      <c r="M198" s="805"/>
      <c r="N198" s="805"/>
      <c r="O198" s="805"/>
      <c r="P198" s="805"/>
      <c r="Q198" s="805"/>
      <c r="R198" s="805"/>
      <c r="S198" s="805"/>
      <c r="T198" s="19"/>
      <c r="U198" s="8"/>
      <c r="V198" s="64"/>
      <c r="W198" s="643">
        <f t="shared" si="74"/>
        <v>0</v>
      </c>
    </row>
    <row r="199" spans="1:23" ht="16.5" thickBot="1" x14ac:dyDescent="0.3">
      <c r="A199" s="45"/>
      <c r="B199" s="16">
        <f t="shared" si="75"/>
        <v>17</v>
      </c>
      <c r="C199" s="223" t="s">
        <v>504</v>
      </c>
      <c r="D199" s="224"/>
      <c r="E199" s="252" t="s">
        <v>86</v>
      </c>
      <c r="F199" s="194">
        <f>+F197+F193</f>
        <v>21845189.11999999</v>
      </c>
      <c r="G199" s="252"/>
      <c r="H199" s="379"/>
      <c r="I199" s="963"/>
      <c r="J199" s="381">
        <f t="shared" ref="J199:Q199" ca="1" si="82">+J197+J193</f>
        <v>10768016.465092374</v>
      </c>
      <c r="K199" s="812">
        <f t="shared" ca="1" si="82"/>
        <v>1502491.2496664817</v>
      </c>
      <c r="L199" s="812">
        <f t="shared" ca="1" si="82"/>
        <v>5872298.2255116133</v>
      </c>
      <c r="M199" s="812">
        <f t="shared" ca="1" si="82"/>
        <v>247019.2412137705</v>
      </c>
      <c r="N199" s="812">
        <f t="shared" ca="1" si="82"/>
        <v>1901479.7916865905</v>
      </c>
      <c r="O199" s="812">
        <f ca="1">+O197+O193</f>
        <v>62388.986797106343</v>
      </c>
      <c r="P199" s="812">
        <f t="shared" ca="1" si="82"/>
        <v>130136.53687739976</v>
      </c>
      <c r="Q199" s="812">
        <f t="shared" ca="1" si="82"/>
        <v>1336978.6000950388</v>
      </c>
      <c r="R199" s="812">
        <f ca="1">+R197+R193</f>
        <v>6889.5813640976367</v>
      </c>
      <c r="S199" s="812">
        <f ca="1">+S197+S193</f>
        <v>17490.441695514135</v>
      </c>
      <c r="T199" s="380"/>
      <c r="U199" s="195">
        <f ca="1">SUM(I199:T199)</f>
        <v>21845189.119999986</v>
      </c>
      <c r="V199" s="64"/>
      <c r="W199" s="643">
        <f t="shared" ca="1" si="74"/>
        <v>0</v>
      </c>
    </row>
    <row r="200" spans="1:23" ht="15" x14ac:dyDescent="0.2">
      <c r="A200" s="45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3"/>
    </row>
    <row r="201" spans="1:23" ht="15" x14ac:dyDescent="0.2">
      <c r="A201" s="45"/>
      <c r="B201" s="64"/>
      <c r="C201" s="64"/>
      <c r="D201" s="64"/>
      <c r="E201" s="64"/>
      <c r="F201" s="64"/>
      <c r="G201" s="64"/>
      <c r="H201" s="105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105"/>
      <c r="V201" s="105">
        <f>$H$2</f>
        <v>0</v>
      </c>
      <c r="W201" s="643"/>
    </row>
    <row r="202" spans="1:23" ht="15.75" thickBot="1" x14ac:dyDescent="0.25">
      <c r="A202" s="45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3"/>
    </row>
    <row r="203" spans="1:23" ht="15.75" x14ac:dyDescent="0.25">
      <c r="A203" s="45"/>
      <c r="B203" s="829" t="str">
        <f>+$B$4</f>
        <v>2025 RATE CASE</v>
      </c>
      <c r="C203" s="844"/>
      <c r="D203" s="547"/>
      <c r="F203" s="11"/>
      <c r="U203" s="105"/>
      <c r="W203" s="643"/>
    </row>
    <row r="204" spans="1:23" ht="15.75" x14ac:dyDescent="0.25">
      <c r="A204" s="229"/>
      <c r="B204" s="826" t="str">
        <f>+$B$5</f>
        <v>ONCOR ELECTRIC DELIVERY COMPANY LLC</v>
      </c>
      <c r="C204" s="8"/>
      <c r="D204" s="548"/>
      <c r="F204" s="11"/>
      <c r="U204" s="105"/>
      <c r="V204" s="64"/>
      <c r="W204" s="643"/>
    </row>
    <row r="205" spans="1:23" ht="15.75" x14ac:dyDescent="0.25">
      <c r="A205" s="45"/>
      <c r="B205" s="826" t="str">
        <f>+$B$6</f>
        <v>II-I-1-TBILLTDCS:  CLASS REVENUE REQUIREMENT</v>
      </c>
      <c r="C205" s="82"/>
      <c r="D205" s="548"/>
      <c r="F205" s="11"/>
      <c r="U205" s="11"/>
      <c r="V205" s="64"/>
      <c r="W205" s="643"/>
    </row>
    <row r="206" spans="1:23" ht="15.75" x14ac:dyDescent="0.25">
      <c r="A206" s="45"/>
      <c r="B206" s="341" t="str">
        <f>+$B$7</f>
        <v>TEST YEAR ENDING 12/31/2024</v>
      </c>
      <c r="C206" s="82"/>
      <c r="D206" s="548"/>
      <c r="F206" s="11"/>
      <c r="U206" s="11"/>
      <c r="V206" s="64"/>
      <c r="W206" s="643"/>
    </row>
    <row r="207" spans="1:23" ht="15.75" x14ac:dyDescent="0.25">
      <c r="A207" s="45"/>
      <c r="B207" s="341" t="str">
        <f>+$B$8</f>
        <v>SPONSOR:  MATTHEW A. TROXLE</v>
      </c>
      <c r="C207" s="82"/>
      <c r="D207" s="548"/>
      <c r="F207" s="11"/>
      <c r="U207" s="11"/>
      <c r="V207" s="64"/>
      <c r="W207" s="643"/>
    </row>
    <row r="208" spans="1:23" ht="16.5" thickBot="1" x14ac:dyDescent="0.3">
      <c r="A208" s="45"/>
      <c r="B208" s="345"/>
      <c r="C208" s="843"/>
      <c r="D208" s="549"/>
      <c r="F208" s="11"/>
      <c r="U208" s="11"/>
      <c r="V208" s="64"/>
      <c r="W208" s="643"/>
    </row>
    <row r="209" spans="1:23" ht="15.75" thickBot="1" x14ac:dyDescent="0.25">
      <c r="A209" s="45"/>
      <c r="B209" s="12"/>
      <c r="C209" s="13"/>
      <c r="D209" s="13"/>
      <c r="E209" s="13"/>
      <c r="F209" s="12"/>
      <c r="G209" s="13"/>
      <c r="H209" s="13"/>
      <c r="I209" s="13"/>
      <c r="J209" s="13"/>
      <c r="K209" s="177"/>
      <c r="L209" s="13"/>
      <c r="M209" s="177"/>
      <c r="N209" s="177"/>
      <c r="O209" s="177"/>
      <c r="P209" s="177"/>
      <c r="Q209" s="13"/>
      <c r="R209" s="328" t="str">
        <f>R$10</f>
        <v xml:space="preserve"> </v>
      </c>
      <c r="S209" s="329"/>
      <c r="T209" s="177"/>
      <c r="U209" s="12"/>
      <c r="V209" s="64"/>
      <c r="W209" s="643"/>
    </row>
    <row r="210" spans="1:23" ht="15.75" x14ac:dyDescent="0.25">
      <c r="A210" s="45"/>
      <c r="B210" s="14" t="s">
        <v>2</v>
      </c>
      <c r="C210" s="14" t="s">
        <v>349</v>
      </c>
      <c r="D210" s="226" t="s">
        <v>103</v>
      </c>
      <c r="E210" s="14" t="s">
        <v>350</v>
      </c>
      <c r="F210" s="226" t="str">
        <f>F$11</f>
        <v>TBILLTDCS</v>
      </c>
      <c r="G210" s="181" t="s">
        <v>688</v>
      </c>
      <c r="H210" s="181" t="s">
        <v>355</v>
      </c>
      <c r="I210" s="14"/>
      <c r="J210" s="14" t="s">
        <v>679</v>
      </c>
      <c r="K210" s="181" t="s">
        <v>388</v>
      </c>
      <c r="L210" s="14" t="s">
        <v>388</v>
      </c>
      <c r="M210" s="181" t="s">
        <v>389</v>
      </c>
      <c r="N210" s="181" t="s">
        <v>389</v>
      </c>
      <c r="O210" s="181" t="s">
        <v>389</v>
      </c>
      <c r="P210" s="181" t="s">
        <v>390</v>
      </c>
      <c r="Q210" s="14" t="s">
        <v>391</v>
      </c>
      <c r="R210" s="331" t="str">
        <f>R$11</f>
        <v>Wholesale</v>
      </c>
      <c r="S210" s="12" t="str">
        <f>S$11</f>
        <v>Wholesale</v>
      </c>
      <c r="T210" s="181"/>
      <c r="U210" s="14" t="s">
        <v>10</v>
      </c>
      <c r="V210" s="64"/>
      <c r="W210" s="643"/>
    </row>
    <row r="211" spans="1:23" ht="15" x14ac:dyDescent="0.2">
      <c r="A211" s="45"/>
      <c r="B211" s="14"/>
      <c r="C211" s="14"/>
      <c r="D211" s="14"/>
      <c r="E211" s="14"/>
      <c r="F211" s="14"/>
      <c r="G211" s="181" t="s">
        <v>689</v>
      </c>
      <c r="H211" s="181" t="s">
        <v>690</v>
      </c>
      <c r="I211" s="14"/>
      <c r="J211" s="14"/>
      <c r="K211" s="181" t="s">
        <v>680</v>
      </c>
      <c r="L211" s="14" t="s">
        <v>681</v>
      </c>
      <c r="M211" s="181" t="s">
        <v>680</v>
      </c>
      <c r="N211" s="181" t="s">
        <v>681</v>
      </c>
      <c r="O211" s="181" t="s">
        <v>393</v>
      </c>
      <c r="P211" s="181"/>
      <c r="Q211" s="14"/>
      <c r="R211" s="174" t="str">
        <f>R$12</f>
        <v>XFMR</v>
      </c>
      <c r="S211" s="14" t="str">
        <f>S$12</f>
        <v>DLS</v>
      </c>
      <c r="T211" s="181"/>
      <c r="U211" s="14"/>
      <c r="V211" s="64"/>
      <c r="W211" s="643"/>
    </row>
    <row r="212" spans="1:23" ht="15.75" thickBot="1" x14ac:dyDescent="0.25">
      <c r="A212" s="45"/>
      <c r="B212" s="15"/>
      <c r="C212" s="15"/>
      <c r="D212" s="15"/>
      <c r="E212" s="15"/>
      <c r="F212" s="15" t="s">
        <v>13</v>
      </c>
      <c r="G212" s="15" t="s">
        <v>14</v>
      </c>
      <c r="H212" s="15" t="s">
        <v>15</v>
      </c>
      <c r="I212" s="15"/>
      <c r="J212" s="182" t="str">
        <f t="shared" ref="J212:Q212" si="83">J$13</f>
        <v>(d)</v>
      </c>
      <c r="K212" s="182" t="str">
        <f t="shared" si="83"/>
        <v>(e)</v>
      </c>
      <c r="L212" s="15" t="str">
        <f t="shared" si="83"/>
        <v>(f)</v>
      </c>
      <c r="M212" s="182" t="str">
        <f t="shared" si="83"/>
        <v>(g)</v>
      </c>
      <c r="N212" s="182" t="str">
        <f t="shared" si="83"/>
        <v>(h)</v>
      </c>
      <c r="O212" s="182" t="str">
        <f>O$13</f>
        <v>(i)</v>
      </c>
      <c r="P212" s="182" t="str">
        <f t="shared" si="83"/>
        <v>(j)</v>
      </c>
      <c r="Q212" s="182" t="str">
        <f t="shared" si="83"/>
        <v>(k)</v>
      </c>
      <c r="R212" s="182" t="str">
        <f>R$13</f>
        <v>(l)</v>
      </c>
      <c r="S212" s="15" t="str">
        <f>S$13</f>
        <v>(m)</v>
      </c>
      <c r="T212" s="15"/>
      <c r="U212" s="15" t="s">
        <v>683</v>
      </c>
      <c r="V212" s="64"/>
      <c r="W212" s="643"/>
    </row>
    <row r="213" spans="1:23" ht="15" x14ac:dyDescent="0.2">
      <c r="A213" s="45"/>
      <c r="B213" s="64"/>
      <c r="C213" s="96"/>
      <c r="D213" s="96"/>
      <c r="E213" s="251"/>
      <c r="F213" s="96"/>
      <c r="G213" s="251"/>
      <c r="H213" s="251"/>
      <c r="I213" s="251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251"/>
      <c r="U213" s="1"/>
      <c r="V213" s="64"/>
      <c r="W213" s="643"/>
    </row>
    <row r="214" spans="1:23" ht="15.75" x14ac:dyDescent="0.25">
      <c r="A214" s="45"/>
      <c r="B214" s="16">
        <f>B213+1</f>
        <v>1</v>
      </c>
      <c r="C214" s="1" t="s">
        <v>1237</v>
      </c>
      <c r="D214" s="1" t="s">
        <v>1230</v>
      </c>
      <c r="E214" s="1308" t="s">
        <v>104</v>
      </c>
      <c r="F214" s="229">
        <f>' WP II-I-1.4'!$I214</f>
        <v>43509118.869999982</v>
      </c>
      <c r="G214" s="16">
        <v>63</v>
      </c>
      <c r="H214" s="45" t="str">
        <f>VLOOKUP(G214,FactorTable,2)</f>
        <v>PLTGEN_N</v>
      </c>
      <c r="I214" s="16"/>
      <c r="J214" s="369">
        <f t="shared" ref="J214:S216" ca="1" si="84">$F214*HLOOKUP(J$1354,FactorTable,$G214+1)</f>
        <v>21446685.84923752</v>
      </c>
      <c r="K214" s="369">
        <f t="shared" ca="1" si="84"/>
        <v>2992515.6529326402</v>
      </c>
      <c r="L214" s="369">
        <f t="shared" ca="1" si="84"/>
        <v>11695871.348623736</v>
      </c>
      <c r="M214" s="369">
        <f t="shared" ca="1" si="84"/>
        <v>491988.85256192932</v>
      </c>
      <c r="N214" s="369">
        <f t="shared" ca="1" si="84"/>
        <v>3787182.1493937578</v>
      </c>
      <c r="O214" s="369">
        <f t="shared" ca="1" si="84"/>
        <v>124260.3040799017</v>
      </c>
      <c r="P214" s="369">
        <f t="shared" ca="1" si="84"/>
        <v>259193.27231390556</v>
      </c>
      <c r="Q214" s="369">
        <f t="shared" ca="1" si="84"/>
        <v>2662863.6867658868</v>
      </c>
      <c r="R214" s="369">
        <f t="shared" ca="1" si="84"/>
        <v>13721.99676955971</v>
      </c>
      <c r="S214" s="369">
        <f t="shared" ca="1" si="84"/>
        <v>34835.757321149198</v>
      </c>
      <c r="T214" s="1291"/>
      <c r="U214" s="97">
        <f t="shared" ref="U214:U215" ca="1" si="85">SUM(I214:T214)</f>
        <v>43509118.869999997</v>
      </c>
      <c r="V214" s="64"/>
      <c r="W214" s="643"/>
    </row>
    <row r="215" spans="1:23" ht="15.75" x14ac:dyDescent="0.25">
      <c r="A215" s="45"/>
      <c r="B215" s="16">
        <f>B214+1</f>
        <v>2</v>
      </c>
      <c r="C215" s="1" t="s">
        <v>1238</v>
      </c>
      <c r="D215" s="1" t="s">
        <v>1232</v>
      </c>
      <c r="E215" s="16"/>
      <c r="F215" s="229">
        <f>' WP II-I-1.4'!$I215</f>
        <v>364002.32</v>
      </c>
      <c r="G215" s="16">
        <v>63</v>
      </c>
      <c r="H215" s="45" t="str">
        <f>VLOOKUP(G215,FactorTable,2)</f>
        <v>PLTGEN_N</v>
      </c>
      <c r="I215" s="16"/>
      <c r="J215" s="369">
        <f t="shared" ca="1" si="84"/>
        <v>179425.45397802562</v>
      </c>
      <c r="K215" s="369">
        <f t="shared" ca="1" si="84"/>
        <v>25035.732016509948</v>
      </c>
      <c r="L215" s="369">
        <f t="shared" ca="1" si="84"/>
        <v>97849.012250533997</v>
      </c>
      <c r="M215" s="369">
        <f t="shared" ca="1" si="84"/>
        <v>4116.0356356966213</v>
      </c>
      <c r="N215" s="369">
        <f t="shared" ca="1" si="84"/>
        <v>31684.003823677413</v>
      </c>
      <c r="O215" s="369">
        <f t="shared" ca="1" si="84"/>
        <v>1039.5760737912112</v>
      </c>
      <c r="P215" s="369">
        <f t="shared" ca="1" si="84"/>
        <v>2168.4408901166385</v>
      </c>
      <c r="Q215" s="369">
        <f t="shared" ca="1" si="84"/>
        <v>22277.825545551816</v>
      </c>
      <c r="R215" s="369">
        <f t="shared" ca="1" si="84"/>
        <v>114.79981182970442</v>
      </c>
      <c r="S215" s="369">
        <f t="shared" ca="1" si="84"/>
        <v>291.43997426706102</v>
      </c>
      <c r="T215" s="1291"/>
      <c r="U215" s="97">
        <f t="shared" ca="1" si="85"/>
        <v>364002.32</v>
      </c>
      <c r="V215" s="64"/>
      <c r="W215" s="643"/>
    </row>
    <row r="216" spans="1:23" ht="15.75" x14ac:dyDescent="0.25">
      <c r="A216" s="45"/>
      <c r="B216" s="16">
        <f t="shared" ref="B216:B225" si="86">B215+1</f>
        <v>3</v>
      </c>
      <c r="C216" s="1" t="s">
        <v>1239</v>
      </c>
      <c r="D216" s="1" t="s">
        <v>103</v>
      </c>
      <c r="E216" s="321"/>
      <c r="F216" s="229">
        <f>' WP II-I-1.4'!$I216</f>
        <v>7491197.5099999998</v>
      </c>
      <c r="G216" s="16">
        <v>63</v>
      </c>
      <c r="H216" s="45" t="str">
        <f>VLOOKUP(G216,FactorTable,2)</f>
        <v>PLTGEN_N</v>
      </c>
      <c r="I216" s="913"/>
      <c r="J216" s="370">
        <f t="shared" ca="1" si="84"/>
        <v>3692590.5144527787</v>
      </c>
      <c r="K216" s="370">
        <f t="shared" ca="1" si="84"/>
        <v>515237.41206678736</v>
      </c>
      <c r="L216" s="370">
        <f t="shared" ca="1" si="84"/>
        <v>2013740.6732109834</v>
      </c>
      <c r="M216" s="370">
        <f t="shared" ca="1" si="84"/>
        <v>84708.349950082164</v>
      </c>
      <c r="N216" s="370">
        <f t="shared" ca="1" si="84"/>
        <v>652059.38948620635</v>
      </c>
      <c r="O216" s="370">
        <f t="shared" ca="1" si="84"/>
        <v>21394.560604559603</v>
      </c>
      <c r="P216" s="370">
        <f t="shared" ca="1" si="84"/>
        <v>44626.690831596745</v>
      </c>
      <c r="Q216" s="370">
        <f t="shared" ca="1" si="84"/>
        <v>458479.47138098499</v>
      </c>
      <c r="R216" s="370">
        <f t="shared" ca="1" si="84"/>
        <v>2362.589514613946</v>
      </c>
      <c r="S216" s="370">
        <f t="shared" ca="1" si="84"/>
        <v>5997.8585014070004</v>
      </c>
      <c r="T216" s="913"/>
      <c r="U216" s="97">
        <f ca="1">SUM(I216:T216)</f>
        <v>7491197.5100000016</v>
      </c>
      <c r="V216" s="64"/>
      <c r="W216" s="643">
        <f t="shared" ca="1" si="74"/>
        <v>0</v>
      </c>
    </row>
    <row r="217" spans="1:23" ht="15.75" x14ac:dyDescent="0.25">
      <c r="A217" s="45"/>
      <c r="B217" s="16">
        <f t="shared" si="86"/>
        <v>4</v>
      </c>
      <c r="C217" s="8"/>
      <c r="D217" s="233" t="s">
        <v>444</v>
      </c>
      <c r="E217" s="19"/>
      <c r="F217" s="21">
        <f>SUM(F214:F216)</f>
        <v>51364318.699999981</v>
      </c>
      <c r="G217" s="19"/>
      <c r="H217" s="19"/>
      <c r="I217" s="19"/>
      <c r="J217" s="805">
        <f t="shared" ref="J217:U217" ca="1" si="87">SUM(J214:J216)</f>
        <v>25318701.817668322</v>
      </c>
      <c r="K217" s="805">
        <f t="shared" ca="1" si="87"/>
        <v>3532788.7970159375</v>
      </c>
      <c r="L217" s="805">
        <f t="shared" ca="1" si="87"/>
        <v>13807461.034085253</v>
      </c>
      <c r="M217" s="805">
        <f t="shared" ca="1" si="87"/>
        <v>580813.23814770812</v>
      </c>
      <c r="N217" s="805">
        <f t="shared" ca="1" si="87"/>
        <v>4470925.5427036416</v>
      </c>
      <c r="O217" s="805">
        <f t="shared" ca="1" si="87"/>
        <v>146694.44075825252</v>
      </c>
      <c r="P217" s="805">
        <f t="shared" ca="1" si="87"/>
        <v>305988.40403561894</v>
      </c>
      <c r="Q217" s="805">
        <f t="shared" ca="1" si="87"/>
        <v>3143620.9836924234</v>
      </c>
      <c r="R217" s="805">
        <f t="shared" ca="1" si="87"/>
        <v>16199.38609600336</v>
      </c>
      <c r="S217" s="805">
        <f t="shared" ca="1" si="87"/>
        <v>41125.055796823253</v>
      </c>
      <c r="T217" s="805">
        <f t="shared" si="87"/>
        <v>0</v>
      </c>
      <c r="U217" s="805">
        <f t="shared" ca="1" si="87"/>
        <v>51364318.700000003</v>
      </c>
      <c r="V217" s="64"/>
      <c r="W217" s="643">
        <f t="shared" ca="1" si="74"/>
        <v>0</v>
      </c>
    </row>
    <row r="218" spans="1:23" ht="16.5" thickBot="1" x14ac:dyDescent="0.3">
      <c r="A218" s="45"/>
      <c r="B218" s="16">
        <f t="shared" si="86"/>
        <v>5</v>
      </c>
      <c r="C218" s="1"/>
      <c r="D218" s="233"/>
      <c r="E218" s="16"/>
      <c r="F218" s="18"/>
      <c r="G218" s="16"/>
      <c r="H218" s="16"/>
      <c r="I218" s="1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6"/>
      <c r="U218" s="1"/>
      <c r="V218" s="64"/>
      <c r="W218" s="643">
        <f t="shared" si="74"/>
        <v>0</v>
      </c>
    </row>
    <row r="219" spans="1:23" ht="16.5" thickBot="1" x14ac:dyDescent="0.3">
      <c r="A219" s="45"/>
      <c r="B219" s="16">
        <f t="shared" si="86"/>
        <v>6</v>
      </c>
      <c r="C219" s="223" t="s">
        <v>505</v>
      </c>
      <c r="D219" s="224"/>
      <c r="E219" s="252"/>
      <c r="F219" s="253">
        <f>+F217</f>
        <v>51364318.699999981</v>
      </c>
      <c r="G219" s="252"/>
      <c r="H219" s="379"/>
      <c r="I219" s="963"/>
      <c r="J219" s="382">
        <f t="shared" ref="J219:Q219" ca="1" si="88">+J217</f>
        <v>25318701.817668322</v>
      </c>
      <c r="K219" s="253">
        <f t="shared" ca="1" si="88"/>
        <v>3532788.7970159375</v>
      </c>
      <c r="L219" s="253">
        <f t="shared" ca="1" si="88"/>
        <v>13807461.034085253</v>
      </c>
      <c r="M219" s="253">
        <f t="shared" ca="1" si="88"/>
        <v>580813.23814770812</v>
      </c>
      <c r="N219" s="253">
        <f t="shared" ca="1" si="88"/>
        <v>4470925.5427036416</v>
      </c>
      <c r="O219" s="253">
        <f ca="1">+O217</f>
        <v>146694.44075825252</v>
      </c>
      <c r="P219" s="253">
        <f t="shared" ca="1" si="88"/>
        <v>305988.40403561894</v>
      </c>
      <c r="Q219" s="253">
        <f t="shared" ca="1" si="88"/>
        <v>3143620.9836924234</v>
      </c>
      <c r="R219" s="253">
        <f ca="1">+R217</f>
        <v>16199.38609600336</v>
      </c>
      <c r="S219" s="195">
        <f ca="1">+S217</f>
        <v>41125.055796823253</v>
      </c>
      <c r="T219" s="379"/>
      <c r="U219" s="195">
        <f ca="1">SUM(I219:T219)</f>
        <v>51364318.699999981</v>
      </c>
      <c r="V219" s="64"/>
      <c r="W219" s="643">
        <f t="shared" ca="1" si="74"/>
        <v>0</v>
      </c>
    </row>
    <row r="220" spans="1:23" ht="15.75" thickBot="1" x14ac:dyDescent="0.25">
      <c r="A220" s="45"/>
      <c r="B220" s="16">
        <f t="shared" si="86"/>
        <v>7</v>
      </c>
      <c r="C220" s="11"/>
      <c r="D220" s="11"/>
      <c r="E220" s="10"/>
      <c r="F220" s="11"/>
      <c r="G220" s="10"/>
      <c r="H220" s="10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0"/>
      <c r="U220" s="11"/>
      <c r="V220" s="64"/>
      <c r="W220" s="643">
        <f t="shared" si="74"/>
        <v>0</v>
      </c>
    </row>
    <row r="221" spans="1:23" ht="16.5" thickBot="1" x14ac:dyDescent="0.3">
      <c r="A221" s="45"/>
      <c r="B221" s="16">
        <f t="shared" si="86"/>
        <v>8</v>
      </c>
      <c r="C221" s="223" t="s">
        <v>506</v>
      </c>
      <c r="D221" s="224"/>
      <c r="E221" s="252" t="s">
        <v>507</v>
      </c>
      <c r="F221" s="253">
        <f>+F199+F219</f>
        <v>73209507.819999963</v>
      </c>
      <c r="G221" s="252"/>
      <c r="H221" s="379"/>
      <c r="I221" s="963"/>
      <c r="J221" s="382">
        <f t="shared" ref="J221:Q221" ca="1" si="89">+J199+J219</f>
        <v>36086718.282760695</v>
      </c>
      <c r="K221" s="253">
        <f t="shared" ca="1" si="89"/>
        <v>5035280.0466824193</v>
      </c>
      <c r="L221" s="253">
        <f t="shared" ca="1" si="89"/>
        <v>19679759.259596866</v>
      </c>
      <c r="M221" s="253">
        <f t="shared" ca="1" si="89"/>
        <v>827832.47936147859</v>
      </c>
      <c r="N221" s="253">
        <f t="shared" ca="1" si="89"/>
        <v>6372405.3343902323</v>
      </c>
      <c r="O221" s="253">
        <f ca="1">+O199+O219</f>
        <v>209083.42755535885</v>
      </c>
      <c r="P221" s="253">
        <f t="shared" ca="1" si="89"/>
        <v>436124.94091301871</v>
      </c>
      <c r="Q221" s="253">
        <f t="shared" ca="1" si="89"/>
        <v>4480599.5837874617</v>
      </c>
      <c r="R221" s="253">
        <f ca="1">+R199+R219</f>
        <v>23088.967460100997</v>
      </c>
      <c r="S221" s="195">
        <f ca="1">+S199+S219</f>
        <v>58615.497492337388</v>
      </c>
      <c r="T221" s="379"/>
      <c r="U221" s="195">
        <f ca="1">SUM(I221:T221)</f>
        <v>73209507.819999963</v>
      </c>
      <c r="V221" s="64"/>
      <c r="W221" s="643">
        <f t="shared" ca="1" si="74"/>
        <v>0</v>
      </c>
    </row>
    <row r="222" spans="1:23" ht="15.75" thickBot="1" x14ac:dyDescent="0.25">
      <c r="A222" s="45"/>
      <c r="B222" s="16">
        <f t="shared" si="86"/>
        <v>9</v>
      </c>
      <c r="C222" s="11"/>
      <c r="D222" s="11"/>
      <c r="E222" s="10"/>
      <c r="F222" s="11"/>
      <c r="G222" s="10"/>
      <c r="H222" s="10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0"/>
      <c r="U222" s="11"/>
      <c r="V222" s="64"/>
      <c r="W222" s="643">
        <f t="shared" si="74"/>
        <v>0</v>
      </c>
    </row>
    <row r="223" spans="1:23" ht="16.5" thickBot="1" x14ac:dyDescent="0.3">
      <c r="A223" s="45"/>
      <c r="B223" s="16">
        <f t="shared" si="86"/>
        <v>10</v>
      </c>
      <c r="C223" s="223" t="s">
        <v>508</v>
      </c>
      <c r="D223" s="224"/>
      <c r="E223" s="252" t="s">
        <v>509</v>
      </c>
      <c r="F223" s="194">
        <f>+F221+F167</f>
        <v>408228069.49999988</v>
      </c>
      <c r="G223" s="252"/>
      <c r="H223" s="379"/>
      <c r="I223" s="963"/>
      <c r="J223" s="381">
        <f t="shared" ref="J223:Q223" ca="1" si="90">+J221+J167</f>
        <v>201225384.21351403</v>
      </c>
      <c r="K223" s="812">
        <f t="shared" ca="1" si="90"/>
        <v>28077536.83992783</v>
      </c>
      <c r="L223" s="812">
        <f t="shared" ca="1" si="90"/>
        <v>109737524.12764107</v>
      </c>
      <c r="M223" s="812">
        <f t="shared" ca="1" si="90"/>
        <v>4616127.945430778</v>
      </c>
      <c r="N223" s="812">
        <f t="shared" ca="1" si="90"/>
        <v>35533563.948082648</v>
      </c>
      <c r="O223" s="812">
        <f ca="1">+O221+O167</f>
        <v>1165883.0463008462</v>
      </c>
      <c r="P223" s="812">
        <f t="shared" ca="1" si="90"/>
        <v>2431903.2867625016</v>
      </c>
      <c r="Q223" s="812">
        <f t="shared" ca="1" si="90"/>
        <v>24984548.766388081</v>
      </c>
      <c r="R223" s="812">
        <f ca="1">+R221+R167</f>
        <v>128747.82106389717</v>
      </c>
      <c r="S223" s="315">
        <f ca="1">+S221+S167</f>
        <v>326849.50488824333</v>
      </c>
      <c r="T223" s="379"/>
      <c r="U223" s="195">
        <f ca="1">SUM(I223:T223)</f>
        <v>408228069.49999976</v>
      </c>
      <c r="V223" s="64"/>
      <c r="W223" s="643">
        <f t="shared" ca="1" si="74"/>
        <v>0</v>
      </c>
    </row>
    <row r="224" spans="1:23" ht="16.5" thickBot="1" x14ac:dyDescent="0.3">
      <c r="A224" s="45"/>
      <c r="B224" s="16">
        <f t="shared" si="86"/>
        <v>11</v>
      </c>
      <c r="C224" s="8"/>
      <c r="D224" s="1"/>
      <c r="E224" s="16"/>
      <c r="F224" s="1"/>
      <c r="G224" s="16"/>
      <c r="H224" s="16"/>
      <c r="I224" s="1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64"/>
      <c r="W224" s="643">
        <f t="shared" si="74"/>
        <v>0</v>
      </c>
    </row>
    <row r="225" spans="1:23" ht="16.5" thickBot="1" x14ac:dyDescent="0.3">
      <c r="A225" s="45"/>
      <c r="B225" s="16">
        <f t="shared" si="86"/>
        <v>12</v>
      </c>
      <c r="C225" s="223" t="s">
        <v>510</v>
      </c>
      <c r="D225" s="224"/>
      <c r="E225" s="252" t="s">
        <v>509</v>
      </c>
      <c r="F225" s="194">
        <f>+F221+F168</f>
        <v>408082743.49999988</v>
      </c>
      <c r="G225" s="252"/>
      <c r="H225" s="379"/>
      <c r="I225" s="963"/>
      <c r="J225" s="381">
        <f t="shared" ref="J225:Q225" ca="1" si="91">+J221+J168</f>
        <v>201153749.55051291</v>
      </c>
      <c r="K225" s="812">
        <f t="shared" ca="1" si="91"/>
        <v>28067541.456406564</v>
      </c>
      <c r="L225" s="812">
        <f t="shared" ca="1" si="91"/>
        <v>109698458.42730619</v>
      </c>
      <c r="M225" s="812">
        <f t="shared" ca="1" si="91"/>
        <v>4614484.6399848312</v>
      </c>
      <c r="N225" s="812">
        <f t="shared" ca="1" si="91"/>
        <v>35520914.277224287</v>
      </c>
      <c r="O225" s="812">
        <f ca="1">+O221+O168</f>
        <v>1165468.0010547065</v>
      </c>
      <c r="P225" s="812">
        <f t="shared" ca="1" si="91"/>
        <v>2431037.5482122716</v>
      </c>
      <c r="Q225" s="812">
        <f t="shared" ca="1" si="91"/>
        <v>24975654.462430805</v>
      </c>
      <c r="R225" s="812">
        <f ca="1">+R221+R168</f>
        <v>128701.98784653205</v>
      </c>
      <c r="S225" s="315">
        <f ca="1">+S221+S168</f>
        <v>326733.14902078529</v>
      </c>
      <c r="T225" s="379"/>
      <c r="U225" s="195">
        <f ca="1">SUM(I225:T225)</f>
        <v>408082743.49999994</v>
      </c>
      <c r="V225" s="64"/>
      <c r="W225" s="643">
        <f t="shared" ca="1" si="74"/>
        <v>0</v>
      </c>
    </row>
    <row r="226" spans="1:23" ht="15" x14ac:dyDescent="0.2">
      <c r="A226" s="45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3"/>
    </row>
    <row r="227" spans="1:23" ht="15" x14ac:dyDescent="0.2">
      <c r="A227" s="45"/>
      <c r="B227" s="64"/>
      <c r="C227" s="64"/>
      <c r="D227" s="64"/>
      <c r="E227" s="64"/>
      <c r="F227" s="64"/>
      <c r="G227" s="64"/>
      <c r="H227" s="105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105"/>
      <c r="V227" s="105">
        <f>$H$2</f>
        <v>0</v>
      </c>
      <c r="W227" s="643"/>
    </row>
    <row r="228" spans="1:23" ht="15.75" thickBot="1" x14ac:dyDescent="0.25">
      <c r="A228" s="45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3"/>
    </row>
    <row r="229" spans="1:23" ht="15.75" x14ac:dyDescent="0.25">
      <c r="A229" s="45"/>
      <c r="B229" s="829" t="str">
        <f>+$B$4</f>
        <v>2025 RATE CASE</v>
      </c>
      <c r="C229" s="844"/>
      <c r="D229" s="547"/>
      <c r="F229" s="11"/>
      <c r="U229" s="105"/>
      <c r="W229" s="643"/>
    </row>
    <row r="230" spans="1:23" ht="15.75" x14ac:dyDescent="0.25">
      <c r="A230" s="45"/>
      <c r="B230" s="826" t="str">
        <f>+$B$5</f>
        <v>ONCOR ELECTRIC DELIVERY COMPANY LLC</v>
      </c>
      <c r="C230" s="8"/>
      <c r="D230" s="548"/>
      <c r="F230" s="11"/>
      <c r="U230" s="105"/>
      <c r="V230" s="64"/>
      <c r="W230" s="643"/>
    </row>
    <row r="231" spans="1:23" ht="15.75" x14ac:dyDescent="0.25">
      <c r="A231" s="45"/>
      <c r="B231" s="826" t="str">
        <f>+$B$6</f>
        <v>II-I-1-TBILLTDCS:  CLASS REVENUE REQUIREMENT</v>
      </c>
      <c r="C231" s="82"/>
      <c r="D231" s="548"/>
      <c r="F231" s="11"/>
      <c r="U231" s="11"/>
      <c r="V231" s="64"/>
      <c r="W231" s="643"/>
    </row>
    <row r="232" spans="1:23" ht="15.75" x14ac:dyDescent="0.25">
      <c r="A232" s="45"/>
      <c r="B232" s="341" t="str">
        <f>+$B$7</f>
        <v>TEST YEAR ENDING 12/31/2024</v>
      </c>
      <c r="C232" s="82"/>
      <c r="D232" s="548"/>
      <c r="F232" s="11"/>
      <c r="U232" s="11"/>
      <c r="V232" s="64"/>
      <c r="W232" s="643"/>
    </row>
    <row r="233" spans="1:23" ht="15.75" x14ac:dyDescent="0.25">
      <c r="A233" s="45"/>
      <c r="B233" s="341" t="str">
        <f>+$B$8</f>
        <v>SPONSOR:  MATTHEW A. TROXLE</v>
      </c>
      <c r="C233" s="82"/>
      <c r="D233" s="548"/>
      <c r="F233" s="11"/>
      <c r="U233" s="11"/>
      <c r="V233" s="64"/>
      <c r="W233" s="643"/>
    </row>
    <row r="234" spans="1:23" ht="16.5" thickBot="1" x14ac:dyDescent="0.3">
      <c r="A234" s="45"/>
      <c r="B234" s="345"/>
      <c r="C234" s="843"/>
      <c r="D234" s="549"/>
      <c r="F234" s="11"/>
      <c r="U234" s="11"/>
      <c r="V234" s="64"/>
      <c r="W234" s="643"/>
    </row>
    <row r="235" spans="1:23" ht="15.75" thickBot="1" x14ac:dyDescent="0.25">
      <c r="A235" s="45"/>
      <c r="B235" s="12"/>
      <c r="C235" s="13"/>
      <c r="D235" s="13"/>
      <c r="E235" s="13"/>
      <c r="F235" s="12"/>
      <c r="G235" s="13"/>
      <c r="H235" s="13"/>
      <c r="I235" s="13"/>
      <c r="J235" s="177"/>
      <c r="K235" s="177"/>
      <c r="L235" s="13"/>
      <c r="M235" s="177"/>
      <c r="N235" s="177"/>
      <c r="O235" s="177"/>
      <c r="P235" s="177"/>
      <c r="Q235" s="13"/>
      <c r="R235" s="328" t="str">
        <f>R$10</f>
        <v xml:space="preserve"> </v>
      </c>
      <c r="S235" s="329"/>
      <c r="T235" s="177"/>
      <c r="U235" s="12"/>
      <c r="V235" s="64"/>
      <c r="W235" s="643"/>
    </row>
    <row r="236" spans="1:23" ht="15.75" x14ac:dyDescent="0.25">
      <c r="A236" s="45"/>
      <c r="B236" s="14" t="s">
        <v>2</v>
      </c>
      <c r="C236" s="14" t="s">
        <v>349</v>
      </c>
      <c r="D236" s="226" t="s">
        <v>511</v>
      </c>
      <c r="E236" s="14" t="s">
        <v>350</v>
      </c>
      <c r="F236" s="226" t="str">
        <f>F$11</f>
        <v>TBILLTDCS</v>
      </c>
      <c r="G236" s="181" t="s">
        <v>688</v>
      </c>
      <c r="H236" s="181" t="s">
        <v>355</v>
      </c>
      <c r="I236" s="14"/>
      <c r="J236" s="181" t="s">
        <v>679</v>
      </c>
      <c r="K236" s="181" t="s">
        <v>388</v>
      </c>
      <c r="L236" s="14" t="s">
        <v>388</v>
      </c>
      <c r="M236" s="181" t="s">
        <v>389</v>
      </c>
      <c r="N236" s="181" t="s">
        <v>389</v>
      </c>
      <c r="O236" s="181" t="s">
        <v>389</v>
      </c>
      <c r="P236" s="181" t="s">
        <v>390</v>
      </c>
      <c r="Q236" s="14" t="s">
        <v>391</v>
      </c>
      <c r="R236" s="331" t="str">
        <f>R$11</f>
        <v>Wholesale</v>
      </c>
      <c r="S236" s="12" t="str">
        <f>S$11</f>
        <v>Wholesale</v>
      </c>
      <c r="T236" s="181"/>
      <c r="U236" s="14" t="s">
        <v>10</v>
      </c>
      <c r="V236" s="64"/>
      <c r="W236" s="643"/>
    </row>
    <row r="237" spans="1:23" ht="15" x14ac:dyDescent="0.2">
      <c r="A237" s="45"/>
      <c r="B237" s="14"/>
      <c r="C237" s="14"/>
      <c r="D237" s="14"/>
      <c r="E237" s="14"/>
      <c r="F237" s="14"/>
      <c r="G237" s="181" t="s">
        <v>689</v>
      </c>
      <c r="H237" s="181" t="s">
        <v>690</v>
      </c>
      <c r="I237" s="14"/>
      <c r="J237" s="181"/>
      <c r="K237" s="181" t="s">
        <v>680</v>
      </c>
      <c r="L237" s="14" t="s">
        <v>681</v>
      </c>
      <c r="M237" s="181" t="s">
        <v>680</v>
      </c>
      <c r="N237" s="181" t="s">
        <v>681</v>
      </c>
      <c r="O237" s="181" t="s">
        <v>393</v>
      </c>
      <c r="P237" s="181"/>
      <c r="Q237" s="14"/>
      <c r="R237" s="174" t="str">
        <f>R$12</f>
        <v>XFMR</v>
      </c>
      <c r="S237" s="14" t="str">
        <f>S$12</f>
        <v>DLS</v>
      </c>
      <c r="T237" s="181"/>
      <c r="U237" s="14"/>
      <c r="V237" s="64"/>
      <c r="W237" s="643"/>
    </row>
    <row r="238" spans="1:23" ht="15.75" thickBot="1" x14ac:dyDescent="0.25">
      <c r="A238" s="45"/>
      <c r="B238" s="15"/>
      <c r="C238" s="15"/>
      <c r="D238" s="15"/>
      <c r="E238" s="15"/>
      <c r="F238" s="15" t="s">
        <v>13</v>
      </c>
      <c r="G238" s="15" t="s">
        <v>14</v>
      </c>
      <c r="H238" s="15" t="s">
        <v>15</v>
      </c>
      <c r="I238" s="15"/>
      <c r="J238" s="182" t="str">
        <f t="shared" ref="J238:Q238" si="92">J$13</f>
        <v>(d)</v>
      </c>
      <c r="K238" s="182" t="str">
        <f t="shared" si="92"/>
        <v>(e)</v>
      </c>
      <c r="L238" s="15" t="str">
        <f t="shared" si="92"/>
        <v>(f)</v>
      </c>
      <c r="M238" s="182" t="str">
        <f t="shared" si="92"/>
        <v>(g)</v>
      </c>
      <c r="N238" s="182" t="str">
        <f t="shared" si="92"/>
        <v>(h)</v>
      </c>
      <c r="O238" s="182" t="str">
        <f>O$13</f>
        <v>(i)</v>
      </c>
      <c r="P238" s="182" t="str">
        <f t="shared" si="92"/>
        <v>(j)</v>
      </c>
      <c r="Q238" s="182" t="str">
        <f t="shared" si="92"/>
        <v>(k)</v>
      </c>
      <c r="R238" s="182" t="str">
        <f>R$13</f>
        <v>(l)</v>
      </c>
      <c r="S238" s="15" t="str">
        <f>S$13</f>
        <v>(m)</v>
      </c>
      <c r="T238" s="15"/>
      <c r="U238" s="15" t="s">
        <v>683</v>
      </c>
      <c r="V238" s="64"/>
      <c r="W238" s="643"/>
    </row>
    <row r="239" spans="1:23" ht="15" x14ac:dyDescent="0.2">
      <c r="A239" s="45"/>
      <c r="B239" s="64"/>
      <c r="C239" s="96"/>
      <c r="D239" s="96"/>
      <c r="E239" s="251"/>
      <c r="F239" s="96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1"/>
      <c r="V239" s="64"/>
      <c r="W239" s="643"/>
    </row>
    <row r="240" spans="1:23" ht="15.75" x14ac:dyDescent="0.25">
      <c r="A240" s="45"/>
      <c r="B240" s="16">
        <f>B239+1</f>
        <v>1</v>
      </c>
      <c r="C240" s="8"/>
      <c r="D240" s="8" t="s">
        <v>511</v>
      </c>
      <c r="E240" s="19"/>
      <c r="F240" s="8"/>
      <c r="G240" s="19"/>
      <c r="H240" s="19"/>
      <c r="I240" s="19"/>
      <c r="J240" s="961"/>
      <c r="K240" s="961"/>
      <c r="L240" s="961"/>
      <c r="M240" s="961"/>
      <c r="N240" s="961"/>
      <c r="O240" s="961"/>
      <c r="P240" s="961"/>
      <c r="Q240" s="961"/>
      <c r="R240" s="961"/>
      <c r="S240" s="961"/>
      <c r="T240" s="19"/>
      <c r="U240" s="8"/>
      <c r="V240" s="64"/>
      <c r="W240" s="643">
        <f t="shared" si="74"/>
        <v>0</v>
      </c>
    </row>
    <row r="241" spans="1:23" ht="15" x14ac:dyDescent="0.2">
      <c r="A241" s="45"/>
      <c r="B241" s="16">
        <f>B240+1</f>
        <v>2</v>
      </c>
      <c r="C241" s="1" t="s">
        <v>512</v>
      </c>
      <c r="D241" s="1" t="s">
        <v>111</v>
      </c>
      <c r="E241" s="16"/>
      <c r="F241" s="97">
        <f>' WP II-I-1.4'!$I$241</f>
        <v>0</v>
      </c>
      <c r="G241" s="38">
        <v>28</v>
      </c>
      <c r="H241" s="45" t="str">
        <f>VLOOKUP(G241,FactorTable,2)</f>
        <v>NCP XHV</v>
      </c>
      <c r="I241" s="16"/>
      <c r="J241" s="369">
        <f t="shared" ref="J241:S241" si="93">$F241*HLOOKUP(J$1354,FactorTable,$G241+1)</f>
        <v>0</v>
      </c>
      <c r="K241" s="369">
        <f t="shared" si="93"/>
        <v>0</v>
      </c>
      <c r="L241" s="369">
        <f t="shared" si="93"/>
        <v>0</v>
      </c>
      <c r="M241" s="369">
        <f t="shared" si="93"/>
        <v>0</v>
      </c>
      <c r="N241" s="369">
        <f t="shared" si="93"/>
        <v>0</v>
      </c>
      <c r="O241" s="369">
        <f t="shared" si="93"/>
        <v>0</v>
      </c>
      <c r="P241" s="369">
        <f t="shared" si="93"/>
        <v>0</v>
      </c>
      <c r="Q241" s="369">
        <f t="shared" si="93"/>
        <v>0</v>
      </c>
      <c r="R241" s="369">
        <f t="shared" si="93"/>
        <v>0</v>
      </c>
      <c r="S241" s="369">
        <f t="shared" si="93"/>
        <v>0</v>
      </c>
      <c r="T241" s="16"/>
      <c r="U241" s="97">
        <f>SUM(I241:T241)</f>
        <v>0</v>
      </c>
      <c r="V241" s="64"/>
      <c r="W241" s="643">
        <f t="shared" si="74"/>
        <v>0</v>
      </c>
    </row>
    <row r="242" spans="1:23" ht="15.75" x14ac:dyDescent="0.25">
      <c r="A242" s="45"/>
      <c r="B242" s="16">
        <f>B241+1</f>
        <v>3</v>
      </c>
      <c r="C242" s="1"/>
      <c r="D242" s="233" t="s">
        <v>444</v>
      </c>
      <c r="E242" s="19"/>
      <c r="F242" s="21">
        <f>+F241</f>
        <v>0</v>
      </c>
      <c r="G242" s="19"/>
      <c r="H242" s="19"/>
      <c r="I242" s="19"/>
      <c r="J242" s="805">
        <f t="shared" ref="J242:Q242" si="94">+J241</f>
        <v>0</v>
      </c>
      <c r="K242" s="805">
        <f t="shared" si="94"/>
        <v>0</v>
      </c>
      <c r="L242" s="805">
        <f t="shared" si="94"/>
        <v>0</v>
      </c>
      <c r="M242" s="805">
        <f t="shared" si="94"/>
        <v>0</v>
      </c>
      <c r="N242" s="805">
        <f t="shared" si="94"/>
        <v>0</v>
      </c>
      <c r="O242" s="805">
        <f>+O241</f>
        <v>0</v>
      </c>
      <c r="P242" s="805">
        <f t="shared" si="94"/>
        <v>0</v>
      </c>
      <c r="Q242" s="805">
        <f t="shared" si="94"/>
        <v>0</v>
      </c>
      <c r="R242" s="805">
        <f>+R241</f>
        <v>0</v>
      </c>
      <c r="S242" s="805">
        <f>+S241</f>
        <v>0</v>
      </c>
      <c r="T242" s="19"/>
      <c r="U242" s="235">
        <f>SUM(I242:T242)</f>
        <v>0</v>
      </c>
      <c r="V242" s="64"/>
      <c r="W242" s="643">
        <f t="shared" si="74"/>
        <v>0</v>
      </c>
    </row>
    <row r="243" spans="1:23" ht="16.5" thickBot="1" x14ac:dyDescent="0.3">
      <c r="A243" s="45"/>
      <c r="B243" s="16">
        <f>B242+1</f>
        <v>4</v>
      </c>
      <c r="C243" s="1"/>
      <c r="D243" s="1"/>
      <c r="E243" s="19"/>
      <c r="F243" s="18"/>
      <c r="G243" s="19"/>
      <c r="H243" s="19"/>
      <c r="I243" s="19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9"/>
      <c r="U243" s="8"/>
      <c r="V243" s="64"/>
      <c r="W243" s="643">
        <f t="shared" si="74"/>
        <v>0</v>
      </c>
    </row>
    <row r="244" spans="1:23" ht="16.5" thickBot="1" x14ac:dyDescent="0.3">
      <c r="A244" s="45"/>
      <c r="B244" s="16">
        <f>B243+1</f>
        <v>5</v>
      </c>
      <c r="C244" s="223" t="s">
        <v>513</v>
      </c>
      <c r="D244" s="224"/>
      <c r="E244" s="252" t="s">
        <v>112</v>
      </c>
      <c r="F244" s="194">
        <f>+F242</f>
        <v>0</v>
      </c>
      <c r="G244" s="252"/>
      <c r="H244" s="379"/>
      <c r="I244" s="380"/>
      <c r="J244" s="381">
        <f t="shared" ref="J244:Q244" si="95">+J242</f>
        <v>0</v>
      </c>
      <c r="K244" s="812">
        <f t="shared" si="95"/>
        <v>0</v>
      </c>
      <c r="L244" s="812">
        <f t="shared" si="95"/>
        <v>0</v>
      </c>
      <c r="M244" s="812">
        <f t="shared" si="95"/>
        <v>0</v>
      </c>
      <c r="N244" s="812">
        <f t="shared" si="95"/>
        <v>0</v>
      </c>
      <c r="O244" s="812">
        <f>+O242</f>
        <v>0</v>
      </c>
      <c r="P244" s="812">
        <f t="shared" si="95"/>
        <v>0</v>
      </c>
      <c r="Q244" s="812">
        <f t="shared" si="95"/>
        <v>0</v>
      </c>
      <c r="R244" s="812">
        <f>+R242</f>
        <v>0</v>
      </c>
      <c r="S244" s="315">
        <f>+S242</f>
        <v>0</v>
      </c>
      <c r="T244" s="380"/>
      <c r="U244" s="195">
        <f>SUM(I244:T244)</f>
        <v>0</v>
      </c>
      <c r="V244" s="64"/>
      <c r="W244" s="643">
        <f t="shared" si="74"/>
        <v>0</v>
      </c>
    </row>
    <row r="245" spans="1:23" ht="15.75" thickBot="1" x14ac:dyDescent="0.25">
      <c r="A245" s="45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3">
        <f t="shared" si="74"/>
        <v>0</v>
      </c>
    </row>
    <row r="246" spans="1:23" ht="15.75" x14ac:dyDescent="0.25">
      <c r="A246" s="45"/>
      <c r="B246" s="829" t="str">
        <f>+$B$4</f>
        <v>2025 RATE CASE</v>
      </c>
      <c r="C246" s="844"/>
      <c r="D246" s="868"/>
      <c r="E246" s="64"/>
      <c r="F246" s="64"/>
      <c r="G246" s="64"/>
      <c r="H246" s="105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105"/>
      <c r="V246" s="105">
        <f>$H$2</f>
        <v>0</v>
      </c>
      <c r="W246" s="643"/>
    </row>
    <row r="247" spans="1:23" ht="15.75" x14ac:dyDescent="0.25">
      <c r="A247" s="229"/>
      <c r="B247" s="826" t="str">
        <f>+$B$5</f>
        <v>ONCOR ELECTRIC DELIVERY COMPANY LLC</v>
      </c>
      <c r="C247" s="8"/>
      <c r="D247" s="869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105"/>
      <c r="V247" s="64"/>
      <c r="W247" s="643"/>
    </row>
    <row r="248" spans="1:23" ht="15.75" x14ac:dyDescent="0.25">
      <c r="A248" s="45"/>
      <c r="B248" s="826" t="str">
        <f>+$B$6</f>
        <v>II-I-1-TBILLTDCS:  CLASS REVENUE REQUIREMENT</v>
      </c>
      <c r="C248" s="82"/>
      <c r="D248" s="830"/>
      <c r="E248" s="64"/>
      <c r="F248" s="11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11"/>
      <c r="V248" s="64"/>
      <c r="W248" s="643"/>
    </row>
    <row r="249" spans="1:23" ht="15.75" x14ac:dyDescent="0.25">
      <c r="A249" s="45"/>
      <c r="B249" s="341" t="str">
        <f>+$B$7</f>
        <v>TEST YEAR ENDING 12/31/2024</v>
      </c>
      <c r="C249" s="82"/>
      <c r="D249" s="830"/>
      <c r="E249" s="64"/>
      <c r="F249" s="11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11"/>
      <c r="V249" s="64"/>
      <c r="W249" s="643"/>
    </row>
    <row r="250" spans="1:23" ht="15.75" x14ac:dyDescent="0.25">
      <c r="A250" s="45"/>
      <c r="B250" s="341" t="str">
        <f>+$B$8</f>
        <v>SPONSOR:  MATTHEW A. TROXLE</v>
      </c>
      <c r="C250" s="82"/>
      <c r="D250" s="830"/>
      <c r="E250" s="64"/>
      <c r="F250" s="11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11"/>
      <c r="V250" s="64"/>
      <c r="W250" s="643"/>
    </row>
    <row r="251" spans="1:23" ht="16.5" thickBot="1" x14ac:dyDescent="0.3">
      <c r="A251" s="45"/>
      <c r="B251" s="345"/>
      <c r="C251" s="843"/>
      <c r="D251" s="839"/>
      <c r="E251" s="64"/>
      <c r="F251" s="11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11"/>
      <c r="V251" s="64"/>
      <c r="W251" s="643"/>
    </row>
    <row r="252" spans="1:23" ht="15.75" thickBot="1" x14ac:dyDescent="0.25">
      <c r="A252" s="45"/>
      <c r="B252" s="12"/>
      <c r="C252" s="13"/>
      <c r="D252" s="13"/>
      <c r="E252" s="13"/>
      <c r="F252" s="12"/>
      <c r="G252" s="13"/>
      <c r="H252" s="13"/>
      <c r="I252" s="13"/>
      <c r="J252" s="177"/>
      <c r="K252" s="177"/>
      <c r="L252" s="13"/>
      <c r="M252" s="177"/>
      <c r="N252" s="177"/>
      <c r="O252" s="177"/>
      <c r="P252" s="177"/>
      <c r="Q252" s="13"/>
      <c r="R252" s="328" t="str">
        <f>R$10</f>
        <v xml:space="preserve"> </v>
      </c>
      <c r="S252" s="329"/>
      <c r="T252" s="177"/>
      <c r="U252" s="12"/>
      <c r="V252" s="64"/>
      <c r="W252" s="643"/>
    </row>
    <row r="253" spans="1:23" ht="15.75" x14ac:dyDescent="0.25">
      <c r="A253" s="45"/>
      <c r="B253" s="14" t="s">
        <v>2</v>
      </c>
      <c r="C253" s="14" t="s">
        <v>349</v>
      </c>
      <c r="D253" s="226" t="s">
        <v>514</v>
      </c>
      <c r="E253" s="14" t="s">
        <v>350</v>
      </c>
      <c r="F253" s="226" t="str">
        <f>F$11</f>
        <v>TBILLTDCS</v>
      </c>
      <c r="G253" s="181" t="s">
        <v>688</v>
      </c>
      <c r="H253" s="181" t="s">
        <v>355</v>
      </c>
      <c r="I253" s="14"/>
      <c r="J253" s="181" t="s">
        <v>679</v>
      </c>
      <c r="K253" s="181" t="s">
        <v>388</v>
      </c>
      <c r="L253" s="14" t="s">
        <v>388</v>
      </c>
      <c r="M253" s="181" t="s">
        <v>389</v>
      </c>
      <c r="N253" s="181" t="s">
        <v>389</v>
      </c>
      <c r="O253" s="181" t="s">
        <v>389</v>
      </c>
      <c r="P253" s="181" t="s">
        <v>390</v>
      </c>
      <c r="Q253" s="14" t="s">
        <v>391</v>
      </c>
      <c r="R253" s="331" t="str">
        <f>R$11</f>
        <v>Wholesale</v>
      </c>
      <c r="S253" s="12" t="str">
        <f>S$11</f>
        <v>Wholesale</v>
      </c>
      <c r="T253" s="181"/>
      <c r="U253" s="14" t="s">
        <v>10</v>
      </c>
      <c r="V253" s="64"/>
      <c r="W253" s="643"/>
    </row>
    <row r="254" spans="1:23" ht="15" x14ac:dyDescent="0.2">
      <c r="A254" s="45"/>
      <c r="B254" s="14"/>
      <c r="C254" s="14"/>
      <c r="D254" s="14"/>
      <c r="E254" s="14"/>
      <c r="F254" s="14"/>
      <c r="G254" s="181" t="s">
        <v>689</v>
      </c>
      <c r="H254" s="181" t="s">
        <v>690</v>
      </c>
      <c r="I254" s="14"/>
      <c r="J254" s="181"/>
      <c r="K254" s="181" t="s">
        <v>680</v>
      </c>
      <c r="L254" s="14" t="s">
        <v>681</v>
      </c>
      <c r="M254" s="181" t="s">
        <v>680</v>
      </c>
      <c r="N254" s="181" t="s">
        <v>681</v>
      </c>
      <c r="O254" s="181" t="s">
        <v>393</v>
      </c>
      <c r="P254" s="181"/>
      <c r="Q254" s="14"/>
      <c r="R254" s="174" t="str">
        <f>R$12</f>
        <v>XFMR</v>
      </c>
      <c r="S254" s="14" t="str">
        <f>S$12</f>
        <v>DLS</v>
      </c>
      <c r="T254" s="181"/>
      <c r="U254" s="14"/>
      <c r="V254" s="64"/>
      <c r="W254" s="643"/>
    </row>
    <row r="255" spans="1:23" ht="15.75" thickBot="1" x14ac:dyDescent="0.25">
      <c r="A255" s="45"/>
      <c r="B255" s="15"/>
      <c r="C255" s="15"/>
      <c r="D255" s="15"/>
      <c r="E255" s="15"/>
      <c r="F255" s="15" t="s">
        <v>13</v>
      </c>
      <c r="G255" s="15" t="s">
        <v>14</v>
      </c>
      <c r="H255" s="15" t="s">
        <v>15</v>
      </c>
      <c r="I255" s="15"/>
      <c r="J255" s="182" t="str">
        <f t="shared" ref="J255:Q255" si="96">J$13</f>
        <v>(d)</v>
      </c>
      <c r="K255" s="182" t="str">
        <f t="shared" si="96"/>
        <v>(e)</v>
      </c>
      <c r="L255" s="15" t="str">
        <f t="shared" si="96"/>
        <v>(f)</v>
      </c>
      <c r="M255" s="182" t="str">
        <f t="shared" si="96"/>
        <v>(g)</v>
      </c>
      <c r="N255" s="182" t="str">
        <f t="shared" si="96"/>
        <v>(h)</v>
      </c>
      <c r="O255" s="182" t="str">
        <f>O$13</f>
        <v>(i)</v>
      </c>
      <c r="P255" s="182" t="str">
        <f t="shared" si="96"/>
        <v>(j)</v>
      </c>
      <c r="Q255" s="182" t="str">
        <f t="shared" si="96"/>
        <v>(k)</v>
      </c>
      <c r="R255" s="182" t="str">
        <f>R$13</f>
        <v>(l)</v>
      </c>
      <c r="S255" s="15" t="str">
        <f>S$13</f>
        <v>(m)</v>
      </c>
      <c r="T255" s="15"/>
      <c r="U255" s="15" t="s">
        <v>683</v>
      </c>
      <c r="V255" s="64"/>
      <c r="W255" s="643"/>
    </row>
    <row r="256" spans="1:23" ht="15" x14ac:dyDescent="0.2">
      <c r="A256" s="45"/>
      <c r="B256" s="64"/>
      <c r="C256" s="64"/>
      <c r="D256" s="96"/>
      <c r="E256" s="96"/>
      <c r="F256" s="227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64"/>
      <c r="W256" s="138"/>
    </row>
    <row r="257" spans="1:23" ht="15.75" x14ac:dyDescent="0.25">
      <c r="A257" s="45"/>
      <c r="B257" s="16">
        <f t="shared" ref="B257:B276" si="97">B256+1</f>
        <v>1</v>
      </c>
      <c r="C257" s="8" t="s">
        <v>515</v>
      </c>
      <c r="D257" s="8"/>
      <c r="E257" s="19" t="s">
        <v>24</v>
      </c>
      <c r="F257" s="20"/>
      <c r="G257" s="19"/>
      <c r="H257" s="19"/>
      <c r="I257" s="19"/>
      <c r="J257" s="961"/>
      <c r="K257" s="961"/>
      <c r="L257" s="961"/>
      <c r="M257" s="961"/>
      <c r="N257" s="961"/>
      <c r="O257" s="961"/>
      <c r="P257" s="961"/>
      <c r="Q257" s="961"/>
      <c r="R257" s="961"/>
      <c r="S257" s="961"/>
      <c r="T257" s="913"/>
      <c r="U257" s="8"/>
      <c r="V257" s="64"/>
      <c r="W257" s="138"/>
    </row>
    <row r="258" spans="1:23" ht="15" x14ac:dyDescent="0.2">
      <c r="A258" s="45"/>
      <c r="B258" s="16">
        <f t="shared" si="97"/>
        <v>2</v>
      </c>
      <c r="C258" s="1" t="s">
        <v>25</v>
      </c>
      <c r="D258" s="1" t="s">
        <v>26</v>
      </c>
      <c r="E258" s="16"/>
      <c r="F258" s="97">
        <f>' WP II-I-1.4'!I258</f>
        <v>0</v>
      </c>
      <c r="G258" s="16">
        <v>65</v>
      </c>
      <c r="H258" s="45" t="str">
        <f>VLOOKUP(G258,FactorTable,2)</f>
        <v>PLT_N XINT</v>
      </c>
      <c r="I258" s="16"/>
      <c r="J258" s="369">
        <f t="shared" ref="J258:S260" ca="1" si="98">$F258*HLOOKUP(J$1354,FactorTable,$G258+1)</f>
        <v>0</v>
      </c>
      <c r="K258" s="369">
        <f t="shared" ca="1" si="98"/>
        <v>0</v>
      </c>
      <c r="L258" s="369">
        <f t="shared" ca="1" si="98"/>
        <v>0</v>
      </c>
      <c r="M258" s="369">
        <f t="shared" ca="1" si="98"/>
        <v>0</v>
      </c>
      <c r="N258" s="369">
        <f t="shared" ca="1" si="98"/>
        <v>0</v>
      </c>
      <c r="O258" s="369">
        <f t="shared" ca="1" si="98"/>
        <v>0</v>
      </c>
      <c r="P258" s="369">
        <f t="shared" ca="1" si="98"/>
        <v>0</v>
      </c>
      <c r="Q258" s="369">
        <f t="shared" ca="1" si="98"/>
        <v>0</v>
      </c>
      <c r="R258" s="369">
        <f t="shared" ca="1" si="98"/>
        <v>0</v>
      </c>
      <c r="S258" s="369">
        <f t="shared" ca="1" si="98"/>
        <v>0</v>
      </c>
      <c r="T258" s="16"/>
      <c r="U258" s="97">
        <f ca="1">SUM(I258:T258)</f>
        <v>0</v>
      </c>
      <c r="V258" s="64"/>
      <c r="W258" s="643">
        <f ca="1">F258-U258</f>
        <v>0</v>
      </c>
    </row>
    <row r="259" spans="1:23" ht="15" x14ac:dyDescent="0.2">
      <c r="A259" s="45"/>
      <c r="B259" s="16">
        <f t="shared" si="97"/>
        <v>3</v>
      </c>
      <c r="C259" s="1" t="s">
        <v>27</v>
      </c>
      <c r="D259" s="1" t="s">
        <v>28</v>
      </c>
      <c r="E259" s="16"/>
      <c r="F259" s="97">
        <f>' WP II-I-1.4'!I259</f>
        <v>0</v>
      </c>
      <c r="G259" s="16">
        <v>65</v>
      </c>
      <c r="H259" s="45" t="str">
        <f>VLOOKUP(G259,FactorTable,2)</f>
        <v>PLT_N XINT</v>
      </c>
      <c r="I259" s="16"/>
      <c r="J259" s="369">
        <f t="shared" ca="1" si="98"/>
        <v>0</v>
      </c>
      <c r="K259" s="369">
        <f t="shared" ca="1" si="98"/>
        <v>0</v>
      </c>
      <c r="L259" s="369">
        <f t="shared" ca="1" si="98"/>
        <v>0</v>
      </c>
      <c r="M259" s="369">
        <f t="shared" ca="1" si="98"/>
        <v>0</v>
      </c>
      <c r="N259" s="369">
        <f t="shared" ca="1" si="98"/>
        <v>0</v>
      </c>
      <c r="O259" s="369">
        <f t="shared" ca="1" si="98"/>
        <v>0</v>
      </c>
      <c r="P259" s="369">
        <f t="shared" ca="1" si="98"/>
        <v>0</v>
      </c>
      <c r="Q259" s="369">
        <f t="shared" ca="1" si="98"/>
        <v>0</v>
      </c>
      <c r="R259" s="369">
        <f t="shared" ca="1" si="98"/>
        <v>0</v>
      </c>
      <c r="S259" s="369">
        <f t="shared" ca="1" si="98"/>
        <v>0</v>
      </c>
      <c r="T259" s="16"/>
      <c r="U259" s="97">
        <f ca="1">SUM(I259:T259)</f>
        <v>0</v>
      </c>
      <c r="V259" s="64"/>
      <c r="W259" s="643">
        <f ca="1">F259-U259</f>
        <v>0</v>
      </c>
    </row>
    <row r="260" spans="1:23" ht="15" x14ac:dyDescent="0.2">
      <c r="A260" s="45"/>
      <c r="B260" s="16">
        <f t="shared" si="97"/>
        <v>4</v>
      </c>
      <c r="C260" s="1" t="s">
        <v>29</v>
      </c>
      <c r="D260" s="1" t="s">
        <v>32</v>
      </c>
      <c r="E260" s="16"/>
      <c r="F260" s="97">
        <f>' WP II-I-1.4'!I260</f>
        <v>53863.5</v>
      </c>
      <c r="G260" s="16">
        <v>65</v>
      </c>
      <c r="H260" s="45" t="str">
        <f>VLOOKUP(G260,FactorTable,2)</f>
        <v>PLT_N XINT</v>
      </c>
      <c r="I260" s="16"/>
      <c r="J260" s="370">
        <f t="shared" ca="1" si="98"/>
        <v>26550.608084985233</v>
      </c>
      <c r="K260" s="370">
        <f t="shared" ca="1" si="98"/>
        <v>3704.6801005864036</v>
      </c>
      <c r="L260" s="370">
        <f t="shared" ca="1" si="98"/>
        <v>14479.276591854239</v>
      </c>
      <c r="M260" s="370">
        <f t="shared" ca="1" si="98"/>
        <v>609.07327586083784</v>
      </c>
      <c r="N260" s="370">
        <f t="shared" ca="1" si="98"/>
        <v>4688.4628096783781</v>
      </c>
      <c r="O260" s="370">
        <f t="shared" ca="1" si="98"/>
        <v>153.83200263848008</v>
      </c>
      <c r="P260" s="370">
        <f t="shared" ca="1" si="98"/>
        <v>320.87656992075608</v>
      </c>
      <c r="Q260" s="370">
        <f t="shared" ca="1" si="98"/>
        <v>3296.576945643726</v>
      </c>
      <c r="R260" s="370">
        <f t="shared" ca="1" si="98"/>
        <v>16.987583113451795</v>
      </c>
      <c r="S260" s="370">
        <f t="shared" ca="1" si="98"/>
        <v>43.126035718491664</v>
      </c>
      <c r="T260" s="16"/>
      <c r="U260" s="97">
        <f ca="1">SUM(I260:T260)</f>
        <v>53863.5</v>
      </c>
      <c r="V260" s="64"/>
      <c r="W260" s="643">
        <f ca="1">F260-U260</f>
        <v>0</v>
      </c>
    </row>
    <row r="261" spans="1:23" ht="15.75" x14ac:dyDescent="0.25">
      <c r="A261" s="45"/>
      <c r="B261" s="16">
        <f t="shared" si="97"/>
        <v>5</v>
      </c>
      <c r="C261" s="8"/>
      <c r="D261" s="233" t="s">
        <v>444</v>
      </c>
      <c r="E261" s="19"/>
      <c r="F261" s="234">
        <f>SUM(F258:F260)</f>
        <v>53863.5</v>
      </c>
      <c r="G261" s="16"/>
      <c r="H261" s="16"/>
      <c r="I261" s="913"/>
      <c r="J261" s="816">
        <f t="shared" ref="J261:Q261" ca="1" si="99">SUM(J258:J260)</f>
        <v>26550.608084985233</v>
      </c>
      <c r="K261" s="816">
        <f t="shared" ca="1" si="99"/>
        <v>3704.6801005864036</v>
      </c>
      <c r="L261" s="816">
        <f t="shared" ca="1" si="99"/>
        <v>14479.276591854239</v>
      </c>
      <c r="M261" s="816">
        <f t="shared" ca="1" si="99"/>
        <v>609.07327586083784</v>
      </c>
      <c r="N261" s="816">
        <f t="shared" ca="1" si="99"/>
        <v>4688.4628096783781</v>
      </c>
      <c r="O261" s="816">
        <f ca="1">SUM(O258:O260)</f>
        <v>153.83200263848008</v>
      </c>
      <c r="P261" s="816">
        <f t="shared" ca="1" si="99"/>
        <v>320.87656992075608</v>
      </c>
      <c r="Q261" s="816">
        <f t="shared" ca="1" si="99"/>
        <v>3296.576945643726</v>
      </c>
      <c r="R261" s="816">
        <f ca="1">SUM(R258:R260)</f>
        <v>16.987583113451795</v>
      </c>
      <c r="S261" s="816">
        <f ca="1">SUM(S258:S260)</f>
        <v>43.126035718491664</v>
      </c>
      <c r="T261" s="913"/>
      <c r="U261" s="235">
        <f ca="1">SUM(I261:T261)</f>
        <v>53863.5</v>
      </c>
      <c r="V261" s="64"/>
      <c r="W261" s="643">
        <f ca="1">F261-U261</f>
        <v>0</v>
      </c>
    </row>
    <row r="262" spans="1:23" ht="15.75" x14ac:dyDescent="0.25">
      <c r="A262" s="45"/>
      <c r="B262" s="16">
        <f t="shared" si="97"/>
        <v>6</v>
      </c>
      <c r="C262" s="8" t="s">
        <v>524</v>
      </c>
      <c r="D262" s="8"/>
      <c r="E262" s="19" t="s">
        <v>24</v>
      </c>
      <c r="F262" s="21"/>
      <c r="G262" s="19"/>
      <c r="H262" s="19"/>
      <c r="I262" s="913"/>
      <c r="J262" s="961"/>
      <c r="K262" s="961"/>
      <c r="L262" s="961"/>
      <c r="M262" s="961"/>
      <c r="N262" s="961"/>
      <c r="O262" s="961"/>
      <c r="P262" s="961"/>
      <c r="Q262" s="961"/>
      <c r="R262" s="961"/>
      <c r="S262" s="961"/>
      <c r="T262" s="913"/>
      <c r="U262" s="8"/>
      <c r="V262" s="64"/>
      <c r="W262" s="138"/>
    </row>
    <row r="263" spans="1:23" ht="15.75" x14ac:dyDescent="0.25">
      <c r="A263" s="45"/>
      <c r="B263" s="16">
        <f t="shared" si="97"/>
        <v>7</v>
      </c>
      <c r="C263" s="1" t="s">
        <v>37</v>
      </c>
      <c r="D263" s="1" t="s">
        <v>38</v>
      </c>
      <c r="E263" s="19"/>
      <c r="F263" s="97">
        <f>' WP II-I-1.4'!I263</f>
        <v>0</v>
      </c>
      <c r="G263" s="16">
        <v>28</v>
      </c>
      <c r="H263" s="26" t="str">
        <f t="shared" ref="H263:H275" si="100">VLOOKUP(G263,FactorTable,2)</f>
        <v>NCP XHV</v>
      </c>
      <c r="I263" s="913"/>
      <c r="J263" s="369">
        <f t="shared" ref="J263:S275" si="101">$F263*HLOOKUP(J$1354,FactorTable,$G263+1)</f>
        <v>0</v>
      </c>
      <c r="K263" s="369">
        <f t="shared" si="101"/>
        <v>0</v>
      </c>
      <c r="L263" s="369">
        <f t="shared" si="101"/>
        <v>0</v>
      </c>
      <c r="M263" s="369">
        <f t="shared" si="101"/>
        <v>0</v>
      </c>
      <c r="N263" s="369">
        <f t="shared" si="101"/>
        <v>0</v>
      </c>
      <c r="O263" s="369">
        <f t="shared" si="101"/>
        <v>0</v>
      </c>
      <c r="P263" s="369">
        <f t="shared" si="101"/>
        <v>0</v>
      </c>
      <c r="Q263" s="369">
        <f t="shared" si="101"/>
        <v>0</v>
      </c>
      <c r="R263" s="369">
        <f t="shared" si="101"/>
        <v>0</v>
      </c>
      <c r="S263" s="369">
        <f t="shared" si="101"/>
        <v>0</v>
      </c>
      <c r="T263" s="913"/>
      <c r="U263" s="97">
        <f t="shared" ref="U263:U276" si="102">SUM(I263:T263)</f>
        <v>0</v>
      </c>
      <c r="V263" s="64"/>
      <c r="W263" s="643">
        <f t="shared" ref="W263:W276" si="103">F263-U263</f>
        <v>0</v>
      </c>
    </row>
    <row r="264" spans="1:23" ht="15" x14ac:dyDescent="0.2">
      <c r="A264" s="45"/>
      <c r="B264" s="16">
        <f t="shared" si="97"/>
        <v>8</v>
      </c>
      <c r="C264" s="1" t="s">
        <v>39</v>
      </c>
      <c r="D264" s="1" t="s">
        <v>40</v>
      </c>
      <c r="E264" s="16"/>
      <c r="F264" s="97">
        <f>' WP II-I-1.4'!I264</f>
        <v>0</v>
      </c>
      <c r="G264" s="16">
        <v>28</v>
      </c>
      <c r="H264" s="26" t="str">
        <f t="shared" si="100"/>
        <v>NCP XHV</v>
      </c>
      <c r="I264" s="16"/>
      <c r="J264" s="369">
        <f t="shared" si="101"/>
        <v>0</v>
      </c>
      <c r="K264" s="369">
        <f t="shared" si="101"/>
        <v>0</v>
      </c>
      <c r="L264" s="369">
        <f t="shared" si="101"/>
        <v>0</v>
      </c>
      <c r="M264" s="369">
        <f t="shared" si="101"/>
        <v>0</v>
      </c>
      <c r="N264" s="369">
        <f t="shared" si="101"/>
        <v>0</v>
      </c>
      <c r="O264" s="369">
        <f t="shared" si="101"/>
        <v>0</v>
      </c>
      <c r="P264" s="369">
        <f t="shared" si="101"/>
        <v>0</v>
      </c>
      <c r="Q264" s="369">
        <f t="shared" si="101"/>
        <v>0</v>
      </c>
      <c r="R264" s="369">
        <f t="shared" si="101"/>
        <v>0</v>
      </c>
      <c r="S264" s="369">
        <f t="shared" si="101"/>
        <v>0</v>
      </c>
      <c r="T264" s="16"/>
      <c r="U264" s="97">
        <f t="shared" si="102"/>
        <v>0</v>
      </c>
      <c r="V264" s="64"/>
      <c r="W264" s="643">
        <f t="shared" si="103"/>
        <v>0</v>
      </c>
    </row>
    <row r="265" spans="1:23" ht="15" x14ac:dyDescent="0.2">
      <c r="A265" s="45"/>
      <c r="B265" s="16">
        <f t="shared" si="97"/>
        <v>9</v>
      </c>
      <c r="C265" s="1" t="s">
        <v>1229</v>
      </c>
      <c r="D265" s="1" t="s">
        <v>1230</v>
      </c>
      <c r="E265" s="16"/>
      <c r="F265" s="229">
        <f>' WP II-I-1.4'!I265</f>
        <v>0</v>
      </c>
      <c r="G265" s="16">
        <v>67</v>
      </c>
      <c r="H265" s="26" t="str">
        <f t="shared" ref="H265:H267" si="104">VLOOKUP(G265,FactorTable,2)</f>
        <v>PLTTRAN_N</v>
      </c>
      <c r="I265" s="16"/>
      <c r="J265" s="369">
        <f t="shared" ca="1" si="101"/>
        <v>0</v>
      </c>
      <c r="K265" s="369">
        <f t="shared" ca="1" si="101"/>
        <v>0</v>
      </c>
      <c r="L265" s="369">
        <f t="shared" ca="1" si="101"/>
        <v>0</v>
      </c>
      <c r="M265" s="369">
        <f t="shared" ca="1" si="101"/>
        <v>0</v>
      </c>
      <c r="N265" s="369">
        <f t="shared" ca="1" si="101"/>
        <v>0</v>
      </c>
      <c r="O265" s="369">
        <f t="shared" ca="1" si="101"/>
        <v>0</v>
      </c>
      <c r="P265" s="369">
        <f t="shared" ca="1" si="101"/>
        <v>0</v>
      </c>
      <c r="Q265" s="369">
        <f t="shared" ca="1" si="101"/>
        <v>0</v>
      </c>
      <c r="R265" s="369">
        <f t="shared" ca="1" si="101"/>
        <v>0</v>
      </c>
      <c r="S265" s="369">
        <f t="shared" ca="1" si="101"/>
        <v>0</v>
      </c>
      <c r="T265" s="16"/>
      <c r="U265" s="97">
        <f t="shared" ref="U265:U267" ca="1" si="105">SUM(I265:T265)</f>
        <v>0</v>
      </c>
      <c r="V265" s="64"/>
      <c r="W265" s="643"/>
    </row>
    <row r="266" spans="1:23" ht="15" x14ac:dyDescent="0.2">
      <c r="A266" s="45"/>
      <c r="B266" s="16">
        <f t="shared" si="97"/>
        <v>10</v>
      </c>
      <c r="C266" s="1" t="s">
        <v>1231</v>
      </c>
      <c r="D266" s="1" t="s">
        <v>1232</v>
      </c>
      <c r="E266" s="16"/>
      <c r="F266" s="229">
        <f>' WP II-I-1.4'!I266</f>
        <v>0</v>
      </c>
      <c r="G266" s="16">
        <v>67</v>
      </c>
      <c r="H266" s="26" t="str">
        <f t="shared" si="104"/>
        <v>PLTTRAN_N</v>
      </c>
      <c r="I266" s="16"/>
      <c r="J266" s="369">
        <f t="shared" ca="1" si="101"/>
        <v>0</v>
      </c>
      <c r="K266" s="369">
        <f t="shared" ca="1" si="101"/>
        <v>0</v>
      </c>
      <c r="L266" s="369">
        <f t="shared" ca="1" si="101"/>
        <v>0</v>
      </c>
      <c r="M266" s="369">
        <f t="shared" ca="1" si="101"/>
        <v>0</v>
      </c>
      <c r="N266" s="369">
        <f t="shared" ca="1" si="101"/>
        <v>0</v>
      </c>
      <c r="O266" s="369">
        <f t="shared" ca="1" si="101"/>
        <v>0</v>
      </c>
      <c r="P266" s="369">
        <f t="shared" ca="1" si="101"/>
        <v>0</v>
      </c>
      <c r="Q266" s="369">
        <f t="shared" ca="1" si="101"/>
        <v>0</v>
      </c>
      <c r="R266" s="369">
        <f t="shared" ca="1" si="101"/>
        <v>0</v>
      </c>
      <c r="S266" s="369">
        <f t="shared" ca="1" si="101"/>
        <v>0</v>
      </c>
      <c r="T266" s="16"/>
      <c r="U266" s="97">
        <f t="shared" ca="1" si="105"/>
        <v>0</v>
      </c>
      <c r="V266" s="64"/>
      <c r="W266" s="643"/>
    </row>
    <row r="267" spans="1:23" ht="15" x14ac:dyDescent="0.2">
      <c r="A267" s="45"/>
      <c r="B267" s="16">
        <f t="shared" si="97"/>
        <v>11</v>
      </c>
      <c r="C267" s="1" t="s">
        <v>1233</v>
      </c>
      <c r="D267" s="1" t="s">
        <v>103</v>
      </c>
      <c r="E267" s="16"/>
      <c r="F267" s="229">
        <f>' WP II-I-1.4'!I267</f>
        <v>0</v>
      </c>
      <c r="G267" s="16">
        <v>67</v>
      </c>
      <c r="H267" s="26" t="str">
        <f t="shared" si="104"/>
        <v>PLTTRAN_N</v>
      </c>
      <c r="I267" s="16"/>
      <c r="J267" s="369">
        <f t="shared" ca="1" si="101"/>
        <v>0</v>
      </c>
      <c r="K267" s="369">
        <f t="shared" ca="1" si="101"/>
        <v>0</v>
      </c>
      <c r="L267" s="369">
        <f t="shared" ca="1" si="101"/>
        <v>0</v>
      </c>
      <c r="M267" s="369">
        <f t="shared" ca="1" si="101"/>
        <v>0</v>
      </c>
      <c r="N267" s="369">
        <f t="shared" ca="1" si="101"/>
        <v>0</v>
      </c>
      <c r="O267" s="369">
        <f t="shared" ca="1" si="101"/>
        <v>0</v>
      </c>
      <c r="P267" s="369">
        <f t="shared" ca="1" si="101"/>
        <v>0</v>
      </c>
      <c r="Q267" s="369">
        <f t="shared" ca="1" si="101"/>
        <v>0</v>
      </c>
      <c r="R267" s="369">
        <f t="shared" ca="1" si="101"/>
        <v>0</v>
      </c>
      <c r="S267" s="369">
        <f t="shared" ca="1" si="101"/>
        <v>0</v>
      </c>
      <c r="T267" s="16"/>
      <c r="U267" s="97">
        <f t="shared" ca="1" si="105"/>
        <v>0</v>
      </c>
      <c r="V267" s="64"/>
      <c r="W267" s="643"/>
    </row>
    <row r="268" spans="1:23" ht="15" x14ac:dyDescent="0.2">
      <c r="A268" s="45"/>
      <c r="B268" s="16">
        <f t="shared" si="97"/>
        <v>12</v>
      </c>
      <c r="C268" s="1" t="s">
        <v>41</v>
      </c>
      <c r="D268" s="1" t="s">
        <v>42</v>
      </c>
      <c r="E268" s="16"/>
      <c r="F268" s="97">
        <f>' WP II-I-1.4'!I268</f>
        <v>0</v>
      </c>
      <c r="G268" s="16">
        <v>28</v>
      </c>
      <c r="H268" s="26" t="str">
        <f t="shared" si="100"/>
        <v>NCP XHV</v>
      </c>
      <c r="I268" s="16"/>
      <c r="J268" s="369">
        <f t="shared" si="101"/>
        <v>0</v>
      </c>
      <c r="K268" s="369">
        <f t="shared" si="101"/>
        <v>0</v>
      </c>
      <c r="L268" s="369">
        <f t="shared" si="101"/>
        <v>0</v>
      </c>
      <c r="M268" s="369">
        <f t="shared" si="101"/>
        <v>0</v>
      </c>
      <c r="N268" s="369">
        <f t="shared" si="101"/>
        <v>0</v>
      </c>
      <c r="O268" s="369">
        <f t="shared" si="101"/>
        <v>0</v>
      </c>
      <c r="P268" s="369">
        <f t="shared" si="101"/>
        <v>0</v>
      </c>
      <c r="Q268" s="369">
        <f t="shared" si="101"/>
        <v>0</v>
      </c>
      <c r="R268" s="369">
        <f t="shared" si="101"/>
        <v>0</v>
      </c>
      <c r="S268" s="369">
        <f t="shared" si="101"/>
        <v>0</v>
      </c>
      <c r="T268" s="16"/>
      <c r="U268" s="97">
        <f t="shared" si="102"/>
        <v>0</v>
      </c>
      <c r="V268" s="64"/>
      <c r="W268" s="643">
        <f t="shared" si="103"/>
        <v>0</v>
      </c>
    </row>
    <row r="269" spans="1:23" ht="15" x14ac:dyDescent="0.2">
      <c r="A269" s="45"/>
      <c r="B269" s="16">
        <f t="shared" si="97"/>
        <v>13</v>
      </c>
      <c r="C269" s="1" t="s">
        <v>43</v>
      </c>
      <c r="D269" s="1" t="s">
        <v>44</v>
      </c>
      <c r="E269" s="16"/>
      <c r="F269" s="97">
        <f>' WP II-I-1.4'!I269</f>
        <v>0</v>
      </c>
      <c r="G269" s="16">
        <v>28</v>
      </c>
      <c r="H269" s="26" t="str">
        <f t="shared" si="100"/>
        <v>NCP XHV</v>
      </c>
      <c r="I269" s="16"/>
      <c r="J269" s="369">
        <f t="shared" si="101"/>
        <v>0</v>
      </c>
      <c r="K269" s="369">
        <f t="shared" si="101"/>
        <v>0</v>
      </c>
      <c r="L269" s="369">
        <f t="shared" si="101"/>
        <v>0</v>
      </c>
      <c r="M269" s="369">
        <f t="shared" si="101"/>
        <v>0</v>
      </c>
      <c r="N269" s="369">
        <f t="shared" si="101"/>
        <v>0</v>
      </c>
      <c r="O269" s="369">
        <f t="shared" si="101"/>
        <v>0</v>
      </c>
      <c r="P269" s="369">
        <f t="shared" si="101"/>
        <v>0</v>
      </c>
      <c r="Q269" s="369">
        <f t="shared" si="101"/>
        <v>0</v>
      </c>
      <c r="R269" s="369">
        <f t="shared" si="101"/>
        <v>0</v>
      </c>
      <c r="S269" s="369">
        <f t="shared" si="101"/>
        <v>0</v>
      </c>
      <c r="T269" s="16"/>
      <c r="U269" s="97">
        <f t="shared" si="102"/>
        <v>0</v>
      </c>
      <c r="V269" s="64"/>
      <c r="W269" s="643">
        <f t="shared" si="103"/>
        <v>0</v>
      </c>
    </row>
    <row r="270" spans="1:23" ht="15" x14ac:dyDescent="0.2">
      <c r="A270" s="45"/>
      <c r="B270" s="16">
        <f t="shared" si="97"/>
        <v>14</v>
      </c>
      <c r="C270" s="1" t="s">
        <v>45</v>
      </c>
      <c r="D270" s="1" t="s">
        <v>46</v>
      </c>
      <c r="E270" s="16"/>
      <c r="F270" s="97">
        <f>' WP II-I-1.4'!I270</f>
        <v>0</v>
      </c>
      <c r="G270" s="16">
        <v>28</v>
      </c>
      <c r="H270" s="26" t="str">
        <f t="shared" si="100"/>
        <v>NCP XHV</v>
      </c>
      <c r="I270" s="16"/>
      <c r="J270" s="369">
        <f t="shared" si="101"/>
        <v>0</v>
      </c>
      <c r="K270" s="369">
        <f t="shared" si="101"/>
        <v>0</v>
      </c>
      <c r="L270" s="369">
        <f t="shared" si="101"/>
        <v>0</v>
      </c>
      <c r="M270" s="369">
        <f t="shared" si="101"/>
        <v>0</v>
      </c>
      <c r="N270" s="369">
        <f t="shared" si="101"/>
        <v>0</v>
      </c>
      <c r="O270" s="369">
        <f t="shared" si="101"/>
        <v>0</v>
      </c>
      <c r="P270" s="369">
        <f t="shared" si="101"/>
        <v>0</v>
      </c>
      <c r="Q270" s="369">
        <f t="shared" si="101"/>
        <v>0</v>
      </c>
      <c r="R270" s="369">
        <f t="shared" si="101"/>
        <v>0</v>
      </c>
      <c r="S270" s="369">
        <f t="shared" si="101"/>
        <v>0</v>
      </c>
      <c r="T270" s="16"/>
      <c r="U270" s="97">
        <f t="shared" si="102"/>
        <v>0</v>
      </c>
      <c r="V270" s="64"/>
      <c r="W270" s="643">
        <f t="shared" si="103"/>
        <v>0</v>
      </c>
    </row>
    <row r="271" spans="1:23" ht="15" x14ac:dyDescent="0.2">
      <c r="A271" s="45"/>
      <c r="B271" s="16">
        <f t="shared" si="97"/>
        <v>15</v>
      </c>
      <c r="C271" s="1" t="s">
        <v>47</v>
      </c>
      <c r="D271" s="1" t="s">
        <v>48</v>
      </c>
      <c r="E271" s="16"/>
      <c r="F271" s="97">
        <f>' WP II-I-1.4'!I271</f>
        <v>0</v>
      </c>
      <c r="G271" s="16">
        <v>28</v>
      </c>
      <c r="H271" s="26" t="str">
        <f t="shared" si="100"/>
        <v>NCP XHV</v>
      </c>
      <c r="I271" s="16"/>
      <c r="J271" s="369">
        <f t="shared" si="101"/>
        <v>0</v>
      </c>
      <c r="K271" s="369">
        <f t="shared" si="101"/>
        <v>0</v>
      </c>
      <c r="L271" s="369">
        <f t="shared" si="101"/>
        <v>0</v>
      </c>
      <c r="M271" s="369">
        <f t="shared" si="101"/>
        <v>0</v>
      </c>
      <c r="N271" s="369">
        <f t="shared" si="101"/>
        <v>0</v>
      </c>
      <c r="O271" s="369">
        <f t="shared" si="101"/>
        <v>0</v>
      </c>
      <c r="P271" s="369">
        <f t="shared" si="101"/>
        <v>0</v>
      </c>
      <c r="Q271" s="369">
        <f t="shared" si="101"/>
        <v>0</v>
      </c>
      <c r="R271" s="369">
        <f t="shared" si="101"/>
        <v>0</v>
      </c>
      <c r="S271" s="369">
        <f t="shared" si="101"/>
        <v>0</v>
      </c>
      <c r="T271" s="16"/>
      <c r="U271" s="97">
        <f t="shared" si="102"/>
        <v>0</v>
      </c>
      <c r="V271" s="64"/>
      <c r="W271" s="643">
        <f t="shared" si="103"/>
        <v>0</v>
      </c>
    </row>
    <row r="272" spans="1:23" ht="15" x14ac:dyDescent="0.2">
      <c r="A272" s="45"/>
      <c r="B272" s="16">
        <f t="shared" si="97"/>
        <v>16</v>
      </c>
      <c r="C272" s="1" t="s">
        <v>49</v>
      </c>
      <c r="D272" s="1" t="s">
        <v>486</v>
      </c>
      <c r="E272" s="16"/>
      <c r="F272" s="97">
        <f>' WP II-I-1.4'!I272</f>
        <v>0</v>
      </c>
      <c r="G272" s="16">
        <v>28</v>
      </c>
      <c r="H272" s="26" t="str">
        <f t="shared" si="100"/>
        <v>NCP XHV</v>
      </c>
      <c r="I272" s="16"/>
      <c r="J272" s="369">
        <f t="shared" si="101"/>
        <v>0</v>
      </c>
      <c r="K272" s="369">
        <f t="shared" si="101"/>
        <v>0</v>
      </c>
      <c r="L272" s="369">
        <f t="shared" si="101"/>
        <v>0</v>
      </c>
      <c r="M272" s="369">
        <f t="shared" si="101"/>
        <v>0</v>
      </c>
      <c r="N272" s="369">
        <f t="shared" si="101"/>
        <v>0</v>
      </c>
      <c r="O272" s="369">
        <f t="shared" si="101"/>
        <v>0</v>
      </c>
      <c r="P272" s="369">
        <f t="shared" si="101"/>
        <v>0</v>
      </c>
      <c r="Q272" s="369">
        <f t="shared" si="101"/>
        <v>0</v>
      </c>
      <c r="R272" s="369">
        <f t="shared" si="101"/>
        <v>0</v>
      </c>
      <c r="S272" s="369">
        <f t="shared" si="101"/>
        <v>0</v>
      </c>
      <c r="T272" s="16"/>
      <c r="U272" s="97">
        <f t="shared" si="102"/>
        <v>0</v>
      </c>
      <c r="V272" s="64"/>
      <c r="W272" s="643">
        <f t="shared" si="103"/>
        <v>0</v>
      </c>
    </row>
    <row r="273" spans="1:23" ht="15" x14ac:dyDescent="0.2">
      <c r="A273" s="45"/>
      <c r="B273" s="16">
        <f t="shared" si="97"/>
        <v>17</v>
      </c>
      <c r="C273" s="1" t="s">
        <v>51</v>
      </c>
      <c r="D273" s="647" t="s">
        <v>644</v>
      </c>
      <c r="E273" s="16"/>
      <c r="F273" s="97">
        <f>' WP II-I-1.4'!I273</f>
        <v>0</v>
      </c>
      <c r="G273" s="16">
        <v>28</v>
      </c>
      <c r="H273" s="26" t="str">
        <f t="shared" si="100"/>
        <v>NCP XHV</v>
      </c>
      <c r="I273" s="16"/>
      <c r="J273" s="369">
        <f t="shared" si="101"/>
        <v>0</v>
      </c>
      <c r="K273" s="369">
        <f t="shared" si="101"/>
        <v>0</v>
      </c>
      <c r="L273" s="369">
        <f t="shared" si="101"/>
        <v>0</v>
      </c>
      <c r="M273" s="369">
        <f t="shared" si="101"/>
        <v>0</v>
      </c>
      <c r="N273" s="369">
        <f t="shared" si="101"/>
        <v>0</v>
      </c>
      <c r="O273" s="369">
        <f t="shared" si="101"/>
        <v>0</v>
      </c>
      <c r="P273" s="369">
        <f t="shared" si="101"/>
        <v>0</v>
      </c>
      <c r="Q273" s="369">
        <f t="shared" si="101"/>
        <v>0</v>
      </c>
      <c r="R273" s="369">
        <f t="shared" si="101"/>
        <v>0</v>
      </c>
      <c r="S273" s="369">
        <f t="shared" si="101"/>
        <v>0</v>
      </c>
      <c r="T273" s="16"/>
      <c r="U273" s="97">
        <f t="shared" si="102"/>
        <v>0</v>
      </c>
      <c r="V273" s="64"/>
      <c r="W273" s="643">
        <f t="shared" si="103"/>
        <v>0</v>
      </c>
    </row>
    <row r="274" spans="1:23" ht="15" x14ac:dyDescent="0.2">
      <c r="A274" s="45"/>
      <c r="B274" s="16">
        <f t="shared" si="97"/>
        <v>18</v>
      </c>
      <c r="C274" s="1" t="s">
        <v>53</v>
      </c>
      <c r="D274" s="29" t="s">
        <v>487</v>
      </c>
      <c r="E274" s="16"/>
      <c r="F274" s="97">
        <f>' WP II-I-1.4'!I274</f>
        <v>0</v>
      </c>
      <c r="G274" s="16">
        <v>28</v>
      </c>
      <c r="H274" s="26" t="str">
        <f t="shared" si="100"/>
        <v>NCP XHV</v>
      </c>
      <c r="I274" s="16"/>
      <c r="J274" s="369">
        <f t="shared" si="101"/>
        <v>0</v>
      </c>
      <c r="K274" s="369">
        <f t="shared" si="101"/>
        <v>0</v>
      </c>
      <c r="L274" s="369">
        <f t="shared" si="101"/>
        <v>0</v>
      </c>
      <c r="M274" s="369">
        <f t="shared" si="101"/>
        <v>0</v>
      </c>
      <c r="N274" s="369">
        <f t="shared" si="101"/>
        <v>0</v>
      </c>
      <c r="O274" s="369">
        <f t="shared" si="101"/>
        <v>0</v>
      </c>
      <c r="P274" s="369">
        <f t="shared" si="101"/>
        <v>0</v>
      </c>
      <c r="Q274" s="369">
        <f t="shared" si="101"/>
        <v>0</v>
      </c>
      <c r="R274" s="369">
        <f t="shared" si="101"/>
        <v>0</v>
      </c>
      <c r="S274" s="369">
        <f t="shared" si="101"/>
        <v>0</v>
      </c>
      <c r="T274" s="16"/>
      <c r="U274" s="97">
        <f t="shared" si="102"/>
        <v>0</v>
      </c>
      <c r="V274" s="64"/>
      <c r="W274" s="643">
        <f t="shared" si="103"/>
        <v>0</v>
      </c>
    </row>
    <row r="275" spans="1:23" ht="15" x14ac:dyDescent="0.2">
      <c r="A275" s="45"/>
      <c r="B275" s="16">
        <f t="shared" si="97"/>
        <v>19</v>
      </c>
      <c r="C275" s="1" t="s">
        <v>55</v>
      </c>
      <c r="D275" s="1" t="s">
        <v>56</v>
      </c>
      <c r="E275" s="16"/>
      <c r="F275" s="97">
        <f>' WP II-I-1.4'!I275</f>
        <v>0</v>
      </c>
      <c r="G275" s="16">
        <v>28</v>
      </c>
      <c r="H275" s="26" t="str">
        <f t="shared" si="100"/>
        <v>NCP XHV</v>
      </c>
      <c r="I275" s="16"/>
      <c r="J275" s="370">
        <f t="shared" si="101"/>
        <v>0</v>
      </c>
      <c r="K275" s="370">
        <f t="shared" si="101"/>
        <v>0</v>
      </c>
      <c r="L275" s="370">
        <f t="shared" si="101"/>
        <v>0</v>
      </c>
      <c r="M275" s="370">
        <f t="shared" si="101"/>
        <v>0</v>
      </c>
      <c r="N275" s="370">
        <f t="shared" si="101"/>
        <v>0</v>
      </c>
      <c r="O275" s="370">
        <f t="shared" si="101"/>
        <v>0</v>
      </c>
      <c r="P275" s="370">
        <f t="shared" si="101"/>
        <v>0</v>
      </c>
      <c r="Q275" s="370">
        <f t="shared" si="101"/>
        <v>0</v>
      </c>
      <c r="R275" s="370">
        <f t="shared" si="101"/>
        <v>0</v>
      </c>
      <c r="S275" s="370">
        <f t="shared" si="101"/>
        <v>0</v>
      </c>
      <c r="T275" s="16"/>
      <c r="U275" s="97">
        <f t="shared" si="102"/>
        <v>0</v>
      </c>
      <c r="V275" s="64"/>
      <c r="W275" s="643">
        <f t="shared" si="103"/>
        <v>0</v>
      </c>
    </row>
    <row r="276" spans="1:23" ht="15.75" x14ac:dyDescent="0.25">
      <c r="A276" s="45"/>
      <c r="B276" s="16">
        <f t="shared" si="97"/>
        <v>20</v>
      </c>
      <c r="C276" s="8"/>
      <c r="D276" s="233" t="s">
        <v>444</v>
      </c>
      <c r="E276" s="19"/>
      <c r="F276" s="21">
        <f>SUM(F263:F275)</f>
        <v>0</v>
      </c>
      <c r="G276" s="19"/>
      <c r="H276" s="19"/>
      <c r="I276" s="19"/>
      <c r="J276" s="805">
        <f t="shared" ref="J276:Q276" ca="1" si="106">SUM(J263:J275)</f>
        <v>0</v>
      </c>
      <c r="K276" s="805">
        <f t="shared" ca="1" si="106"/>
        <v>0</v>
      </c>
      <c r="L276" s="805">
        <f t="shared" ca="1" si="106"/>
        <v>0</v>
      </c>
      <c r="M276" s="805">
        <f t="shared" ca="1" si="106"/>
        <v>0</v>
      </c>
      <c r="N276" s="805">
        <f t="shared" ca="1" si="106"/>
        <v>0</v>
      </c>
      <c r="O276" s="805">
        <f ca="1">SUM(O263:O275)</f>
        <v>0</v>
      </c>
      <c r="P276" s="805">
        <f t="shared" ca="1" si="106"/>
        <v>0</v>
      </c>
      <c r="Q276" s="805">
        <f t="shared" ca="1" si="106"/>
        <v>0</v>
      </c>
      <c r="R276" s="805">
        <f ca="1">SUM(R263:R275)</f>
        <v>0</v>
      </c>
      <c r="S276" s="805">
        <f ca="1">SUM(S263:S275)</f>
        <v>0</v>
      </c>
      <c r="T276" s="19"/>
      <c r="U276" s="235">
        <f t="shared" ca="1" si="102"/>
        <v>0</v>
      </c>
      <c r="V276" s="64"/>
      <c r="W276" s="643">
        <f t="shared" ca="1" si="103"/>
        <v>0</v>
      </c>
    </row>
    <row r="277" spans="1:23" ht="16.5" thickBot="1" x14ac:dyDescent="0.3">
      <c r="A277" s="45"/>
      <c r="B277" s="16"/>
      <c r="C277" s="8"/>
      <c r="D277" s="233"/>
      <c r="E277" s="19"/>
      <c r="F277" s="21"/>
      <c r="G277" s="19"/>
      <c r="H277" s="105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05"/>
      <c r="V277" s="105">
        <f>$H$2</f>
        <v>0</v>
      </c>
      <c r="W277" s="138"/>
    </row>
    <row r="278" spans="1:23" ht="15.75" x14ac:dyDescent="0.25">
      <c r="A278" s="45"/>
      <c r="B278" s="829" t="str">
        <f>+$B$4</f>
        <v>2025 RATE CASE</v>
      </c>
      <c r="C278" s="844"/>
      <c r="D278" s="551"/>
      <c r="F278" s="64"/>
      <c r="H278" s="105"/>
      <c r="U278" s="105"/>
      <c r="V278" s="105">
        <f>$H$2</f>
        <v>0</v>
      </c>
      <c r="W278" s="138"/>
    </row>
    <row r="279" spans="1:23" ht="15.75" x14ac:dyDescent="0.25">
      <c r="A279" s="229"/>
      <c r="B279" s="826" t="str">
        <f>+$B$5</f>
        <v>ONCOR ELECTRIC DELIVERY COMPANY LLC</v>
      </c>
      <c r="C279" s="8"/>
      <c r="D279" s="870"/>
      <c r="F279" s="64"/>
      <c r="U279" s="105"/>
      <c r="V279" s="64"/>
      <c r="W279" s="138"/>
    </row>
    <row r="280" spans="1:23" ht="15.75" x14ac:dyDescent="0.25">
      <c r="A280" s="45"/>
      <c r="B280" s="826" t="str">
        <f>+$B$6</f>
        <v>II-I-1-TBILLTDCS:  CLASS REVENUE REQUIREMENT</v>
      </c>
      <c r="C280" s="82"/>
      <c r="D280" s="870"/>
      <c r="F280" s="11"/>
      <c r="U280" s="11"/>
      <c r="V280" s="64"/>
      <c r="W280" s="138"/>
    </row>
    <row r="281" spans="1:23" ht="15.75" x14ac:dyDescent="0.25">
      <c r="A281" s="45"/>
      <c r="B281" s="341" t="str">
        <f>+$B$7</f>
        <v>TEST YEAR ENDING 12/31/2024</v>
      </c>
      <c r="C281" s="82"/>
      <c r="D281" s="870"/>
      <c r="F281" s="11"/>
      <c r="U281" s="11"/>
      <c r="V281" s="64"/>
      <c r="W281" s="138"/>
    </row>
    <row r="282" spans="1:23" ht="15.75" x14ac:dyDescent="0.25">
      <c r="A282" s="45"/>
      <c r="B282" s="341" t="str">
        <f>+$B$8</f>
        <v>SPONSOR:  MATTHEW A. TROXLE</v>
      </c>
      <c r="C282" s="82"/>
      <c r="D282" s="870"/>
      <c r="F282" s="11"/>
      <c r="U282" s="11"/>
      <c r="V282" s="64"/>
      <c r="W282" s="138"/>
    </row>
    <row r="283" spans="1:23" ht="16.5" thickBot="1" x14ac:dyDescent="0.3">
      <c r="A283" s="45"/>
      <c r="B283" s="345"/>
      <c r="C283" s="843"/>
      <c r="D283" s="871"/>
      <c r="F283" s="11"/>
      <c r="U283" s="11"/>
      <c r="V283" s="64"/>
      <c r="W283" s="138"/>
    </row>
    <row r="284" spans="1:23" ht="15.75" thickBot="1" x14ac:dyDescent="0.25">
      <c r="A284" s="45"/>
      <c r="B284" s="12"/>
      <c r="C284" s="13"/>
      <c r="D284" s="13"/>
      <c r="E284" s="13"/>
      <c r="F284" s="12"/>
      <c r="G284" s="13"/>
      <c r="H284" s="13"/>
      <c r="I284" s="13"/>
      <c r="J284" s="177"/>
      <c r="K284" s="177"/>
      <c r="L284" s="13"/>
      <c r="M284" s="177"/>
      <c r="N284" s="177"/>
      <c r="O284" s="177"/>
      <c r="P284" s="177"/>
      <c r="Q284" s="13"/>
      <c r="R284" s="328" t="str">
        <f>R$10</f>
        <v xml:space="preserve"> </v>
      </c>
      <c r="S284" s="329"/>
      <c r="T284" s="177"/>
      <c r="U284" s="12"/>
      <c r="V284" s="64"/>
      <c r="W284" s="138"/>
    </row>
    <row r="285" spans="1:23" ht="15.75" x14ac:dyDescent="0.25">
      <c r="A285" s="45"/>
      <c r="B285" s="14" t="s">
        <v>2</v>
      </c>
      <c r="C285" s="14" t="s">
        <v>349</v>
      </c>
      <c r="D285" s="226" t="s">
        <v>525</v>
      </c>
      <c r="E285" s="14" t="s">
        <v>350</v>
      </c>
      <c r="F285" s="226" t="str">
        <f>F$11</f>
        <v>TBILLTDCS</v>
      </c>
      <c r="G285" s="181" t="s">
        <v>688</v>
      </c>
      <c r="H285" s="181" t="s">
        <v>355</v>
      </c>
      <c r="I285" s="14"/>
      <c r="J285" s="181" t="s">
        <v>679</v>
      </c>
      <c r="K285" s="181" t="s">
        <v>388</v>
      </c>
      <c r="L285" s="14" t="s">
        <v>388</v>
      </c>
      <c r="M285" s="181" t="s">
        <v>389</v>
      </c>
      <c r="N285" s="181" t="s">
        <v>389</v>
      </c>
      <c r="O285" s="181" t="s">
        <v>389</v>
      </c>
      <c r="P285" s="181" t="s">
        <v>390</v>
      </c>
      <c r="Q285" s="14" t="s">
        <v>391</v>
      </c>
      <c r="R285" s="331" t="str">
        <f>R$11</f>
        <v>Wholesale</v>
      </c>
      <c r="S285" s="12" t="str">
        <f>S$11</f>
        <v>Wholesale</v>
      </c>
      <c r="T285" s="181"/>
      <c r="U285" s="14" t="s">
        <v>10</v>
      </c>
      <c r="V285" s="64"/>
      <c r="W285" s="138"/>
    </row>
    <row r="286" spans="1:23" ht="15" x14ac:dyDescent="0.2">
      <c r="A286" s="45"/>
      <c r="B286" s="14"/>
      <c r="C286" s="14"/>
      <c r="D286" s="14"/>
      <c r="E286" s="14"/>
      <c r="F286" s="14"/>
      <c r="G286" s="181" t="s">
        <v>689</v>
      </c>
      <c r="H286" s="181" t="s">
        <v>690</v>
      </c>
      <c r="I286" s="14"/>
      <c r="J286" s="181"/>
      <c r="K286" s="181" t="s">
        <v>680</v>
      </c>
      <c r="L286" s="14" t="s">
        <v>681</v>
      </c>
      <c r="M286" s="181" t="s">
        <v>680</v>
      </c>
      <c r="N286" s="181" t="s">
        <v>681</v>
      </c>
      <c r="O286" s="181" t="s">
        <v>393</v>
      </c>
      <c r="P286" s="181"/>
      <c r="Q286" s="14"/>
      <c r="R286" s="174" t="str">
        <f>R$12</f>
        <v>XFMR</v>
      </c>
      <c r="S286" s="14" t="str">
        <f>S$12</f>
        <v>DLS</v>
      </c>
      <c r="T286" s="181"/>
      <c r="U286" s="14"/>
      <c r="V286" s="64"/>
      <c r="W286" s="138"/>
    </row>
    <row r="287" spans="1:23" ht="15.75" thickBot="1" x14ac:dyDescent="0.25">
      <c r="A287" s="45"/>
      <c r="B287" s="15"/>
      <c r="C287" s="15"/>
      <c r="D287" s="15"/>
      <c r="E287" s="15"/>
      <c r="F287" s="15" t="s">
        <v>13</v>
      </c>
      <c r="G287" s="15" t="s">
        <v>14</v>
      </c>
      <c r="H287" s="15" t="s">
        <v>15</v>
      </c>
      <c r="I287" s="15"/>
      <c r="J287" s="182" t="str">
        <f t="shared" ref="J287:Q287" si="107">J$13</f>
        <v>(d)</v>
      </c>
      <c r="K287" s="182" t="str">
        <f t="shared" si="107"/>
        <v>(e)</v>
      </c>
      <c r="L287" s="15" t="str">
        <f t="shared" si="107"/>
        <v>(f)</v>
      </c>
      <c r="M287" s="182" t="str">
        <f t="shared" si="107"/>
        <v>(g)</v>
      </c>
      <c r="N287" s="182" t="str">
        <f t="shared" si="107"/>
        <v>(h)</v>
      </c>
      <c r="O287" s="182" t="str">
        <f>O$13</f>
        <v>(i)</v>
      </c>
      <c r="P287" s="182" t="str">
        <f t="shared" si="107"/>
        <v>(j)</v>
      </c>
      <c r="Q287" s="182" t="str">
        <f t="shared" si="107"/>
        <v>(k)</v>
      </c>
      <c r="R287" s="182" t="str">
        <f>R$13</f>
        <v>(l)</v>
      </c>
      <c r="S287" s="15" t="str">
        <f>S$13</f>
        <v>(m)</v>
      </c>
      <c r="T287" s="15"/>
      <c r="U287" s="15" t="s">
        <v>683</v>
      </c>
      <c r="V287" s="64"/>
      <c r="W287" s="138"/>
    </row>
    <row r="288" spans="1:23" ht="15" x14ac:dyDescent="0.2">
      <c r="A288" s="45"/>
      <c r="B288" s="64"/>
      <c r="C288" s="64"/>
      <c r="D288" s="96"/>
      <c r="E288" s="96"/>
      <c r="F288" s="227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64"/>
      <c r="W288" s="138"/>
    </row>
    <row r="289" spans="1:23" ht="15.75" x14ac:dyDescent="0.25">
      <c r="A289" s="45"/>
      <c r="B289" s="16">
        <v>1</v>
      </c>
      <c r="C289" s="8" t="s">
        <v>525</v>
      </c>
      <c r="D289" s="8"/>
      <c r="E289" s="19" t="s">
        <v>24</v>
      </c>
      <c r="F289" s="21"/>
      <c r="G289" s="19"/>
      <c r="H289" s="19"/>
      <c r="I289" s="19"/>
      <c r="J289" s="961"/>
      <c r="K289" s="961"/>
      <c r="L289" s="961"/>
      <c r="M289" s="961"/>
      <c r="N289" s="961"/>
      <c r="O289" s="961"/>
      <c r="P289" s="961"/>
      <c r="Q289" s="961"/>
      <c r="R289" s="961"/>
      <c r="S289" s="961"/>
      <c r="T289" s="913"/>
      <c r="U289" s="8"/>
      <c r="V289" s="64"/>
      <c r="W289" s="138"/>
    </row>
    <row r="290" spans="1:23" ht="15" x14ac:dyDescent="0.2">
      <c r="A290" s="45"/>
      <c r="B290" s="16">
        <f t="shared" ref="B290:B327" si="108">B289+1</f>
        <v>2</v>
      </c>
      <c r="C290" s="1" t="s">
        <v>59</v>
      </c>
      <c r="D290" s="1" t="s">
        <v>40</v>
      </c>
      <c r="E290" s="16"/>
      <c r="F290" s="97">
        <f>' WP II-I-1.4'!I290</f>
        <v>0</v>
      </c>
      <c r="G290" s="16">
        <v>54</v>
      </c>
      <c r="H290" s="26" t="str">
        <f t="shared" ref="H290:H311" si="109">VLOOKUP(G290,FactorTable,2)</f>
        <v>PLT 362-373</v>
      </c>
      <c r="I290" s="16"/>
      <c r="J290" s="369">
        <f t="shared" ref="J290:S299" ca="1" si="110">$F290*HLOOKUP(J$1354,FactorTable,$G290+1)</f>
        <v>0</v>
      </c>
      <c r="K290" s="369">
        <f t="shared" ca="1" si="110"/>
        <v>0</v>
      </c>
      <c r="L290" s="369">
        <f t="shared" ca="1" si="110"/>
        <v>0</v>
      </c>
      <c r="M290" s="369">
        <f t="shared" ca="1" si="110"/>
        <v>0</v>
      </c>
      <c r="N290" s="369">
        <f t="shared" ca="1" si="110"/>
        <v>0</v>
      </c>
      <c r="O290" s="369">
        <f t="shared" ca="1" si="110"/>
        <v>0</v>
      </c>
      <c r="P290" s="369">
        <f t="shared" ca="1" si="110"/>
        <v>0</v>
      </c>
      <c r="Q290" s="369">
        <f t="shared" ca="1" si="110"/>
        <v>0</v>
      </c>
      <c r="R290" s="369">
        <f t="shared" ca="1" si="110"/>
        <v>0</v>
      </c>
      <c r="S290" s="369">
        <f t="shared" ca="1" si="110"/>
        <v>0</v>
      </c>
      <c r="T290" s="16"/>
      <c r="U290" s="97">
        <f t="shared" ref="U290:U312" ca="1" si="111">SUM(I290:T290)</f>
        <v>0</v>
      </c>
      <c r="V290" s="64"/>
      <c r="W290" s="643">
        <f t="shared" ref="W290:W327" ca="1" si="112">F290-U290</f>
        <v>0</v>
      </c>
    </row>
    <row r="291" spans="1:23" ht="15" x14ac:dyDescent="0.2">
      <c r="A291" s="45"/>
      <c r="B291" s="16">
        <f t="shared" si="108"/>
        <v>3</v>
      </c>
      <c r="C291" s="1" t="s">
        <v>60</v>
      </c>
      <c r="D291" s="29" t="s">
        <v>42</v>
      </c>
      <c r="E291" s="16"/>
      <c r="F291" s="97">
        <f>' WP II-I-1.4'!I291</f>
        <v>0</v>
      </c>
      <c r="G291" s="16">
        <v>54</v>
      </c>
      <c r="H291" s="26" t="str">
        <f t="shared" si="109"/>
        <v>PLT 362-373</v>
      </c>
      <c r="I291" s="16"/>
      <c r="J291" s="369">
        <f t="shared" ca="1" si="110"/>
        <v>0</v>
      </c>
      <c r="K291" s="369">
        <f t="shared" ca="1" si="110"/>
        <v>0</v>
      </c>
      <c r="L291" s="369">
        <f t="shared" ca="1" si="110"/>
        <v>0</v>
      </c>
      <c r="M291" s="369">
        <f t="shared" ca="1" si="110"/>
        <v>0</v>
      </c>
      <c r="N291" s="369">
        <f t="shared" ca="1" si="110"/>
        <v>0</v>
      </c>
      <c r="O291" s="369">
        <f t="shared" ca="1" si="110"/>
        <v>0</v>
      </c>
      <c r="P291" s="369">
        <f t="shared" ca="1" si="110"/>
        <v>0</v>
      </c>
      <c r="Q291" s="369">
        <f t="shared" ca="1" si="110"/>
        <v>0</v>
      </c>
      <c r="R291" s="369">
        <f t="shared" ca="1" si="110"/>
        <v>0</v>
      </c>
      <c r="S291" s="369">
        <f t="shared" ca="1" si="110"/>
        <v>0</v>
      </c>
      <c r="T291" s="16"/>
      <c r="U291" s="97">
        <f t="shared" ca="1" si="111"/>
        <v>0</v>
      </c>
      <c r="V291" s="64"/>
      <c r="W291" s="643">
        <f t="shared" ca="1" si="112"/>
        <v>0</v>
      </c>
    </row>
    <row r="292" spans="1:23" ht="15" x14ac:dyDescent="0.2">
      <c r="A292" s="45"/>
      <c r="B292" s="16">
        <f t="shared" si="108"/>
        <v>4</v>
      </c>
      <c r="C292" s="1" t="s">
        <v>61</v>
      </c>
      <c r="D292" s="1" t="s">
        <v>44</v>
      </c>
      <c r="E292" s="16"/>
      <c r="F292" s="229">
        <f>' WP II-I-1.4'!I292</f>
        <v>0</v>
      </c>
      <c r="G292" s="16">
        <v>28</v>
      </c>
      <c r="H292" s="26" t="str">
        <f t="shared" si="109"/>
        <v>NCP XHV</v>
      </c>
      <c r="I292" s="16"/>
      <c r="J292" s="369">
        <f t="shared" si="110"/>
        <v>0</v>
      </c>
      <c r="K292" s="369">
        <f t="shared" si="110"/>
        <v>0</v>
      </c>
      <c r="L292" s="369">
        <f t="shared" si="110"/>
        <v>0</v>
      </c>
      <c r="M292" s="369">
        <f t="shared" si="110"/>
        <v>0</v>
      </c>
      <c r="N292" s="369">
        <f t="shared" si="110"/>
        <v>0</v>
      </c>
      <c r="O292" s="369">
        <f t="shared" si="110"/>
        <v>0</v>
      </c>
      <c r="P292" s="369">
        <f t="shared" si="110"/>
        <v>0</v>
      </c>
      <c r="Q292" s="369">
        <f t="shared" si="110"/>
        <v>0</v>
      </c>
      <c r="R292" s="369">
        <f t="shared" si="110"/>
        <v>0</v>
      </c>
      <c r="S292" s="369">
        <f t="shared" si="110"/>
        <v>0</v>
      </c>
      <c r="T292" s="16"/>
      <c r="U292" s="97">
        <f t="shared" si="111"/>
        <v>0</v>
      </c>
      <c r="V292" s="64"/>
      <c r="W292" s="643">
        <f t="shared" si="112"/>
        <v>0</v>
      </c>
    </row>
    <row r="293" spans="1:23" ht="15" x14ac:dyDescent="0.2">
      <c r="A293" s="45"/>
      <c r="B293" s="16">
        <f t="shared" si="108"/>
        <v>5</v>
      </c>
      <c r="C293" s="1" t="s">
        <v>1234</v>
      </c>
      <c r="D293" s="1" t="s">
        <v>1230</v>
      </c>
      <c r="E293" s="16"/>
      <c r="F293" s="229">
        <f>' WP II-I-1.4'!I293</f>
        <v>0</v>
      </c>
      <c r="G293" s="16">
        <v>58</v>
      </c>
      <c r="H293" s="26" t="str">
        <f t="shared" ref="H293:H294" si="113">VLOOKUP(G293,FactorTable,2)</f>
        <v>PLTDIST_N</v>
      </c>
      <c r="I293" s="16"/>
      <c r="J293" s="369">
        <f t="shared" ca="1" si="110"/>
        <v>0</v>
      </c>
      <c r="K293" s="369">
        <f t="shared" ca="1" si="110"/>
        <v>0</v>
      </c>
      <c r="L293" s="369">
        <f t="shared" ca="1" si="110"/>
        <v>0</v>
      </c>
      <c r="M293" s="369">
        <f t="shared" ca="1" si="110"/>
        <v>0</v>
      </c>
      <c r="N293" s="369">
        <f t="shared" ca="1" si="110"/>
        <v>0</v>
      </c>
      <c r="O293" s="369">
        <f t="shared" ca="1" si="110"/>
        <v>0</v>
      </c>
      <c r="P293" s="369">
        <f t="shared" ca="1" si="110"/>
        <v>0</v>
      </c>
      <c r="Q293" s="369">
        <f t="shared" ca="1" si="110"/>
        <v>0</v>
      </c>
      <c r="R293" s="369">
        <f t="shared" ca="1" si="110"/>
        <v>0</v>
      </c>
      <c r="S293" s="369">
        <f t="shared" ca="1" si="110"/>
        <v>0</v>
      </c>
      <c r="T293" s="16"/>
      <c r="U293" s="97">
        <f t="shared" ref="U293:U294" ca="1" si="114">SUM(I293:T293)</f>
        <v>0</v>
      </c>
      <c r="V293" s="64"/>
      <c r="W293" s="643"/>
    </row>
    <row r="294" spans="1:23" ht="15" x14ac:dyDescent="0.2">
      <c r="A294" s="45"/>
      <c r="B294" s="16">
        <f t="shared" si="108"/>
        <v>6</v>
      </c>
      <c r="C294" s="1" t="s">
        <v>1235</v>
      </c>
      <c r="D294" s="1" t="s">
        <v>1232</v>
      </c>
      <c r="E294" s="16"/>
      <c r="F294" s="229">
        <f>' WP II-I-1.4'!I294</f>
        <v>108843000.56</v>
      </c>
      <c r="G294" s="16">
        <v>58</v>
      </c>
      <c r="H294" s="26" t="str">
        <f t="shared" si="113"/>
        <v>PLTDIST_N</v>
      </c>
      <c r="I294" s="16"/>
      <c r="J294" s="369">
        <f t="shared" ca="1" si="110"/>
        <v>53651319.551503122</v>
      </c>
      <c r="K294" s="369">
        <f t="shared" ca="1" si="110"/>
        <v>7486117.654121005</v>
      </c>
      <c r="L294" s="369">
        <f t="shared" ca="1" si="110"/>
        <v>29258550.042154443</v>
      </c>
      <c r="M294" s="369">
        <f t="shared" ca="1" si="110"/>
        <v>1230765.9714946523</v>
      </c>
      <c r="N294" s="369">
        <f t="shared" ca="1" si="110"/>
        <v>9474066.1156323459</v>
      </c>
      <c r="O294" s="369">
        <f t="shared" ca="1" si="110"/>
        <v>310851.25826071471</v>
      </c>
      <c r="P294" s="369">
        <f t="shared" ca="1" si="110"/>
        <v>648401.39759903704</v>
      </c>
      <c r="Q294" s="369">
        <f t="shared" ca="1" si="110"/>
        <v>6661455.8344850074</v>
      </c>
      <c r="R294" s="369">
        <f t="shared" ca="1" si="110"/>
        <v>34327.132814066666</v>
      </c>
      <c r="S294" s="369">
        <f t="shared" ca="1" si="110"/>
        <v>87145.601935603292</v>
      </c>
      <c r="T294" s="16"/>
      <c r="U294" s="97">
        <f t="shared" ca="1" si="114"/>
        <v>108843000.55999999</v>
      </c>
      <c r="V294" s="64"/>
      <c r="W294" s="643"/>
    </row>
    <row r="295" spans="1:23" ht="15" x14ac:dyDescent="0.2">
      <c r="A295" s="45"/>
      <c r="B295" s="16">
        <f t="shared" si="108"/>
        <v>7</v>
      </c>
      <c r="C295" s="1" t="s">
        <v>1236</v>
      </c>
      <c r="D295" s="1" t="s">
        <v>1241</v>
      </c>
      <c r="E295" s="16"/>
      <c r="F295" s="229">
        <f>' WP II-I-1.4'!I295</f>
        <v>0</v>
      </c>
      <c r="G295" s="16">
        <v>58</v>
      </c>
      <c r="H295" s="26" t="str">
        <f t="shared" si="109"/>
        <v>PLTDIST_N</v>
      </c>
      <c r="I295" s="16"/>
      <c r="J295" s="369">
        <f t="shared" ca="1" si="110"/>
        <v>0</v>
      </c>
      <c r="K295" s="369">
        <f t="shared" ca="1" si="110"/>
        <v>0</v>
      </c>
      <c r="L295" s="369">
        <f t="shared" ca="1" si="110"/>
        <v>0</v>
      </c>
      <c r="M295" s="369">
        <f t="shared" ca="1" si="110"/>
        <v>0</v>
      </c>
      <c r="N295" s="369">
        <f t="shared" ca="1" si="110"/>
        <v>0</v>
      </c>
      <c r="O295" s="369">
        <f t="shared" ca="1" si="110"/>
        <v>0</v>
      </c>
      <c r="P295" s="369">
        <f t="shared" ca="1" si="110"/>
        <v>0</v>
      </c>
      <c r="Q295" s="369">
        <f t="shared" ca="1" si="110"/>
        <v>0</v>
      </c>
      <c r="R295" s="369">
        <f t="shared" ca="1" si="110"/>
        <v>0</v>
      </c>
      <c r="S295" s="369">
        <f t="shared" ca="1" si="110"/>
        <v>0</v>
      </c>
      <c r="T295" s="16"/>
      <c r="U295" s="97">
        <f t="shared" ca="1" si="111"/>
        <v>0</v>
      </c>
      <c r="V295" s="64"/>
      <c r="W295" s="643">
        <f t="shared" ca="1" si="112"/>
        <v>0</v>
      </c>
    </row>
    <row r="296" spans="1:23" ht="15" x14ac:dyDescent="0.2">
      <c r="A296" s="45"/>
      <c r="B296" s="16">
        <f t="shared" si="108"/>
        <v>8</v>
      </c>
      <c r="C296" s="1" t="s">
        <v>359</v>
      </c>
      <c r="D296" s="29" t="s">
        <v>489</v>
      </c>
      <c r="E296" s="16"/>
      <c r="F296" s="97">
        <f>' WP II-I-1.4'!I296</f>
        <v>0</v>
      </c>
      <c r="G296" s="16">
        <v>30</v>
      </c>
      <c r="H296" s="26" t="str">
        <f t="shared" si="109"/>
        <v>NCP XSS</v>
      </c>
      <c r="I296" s="16"/>
      <c r="J296" s="369">
        <f t="shared" si="110"/>
        <v>0</v>
      </c>
      <c r="K296" s="369">
        <f t="shared" si="110"/>
        <v>0</v>
      </c>
      <c r="L296" s="369">
        <f t="shared" si="110"/>
        <v>0</v>
      </c>
      <c r="M296" s="369">
        <f t="shared" si="110"/>
        <v>0</v>
      </c>
      <c r="N296" s="369">
        <f t="shared" si="110"/>
        <v>0</v>
      </c>
      <c r="O296" s="369">
        <f t="shared" si="110"/>
        <v>0</v>
      </c>
      <c r="P296" s="369">
        <f t="shared" si="110"/>
        <v>0</v>
      </c>
      <c r="Q296" s="369">
        <f t="shared" si="110"/>
        <v>0</v>
      </c>
      <c r="R296" s="369">
        <f t="shared" si="110"/>
        <v>0</v>
      </c>
      <c r="S296" s="369">
        <f t="shared" si="110"/>
        <v>0</v>
      </c>
      <c r="T296" s="16"/>
      <c r="U296" s="97">
        <f t="shared" si="111"/>
        <v>0</v>
      </c>
      <c r="V296" s="64"/>
      <c r="W296" s="643">
        <f t="shared" si="112"/>
        <v>0</v>
      </c>
    </row>
    <row r="297" spans="1:23" ht="15" x14ac:dyDescent="0.2">
      <c r="A297" s="45"/>
      <c r="B297" s="16">
        <f t="shared" si="108"/>
        <v>9</v>
      </c>
      <c r="C297" s="1" t="s">
        <v>361</v>
      </c>
      <c r="D297" s="29" t="s">
        <v>490</v>
      </c>
      <c r="E297" s="16"/>
      <c r="F297" s="97">
        <f>' WP II-I-1.4'!I297</f>
        <v>0</v>
      </c>
      <c r="G297" s="16">
        <v>32</v>
      </c>
      <c r="H297" s="26" t="str">
        <f t="shared" si="109"/>
        <v>NCP SEC</v>
      </c>
      <c r="I297" s="16"/>
      <c r="J297" s="369">
        <f t="shared" si="110"/>
        <v>0</v>
      </c>
      <c r="K297" s="369">
        <f t="shared" si="110"/>
        <v>0</v>
      </c>
      <c r="L297" s="369">
        <f t="shared" si="110"/>
        <v>0</v>
      </c>
      <c r="M297" s="369">
        <f t="shared" si="110"/>
        <v>0</v>
      </c>
      <c r="N297" s="369">
        <f t="shared" si="110"/>
        <v>0</v>
      </c>
      <c r="O297" s="369">
        <f t="shared" si="110"/>
        <v>0</v>
      </c>
      <c r="P297" s="369">
        <f t="shared" si="110"/>
        <v>0</v>
      </c>
      <c r="Q297" s="369">
        <f t="shared" si="110"/>
        <v>0</v>
      </c>
      <c r="R297" s="369">
        <f t="shared" si="110"/>
        <v>0</v>
      </c>
      <c r="S297" s="369">
        <f t="shared" si="110"/>
        <v>0</v>
      </c>
      <c r="T297" s="16"/>
      <c r="U297" s="97">
        <f t="shared" si="111"/>
        <v>0</v>
      </c>
      <c r="V297" s="64"/>
      <c r="W297" s="643">
        <f t="shared" si="112"/>
        <v>0</v>
      </c>
    </row>
    <row r="298" spans="1:23" ht="15" x14ac:dyDescent="0.2">
      <c r="A298" s="45"/>
      <c r="B298" s="16">
        <f t="shared" si="108"/>
        <v>10</v>
      </c>
      <c r="C298" s="1" t="s">
        <v>364</v>
      </c>
      <c r="D298" s="1" t="s">
        <v>491</v>
      </c>
      <c r="E298" s="16"/>
      <c r="F298" s="97">
        <f>' WP II-I-1.4'!I298</f>
        <v>0</v>
      </c>
      <c r="G298" s="16">
        <v>30</v>
      </c>
      <c r="H298" s="26" t="str">
        <f t="shared" si="109"/>
        <v>NCP XSS</v>
      </c>
      <c r="I298" s="16"/>
      <c r="J298" s="369">
        <f t="shared" si="110"/>
        <v>0</v>
      </c>
      <c r="K298" s="369">
        <f t="shared" si="110"/>
        <v>0</v>
      </c>
      <c r="L298" s="369">
        <f t="shared" si="110"/>
        <v>0</v>
      </c>
      <c r="M298" s="369">
        <f t="shared" si="110"/>
        <v>0</v>
      </c>
      <c r="N298" s="369">
        <f t="shared" si="110"/>
        <v>0</v>
      </c>
      <c r="O298" s="369">
        <f t="shared" si="110"/>
        <v>0</v>
      </c>
      <c r="P298" s="369">
        <f t="shared" si="110"/>
        <v>0</v>
      </c>
      <c r="Q298" s="369">
        <f t="shared" si="110"/>
        <v>0</v>
      </c>
      <c r="R298" s="369">
        <f t="shared" si="110"/>
        <v>0</v>
      </c>
      <c r="S298" s="369">
        <f t="shared" si="110"/>
        <v>0</v>
      </c>
      <c r="T298" s="16"/>
      <c r="U298" s="97">
        <f t="shared" si="111"/>
        <v>0</v>
      </c>
      <c r="V298" s="64"/>
      <c r="W298" s="643">
        <f t="shared" si="112"/>
        <v>0</v>
      </c>
    </row>
    <row r="299" spans="1:23" ht="15" x14ac:dyDescent="0.2">
      <c r="A299" s="45"/>
      <c r="B299" s="16">
        <f t="shared" si="108"/>
        <v>11</v>
      </c>
      <c r="C299" s="1" t="s">
        <v>366</v>
      </c>
      <c r="D299" s="1" t="s">
        <v>492</v>
      </c>
      <c r="E299" s="16"/>
      <c r="F299" s="97">
        <f>' WP II-I-1.4'!I299</f>
        <v>0</v>
      </c>
      <c r="G299" s="16">
        <v>32</v>
      </c>
      <c r="H299" s="26" t="str">
        <f t="shared" si="109"/>
        <v>NCP SEC</v>
      </c>
      <c r="I299" s="16"/>
      <c r="J299" s="369">
        <f t="shared" si="110"/>
        <v>0</v>
      </c>
      <c r="K299" s="369">
        <f t="shared" si="110"/>
        <v>0</v>
      </c>
      <c r="L299" s="369">
        <f t="shared" si="110"/>
        <v>0</v>
      </c>
      <c r="M299" s="369">
        <f t="shared" si="110"/>
        <v>0</v>
      </c>
      <c r="N299" s="369">
        <f t="shared" si="110"/>
        <v>0</v>
      </c>
      <c r="O299" s="369">
        <f t="shared" si="110"/>
        <v>0</v>
      </c>
      <c r="P299" s="369">
        <f t="shared" si="110"/>
        <v>0</v>
      </c>
      <c r="Q299" s="369">
        <f t="shared" si="110"/>
        <v>0</v>
      </c>
      <c r="R299" s="369">
        <f t="shared" si="110"/>
        <v>0</v>
      </c>
      <c r="S299" s="369">
        <f t="shared" si="110"/>
        <v>0</v>
      </c>
      <c r="T299" s="16"/>
      <c r="U299" s="97">
        <f t="shared" si="111"/>
        <v>0</v>
      </c>
      <c r="V299" s="64"/>
      <c r="W299" s="643">
        <f t="shared" si="112"/>
        <v>0</v>
      </c>
    </row>
    <row r="300" spans="1:23" ht="15" x14ac:dyDescent="0.2">
      <c r="A300" s="45"/>
      <c r="B300" s="16">
        <f t="shared" si="108"/>
        <v>12</v>
      </c>
      <c r="C300" s="1" t="s">
        <v>369</v>
      </c>
      <c r="D300" s="1" t="s">
        <v>370</v>
      </c>
      <c r="E300" s="16"/>
      <c r="F300" s="97">
        <f>' WP II-I-1.4'!I300</f>
        <v>0</v>
      </c>
      <c r="G300" s="16">
        <v>30</v>
      </c>
      <c r="H300" s="26" t="str">
        <f t="shared" si="109"/>
        <v>NCP XSS</v>
      </c>
      <c r="I300" s="16"/>
      <c r="J300" s="369">
        <f t="shared" ref="J300:S311" si="115">$F300*HLOOKUP(J$1354,FactorTable,$G300+1)</f>
        <v>0</v>
      </c>
      <c r="K300" s="369">
        <f t="shared" si="115"/>
        <v>0</v>
      </c>
      <c r="L300" s="369">
        <f t="shared" si="115"/>
        <v>0</v>
      </c>
      <c r="M300" s="369">
        <f t="shared" si="115"/>
        <v>0</v>
      </c>
      <c r="N300" s="369">
        <f t="shared" si="115"/>
        <v>0</v>
      </c>
      <c r="O300" s="369">
        <f t="shared" si="115"/>
        <v>0</v>
      </c>
      <c r="P300" s="369">
        <f t="shared" si="115"/>
        <v>0</v>
      </c>
      <c r="Q300" s="369">
        <f t="shared" si="115"/>
        <v>0</v>
      </c>
      <c r="R300" s="369">
        <f t="shared" si="115"/>
        <v>0</v>
      </c>
      <c r="S300" s="369">
        <f t="shared" si="115"/>
        <v>0</v>
      </c>
      <c r="T300" s="16"/>
      <c r="U300" s="97">
        <f t="shared" si="111"/>
        <v>0</v>
      </c>
      <c r="V300" s="64"/>
      <c r="W300" s="643">
        <f t="shared" si="112"/>
        <v>0</v>
      </c>
    </row>
    <row r="301" spans="1:23" ht="15" x14ac:dyDescent="0.2">
      <c r="A301" s="45"/>
      <c r="B301" s="16">
        <f t="shared" si="108"/>
        <v>13</v>
      </c>
      <c r="C301" s="1" t="s">
        <v>371</v>
      </c>
      <c r="D301" s="1" t="s">
        <v>372</v>
      </c>
      <c r="E301" s="16"/>
      <c r="F301" s="97">
        <f>' WP II-I-1.4'!I301</f>
        <v>0</v>
      </c>
      <c r="G301" s="16">
        <v>32</v>
      </c>
      <c r="H301" s="26" t="str">
        <f t="shared" si="109"/>
        <v>NCP SEC</v>
      </c>
      <c r="I301" s="16"/>
      <c r="J301" s="369">
        <f t="shared" si="115"/>
        <v>0</v>
      </c>
      <c r="K301" s="369">
        <f t="shared" si="115"/>
        <v>0</v>
      </c>
      <c r="L301" s="369">
        <f t="shared" si="115"/>
        <v>0</v>
      </c>
      <c r="M301" s="369">
        <f t="shared" si="115"/>
        <v>0</v>
      </c>
      <c r="N301" s="369">
        <f t="shared" si="115"/>
        <v>0</v>
      </c>
      <c r="O301" s="369">
        <f t="shared" si="115"/>
        <v>0</v>
      </c>
      <c r="P301" s="369">
        <f t="shared" si="115"/>
        <v>0</v>
      </c>
      <c r="Q301" s="369">
        <f t="shared" si="115"/>
        <v>0</v>
      </c>
      <c r="R301" s="369">
        <f t="shared" si="115"/>
        <v>0</v>
      </c>
      <c r="S301" s="369">
        <f t="shared" si="115"/>
        <v>0</v>
      </c>
      <c r="T301" s="16"/>
      <c r="U301" s="97">
        <f t="shared" si="111"/>
        <v>0</v>
      </c>
      <c r="V301" s="64"/>
      <c r="W301" s="643">
        <f t="shared" si="112"/>
        <v>0</v>
      </c>
    </row>
    <row r="302" spans="1:23" ht="15" x14ac:dyDescent="0.2">
      <c r="A302" s="45"/>
      <c r="B302" s="16">
        <f t="shared" si="108"/>
        <v>14</v>
      </c>
      <c r="C302" s="1" t="s">
        <v>374</v>
      </c>
      <c r="D302" s="29" t="s">
        <v>493</v>
      </c>
      <c r="E302" s="28"/>
      <c r="F302" s="97">
        <f>' WP II-I-1.4'!I302</f>
        <v>0</v>
      </c>
      <c r="G302" s="16">
        <v>30</v>
      </c>
      <c r="H302" s="26" t="str">
        <f t="shared" si="109"/>
        <v>NCP XSS</v>
      </c>
      <c r="I302" s="28"/>
      <c r="J302" s="369">
        <f t="shared" si="115"/>
        <v>0</v>
      </c>
      <c r="K302" s="369">
        <f t="shared" si="115"/>
        <v>0</v>
      </c>
      <c r="L302" s="369">
        <f t="shared" si="115"/>
        <v>0</v>
      </c>
      <c r="M302" s="369">
        <f t="shared" si="115"/>
        <v>0</v>
      </c>
      <c r="N302" s="369">
        <f t="shared" si="115"/>
        <v>0</v>
      </c>
      <c r="O302" s="369">
        <f t="shared" si="115"/>
        <v>0</v>
      </c>
      <c r="P302" s="369">
        <f t="shared" si="115"/>
        <v>0</v>
      </c>
      <c r="Q302" s="369">
        <f t="shared" si="115"/>
        <v>0</v>
      </c>
      <c r="R302" s="369">
        <f t="shared" si="115"/>
        <v>0</v>
      </c>
      <c r="S302" s="369">
        <f t="shared" si="115"/>
        <v>0</v>
      </c>
      <c r="T302" s="28"/>
      <c r="U302" s="97">
        <f t="shared" si="111"/>
        <v>0</v>
      </c>
      <c r="V302" s="64"/>
      <c r="W302" s="643">
        <f t="shared" si="112"/>
        <v>0</v>
      </c>
    </row>
    <row r="303" spans="1:23" ht="15" x14ac:dyDescent="0.2">
      <c r="A303" s="45"/>
      <c r="B303" s="16">
        <f t="shared" si="108"/>
        <v>15</v>
      </c>
      <c r="C303" s="1" t="s">
        <v>376</v>
      </c>
      <c r="D303" s="29" t="s">
        <v>494</v>
      </c>
      <c r="E303" s="28"/>
      <c r="F303" s="97">
        <f>' WP II-I-1.4'!I303</f>
        <v>0</v>
      </c>
      <c r="G303" s="16">
        <v>32</v>
      </c>
      <c r="H303" s="26" t="str">
        <f t="shared" si="109"/>
        <v>NCP SEC</v>
      </c>
      <c r="I303" s="28"/>
      <c r="J303" s="369">
        <f t="shared" si="115"/>
        <v>0</v>
      </c>
      <c r="K303" s="369">
        <f t="shared" si="115"/>
        <v>0</v>
      </c>
      <c r="L303" s="369">
        <f t="shared" si="115"/>
        <v>0</v>
      </c>
      <c r="M303" s="369">
        <f t="shared" si="115"/>
        <v>0</v>
      </c>
      <c r="N303" s="369">
        <f t="shared" si="115"/>
        <v>0</v>
      </c>
      <c r="O303" s="369">
        <f t="shared" si="115"/>
        <v>0</v>
      </c>
      <c r="P303" s="369">
        <f t="shared" si="115"/>
        <v>0</v>
      </c>
      <c r="Q303" s="369">
        <f t="shared" si="115"/>
        <v>0</v>
      </c>
      <c r="R303" s="369">
        <f t="shared" si="115"/>
        <v>0</v>
      </c>
      <c r="S303" s="369">
        <f t="shared" si="115"/>
        <v>0</v>
      </c>
      <c r="T303" s="28"/>
      <c r="U303" s="97">
        <f t="shared" si="111"/>
        <v>0</v>
      </c>
      <c r="V303" s="64"/>
      <c r="W303" s="643">
        <f t="shared" si="112"/>
        <v>0</v>
      </c>
    </row>
    <row r="304" spans="1:23" ht="15" x14ac:dyDescent="0.2">
      <c r="A304" s="45"/>
      <c r="B304" s="16">
        <f t="shared" si="108"/>
        <v>16</v>
      </c>
      <c r="C304" s="1" t="s">
        <v>379</v>
      </c>
      <c r="D304" s="1" t="str">
        <f>'WP II-I-1.2'!D39</f>
        <v>Regulators, Protectors, Primary Transformers</v>
      </c>
      <c r="E304" s="16"/>
      <c r="F304" s="97">
        <f>' WP II-I-1.4'!I304</f>
        <v>0</v>
      </c>
      <c r="G304" s="16">
        <v>30</v>
      </c>
      <c r="H304" s="26" t="str">
        <f t="shared" si="109"/>
        <v>NCP XSS</v>
      </c>
      <c r="I304" s="16"/>
      <c r="J304" s="369">
        <f t="shared" si="115"/>
        <v>0</v>
      </c>
      <c r="K304" s="369">
        <f t="shared" si="115"/>
        <v>0</v>
      </c>
      <c r="L304" s="369">
        <f t="shared" si="115"/>
        <v>0</v>
      </c>
      <c r="M304" s="369">
        <f t="shared" si="115"/>
        <v>0</v>
      </c>
      <c r="N304" s="369">
        <f t="shared" si="115"/>
        <v>0</v>
      </c>
      <c r="O304" s="369">
        <f t="shared" si="115"/>
        <v>0</v>
      </c>
      <c r="P304" s="369">
        <f t="shared" si="115"/>
        <v>0</v>
      </c>
      <c r="Q304" s="369">
        <f t="shared" si="115"/>
        <v>0</v>
      </c>
      <c r="R304" s="369">
        <f t="shared" si="115"/>
        <v>0</v>
      </c>
      <c r="S304" s="369">
        <f t="shared" si="115"/>
        <v>0</v>
      </c>
      <c r="T304" s="16"/>
      <c r="U304" s="97">
        <f t="shared" si="111"/>
        <v>0</v>
      </c>
      <c r="V304" s="64"/>
      <c r="W304" s="643">
        <f t="shared" si="112"/>
        <v>0</v>
      </c>
    </row>
    <row r="305" spans="1:23" ht="15" x14ac:dyDescent="0.2">
      <c r="A305" s="45"/>
      <c r="B305" s="16">
        <f t="shared" si="108"/>
        <v>17</v>
      </c>
      <c r="C305" s="1" t="s">
        <v>381</v>
      </c>
      <c r="D305" s="1" t="str">
        <f>'WP II-I-1.2'!D40</f>
        <v>Secondary Transformers</v>
      </c>
      <c r="E305" s="16"/>
      <c r="F305" s="97">
        <f>' WP II-I-1.4'!I305</f>
        <v>0</v>
      </c>
      <c r="G305" s="16">
        <v>32</v>
      </c>
      <c r="H305" s="26" t="str">
        <f t="shared" si="109"/>
        <v>NCP SEC</v>
      </c>
      <c r="I305" s="16"/>
      <c r="J305" s="369">
        <f t="shared" si="115"/>
        <v>0</v>
      </c>
      <c r="K305" s="369">
        <f t="shared" si="115"/>
        <v>0</v>
      </c>
      <c r="L305" s="369">
        <f t="shared" si="115"/>
        <v>0</v>
      </c>
      <c r="M305" s="369">
        <f t="shared" si="115"/>
        <v>0</v>
      </c>
      <c r="N305" s="369">
        <f t="shared" si="115"/>
        <v>0</v>
      </c>
      <c r="O305" s="369">
        <f t="shared" si="115"/>
        <v>0</v>
      </c>
      <c r="P305" s="369">
        <f t="shared" si="115"/>
        <v>0</v>
      </c>
      <c r="Q305" s="369">
        <f t="shared" si="115"/>
        <v>0</v>
      </c>
      <c r="R305" s="369">
        <f t="shared" si="115"/>
        <v>0</v>
      </c>
      <c r="S305" s="369">
        <f t="shared" si="115"/>
        <v>0</v>
      </c>
      <c r="T305" s="16"/>
      <c r="U305" s="97">
        <f t="shared" si="111"/>
        <v>0</v>
      </c>
      <c r="V305" s="64"/>
      <c r="W305" s="643">
        <f t="shared" si="112"/>
        <v>0</v>
      </c>
    </row>
    <row r="306" spans="1:23" ht="15" x14ac:dyDescent="0.2">
      <c r="A306" s="45"/>
      <c r="B306" s="16">
        <f t="shared" si="108"/>
        <v>18</v>
      </c>
      <c r="C306" s="1" t="s">
        <v>383</v>
      </c>
      <c r="D306" s="1" t="str">
        <f>'WP II-I-1.2'!D41</f>
        <v>Capacitors</v>
      </c>
      <c r="E306" s="16"/>
      <c r="F306" s="97">
        <f>' WP II-I-1.4'!I306</f>
        <v>0</v>
      </c>
      <c r="G306" s="16">
        <v>26</v>
      </c>
      <c r="H306" s="26" t="str">
        <f t="shared" si="109"/>
        <v>NCP ALL</v>
      </c>
      <c r="I306" s="16"/>
      <c r="J306" s="369">
        <f t="shared" si="115"/>
        <v>0</v>
      </c>
      <c r="K306" s="369">
        <f t="shared" si="115"/>
        <v>0</v>
      </c>
      <c r="L306" s="369">
        <f t="shared" si="115"/>
        <v>0</v>
      </c>
      <c r="M306" s="369">
        <f t="shared" si="115"/>
        <v>0</v>
      </c>
      <c r="N306" s="369">
        <f t="shared" si="115"/>
        <v>0</v>
      </c>
      <c r="O306" s="369">
        <f t="shared" si="115"/>
        <v>0</v>
      </c>
      <c r="P306" s="369">
        <f t="shared" si="115"/>
        <v>0</v>
      </c>
      <c r="Q306" s="369">
        <f t="shared" si="115"/>
        <v>0</v>
      </c>
      <c r="R306" s="369">
        <f t="shared" si="115"/>
        <v>0</v>
      </c>
      <c r="S306" s="369">
        <f t="shared" si="115"/>
        <v>0</v>
      </c>
      <c r="T306" s="16"/>
      <c r="U306" s="97">
        <f t="shared" si="111"/>
        <v>0</v>
      </c>
      <c r="V306" s="64"/>
      <c r="W306" s="643">
        <f t="shared" si="112"/>
        <v>0</v>
      </c>
    </row>
    <row r="307" spans="1:23" ht="15" x14ac:dyDescent="0.2">
      <c r="A307" s="45"/>
      <c r="B307" s="16">
        <f t="shared" si="108"/>
        <v>19</v>
      </c>
      <c r="C307" s="1" t="s">
        <v>72</v>
      </c>
      <c r="D307" s="29" t="s">
        <v>73</v>
      </c>
      <c r="E307" s="28"/>
      <c r="F307" s="97">
        <f>' WP II-I-1.4'!I307</f>
        <v>0</v>
      </c>
      <c r="G307" s="16">
        <v>7</v>
      </c>
      <c r="H307" s="26" t="str">
        <f t="shared" si="109"/>
        <v>CUS W SEC</v>
      </c>
      <c r="I307" s="28"/>
      <c r="J307" s="369">
        <f t="shared" si="115"/>
        <v>0</v>
      </c>
      <c r="K307" s="369">
        <f t="shared" si="115"/>
        <v>0</v>
      </c>
      <c r="L307" s="369">
        <f t="shared" si="115"/>
        <v>0</v>
      </c>
      <c r="M307" s="369">
        <f t="shared" si="115"/>
        <v>0</v>
      </c>
      <c r="N307" s="369">
        <f t="shared" si="115"/>
        <v>0</v>
      </c>
      <c r="O307" s="369">
        <f t="shared" si="115"/>
        <v>0</v>
      </c>
      <c r="P307" s="369">
        <f t="shared" si="115"/>
        <v>0</v>
      </c>
      <c r="Q307" s="369">
        <f t="shared" si="115"/>
        <v>0</v>
      </c>
      <c r="R307" s="369">
        <f t="shared" si="115"/>
        <v>0</v>
      </c>
      <c r="S307" s="369">
        <f t="shared" si="115"/>
        <v>0</v>
      </c>
      <c r="T307" s="28"/>
      <c r="U307" s="97">
        <f t="shared" si="111"/>
        <v>0</v>
      </c>
      <c r="V307" s="64"/>
      <c r="W307" s="643">
        <f t="shared" si="112"/>
        <v>0</v>
      </c>
    </row>
    <row r="308" spans="1:23" ht="15" x14ac:dyDescent="0.2">
      <c r="A308" s="45"/>
      <c r="B308" s="16">
        <f t="shared" si="108"/>
        <v>20</v>
      </c>
      <c r="C308" s="1" t="s">
        <v>74</v>
      </c>
      <c r="D308" s="1" t="s">
        <v>75</v>
      </c>
      <c r="E308" s="16"/>
      <c r="F308" s="97">
        <f>' WP II-I-1.4'!I308</f>
        <v>0</v>
      </c>
      <c r="G308" s="16">
        <v>6</v>
      </c>
      <c r="H308" s="26" t="str">
        <f t="shared" si="109"/>
        <v>CUS W ALL</v>
      </c>
      <c r="I308" s="16"/>
      <c r="J308" s="369">
        <f t="shared" si="115"/>
        <v>0</v>
      </c>
      <c r="K308" s="369">
        <f t="shared" si="115"/>
        <v>0</v>
      </c>
      <c r="L308" s="369">
        <f t="shared" si="115"/>
        <v>0</v>
      </c>
      <c r="M308" s="369">
        <f t="shared" si="115"/>
        <v>0</v>
      </c>
      <c r="N308" s="369">
        <f t="shared" si="115"/>
        <v>0</v>
      </c>
      <c r="O308" s="369">
        <f t="shared" si="115"/>
        <v>0</v>
      </c>
      <c r="P308" s="369">
        <f t="shared" si="115"/>
        <v>0</v>
      </c>
      <c r="Q308" s="369">
        <f t="shared" si="115"/>
        <v>0</v>
      </c>
      <c r="R308" s="369">
        <f t="shared" si="115"/>
        <v>0</v>
      </c>
      <c r="S308" s="369">
        <f t="shared" si="115"/>
        <v>0</v>
      </c>
      <c r="T308" s="16"/>
      <c r="U308" s="97">
        <f t="shared" si="111"/>
        <v>0</v>
      </c>
      <c r="V308" s="64"/>
      <c r="W308" s="643">
        <f t="shared" si="112"/>
        <v>0</v>
      </c>
    </row>
    <row r="309" spans="1:23" ht="15" x14ac:dyDescent="0.2">
      <c r="A309" s="45"/>
      <c r="B309" s="16">
        <f t="shared" si="108"/>
        <v>21</v>
      </c>
      <c r="C309" s="1" t="s">
        <v>76</v>
      </c>
      <c r="D309" s="1" t="s">
        <v>495</v>
      </c>
      <c r="E309" s="16"/>
      <c r="F309" s="97">
        <f>' WP II-I-1.4'!I309</f>
        <v>0</v>
      </c>
      <c r="G309" s="16">
        <v>33</v>
      </c>
      <c r="H309" s="26" t="str">
        <f t="shared" si="109"/>
        <v>NCP LGT</v>
      </c>
      <c r="I309" s="16"/>
      <c r="J309" s="369">
        <f t="shared" si="115"/>
        <v>0</v>
      </c>
      <c r="K309" s="369">
        <f t="shared" si="115"/>
        <v>0</v>
      </c>
      <c r="L309" s="369">
        <f t="shared" si="115"/>
        <v>0</v>
      </c>
      <c r="M309" s="369">
        <f t="shared" si="115"/>
        <v>0</v>
      </c>
      <c r="N309" s="369">
        <f t="shared" si="115"/>
        <v>0</v>
      </c>
      <c r="O309" s="369">
        <f t="shared" si="115"/>
        <v>0</v>
      </c>
      <c r="P309" s="369">
        <f t="shared" si="115"/>
        <v>0</v>
      </c>
      <c r="Q309" s="369">
        <f t="shared" si="115"/>
        <v>0</v>
      </c>
      <c r="R309" s="369">
        <f t="shared" si="115"/>
        <v>0</v>
      </c>
      <c r="S309" s="369">
        <f t="shared" si="115"/>
        <v>0</v>
      </c>
      <c r="T309" s="16"/>
      <c r="U309" s="97">
        <f t="shared" si="111"/>
        <v>0</v>
      </c>
      <c r="V309" s="64"/>
      <c r="W309" s="643">
        <f t="shared" si="112"/>
        <v>0</v>
      </c>
    </row>
    <row r="310" spans="1:23" ht="15" x14ac:dyDescent="0.2">
      <c r="A310" s="45"/>
      <c r="B310" s="16">
        <f t="shared" si="108"/>
        <v>22</v>
      </c>
      <c r="C310" s="1" t="s">
        <v>78</v>
      </c>
      <c r="D310" s="1" t="s">
        <v>496</v>
      </c>
      <c r="E310" s="16"/>
      <c r="F310" s="97">
        <f>' WP II-I-1.4'!I310</f>
        <v>0</v>
      </c>
      <c r="G310" s="16">
        <v>6</v>
      </c>
      <c r="H310" s="26" t="str">
        <f t="shared" si="109"/>
        <v>CUS W ALL</v>
      </c>
      <c r="I310" s="16"/>
      <c r="J310" s="369">
        <f t="shared" si="115"/>
        <v>0</v>
      </c>
      <c r="K310" s="369">
        <f t="shared" si="115"/>
        <v>0</v>
      </c>
      <c r="L310" s="369">
        <f t="shared" si="115"/>
        <v>0</v>
      </c>
      <c r="M310" s="369">
        <f t="shared" si="115"/>
        <v>0</v>
      </c>
      <c r="N310" s="369">
        <f t="shared" si="115"/>
        <v>0</v>
      </c>
      <c r="O310" s="369">
        <f t="shared" si="115"/>
        <v>0</v>
      </c>
      <c r="P310" s="369">
        <f t="shared" si="115"/>
        <v>0</v>
      </c>
      <c r="Q310" s="369">
        <f t="shared" si="115"/>
        <v>0</v>
      </c>
      <c r="R310" s="369">
        <f t="shared" si="115"/>
        <v>0</v>
      </c>
      <c r="S310" s="369">
        <f t="shared" si="115"/>
        <v>0</v>
      </c>
      <c r="T310" s="16"/>
      <c r="U310" s="97">
        <f t="shared" si="111"/>
        <v>0</v>
      </c>
      <c r="V310" s="64"/>
      <c r="W310" s="643">
        <f t="shared" si="112"/>
        <v>0</v>
      </c>
    </row>
    <row r="311" spans="1:23" ht="15" x14ac:dyDescent="0.2">
      <c r="A311" s="45"/>
      <c r="B311" s="16">
        <f t="shared" si="108"/>
        <v>23</v>
      </c>
      <c r="C311" s="1" t="s">
        <v>80</v>
      </c>
      <c r="D311" s="1" t="s">
        <v>84</v>
      </c>
      <c r="E311" s="16"/>
      <c r="F311" s="97">
        <f>' WP II-I-1.4'!I311</f>
        <v>0</v>
      </c>
      <c r="G311" s="16">
        <v>33</v>
      </c>
      <c r="H311" s="26" t="str">
        <f t="shared" si="109"/>
        <v>NCP LGT</v>
      </c>
      <c r="I311" s="16"/>
      <c r="J311" s="370">
        <f t="shared" si="115"/>
        <v>0</v>
      </c>
      <c r="K311" s="370">
        <f t="shared" si="115"/>
        <v>0</v>
      </c>
      <c r="L311" s="370">
        <f t="shared" si="115"/>
        <v>0</v>
      </c>
      <c r="M311" s="370">
        <f t="shared" si="115"/>
        <v>0</v>
      </c>
      <c r="N311" s="370">
        <f t="shared" si="115"/>
        <v>0</v>
      </c>
      <c r="O311" s="370">
        <f t="shared" si="115"/>
        <v>0</v>
      </c>
      <c r="P311" s="370">
        <f t="shared" si="115"/>
        <v>0</v>
      </c>
      <c r="Q311" s="370">
        <f t="shared" si="115"/>
        <v>0</v>
      </c>
      <c r="R311" s="370">
        <f t="shared" si="115"/>
        <v>0</v>
      </c>
      <c r="S311" s="370">
        <f t="shared" si="115"/>
        <v>0</v>
      </c>
      <c r="T311" s="16"/>
      <c r="U311" s="97">
        <f t="shared" si="111"/>
        <v>0</v>
      </c>
      <c r="V311" s="64"/>
      <c r="W311" s="643">
        <f t="shared" si="112"/>
        <v>0</v>
      </c>
    </row>
    <row r="312" spans="1:23" ht="15.75" x14ac:dyDescent="0.25">
      <c r="A312" s="45"/>
      <c r="B312" s="16">
        <f t="shared" si="108"/>
        <v>24</v>
      </c>
      <c r="C312" s="64"/>
      <c r="D312" s="233" t="s">
        <v>444</v>
      </c>
      <c r="E312" s="121"/>
      <c r="F312" s="21">
        <f>SUM(F290:F311)</f>
        <v>108843000.56</v>
      </c>
      <c r="G312" s="121"/>
      <c r="H312" s="121"/>
      <c r="I312" s="121"/>
      <c r="J312" s="805">
        <f t="shared" ref="J312:Q312" ca="1" si="116">SUM(J290:J311)</f>
        <v>53651319.551503122</v>
      </c>
      <c r="K312" s="805">
        <f t="shared" ca="1" si="116"/>
        <v>7486117.654121005</v>
      </c>
      <c r="L312" s="805">
        <f t="shared" ca="1" si="116"/>
        <v>29258550.042154443</v>
      </c>
      <c r="M312" s="805">
        <f t="shared" ca="1" si="116"/>
        <v>1230765.9714946523</v>
      </c>
      <c r="N312" s="805">
        <f t="shared" ca="1" si="116"/>
        <v>9474066.1156323459</v>
      </c>
      <c r="O312" s="805">
        <f ca="1">SUM(O290:O311)</f>
        <v>310851.25826071471</v>
      </c>
      <c r="P312" s="805">
        <f t="shared" ca="1" si="116"/>
        <v>648401.39759903704</v>
      </c>
      <c r="Q312" s="805">
        <f t="shared" ca="1" si="116"/>
        <v>6661455.8344850074</v>
      </c>
      <c r="R312" s="805">
        <f ca="1">SUM(R290:R311)</f>
        <v>34327.132814066666</v>
      </c>
      <c r="S312" s="805">
        <f ca="1">SUM(S290:S311)</f>
        <v>87145.601935603292</v>
      </c>
      <c r="T312" s="121"/>
      <c r="U312" s="235">
        <f t="shared" ca="1" si="111"/>
        <v>108843000.55999999</v>
      </c>
      <c r="V312" s="64"/>
      <c r="W312" s="643">
        <f t="shared" ca="1" si="112"/>
        <v>0</v>
      </c>
    </row>
    <row r="313" spans="1:23" ht="15" x14ac:dyDescent="0.2">
      <c r="A313" s="45"/>
      <c r="B313" s="16">
        <f t="shared" si="108"/>
        <v>25</v>
      </c>
      <c r="C313" s="64"/>
      <c r="D313" s="1"/>
      <c r="E313" s="16"/>
      <c r="F313" s="18"/>
      <c r="G313" s="16"/>
      <c r="H313" s="16"/>
      <c r="I313" s="1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6"/>
      <c r="U313" s="1"/>
      <c r="V313" s="64"/>
      <c r="W313" s="643">
        <f t="shared" si="112"/>
        <v>0</v>
      </c>
    </row>
    <row r="314" spans="1:23" ht="15.75" x14ac:dyDescent="0.25">
      <c r="A314" s="45"/>
      <c r="B314" s="16">
        <f t="shared" si="108"/>
        <v>26</v>
      </c>
      <c r="C314" s="64"/>
      <c r="D314" s="233" t="s">
        <v>519</v>
      </c>
      <c r="E314" s="16"/>
      <c r="F314" s="21">
        <f>SUM(F296:F297)</f>
        <v>0</v>
      </c>
      <c r="G314" s="16"/>
      <c r="H314" s="16"/>
      <c r="I314" s="16"/>
      <c r="J314" s="805">
        <f t="shared" ref="J314:Q314" si="117">SUM(J296:J297)</f>
        <v>0</v>
      </c>
      <c r="K314" s="805">
        <f t="shared" si="117"/>
        <v>0</v>
      </c>
      <c r="L314" s="805">
        <f t="shared" si="117"/>
        <v>0</v>
      </c>
      <c r="M314" s="805">
        <f t="shared" si="117"/>
        <v>0</v>
      </c>
      <c r="N314" s="805">
        <f t="shared" si="117"/>
        <v>0</v>
      </c>
      <c r="O314" s="805">
        <f>SUM(O296:O297)</f>
        <v>0</v>
      </c>
      <c r="P314" s="805">
        <f t="shared" si="117"/>
        <v>0</v>
      </c>
      <c r="Q314" s="805">
        <f t="shared" si="117"/>
        <v>0</v>
      </c>
      <c r="R314" s="805">
        <f>SUM(R296:R297)</f>
        <v>0</v>
      </c>
      <c r="S314" s="805">
        <f>SUM(S296:S297)</f>
        <v>0</v>
      </c>
      <c r="T314" s="16"/>
      <c r="U314" s="235">
        <f>SUM(I314:T314)</f>
        <v>0</v>
      </c>
      <c r="V314" s="64"/>
      <c r="W314" s="643">
        <f t="shared" si="112"/>
        <v>0</v>
      </c>
    </row>
    <row r="315" spans="1:23" ht="15.75" x14ac:dyDescent="0.25">
      <c r="A315" s="45"/>
      <c r="B315" s="16">
        <f t="shared" si="108"/>
        <v>27</v>
      </c>
      <c r="C315" s="64"/>
      <c r="D315" s="233" t="s">
        <v>520</v>
      </c>
      <c r="E315" s="16"/>
      <c r="F315" s="21">
        <f>SUM(F298:F299)</f>
        <v>0</v>
      </c>
      <c r="G315" s="16"/>
      <c r="H315" s="16"/>
      <c r="I315" s="16"/>
      <c r="J315" s="805">
        <f t="shared" ref="J315:Q315" si="118">SUM(J298:J299)</f>
        <v>0</v>
      </c>
      <c r="K315" s="805">
        <f t="shared" si="118"/>
        <v>0</v>
      </c>
      <c r="L315" s="805">
        <f t="shared" si="118"/>
        <v>0</v>
      </c>
      <c r="M315" s="805">
        <f t="shared" si="118"/>
        <v>0</v>
      </c>
      <c r="N315" s="805">
        <f t="shared" si="118"/>
        <v>0</v>
      </c>
      <c r="O315" s="805">
        <f>SUM(O298:O299)</f>
        <v>0</v>
      </c>
      <c r="P315" s="805">
        <f t="shared" si="118"/>
        <v>0</v>
      </c>
      <c r="Q315" s="805">
        <f t="shared" si="118"/>
        <v>0</v>
      </c>
      <c r="R315" s="805">
        <f>SUM(R298:R299)</f>
        <v>0</v>
      </c>
      <c r="S315" s="805">
        <f>SUM(S298:S299)</f>
        <v>0</v>
      </c>
      <c r="T315" s="16"/>
      <c r="U315" s="235">
        <f>SUM(I315:T315)</f>
        <v>0</v>
      </c>
      <c r="V315" s="64"/>
      <c r="W315" s="643">
        <f t="shared" si="112"/>
        <v>0</v>
      </c>
    </row>
    <row r="316" spans="1:23" ht="15.75" x14ac:dyDescent="0.25">
      <c r="A316" s="45"/>
      <c r="B316" s="16">
        <f t="shared" si="108"/>
        <v>28</v>
      </c>
      <c r="C316" s="64"/>
      <c r="D316" s="233" t="s">
        <v>521</v>
      </c>
      <c r="E316" s="16"/>
      <c r="F316" s="21">
        <f>SUM(F300:F301)</f>
        <v>0</v>
      </c>
      <c r="G316" s="16"/>
      <c r="H316" s="16"/>
      <c r="I316" s="16"/>
      <c r="J316" s="805">
        <f t="shared" ref="J316:Q316" si="119">SUM(J300:J301)</f>
        <v>0</v>
      </c>
      <c r="K316" s="805">
        <f t="shared" si="119"/>
        <v>0</v>
      </c>
      <c r="L316" s="805">
        <f t="shared" si="119"/>
        <v>0</v>
      </c>
      <c r="M316" s="805">
        <f t="shared" si="119"/>
        <v>0</v>
      </c>
      <c r="N316" s="805">
        <f t="shared" si="119"/>
        <v>0</v>
      </c>
      <c r="O316" s="805">
        <f>SUM(O300:O301)</f>
        <v>0</v>
      </c>
      <c r="P316" s="805">
        <f t="shared" si="119"/>
        <v>0</v>
      </c>
      <c r="Q316" s="805">
        <f t="shared" si="119"/>
        <v>0</v>
      </c>
      <c r="R316" s="805">
        <f>SUM(R300:R301)</f>
        <v>0</v>
      </c>
      <c r="S316" s="805">
        <f>SUM(S300:S301)</f>
        <v>0</v>
      </c>
      <c r="T316" s="16"/>
      <c r="U316" s="235">
        <f>SUM(I316:T316)</f>
        <v>0</v>
      </c>
      <c r="V316" s="64"/>
      <c r="W316" s="643">
        <f t="shared" si="112"/>
        <v>0</v>
      </c>
    </row>
    <row r="317" spans="1:23" ht="15.75" x14ac:dyDescent="0.25">
      <c r="A317" s="45"/>
      <c r="B317" s="16">
        <f t="shared" si="108"/>
        <v>29</v>
      </c>
      <c r="C317" s="64"/>
      <c r="D317" s="233" t="s">
        <v>522</v>
      </c>
      <c r="E317" s="16"/>
      <c r="F317" s="21">
        <f>SUM(F302:F303)</f>
        <v>0</v>
      </c>
      <c r="G317" s="16"/>
      <c r="H317" s="16"/>
      <c r="I317" s="16"/>
      <c r="J317" s="21">
        <f t="shared" ref="J317:Q317" si="120">SUM(J302:J303)</f>
        <v>0</v>
      </c>
      <c r="K317" s="21">
        <f t="shared" si="120"/>
        <v>0</v>
      </c>
      <c r="L317" s="21">
        <f t="shared" si="120"/>
        <v>0</v>
      </c>
      <c r="M317" s="21">
        <f t="shared" si="120"/>
        <v>0</v>
      </c>
      <c r="N317" s="21">
        <f t="shared" si="120"/>
        <v>0</v>
      </c>
      <c r="O317" s="21">
        <f>SUM(O302:O303)</f>
        <v>0</v>
      </c>
      <c r="P317" s="21">
        <f t="shared" si="120"/>
        <v>0</v>
      </c>
      <c r="Q317" s="21">
        <f t="shared" si="120"/>
        <v>0</v>
      </c>
      <c r="R317" s="21">
        <f>SUM(R302:R303)</f>
        <v>0</v>
      </c>
      <c r="S317" s="21">
        <f>SUM(S302:S303)</f>
        <v>0</v>
      </c>
      <c r="T317" s="16"/>
      <c r="U317" s="235">
        <f>SUM(I317:T317)</f>
        <v>0</v>
      </c>
      <c r="V317" s="64"/>
      <c r="W317" s="643">
        <f t="shared" si="112"/>
        <v>0</v>
      </c>
    </row>
    <row r="318" spans="1:23" ht="15.75" x14ac:dyDescent="0.25">
      <c r="A318" s="45"/>
      <c r="B318" s="16">
        <f t="shared" si="108"/>
        <v>30</v>
      </c>
      <c r="C318" s="64"/>
      <c r="D318" s="233" t="s">
        <v>523</v>
      </c>
      <c r="E318" s="16"/>
      <c r="F318" s="21">
        <f>SUM(F304:F306)</f>
        <v>0</v>
      </c>
      <c r="G318" s="16"/>
      <c r="H318" s="16"/>
      <c r="I318" s="16"/>
      <c r="J318" s="21">
        <f t="shared" ref="J318:Q318" si="121">SUM(J304:J306)</f>
        <v>0</v>
      </c>
      <c r="K318" s="21">
        <f t="shared" si="121"/>
        <v>0</v>
      </c>
      <c r="L318" s="21">
        <f t="shared" si="121"/>
        <v>0</v>
      </c>
      <c r="M318" s="21">
        <f t="shared" si="121"/>
        <v>0</v>
      </c>
      <c r="N318" s="21">
        <f t="shared" si="121"/>
        <v>0</v>
      </c>
      <c r="O318" s="21">
        <f>SUM(O304:O306)</f>
        <v>0</v>
      </c>
      <c r="P318" s="21">
        <f t="shared" si="121"/>
        <v>0</v>
      </c>
      <c r="Q318" s="21">
        <f t="shared" si="121"/>
        <v>0</v>
      </c>
      <c r="R318" s="21">
        <f>SUM(R304:R306)</f>
        <v>0</v>
      </c>
      <c r="S318" s="21">
        <f>SUM(S304:S306)</f>
        <v>0</v>
      </c>
      <c r="T318" s="16"/>
      <c r="U318" s="235">
        <f>SUM(I318:T318)</f>
        <v>0</v>
      </c>
      <c r="V318" s="64"/>
      <c r="W318" s="643">
        <f t="shared" si="112"/>
        <v>0</v>
      </c>
    </row>
    <row r="319" spans="1:23" ht="6.95" customHeight="1" thickBot="1" x14ac:dyDescent="0.25">
      <c r="A319" s="45"/>
      <c r="B319" s="16">
        <f t="shared" si="108"/>
        <v>31</v>
      </c>
      <c r="C319" s="64"/>
      <c r="D319" s="1"/>
      <c r="E319" s="16"/>
      <c r="F319" s="18"/>
      <c r="G319" s="16"/>
      <c r="H319" s="16"/>
      <c r="I319" s="1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6"/>
      <c r="U319" s="1"/>
      <c r="V319" s="64"/>
      <c r="W319" s="643">
        <f t="shared" si="112"/>
        <v>0</v>
      </c>
    </row>
    <row r="320" spans="1:23" ht="15.75" x14ac:dyDescent="0.25">
      <c r="A320" s="45"/>
      <c r="B320" s="16">
        <f t="shared" si="108"/>
        <v>32</v>
      </c>
      <c r="C320" s="239" t="s">
        <v>526</v>
      </c>
      <c r="D320" s="240"/>
      <c r="E320" s="241" t="s">
        <v>24</v>
      </c>
      <c r="F320" s="242">
        <f>F261+F276+F312</f>
        <v>108896864.06</v>
      </c>
      <c r="G320" s="241"/>
      <c r="H320" s="372"/>
      <c r="I320" s="373"/>
      <c r="J320" s="374">
        <f t="shared" ref="J320:Q320" ca="1" si="122">J261+J276+J312</f>
        <v>53677870.159588106</v>
      </c>
      <c r="K320" s="817">
        <f t="shared" ca="1" si="122"/>
        <v>7489822.3342215912</v>
      </c>
      <c r="L320" s="817">
        <f t="shared" ca="1" si="122"/>
        <v>29273029.318746299</v>
      </c>
      <c r="M320" s="817">
        <f t="shared" ca="1" si="122"/>
        <v>1231375.0447705132</v>
      </c>
      <c r="N320" s="817">
        <f t="shared" ca="1" si="122"/>
        <v>9478754.5784420241</v>
      </c>
      <c r="O320" s="817">
        <f ca="1">O261+O276+O312</f>
        <v>311005.0902633532</v>
      </c>
      <c r="P320" s="817">
        <f t="shared" ca="1" si="122"/>
        <v>648722.27416895784</v>
      </c>
      <c r="Q320" s="817">
        <f t="shared" ca="1" si="122"/>
        <v>6664752.4114306513</v>
      </c>
      <c r="R320" s="817">
        <f ca="1">R261+R276+R312</f>
        <v>34344.120397180115</v>
      </c>
      <c r="S320" s="566">
        <f ca="1">S261+S276+S312</f>
        <v>87188.727971321787</v>
      </c>
      <c r="T320" s="373"/>
      <c r="U320" s="243">
        <f ca="1">SUM(I320:T320)</f>
        <v>108896864.05999999</v>
      </c>
      <c r="V320" s="64"/>
      <c r="W320" s="643">
        <f t="shared" ca="1" si="112"/>
        <v>0</v>
      </c>
    </row>
    <row r="321" spans="1:23" ht="16.5" thickBot="1" x14ac:dyDescent="0.3">
      <c r="A321" s="45"/>
      <c r="B321" s="16">
        <f t="shared" si="108"/>
        <v>33</v>
      </c>
      <c r="C321" s="245" t="s">
        <v>527</v>
      </c>
      <c r="D321" s="246"/>
      <c r="E321" s="247" t="s">
        <v>24</v>
      </c>
      <c r="F321" s="248">
        <f>F276+F312</f>
        <v>108843000.56</v>
      </c>
      <c r="G321" s="247"/>
      <c r="H321" s="375"/>
      <c r="I321" s="376"/>
      <c r="J321" s="377">
        <f t="shared" ref="J321:Q321" ca="1" si="123">J276+J312</f>
        <v>53651319.551503122</v>
      </c>
      <c r="K321" s="248">
        <f t="shared" ca="1" si="123"/>
        <v>7486117.654121005</v>
      </c>
      <c r="L321" s="248">
        <f t="shared" ca="1" si="123"/>
        <v>29258550.042154443</v>
      </c>
      <c r="M321" s="248">
        <f t="shared" ca="1" si="123"/>
        <v>1230765.9714946523</v>
      </c>
      <c r="N321" s="248">
        <f t="shared" ca="1" si="123"/>
        <v>9474066.1156323459</v>
      </c>
      <c r="O321" s="248">
        <f ca="1">O276+O312</f>
        <v>310851.25826071471</v>
      </c>
      <c r="P321" s="248">
        <f t="shared" ca="1" si="123"/>
        <v>648401.39759903704</v>
      </c>
      <c r="Q321" s="248">
        <f t="shared" ca="1" si="123"/>
        <v>6661455.8344850074</v>
      </c>
      <c r="R321" s="248">
        <f ca="1">R276+R312</f>
        <v>34327.132814066666</v>
      </c>
      <c r="S321" s="378">
        <f ca="1">S276+S312</f>
        <v>87145.601935603292</v>
      </c>
      <c r="T321" s="376"/>
      <c r="U321" s="249">
        <f ca="1">SUM(I321:T321)</f>
        <v>108843000.55999999</v>
      </c>
      <c r="V321" s="64"/>
      <c r="W321" s="643">
        <f t="shared" ca="1" si="112"/>
        <v>0</v>
      </c>
    </row>
    <row r="322" spans="1:23" ht="6.95" customHeight="1" thickBot="1" x14ac:dyDescent="0.3">
      <c r="A322" s="45"/>
      <c r="B322" s="16">
        <f t="shared" si="108"/>
        <v>34</v>
      </c>
      <c r="C322" s="8"/>
      <c r="D322" s="8"/>
      <c r="E322" s="19"/>
      <c r="F322" s="21"/>
      <c r="G322" s="19"/>
      <c r="H322" s="19"/>
      <c r="I322" s="19"/>
      <c r="J322" s="21"/>
      <c r="K322" s="21"/>
      <c r="L322" s="805"/>
      <c r="M322" s="805"/>
      <c r="N322" s="21"/>
      <c r="O322" s="21"/>
      <c r="P322" s="21"/>
      <c r="Q322" s="21"/>
      <c r="R322" s="21"/>
      <c r="S322" s="21"/>
      <c r="T322" s="19"/>
      <c r="U322" s="21"/>
      <c r="V322" s="64"/>
      <c r="W322" s="643">
        <f t="shared" si="112"/>
        <v>0</v>
      </c>
    </row>
    <row r="323" spans="1:23" ht="15.75" x14ac:dyDescent="0.25">
      <c r="A323" s="45"/>
      <c r="B323" s="16">
        <f t="shared" si="108"/>
        <v>35</v>
      </c>
      <c r="C323" s="255" t="s">
        <v>528</v>
      </c>
      <c r="D323" s="240"/>
      <c r="E323" s="256"/>
      <c r="F323" s="242">
        <f>F106-F261</f>
        <v>91462.5</v>
      </c>
      <c r="G323" s="256"/>
      <c r="H323" s="383"/>
      <c r="I323" s="384"/>
      <c r="J323" s="374">
        <f t="shared" ref="J323:S323" ca="1" si="124">J106-J261</f>
        <v>45084.054916092748</v>
      </c>
      <c r="K323" s="817">
        <f t="shared" ca="1" si="124"/>
        <v>6290.7034206816097</v>
      </c>
      <c r="L323" s="817">
        <f t="shared" ca="1" si="124"/>
        <v>24586.423743025767</v>
      </c>
      <c r="M323" s="817">
        <f t="shared" ca="1" si="124"/>
        <v>1034.2321700859002</v>
      </c>
      <c r="N323" s="817">
        <f t="shared" ca="1" si="124"/>
        <v>7961.208048682478</v>
      </c>
      <c r="O323" s="817">
        <f t="shared" ca="1" si="124"/>
        <v>261.21324350110899</v>
      </c>
      <c r="P323" s="817">
        <f t="shared" ca="1" si="124"/>
        <v>544.86198030906189</v>
      </c>
      <c r="Q323" s="817">
        <f t="shared" ca="1" si="124"/>
        <v>5597.7270116301243</v>
      </c>
      <c r="R323" s="817">
        <f t="shared" ca="1" si="124"/>
        <v>28.845634251656218</v>
      </c>
      <c r="S323" s="566">
        <f t="shared" ca="1" si="124"/>
        <v>73.229831739536877</v>
      </c>
      <c r="T323" s="384"/>
      <c r="U323" s="243">
        <f ca="1">SUM(I323:T323)</f>
        <v>91462.5</v>
      </c>
      <c r="V323" s="64"/>
      <c r="W323" s="643">
        <f t="shared" ca="1" si="112"/>
        <v>0</v>
      </c>
    </row>
    <row r="324" spans="1:23" ht="15.75" x14ac:dyDescent="0.25">
      <c r="A324" s="45"/>
      <c r="B324" s="16">
        <f t="shared" si="108"/>
        <v>36</v>
      </c>
      <c r="C324" s="173" t="s">
        <v>529</v>
      </c>
      <c r="D324" s="225"/>
      <c r="E324" s="257"/>
      <c r="F324" s="258">
        <f>F121-F276</f>
        <v>0</v>
      </c>
      <c r="G324" s="257"/>
      <c r="H324" s="385"/>
      <c r="I324" s="386"/>
      <c r="J324" s="567">
        <f t="shared" ref="J324:S324" ca="1" si="125">J121-J276</f>
        <v>0</v>
      </c>
      <c r="K324" s="258">
        <f t="shared" ca="1" si="125"/>
        <v>0</v>
      </c>
      <c r="L324" s="258">
        <f t="shared" ca="1" si="125"/>
        <v>0</v>
      </c>
      <c r="M324" s="258">
        <f t="shared" ca="1" si="125"/>
        <v>0</v>
      </c>
      <c r="N324" s="258">
        <f t="shared" ca="1" si="125"/>
        <v>0</v>
      </c>
      <c r="O324" s="258">
        <f t="shared" ca="1" si="125"/>
        <v>0</v>
      </c>
      <c r="P324" s="258">
        <f t="shared" ca="1" si="125"/>
        <v>0</v>
      </c>
      <c r="Q324" s="258">
        <f t="shared" ca="1" si="125"/>
        <v>0</v>
      </c>
      <c r="R324" s="258">
        <f t="shared" ca="1" si="125"/>
        <v>0</v>
      </c>
      <c r="S324" s="259">
        <f t="shared" ca="1" si="125"/>
        <v>0</v>
      </c>
      <c r="T324" s="386"/>
      <c r="U324" s="259">
        <f ca="1">SUM(I324:T324)</f>
        <v>0</v>
      </c>
      <c r="V324" s="64"/>
      <c r="W324" s="643">
        <f t="shared" ca="1" si="112"/>
        <v>0</v>
      </c>
    </row>
    <row r="325" spans="1:23" ht="15.75" x14ac:dyDescent="0.25">
      <c r="A325" s="45"/>
      <c r="B325" s="16">
        <f t="shared" si="108"/>
        <v>37</v>
      </c>
      <c r="C325" s="173" t="s">
        <v>530</v>
      </c>
      <c r="D325" s="225"/>
      <c r="E325" s="257"/>
      <c r="F325" s="258">
        <f>F159-F312</f>
        <v>226030235.11999995</v>
      </c>
      <c r="G325" s="257"/>
      <c r="H325" s="385"/>
      <c r="I325" s="386"/>
      <c r="J325" s="567">
        <f t="shared" ref="J325:Q325" ca="1" si="126">J159-J312</f>
        <v>111415711.71624911</v>
      </c>
      <c r="K325" s="258">
        <f t="shared" ca="1" si="126"/>
        <v>15546143.755603142</v>
      </c>
      <c r="L325" s="258">
        <f t="shared" ca="1" si="126"/>
        <v>60760149.125554875</v>
      </c>
      <c r="M325" s="258">
        <f t="shared" ca="1" si="126"/>
        <v>2555886.1891287006</v>
      </c>
      <c r="N325" s="258">
        <f t="shared" ca="1" si="126"/>
        <v>19674442.827201709</v>
      </c>
      <c r="O325" s="258">
        <f ca="1">O159-O312</f>
        <v>645533.31523863284</v>
      </c>
      <c r="P325" s="258">
        <f t="shared" ca="1" si="126"/>
        <v>1346511.2097002161</v>
      </c>
      <c r="Q325" s="258">
        <f t="shared" ca="1" si="126"/>
        <v>13833599.044158338</v>
      </c>
      <c r="R325" s="258">
        <f ca="1">R159-R312</f>
        <v>71285.887572364387</v>
      </c>
      <c r="S325" s="259">
        <f ca="1">S159-S312</f>
        <v>180972.04959284462</v>
      </c>
      <c r="T325" s="386"/>
      <c r="U325" s="261">
        <f ca="1">SUM(I325:T325)</f>
        <v>226030235.11999995</v>
      </c>
      <c r="V325" s="64"/>
      <c r="W325" s="643">
        <f t="shared" ca="1" si="112"/>
        <v>0</v>
      </c>
    </row>
    <row r="326" spans="1:23" ht="15.75" x14ac:dyDescent="0.25">
      <c r="A326" s="45"/>
      <c r="B326" s="16">
        <f t="shared" si="108"/>
        <v>38</v>
      </c>
      <c r="C326" s="173" t="s">
        <v>531</v>
      </c>
      <c r="D326" s="225"/>
      <c r="E326" s="257"/>
      <c r="F326" s="258">
        <f>SUM(F324:F325)</f>
        <v>226030235.11999995</v>
      </c>
      <c r="G326" s="257"/>
      <c r="H326" s="385"/>
      <c r="I326" s="386"/>
      <c r="J326" s="567">
        <f t="shared" ref="J326:Q326" ca="1" si="127">SUM(J324:J325)</f>
        <v>111415711.71624911</v>
      </c>
      <c r="K326" s="258">
        <f t="shared" ca="1" si="127"/>
        <v>15546143.755603142</v>
      </c>
      <c r="L326" s="258">
        <f t="shared" ca="1" si="127"/>
        <v>60760149.125554875</v>
      </c>
      <c r="M326" s="258">
        <f t="shared" ca="1" si="127"/>
        <v>2555886.1891287006</v>
      </c>
      <c r="N326" s="258">
        <f t="shared" ca="1" si="127"/>
        <v>19674442.827201709</v>
      </c>
      <c r="O326" s="258">
        <f ca="1">SUM(O324:O325)</f>
        <v>645533.31523863284</v>
      </c>
      <c r="P326" s="258">
        <f t="shared" ca="1" si="127"/>
        <v>1346511.2097002161</v>
      </c>
      <c r="Q326" s="258">
        <f t="shared" ca="1" si="127"/>
        <v>13833599.044158338</v>
      </c>
      <c r="R326" s="258">
        <f ca="1">SUM(R324:R325)</f>
        <v>71285.887572364387</v>
      </c>
      <c r="S326" s="259">
        <f ca="1">SUM(S324:S325)</f>
        <v>180972.04959284462</v>
      </c>
      <c r="T326" s="386"/>
      <c r="U326" s="261">
        <f ca="1">SUM(I326:T326)</f>
        <v>226030235.11999995</v>
      </c>
      <c r="V326" s="64"/>
      <c r="W326" s="643">
        <f t="shared" ca="1" si="112"/>
        <v>0</v>
      </c>
    </row>
    <row r="327" spans="1:23" ht="16.5" thickBot="1" x14ac:dyDescent="0.3">
      <c r="A327" s="45"/>
      <c r="B327" s="16">
        <f t="shared" si="108"/>
        <v>39</v>
      </c>
      <c r="C327" s="262" t="s">
        <v>532</v>
      </c>
      <c r="D327" s="246"/>
      <c r="E327" s="263"/>
      <c r="F327" s="248">
        <f>SUM(F323:F325)</f>
        <v>226121697.61999995</v>
      </c>
      <c r="G327" s="263"/>
      <c r="H327" s="387"/>
      <c r="I327" s="388"/>
      <c r="J327" s="377">
        <f t="shared" ref="J327:Q327" ca="1" si="128">SUM(J323:J325)</f>
        <v>111460795.77116521</v>
      </c>
      <c r="K327" s="248">
        <f t="shared" ca="1" si="128"/>
        <v>15552434.459023824</v>
      </c>
      <c r="L327" s="248">
        <f t="shared" ca="1" si="128"/>
        <v>60784735.549297899</v>
      </c>
      <c r="M327" s="248">
        <f t="shared" ca="1" si="128"/>
        <v>2556920.4212987865</v>
      </c>
      <c r="N327" s="248">
        <f t="shared" ca="1" si="128"/>
        <v>19682404.035250392</v>
      </c>
      <c r="O327" s="248">
        <f ca="1">SUM(O323:O325)</f>
        <v>645794.52848213399</v>
      </c>
      <c r="P327" s="248">
        <f t="shared" ca="1" si="128"/>
        <v>1347056.0716805251</v>
      </c>
      <c r="Q327" s="248">
        <f t="shared" ca="1" si="128"/>
        <v>13839196.771169968</v>
      </c>
      <c r="R327" s="248">
        <f ca="1">SUM(R323:R325)</f>
        <v>71314.733206616045</v>
      </c>
      <c r="S327" s="378">
        <f ca="1">SUM(S323:S325)</f>
        <v>181045.27942458415</v>
      </c>
      <c r="T327" s="388"/>
      <c r="U327" s="249">
        <f ca="1">SUM(I327:T327)</f>
        <v>226121697.61999992</v>
      </c>
      <c r="V327" s="64"/>
      <c r="W327" s="643">
        <f t="shared" ca="1" si="112"/>
        <v>0</v>
      </c>
    </row>
    <row r="328" spans="1:23" ht="8.4499999999999993" customHeight="1" x14ac:dyDescent="0.2">
      <c r="A328" s="45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W328" s="138"/>
    </row>
    <row r="329" spans="1:23" ht="8.4499999999999993" customHeight="1" x14ac:dyDescent="0.2">
      <c r="A329" s="45"/>
      <c r="B329" s="16"/>
      <c r="C329" s="1"/>
      <c r="D329" s="1"/>
      <c r="E329" s="16"/>
      <c r="F329" s="17"/>
      <c r="G329" s="16"/>
      <c r="H329" s="105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05"/>
      <c r="V329" s="105">
        <f>$H$2</f>
        <v>0</v>
      </c>
      <c r="W329" s="138"/>
    </row>
    <row r="330" spans="1:23" ht="6" customHeight="1" thickBot="1" x14ac:dyDescent="0.25">
      <c r="A330" s="45"/>
      <c r="B330" s="16"/>
      <c r="C330" s="1"/>
      <c r="D330" s="1"/>
      <c r="E330" s="16"/>
      <c r="F330" s="1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"/>
      <c r="V330" s="64"/>
      <c r="W330" s="138"/>
    </row>
    <row r="331" spans="1:23" ht="15.75" x14ac:dyDescent="0.25">
      <c r="A331" s="45"/>
      <c r="B331" s="829" t="str">
        <f>+$B$4</f>
        <v>2025 RATE CASE</v>
      </c>
      <c r="C331" s="844"/>
      <c r="D331" s="547"/>
      <c r="F331" s="11"/>
      <c r="U331" s="105"/>
      <c r="W331" s="138"/>
    </row>
    <row r="332" spans="1:23" ht="15.75" x14ac:dyDescent="0.25">
      <c r="A332" s="45"/>
      <c r="B332" s="826" t="str">
        <f>+$B$5</f>
        <v>ONCOR ELECTRIC DELIVERY COMPANY LLC</v>
      </c>
      <c r="C332" s="8"/>
      <c r="D332" s="548"/>
      <c r="F332" s="11"/>
      <c r="U332" s="105"/>
      <c r="V332" s="64"/>
      <c r="W332" s="138"/>
    </row>
    <row r="333" spans="1:23" ht="15.75" x14ac:dyDescent="0.25">
      <c r="A333" s="45"/>
      <c r="B333" s="826" t="str">
        <f>+$B$6</f>
        <v>II-I-1-TBILLTDCS:  CLASS REVENUE REQUIREMENT</v>
      </c>
      <c r="C333" s="82"/>
      <c r="D333" s="548"/>
      <c r="F333" s="11"/>
      <c r="U333" s="11"/>
      <c r="V333" s="64"/>
      <c r="W333" s="138"/>
    </row>
    <row r="334" spans="1:23" ht="15.75" x14ac:dyDescent="0.25">
      <c r="A334" s="45"/>
      <c r="B334" s="341" t="str">
        <f>+$B$7</f>
        <v>TEST YEAR ENDING 12/31/2024</v>
      </c>
      <c r="C334" s="82"/>
      <c r="D334" s="548"/>
      <c r="F334" s="11"/>
      <c r="U334" s="11"/>
      <c r="V334" s="64"/>
      <c r="W334" s="138"/>
    </row>
    <row r="335" spans="1:23" ht="15.75" x14ac:dyDescent="0.25">
      <c r="A335" s="45"/>
      <c r="B335" s="341" t="str">
        <f>+$B$8</f>
        <v>SPONSOR:  MATTHEW A. TROXLE</v>
      </c>
      <c r="C335" s="82"/>
      <c r="D335" s="548"/>
      <c r="F335" s="11"/>
      <c r="U335" s="11"/>
      <c r="V335" s="64"/>
      <c r="W335" s="138"/>
    </row>
    <row r="336" spans="1:23" ht="16.5" thickBot="1" x14ac:dyDescent="0.3">
      <c r="A336" s="45"/>
      <c r="B336" s="345"/>
      <c r="C336" s="843"/>
      <c r="D336" s="549"/>
      <c r="F336" s="11"/>
      <c r="U336" s="11"/>
      <c r="V336" s="64"/>
      <c r="W336" s="138"/>
    </row>
    <row r="337" spans="1:23" ht="15.75" thickBot="1" x14ac:dyDescent="0.25">
      <c r="A337" s="45"/>
      <c r="B337" s="12"/>
      <c r="C337" s="13"/>
      <c r="D337" s="13"/>
      <c r="E337" s="13"/>
      <c r="F337" s="12"/>
      <c r="G337" s="13"/>
      <c r="H337" s="13"/>
      <c r="I337" s="13"/>
      <c r="J337" s="177"/>
      <c r="K337" s="177"/>
      <c r="L337" s="13"/>
      <c r="M337" s="177"/>
      <c r="N337" s="177"/>
      <c r="O337" s="177"/>
      <c r="P337" s="177"/>
      <c r="Q337" s="13"/>
      <c r="R337" s="328" t="str">
        <f>R$10</f>
        <v xml:space="preserve"> </v>
      </c>
      <c r="S337" s="329"/>
      <c r="T337" s="177"/>
      <c r="U337" s="12"/>
      <c r="V337" s="64"/>
      <c r="W337" s="138"/>
    </row>
    <row r="338" spans="1:23" ht="15.75" x14ac:dyDescent="0.25">
      <c r="A338" s="45"/>
      <c r="B338" s="14" t="s">
        <v>2</v>
      </c>
      <c r="C338" s="14" t="s">
        <v>349</v>
      </c>
      <c r="D338" s="226" t="s">
        <v>533</v>
      </c>
      <c r="E338" s="14" t="s">
        <v>350</v>
      </c>
      <c r="F338" s="226" t="str">
        <f>F$11</f>
        <v>TBILLTDCS</v>
      </c>
      <c r="G338" s="181" t="s">
        <v>688</v>
      </c>
      <c r="H338" s="181" t="s">
        <v>355</v>
      </c>
      <c r="I338" s="14"/>
      <c r="J338" s="181" t="s">
        <v>679</v>
      </c>
      <c r="K338" s="181" t="s">
        <v>388</v>
      </c>
      <c r="L338" s="14" t="s">
        <v>388</v>
      </c>
      <c r="M338" s="181" t="s">
        <v>389</v>
      </c>
      <c r="N338" s="181" t="s">
        <v>389</v>
      </c>
      <c r="O338" s="181" t="s">
        <v>389</v>
      </c>
      <c r="P338" s="181" t="s">
        <v>390</v>
      </c>
      <c r="Q338" s="14" t="s">
        <v>391</v>
      </c>
      <c r="R338" s="331" t="str">
        <f>R$11</f>
        <v>Wholesale</v>
      </c>
      <c r="S338" s="12" t="str">
        <f>S$11</f>
        <v>Wholesale</v>
      </c>
      <c r="T338" s="181"/>
      <c r="U338" s="14" t="s">
        <v>10</v>
      </c>
      <c r="V338" s="64"/>
      <c r="W338" s="138"/>
    </row>
    <row r="339" spans="1:23" ht="15" x14ac:dyDescent="0.2">
      <c r="A339" s="45"/>
      <c r="B339" s="14"/>
      <c r="C339" s="14"/>
      <c r="D339" s="14"/>
      <c r="E339" s="14"/>
      <c r="F339" s="14"/>
      <c r="G339" s="181" t="s">
        <v>689</v>
      </c>
      <c r="H339" s="181" t="s">
        <v>690</v>
      </c>
      <c r="I339" s="14"/>
      <c r="J339" s="181"/>
      <c r="K339" s="181" t="s">
        <v>680</v>
      </c>
      <c r="L339" s="14" t="s">
        <v>681</v>
      </c>
      <c r="M339" s="181" t="s">
        <v>680</v>
      </c>
      <c r="N339" s="181" t="s">
        <v>681</v>
      </c>
      <c r="O339" s="181" t="s">
        <v>393</v>
      </c>
      <c r="P339" s="181"/>
      <c r="Q339" s="14"/>
      <c r="R339" s="174" t="str">
        <f>R$12</f>
        <v>XFMR</v>
      </c>
      <c r="S339" s="14" t="str">
        <f>S$12</f>
        <v>DLS</v>
      </c>
      <c r="T339" s="181"/>
      <c r="U339" s="14"/>
      <c r="V339" s="64"/>
      <c r="W339" s="138"/>
    </row>
    <row r="340" spans="1:23" ht="15.75" thickBot="1" x14ac:dyDescent="0.25">
      <c r="A340" s="45"/>
      <c r="B340" s="15"/>
      <c r="C340" s="15"/>
      <c r="D340" s="15"/>
      <c r="E340" s="15"/>
      <c r="F340" s="15" t="s">
        <v>13</v>
      </c>
      <c r="G340" s="15" t="s">
        <v>14</v>
      </c>
      <c r="H340" s="15" t="s">
        <v>15</v>
      </c>
      <c r="I340" s="15"/>
      <c r="J340" s="182" t="str">
        <f t="shared" ref="J340:Q340" si="129">J$13</f>
        <v>(d)</v>
      </c>
      <c r="K340" s="182" t="str">
        <f t="shared" si="129"/>
        <v>(e)</v>
      </c>
      <c r="L340" s="15" t="str">
        <f t="shared" si="129"/>
        <v>(f)</v>
      </c>
      <c r="M340" s="182" t="str">
        <f t="shared" si="129"/>
        <v>(g)</v>
      </c>
      <c r="N340" s="182" t="str">
        <f t="shared" si="129"/>
        <v>(h)</v>
      </c>
      <c r="O340" s="182" t="str">
        <f>O$13</f>
        <v>(i)</v>
      </c>
      <c r="P340" s="182" t="str">
        <f t="shared" si="129"/>
        <v>(j)</v>
      </c>
      <c r="Q340" s="182" t="str">
        <f t="shared" si="129"/>
        <v>(k)</v>
      </c>
      <c r="R340" s="182" t="str">
        <f>R$13</f>
        <v>(l)</v>
      </c>
      <c r="S340" s="15" t="str">
        <f>S$13</f>
        <v>(m)</v>
      </c>
      <c r="T340" s="15"/>
      <c r="U340" s="15" t="s">
        <v>683</v>
      </c>
      <c r="V340" s="64"/>
      <c r="W340" s="138"/>
    </row>
    <row r="341" spans="1:23" ht="15" x14ac:dyDescent="0.2">
      <c r="A341" s="45"/>
      <c r="B341" s="6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"/>
      <c r="V341" s="64"/>
      <c r="W341" s="138"/>
    </row>
    <row r="342" spans="1:23" ht="15" x14ac:dyDescent="0.2">
      <c r="A342" s="45"/>
      <c r="B342" s="16"/>
      <c r="C342" s="1"/>
      <c r="D342" s="1"/>
      <c r="E342" s="16"/>
      <c r="F342" s="1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"/>
      <c r="V342" s="64"/>
      <c r="W342" s="138"/>
    </row>
    <row r="343" spans="1:23" ht="15.75" x14ac:dyDescent="0.25">
      <c r="A343" s="45"/>
      <c r="B343" s="16">
        <f t="shared" ref="B343:B368" si="130">B342+1</f>
        <v>1</v>
      </c>
      <c r="C343" s="8" t="s">
        <v>284</v>
      </c>
      <c r="D343" s="1"/>
      <c r="E343" s="19" t="s">
        <v>34</v>
      </c>
      <c r="F343" s="17"/>
      <c r="G343" s="19"/>
      <c r="H343" s="19"/>
      <c r="I343" s="19"/>
      <c r="J343" s="961"/>
      <c r="K343" s="961"/>
      <c r="L343" s="961"/>
      <c r="M343" s="961"/>
      <c r="N343" s="961"/>
      <c r="O343" s="961"/>
      <c r="P343" s="961"/>
      <c r="Q343" s="961"/>
      <c r="R343" s="961"/>
      <c r="S343" s="961"/>
      <c r="T343" s="19"/>
      <c r="U343" s="1"/>
      <c r="V343" s="64"/>
      <c r="W343" s="138"/>
    </row>
    <row r="344" spans="1:23" ht="15.75" x14ac:dyDescent="0.25">
      <c r="A344" s="45"/>
      <c r="B344" s="16">
        <f t="shared" si="130"/>
        <v>2</v>
      </c>
      <c r="C344" s="8" t="s">
        <v>534</v>
      </c>
      <c r="D344" s="8"/>
      <c r="E344" s="19"/>
      <c r="F344" s="8"/>
      <c r="G344" s="19"/>
      <c r="H344" s="19"/>
      <c r="I344" s="913"/>
      <c r="J344" s="961"/>
      <c r="K344" s="961"/>
      <c r="L344" s="961"/>
      <c r="M344" s="961"/>
      <c r="N344" s="961"/>
      <c r="O344" s="961"/>
      <c r="P344" s="961"/>
      <c r="Q344" s="961"/>
      <c r="R344" s="961"/>
      <c r="S344" s="961"/>
      <c r="T344" s="913"/>
      <c r="U344" s="8"/>
      <c r="V344" s="64"/>
      <c r="W344" s="138"/>
    </row>
    <row r="345" spans="1:23" ht="15" x14ac:dyDescent="0.2">
      <c r="A345" s="45"/>
      <c r="B345" s="16">
        <f t="shared" si="130"/>
        <v>3</v>
      </c>
      <c r="C345" s="1" t="s">
        <v>87</v>
      </c>
      <c r="D345" s="1" t="s">
        <v>38</v>
      </c>
      <c r="E345" s="16"/>
      <c r="F345" s="97">
        <f>' WP II-I-1.4'!I345</f>
        <v>0</v>
      </c>
      <c r="G345" s="16">
        <v>87</v>
      </c>
      <c r="H345" s="45" t="str">
        <f t="shared" ref="H345:H353" si="131">VLOOKUP(G345,FactorTable,2)</f>
        <v>PAYROLL XAG</v>
      </c>
      <c r="I345" s="16"/>
      <c r="J345" s="369">
        <f t="shared" ref="J345:S353" ca="1" si="132">$F345*HLOOKUP(J$1354,FactorTable,$G345+1)</f>
        <v>0</v>
      </c>
      <c r="K345" s="369">
        <f t="shared" ca="1" si="132"/>
        <v>0</v>
      </c>
      <c r="L345" s="369">
        <f t="shared" ca="1" si="132"/>
        <v>0</v>
      </c>
      <c r="M345" s="369">
        <f t="shared" ca="1" si="132"/>
        <v>0</v>
      </c>
      <c r="N345" s="369">
        <f t="shared" ca="1" si="132"/>
        <v>0</v>
      </c>
      <c r="O345" s="369">
        <f t="shared" ca="1" si="132"/>
        <v>0</v>
      </c>
      <c r="P345" s="369">
        <f t="shared" ca="1" si="132"/>
        <v>0</v>
      </c>
      <c r="Q345" s="369">
        <f t="shared" ca="1" si="132"/>
        <v>0</v>
      </c>
      <c r="R345" s="369">
        <f t="shared" ca="1" si="132"/>
        <v>0</v>
      </c>
      <c r="S345" s="369">
        <f t="shared" ca="1" si="132"/>
        <v>0</v>
      </c>
      <c r="T345" s="16"/>
      <c r="U345" s="97">
        <f t="shared" ref="U345:U354" ca="1" si="133">SUM(I345:T345)</f>
        <v>0</v>
      </c>
      <c r="V345" s="64"/>
      <c r="W345" s="643">
        <f t="shared" ref="W345:W368" ca="1" si="134">F345-U345</f>
        <v>0</v>
      </c>
    </row>
    <row r="346" spans="1:23" ht="15.75" x14ac:dyDescent="0.25">
      <c r="A346" s="45"/>
      <c r="B346" s="16">
        <f t="shared" si="130"/>
        <v>4</v>
      </c>
      <c r="C346" s="1" t="s">
        <v>88</v>
      </c>
      <c r="D346" s="1" t="s">
        <v>40</v>
      </c>
      <c r="E346" s="19"/>
      <c r="F346" s="97">
        <f>' WP II-I-1.4'!I346</f>
        <v>315.04000000000002</v>
      </c>
      <c r="G346" s="16">
        <v>87</v>
      </c>
      <c r="H346" s="45" t="str">
        <f t="shared" si="131"/>
        <v>PAYROLL XAG</v>
      </c>
      <c r="I346" s="913"/>
      <c r="J346" s="369">
        <f t="shared" ca="1" si="132"/>
        <v>155.2907547985881</v>
      </c>
      <c r="K346" s="369">
        <f t="shared" ca="1" si="132"/>
        <v>21.668150396627407</v>
      </c>
      <c r="L346" s="369">
        <f t="shared" ca="1" si="132"/>
        <v>84.6872427060581</v>
      </c>
      <c r="M346" s="369">
        <f t="shared" ca="1" si="132"/>
        <v>3.5623835218134428</v>
      </c>
      <c r="N346" s="369">
        <f t="shared" ca="1" si="132"/>
        <v>27.422156442880173</v>
      </c>
      <c r="O346" s="369">
        <f t="shared" ca="1" si="132"/>
        <v>0.89974164529276435</v>
      </c>
      <c r="P346" s="369">
        <f t="shared" ca="1" si="132"/>
        <v>1.8767617141076072</v>
      </c>
      <c r="Q346" s="369">
        <f t="shared" ca="1" si="132"/>
        <v>19.281212712794375</v>
      </c>
      <c r="R346" s="369">
        <f t="shared" ca="1" si="132"/>
        <v>9.935797309981452E-2</v>
      </c>
      <c r="S346" s="369">
        <f t="shared" ca="1" si="132"/>
        <v>0.25223808873826664</v>
      </c>
      <c r="T346" s="913"/>
      <c r="U346" s="97">
        <f t="shared" ca="1" si="133"/>
        <v>315.04000000000002</v>
      </c>
      <c r="V346" s="64"/>
      <c r="W346" s="643">
        <f t="shared" ca="1" si="134"/>
        <v>0</v>
      </c>
    </row>
    <row r="347" spans="1:23" ht="15.75" x14ac:dyDescent="0.25">
      <c r="A347" s="45"/>
      <c r="B347" s="16">
        <f t="shared" si="130"/>
        <v>5</v>
      </c>
      <c r="C347" s="1" t="s">
        <v>89</v>
      </c>
      <c r="D347" s="1" t="s">
        <v>42</v>
      </c>
      <c r="E347" s="19"/>
      <c r="F347" s="97">
        <f>' WP II-I-1.4'!I347</f>
        <v>1393656.98</v>
      </c>
      <c r="G347" s="16">
        <v>87</v>
      </c>
      <c r="H347" s="45" t="str">
        <f t="shared" si="131"/>
        <v>PAYROLL XAG</v>
      </c>
      <c r="I347" s="913"/>
      <c r="J347" s="369">
        <f t="shared" ca="1" si="132"/>
        <v>686966.87517305976</v>
      </c>
      <c r="K347" s="369">
        <f t="shared" ca="1" si="132"/>
        <v>95854.396406645348</v>
      </c>
      <c r="L347" s="369">
        <f t="shared" ca="1" si="132"/>
        <v>374634.86196753412</v>
      </c>
      <c r="M347" s="369">
        <f t="shared" ca="1" si="132"/>
        <v>15759.080309206089</v>
      </c>
      <c r="N347" s="369">
        <f t="shared" ca="1" si="132"/>
        <v>121308.65837122881</v>
      </c>
      <c r="O347" s="369">
        <f t="shared" ca="1" si="132"/>
        <v>3980.2286190926393</v>
      </c>
      <c r="P347" s="369">
        <f t="shared" ca="1" si="132"/>
        <v>8302.3173649785131</v>
      </c>
      <c r="Q347" s="369">
        <f t="shared" ca="1" si="132"/>
        <v>85295.190071262725</v>
      </c>
      <c r="R347" s="369">
        <f t="shared" ca="1" si="132"/>
        <v>439.53444873415668</v>
      </c>
      <c r="S347" s="369">
        <f t="shared" ca="1" si="132"/>
        <v>1115.8372682578233</v>
      </c>
      <c r="T347" s="913"/>
      <c r="U347" s="97">
        <f t="shared" ca="1" si="133"/>
        <v>1393656.98</v>
      </c>
      <c r="V347" s="64"/>
      <c r="W347" s="643">
        <f t="shared" ca="1" si="134"/>
        <v>0</v>
      </c>
    </row>
    <row r="348" spans="1:23" ht="15.75" x14ac:dyDescent="0.25">
      <c r="A348" s="45"/>
      <c r="B348" s="16">
        <f t="shared" si="130"/>
        <v>6</v>
      </c>
      <c r="C348" s="1" t="s">
        <v>90</v>
      </c>
      <c r="D348" s="1" t="s">
        <v>91</v>
      </c>
      <c r="E348" s="19"/>
      <c r="F348" s="97">
        <f>' WP II-I-1.4'!I348</f>
        <v>164071.5</v>
      </c>
      <c r="G348" s="16">
        <v>87</v>
      </c>
      <c r="H348" s="45" t="str">
        <f t="shared" si="131"/>
        <v>PAYROLL XAG</v>
      </c>
      <c r="I348" s="913"/>
      <c r="J348" s="369">
        <f t="shared" ca="1" si="132"/>
        <v>80874.768524430372</v>
      </c>
      <c r="K348" s="369">
        <f t="shared" ca="1" si="132"/>
        <v>11284.68111287536</v>
      </c>
      <c r="L348" s="369">
        <f t="shared" ca="1" si="132"/>
        <v>44104.757940728196</v>
      </c>
      <c r="M348" s="369">
        <f t="shared" ca="1" si="132"/>
        <v>1855.2742762798828</v>
      </c>
      <c r="N348" s="369">
        <f t="shared" ca="1" si="132"/>
        <v>14281.343133627521</v>
      </c>
      <c r="O348" s="369">
        <f t="shared" ca="1" si="132"/>
        <v>468.58164472972254</v>
      </c>
      <c r="P348" s="369">
        <f t="shared" ca="1" si="132"/>
        <v>977.40956569389994</v>
      </c>
      <c r="Q348" s="369">
        <f t="shared" ca="1" si="132"/>
        <v>10041.574059190076</v>
      </c>
      <c r="R348" s="369">
        <f t="shared" ca="1" si="132"/>
        <v>51.745212301441775</v>
      </c>
      <c r="S348" s="369">
        <f t="shared" ca="1" si="132"/>
        <v>131.36453014353896</v>
      </c>
      <c r="T348" s="913"/>
      <c r="U348" s="97">
        <f t="shared" ca="1" si="133"/>
        <v>164071.5</v>
      </c>
      <c r="V348" s="64"/>
      <c r="W348" s="643">
        <f t="shared" ca="1" si="134"/>
        <v>0</v>
      </c>
    </row>
    <row r="349" spans="1:23" ht="15.75" x14ac:dyDescent="0.25">
      <c r="A349" s="45"/>
      <c r="B349" s="16">
        <f t="shared" si="130"/>
        <v>7</v>
      </c>
      <c r="C349" s="1" t="s">
        <v>92</v>
      </c>
      <c r="D349" s="1" t="s">
        <v>94</v>
      </c>
      <c r="E349" s="19"/>
      <c r="F349" s="97">
        <f>' WP II-I-1.4'!I349</f>
        <v>0</v>
      </c>
      <c r="G349" s="16">
        <v>87</v>
      </c>
      <c r="H349" s="45" t="str">
        <f t="shared" si="131"/>
        <v>PAYROLL XAG</v>
      </c>
      <c r="I349" s="913"/>
      <c r="J349" s="369">
        <f t="shared" ca="1" si="132"/>
        <v>0</v>
      </c>
      <c r="K349" s="369">
        <f t="shared" ca="1" si="132"/>
        <v>0</v>
      </c>
      <c r="L349" s="369">
        <f t="shared" ca="1" si="132"/>
        <v>0</v>
      </c>
      <c r="M349" s="369">
        <f t="shared" ca="1" si="132"/>
        <v>0</v>
      </c>
      <c r="N349" s="369">
        <f t="shared" ca="1" si="132"/>
        <v>0</v>
      </c>
      <c r="O349" s="369">
        <f t="shared" ca="1" si="132"/>
        <v>0</v>
      </c>
      <c r="P349" s="369">
        <f t="shared" ca="1" si="132"/>
        <v>0</v>
      </c>
      <c r="Q349" s="369">
        <f t="shared" ca="1" si="132"/>
        <v>0</v>
      </c>
      <c r="R349" s="369">
        <f t="shared" ca="1" si="132"/>
        <v>0</v>
      </c>
      <c r="S349" s="369">
        <f t="shared" ca="1" si="132"/>
        <v>0</v>
      </c>
      <c r="T349" s="913"/>
      <c r="U349" s="97">
        <f t="shared" ca="1" si="133"/>
        <v>0</v>
      </c>
      <c r="V349" s="64"/>
      <c r="W349" s="643">
        <f t="shared" ca="1" si="134"/>
        <v>0</v>
      </c>
    </row>
    <row r="350" spans="1:23" ht="15.75" x14ac:dyDescent="0.25">
      <c r="A350" s="45"/>
      <c r="B350" s="16">
        <f t="shared" si="130"/>
        <v>8</v>
      </c>
      <c r="C350" s="1" t="s">
        <v>95</v>
      </c>
      <c r="D350" s="1" t="s">
        <v>500</v>
      </c>
      <c r="E350" s="19"/>
      <c r="F350" s="97">
        <f>' WP II-I-1.4'!I350</f>
        <v>0</v>
      </c>
      <c r="G350" s="16">
        <v>87</v>
      </c>
      <c r="H350" s="45" t="str">
        <f t="shared" si="131"/>
        <v>PAYROLL XAG</v>
      </c>
      <c r="I350" s="913"/>
      <c r="J350" s="369">
        <f t="shared" ca="1" si="132"/>
        <v>0</v>
      </c>
      <c r="K350" s="369">
        <f t="shared" ca="1" si="132"/>
        <v>0</v>
      </c>
      <c r="L350" s="369">
        <f t="shared" ca="1" si="132"/>
        <v>0</v>
      </c>
      <c r="M350" s="369">
        <f t="shared" ca="1" si="132"/>
        <v>0</v>
      </c>
      <c r="N350" s="369">
        <f t="shared" ca="1" si="132"/>
        <v>0</v>
      </c>
      <c r="O350" s="369">
        <f t="shared" ca="1" si="132"/>
        <v>0</v>
      </c>
      <c r="P350" s="369">
        <f t="shared" ca="1" si="132"/>
        <v>0</v>
      </c>
      <c r="Q350" s="369">
        <f t="shared" ca="1" si="132"/>
        <v>0</v>
      </c>
      <c r="R350" s="369">
        <f t="shared" ca="1" si="132"/>
        <v>0</v>
      </c>
      <c r="S350" s="369">
        <f t="shared" ca="1" si="132"/>
        <v>0</v>
      </c>
      <c r="T350" s="913"/>
      <c r="U350" s="97">
        <f t="shared" ca="1" si="133"/>
        <v>0</v>
      </c>
      <c r="V350" s="64"/>
      <c r="W350" s="643">
        <f t="shared" ca="1" si="134"/>
        <v>0</v>
      </c>
    </row>
    <row r="351" spans="1:23" ht="15.75" x14ac:dyDescent="0.25">
      <c r="A351" s="45"/>
      <c r="B351" s="16">
        <f t="shared" si="130"/>
        <v>9</v>
      </c>
      <c r="C351" s="1" t="s">
        <v>97</v>
      </c>
      <c r="D351" s="1" t="s">
        <v>501</v>
      </c>
      <c r="E351" s="19"/>
      <c r="F351" s="97">
        <f>' WP II-I-1.4'!I351</f>
        <v>0</v>
      </c>
      <c r="G351" s="16">
        <v>87</v>
      </c>
      <c r="H351" s="45" t="str">
        <f t="shared" si="131"/>
        <v>PAYROLL XAG</v>
      </c>
      <c r="I351" s="913"/>
      <c r="J351" s="369">
        <f t="shared" ca="1" si="132"/>
        <v>0</v>
      </c>
      <c r="K351" s="369">
        <f t="shared" ca="1" si="132"/>
        <v>0</v>
      </c>
      <c r="L351" s="369">
        <f t="shared" ca="1" si="132"/>
        <v>0</v>
      </c>
      <c r="M351" s="369">
        <f t="shared" ca="1" si="132"/>
        <v>0</v>
      </c>
      <c r="N351" s="369">
        <f t="shared" ca="1" si="132"/>
        <v>0</v>
      </c>
      <c r="O351" s="369">
        <f t="shared" ca="1" si="132"/>
        <v>0</v>
      </c>
      <c r="P351" s="369">
        <f t="shared" ca="1" si="132"/>
        <v>0</v>
      </c>
      <c r="Q351" s="369">
        <f t="shared" ca="1" si="132"/>
        <v>0</v>
      </c>
      <c r="R351" s="369">
        <f t="shared" ca="1" si="132"/>
        <v>0</v>
      </c>
      <c r="S351" s="369">
        <f t="shared" ca="1" si="132"/>
        <v>0</v>
      </c>
      <c r="T351" s="913"/>
      <c r="U351" s="97">
        <f t="shared" ca="1" si="133"/>
        <v>0</v>
      </c>
      <c r="V351" s="64"/>
      <c r="W351" s="643">
        <f t="shared" ca="1" si="134"/>
        <v>0</v>
      </c>
    </row>
    <row r="352" spans="1:23" ht="15.75" x14ac:dyDescent="0.25">
      <c r="A352" s="45"/>
      <c r="B352" s="16">
        <f t="shared" si="130"/>
        <v>10</v>
      </c>
      <c r="C352" s="1" t="s">
        <v>99</v>
      </c>
      <c r="D352" s="1" t="s">
        <v>100</v>
      </c>
      <c r="E352" s="19"/>
      <c r="F352" s="97">
        <f>' WP II-I-1.4'!I352</f>
        <v>0</v>
      </c>
      <c r="G352" s="16">
        <v>87</v>
      </c>
      <c r="H352" s="45" t="str">
        <f t="shared" si="131"/>
        <v>PAYROLL XAG</v>
      </c>
      <c r="I352" s="913"/>
      <c r="J352" s="369">
        <f t="shared" ca="1" si="132"/>
        <v>0</v>
      </c>
      <c r="K352" s="369">
        <f t="shared" ca="1" si="132"/>
        <v>0</v>
      </c>
      <c r="L352" s="369">
        <f t="shared" ca="1" si="132"/>
        <v>0</v>
      </c>
      <c r="M352" s="369">
        <f t="shared" ca="1" si="132"/>
        <v>0</v>
      </c>
      <c r="N352" s="369">
        <f t="shared" ca="1" si="132"/>
        <v>0</v>
      </c>
      <c r="O352" s="369">
        <f t="shared" ca="1" si="132"/>
        <v>0</v>
      </c>
      <c r="P352" s="369">
        <f t="shared" ca="1" si="132"/>
        <v>0</v>
      </c>
      <c r="Q352" s="369">
        <f t="shared" ca="1" si="132"/>
        <v>0</v>
      </c>
      <c r="R352" s="369">
        <f t="shared" ca="1" si="132"/>
        <v>0</v>
      </c>
      <c r="S352" s="369">
        <f t="shared" ca="1" si="132"/>
        <v>0</v>
      </c>
      <c r="T352" s="913"/>
      <c r="U352" s="97">
        <f t="shared" ca="1" si="133"/>
        <v>0</v>
      </c>
      <c r="V352" s="64"/>
      <c r="W352" s="643">
        <f t="shared" ca="1" si="134"/>
        <v>0</v>
      </c>
    </row>
    <row r="353" spans="1:23" ht="15.75" x14ac:dyDescent="0.25">
      <c r="A353" s="45"/>
      <c r="B353" s="16">
        <f t="shared" si="130"/>
        <v>11</v>
      </c>
      <c r="C353" s="1" t="s">
        <v>101</v>
      </c>
      <c r="D353" s="1" t="s">
        <v>102</v>
      </c>
      <c r="E353" s="19"/>
      <c r="F353" s="97">
        <f>' WP II-I-1.4'!I353</f>
        <v>0</v>
      </c>
      <c r="G353" s="16">
        <v>87</v>
      </c>
      <c r="H353" s="45" t="str">
        <f t="shared" si="131"/>
        <v>PAYROLL XAG</v>
      </c>
      <c r="I353" s="913"/>
      <c r="J353" s="370">
        <f t="shared" ca="1" si="132"/>
        <v>0</v>
      </c>
      <c r="K353" s="370">
        <f t="shared" ca="1" si="132"/>
        <v>0</v>
      </c>
      <c r="L353" s="370">
        <f t="shared" ca="1" si="132"/>
        <v>0</v>
      </c>
      <c r="M353" s="370">
        <f t="shared" ca="1" si="132"/>
        <v>0</v>
      </c>
      <c r="N353" s="370">
        <f t="shared" ca="1" si="132"/>
        <v>0</v>
      </c>
      <c r="O353" s="370">
        <f t="shared" ca="1" si="132"/>
        <v>0</v>
      </c>
      <c r="P353" s="370">
        <f t="shared" ca="1" si="132"/>
        <v>0</v>
      </c>
      <c r="Q353" s="370">
        <f t="shared" ca="1" si="132"/>
        <v>0</v>
      </c>
      <c r="R353" s="370">
        <f t="shared" ca="1" si="132"/>
        <v>0</v>
      </c>
      <c r="S353" s="370">
        <f t="shared" ca="1" si="132"/>
        <v>0</v>
      </c>
      <c r="T353" s="913"/>
      <c r="U353" s="97">
        <f t="shared" ca="1" si="133"/>
        <v>0</v>
      </c>
      <c r="V353" s="64"/>
      <c r="W353" s="643">
        <f t="shared" ca="1" si="134"/>
        <v>0</v>
      </c>
    </row>
    <row r="354" spans="1:23" ht="15.75" x14ac:dyDescent="0.25">
      <c r="A354" s="45"/>
      <c r="B354" s="16">
        <f t="shared" si="130"/>
        <v>12</v>
      </c>
      <c r="C354" s="8"/>
      <c r="D354" s="233" t="s">
        <v>444</v>
      </c>
      <c r="E354" s="19"/>
      <c r="F354" s="234">
        <f>SUM(F345:F353)</f>
        <v>1558043.52</v>
      </c>
      <c r="G354" s="1527"/>
      <c r="H354" s="19"/>
      <c r="I354" s="913"/>
      <c r="J354" s="816">
        <f t="shared" ref="J354:Q354" ca="1" si="135">SUM(J345:J353)</f>
        <v>767996.93445228867</v>
      </c>
      <c r="K354" s="816">
        <f t="shared" ca="1" si="135"/>
        <v>107160.74566991733</v>
      </c>
      <c r="L354" s="816">
        <f t="shared" ca="1" si="135"/>
        <v>418824.30715096841</v>
      </c>
      <c r="M354" s="816">
        <f t="shared" ca="1" si="135"/>
        <v>17617.916969007787</v>
      </c>
      <c r="N354" s="816">
        <f t="shared" ca="1" si="135"/>
        <v>135617.4236612992</v>
      </c>
      <c r="O354" s="816">
        <f ca="1">SUM(O345:O353)</f>
        <v>4449.7100054676548</v>
      </c>
      <c r="P354" s="816">
        <f t="shared" ca="1" si="135"/>
        <v>9281.6036923865213</v>
      </c>
      <c r="Q354" s="816">
        <f t="shared" ca="1" si="135"/>
        <v>95356.045343165606</v>
      </c>
      <c r="R354" s="816">
        <f ca="1">SUM(R345:R353)</f>
        <v>491.37901900869826</v>
      </c>
      <c r="S354" s="816">
        <f ca="1">SUM(S345:S353)</f>
        <v>1247.4540364901006</v>
      </c>
      <c r="T354" s="19"/>
      <c r="U354" s="235">
        <f t="shared" ca="1" si="133"/>
        <v>1558043.52</v>
      </c>
      <c r="V354" s="64"/>
      <c r="W354" s="643">
        <f t="shared" ca="1" si="134"/>
        <v>0</v>
      </c>
    </row>
    <row r="355" spans="1:23" ht="15.75" x14ac:dyDescent="0.25">
      <c r="A355" s="45"/>
      <c r="B355" s="16">
        <f t="shared" si="130"/>
        <v>13</v>
      </c>
      <c r="C355" s="1"/>
      <c r="D355" s="233"/>
      <c r="E355" s="19"/>
      <c r="F355" s="21"/>
      <c r="G355" s="1527"/>
      <c r="H355" s="19"/>
      <c r="I355" s="913"/>
      <c r="J355" s="961"/>
      <c r="K355" s="961"/>
      <c r="L355" s="961"/>
      <c r="M355" s="961"/>
      <c r="N355" s="961"/>
      <c r="O355" s="961"/>
      <c r="P355" s="961"/>
      <c r="Q355" s="961"/>
      <c r="R355" s="961"/>
      <c r="S355" s="961"/>
      <c r="T355" s="19"/>
      <c r="U355" s="18"/>
      <c r="V355" s="64"/>
      <c r="W355" s="643">
        <f t="shared" si="134"/>
        <v>0</v>
      </c>
    </row>
    <row r="356" spans="1:23" ht="15.75" x14ac:dyDescent="0.25">
      <c r="A356" s="45"/>
      <c r="B356" s="16">
        <f t="shared" si="130"/>
        <v>14</v>
      </c>
      <c r="C356" s="1" t="s">
        <v>1237</v>
      </c>
      <c r="D356" s="82" t="s">
        <v>1230</v>
      </c>
      <c r="E356" s="1308"/>
      <c r="F356" s="229">
        <f>' WP II-I-1.4'!I356</f>
        <v>17896701.699999999</v>
      </c>
      <c r="G356" s="16">
        <v>63</v>
      </c>
      <c r="H356" s="45" t="str">
        <f>VLOOKUP(G356,FactorTable,2)</f>
        <v>PLTGEN_N</v>
      </c>
      <c r="I356" s="1291"/>
      <c r="J356" s="369">
        <f t="shared" ref="J356:S360" ca="1" si="136">$F356*HLOOKUP(J$1354,FactorTable,$G356+1)</f>
        <v>8821712.5298316851</v>
      </c>
      <c r="K356" s="369">
        <f t="shared" ca="1" si="136"/>
        <v>1230918.0549745343</v>
      </c>
      <c r="L356" s="369">
        <f t="shared" ca="1" si="136"/>
        <v>4810888.5236980151</v>
      </c>
      <c r="M356" s="369">
        <f t="shared" ca="1" si="136"/>
        <v>202370.85840176046</v>
      </c>
      <c r="N356" s="369">
        <f t="shared" ca="1" si="136"/>
        <v>1557789.9753331628</v>
      </c>
      <c r="O356" s="369">
        <f t="shared" ca="1" si="136"/>
        <v>51112.264578694158</v>
      </c>
      <c r="P356" s="369">
        <f t="shared" ca="1" si="136"/>
        <v>106614.53961200015</v>
      </c>
      <c r="Q356" s="369">
        <f t="shared" ca="1" si="136"/>
        <v>1095321.5856244557</v>
      </c>
      <c r="R356" s="369">
        <f t="shared" ca="1" si="136"/>
        <v>5644.2991559294214</v>
      </c>
      <c r="S356" s="369">
        <f t="shared" ca="1" si="136"/>
        <v>14329.068789762841</v>
      </c>
      <c r="T356" s="1291"/>
      <c r="U356" s="97">
        <f t="shared" ref="U356:U361" ca="1" si="137">SUM(I356:T356)</f>
        <v>17896701.699999999</v>
      </c>
      <c r="V356" s="64"/>
      <c r="W356" s="643"/>
    </row>
    <row r="357" spans="1:23" ht="15.75" x14ac:dyDescent="0.25">
      <c r="A357" s="45"/>
      <c r="B357" s="16">
        <f t="shared" si="130"/>
        <v>15</v>
      </c>
      <c r="C357" s="1" t="s">
        <v>1238</v>
      </c>
      <c r="D357" s="82" t="s">
        <v>1232</v>
      </c>
      <c r="E357" s="1308"/>
      <c r="F357" s="229">
        <f>' WP II-I-1.4'!I357</f>
        <v>100224.27</v>
      </c>
      <c r="G357" s="16">
        <v>63</v>
      </c>
      <c r="H357" s="45" t="str">
        <f>VLOOKUP(G357,FactorTable,2)</f>
        <v>PLTGEN_N</v>
      </c>
      <c r="I357" s="1291"/>
      <c r="J357" s="369">
        <f t="shared" ca="1" si="136"/>
        <v>49402.941015228185</v>
      </c>
      <c r="K357" s="369">
        <f t="shared" ca="1" si="136"/>
        <v>6893.329595455155</v>
      </c>
      <c r="L357" s="369">
        <f t="shared" ca="1" si="136"/>
        <v>26941.712412796787</v>
      </c>
      <c r="M357" s="369">
        <f t="shared" ca="1" si="136"/>
        <v>1133.307795625258</v>
      </c>
      <c r="N357" s="369">
        <f t="shared" ca="1" si="136"/>
        <v>8723.8624025947902</v>
      </c>
      <c r="O357" s="369">
        <f t="shared" ca="1" si="136"/>
        <v>286.23650834200805</v>
      </c>
      <c r="P357" s="369">
        <f t="shared" ca="1" si="136"/>
        <v>597.05774746185773</v>
      </c>
      <c r="Q357" s="369">
        <f t="shared" ca="1" si="136"/>
        <v>6133.9686035250606</v>
      </c>
      <c r="R357" s="369">
        <f t="shared" ca="1" si="136"/>
        <v>31.60893957151012</v>
      </c>
      <c r="S357" s="369">
        <f t="shared" ca="1" si="136"/>
        <v>80.244979399403206</v>
      </c>
      <c r="T357" s="1291"/>
      <c r="U357" s="97">
        <f t="shared" ca="1" si="137"/>
        <v>100224.27000000002</v>
      </c>
      <c r="V357" s="64"/>
      <c r="W357" s="643"/>
    </row>
    <row r="358" spans="1:23" ht="15.75" x14ac:dyDescent="0.25">
      <c r="A358" s="45"/>
      <c r="B358" s="16">
        <f t="shared" si="130"/>
        <v>16</v>
      </c>
      <c r="C358" s="1" t="s">
        <v>1239</v>
      </c>
      <c r="D358" s="26" t="s">
        <v>103</v>
      </c>
      <c r="E358" s="1308"/>
      <c r="F358" s="229">
        <f>' WP II-I-1.4'!I358</f>
        <v>1372485.37</v>
      </c>
      <c r="G358" s="16">
        <v>63</v>
      </c>
      <c r="H358" s="45" t="str">
        <f>VLOOKUP(G358,FactorTable,2)</f>
        <v>PLTGEN_N</v>
      </c>
      <c r="I358" s="913"/>
      <c r="J358" s="369">
        <f t="shared" ca="1" si="136"/>
        <v>676530.88197473157</v>
      </c>
      <c r="K358" s="369">
        <f t="shared" ca="1" si="136"/>
        <v>94398.233285712326</v>
      </c>
      <c r="L358" s="369">
        <f t="shared" ca="1" si="136"/>
        <v>368943.63141094457</v>
      </c>
      <c r="M358" s="369">
        <f t="shared" ca="1" si="136"/>
        <v>15519.677710824102</v>
      </c>
      <c r="N358" s="369">
        <f t="shared" ca="1" si="136"/>
        <v>119465.80920424164</v>
      </c>
      <c r="O358" s="369">
        <f t="shared" ca="1" si="136"/>
        <v>3919.7633473338246</v>
      </c>
      <c r="P358" s="369">
        <f t="shared" ca="1" si="136"/>
        <v>8176.1934852362037</v>
      </c>
      <c r="Q358" s="369">
        <f t="shared" ca="1" si="136"/>
        <v>83999.436148324923</v>
      </c>
      <c r="R358" s="369">
        <f t="shared" ca="1" si="136"/>
        <v>432.85730215956386</v>
      </c>
      <c r="S358" s="369">
        <f t="shared" ca="1" si="136"/>
        <v>1098.8861304914697</v>
      </c>
      <c r="T358" s="913"/>
      <c r="U358" s="97">
        <f t="shared" ca="1" si="137"/>
        <v>1372485.3700000003</v>
      </c>
      <c r="V358" s="64"/>
      <c r="W358" s="643">
        <f t="shared" ca="1" si="134"/>
        <v>0</v>
      </c>
    </row>
    <row r="359" spans="1:23" ht="15.75" x14ac:dyDescent="0.25">
      <c r="A359" s="45"/>
      <c r="B359" s="16">
        <f t="shared" si="130"/>
        <v>17</v>
      </c>
      <c r="C359" s="1" t="s">
        <v>105</v>
      </c>
      <c r="D359" s="1" t="s">
        <v>502</v>
      </c>
      <c r="E359" s="19"/>
      <c r="F359" s="97">
        <f>' WP II-I-1.4'!I359</f>
        <v>0</v>
      </c>
      <c r="G359" s="16">
        <v>87</v>
      </c>
      <c r="H359" s="45" t="str">
        <f>VLOOKUP(G359,FactorTable,2)</f>
        <v>PAYROLL XAG</v>
      </c>
      <c r="I359" s="913"/>
      <c r="J359" s="369">
        <f t="shared" ca="1" si="136"/>
        <v>0</v>
      </c>
      <c r="K359" s="369">
        <f t="shared" ca="1" si="136"/>
        <v>0</v>
      </c>
      <c r="L359" s="369">
        <f t="shared" ca="1" si="136"/>
        <v>0</v>
      </c>
      <c r="M359" s="369">
        <f t="shared" ca="1" si="136"/>
        <v>0</v>
      </c>
      <c r="N359" s="369">
        <f t="shared" ca="1" si="136"/>
        <v>0</v>
      </c>
      <c r="O359" s="369">
        <f t="shared" ca="1" si="136"/>
        <v>0</v>
      </c>
      <c r="P359" s="369">
        <f t="shared" ca="1" si="136"/>
        <v>0</v>
      </c>
      <c r="Q359" s="369">
        <f t="shared" ca="1" si="136"/>
        <v>0</v>
      </c>
      <c r="R359" s="369">
        <f t="shared" ca="1" si="136"/>
        <v>0</v>
      </c>
      <c r="S359" s="369">
        <f t="shared" ca="1" si="136"/>
        <v>0</v>
      </c>
      <c r="T359" s="913"/>
      <c r="U359" s="97">
        <f t="shared" ca="1" si="137"/>
        <v>0</v>
      </c>
      <c r="V359" s="64"/>
      <c r="W359" s="643">
        <f t="shared" ca="1" si="134"/>
        <v>0</v>
      </c>
    </row>
    <row r="360" spans="1:23" ht="15.75" x14ac:dyDescent="0.25">
      <c r="A360" s="45"/>
      <c r="B360" s="16">
        <f t="shared" si="130"/>
        <v>18</v>
      </c>
      <c r="C360" s="1" t="s">
        <v>107</v>
      </c>
      <c r="D360" s="1" t="s">
        <v>108</v>
      </c>
      <c r="E360" s="19"/>
      <c r="F360" s="97">
        <f>' WP II-I-1.4'!I360</f>
        <v>0</v>
      </c>
      <c r="G360" s="16">
        <v>87</v>
      </c>
      <c r="H360" s="45" t="str">
        <f>VLOOKUP(G360,FactorTable,2)</f>
        <v>PAYROLL XAG</v>
      </c>
      <c r="I360" s="913"/>
      <c r="J360" s="370">
        <f t="shared" ca="1" si="136"/>
        <v>0</v>
      </c>
      <c r="K360" s="370">
        <f t="shared" ca="1" si="136"/>
        <v>0</v>
      </c>
      <c r="L360" s="370">
        <f t="shared" ca="1" si="136"/>
        <v>0</v>
      </c>
      <c r="M360" s="370">
        <f t="shared" ca="1" si="136"/>
        <v>0</v>
      </c>
      <c r="N360" s="370">
        <f t="shared" ca="1" si="136"/>
        <v>0</v>
      </c>
      <c r="O360" s="370">
        <f t="shared" ca="1" si="136"/>
        <v>0</v>
      </c>
      <c r="P360" s="370">
        <f t="shared" ca="1" si="136"/>
        <v>0</v>
      </c>
      <c r="Q360" s="370">
        <f t="shared" ca="1" si="136"/>
        <v>0</v>
      </c>
      <c r="R360" s="370">
        <f t="shared" ca="1" si="136"/>
        <v>0</v>
      </c>
      <c r="S360" s="370">
        <f t="shared" ca="1" si="136"/>
        <v>0</v>
      </c>
      <c r="T360" s="913"/>
      <c r="U360" s="97">
        <f t="shared" ca="1" si="137"/>
        <v>0</v>
      </c>
      <c r="V360" s="64"/>
      <c r="W360" s="643">
        <f t="shared" ca="1" si="134"/>
        <v>0</v>
      </c>
    </row>
    <row r="361" spans="1:23" ht="15.75" x14ac:dyDescent="0.25">
      <c r="A361" s="45"/>
      <c r="B361" s="16">
        <f t="shared" si="130"/>
        <v>19</v>
      </c>
      <c r="C361" s="8"/>
      <c r="D361" s="233" t="s">
        <v>444</v>
      </c>
      <c r="E361" s="19"/>
      <c r="F361" s="21">
        <f>SUM(F356:F360)</f>
        <v>19369411.34</v>
      </c>
      <c r="G361" s="19"/>
      <c r="H361" s="19"/>
      <c r="I361" s="913"/>
      <c r="J361" s="805">
        <f t="shared" ref="J361:S361" ca="1" si="138">SUM(J356:J360)</f>
        <v>9547646.3528216444</v>
      </c>
      <c r="K361" s="805">
        <f t="shared" ca="1" si="138"/>
        <v>1332209.6178557018</v>
      </c>
      <c r="L361" s="805">
        <f t="shared" ca="1" si="138"/>
        <v>5206773.8675217563</v>
      </c>
      <c r="M361" s="805">
        <f t="shared" ca="1" si="138"/>
        <v>219023.84390820982</v>
      </c>
      <c r="N361" s="805">
        <f t="shared" ca="1" si="138"/>
        <v>1685979.6469399994</v>
      </c>
      <c r="O361" s="805">
        <f t="shared" ca="1" si="138"/>
        <v>55318.264434369994</v>
      </c>
      <c r="P361" s="805">
        <f t="shared" ca="1" si="138"/>
        <v>115387.79084469822</v>
      </c>
      <c r="Q361" s="805">
        <f t="shared" ca="1" si="138"/>
        <v>1185454.9903763058</v>
      </c>
      <c r="R361" s="805">
        <f t="shared" ca="1" si="138"/>
        <v>6108.7653976604952</v>
      </c>
      <c r="S361" s="805">
        <f t="shared" ca="1" si="138"/>
        <v>15508.199899653715</v>
      </c>
      <c r="T361" s="19"/>
      <c r="U361" s="235">
        <f t="shared" ca="1" si="137"/>
        <v>19369411.34</v>
      </c>
      <c r="V361" s="64"/>
      <c r="W361" s="643">
        <f t="shared" ca="1" si="134"/>
        <v>0</v>
      </c>
    </row>
    <row r="362" spans="1:23" ht="15.75" thickBot="1" x14ac:dyDescent="0.25">
      <c r="A362" s="45"/>
      <c r="B362" s="16">
        <f t="shared" si="130"/>
        <v>20</v>
      </c>
      <c r="C362" s="1"/>
      <c r="D362" s="1"/>
      <c r="E362" s="16"/>
      <c r="F362" s="17"/>
      <c r="G362" s="16"/>
      <c r="H362" s="16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6"/>
      <c r="U362" s="1"/>
      <c r="V362" s="64"/>
      <c r="W362" s="643">
        <f t="shared" si="134"/>
        <v>0</v>
      </c>
    </row>
    <row r="363" spans="1:23" ht="15.75" x14ac:dyDescent="0.25">
      <c r="A363" s="45"/>
      <c r="B363" s="16">
        <f t="shared" si="130"/>
        <v>21</v>
      </c>
      <c r="C363" s="255" t="s">
        <v>536</v>
      </c>
      <c r="D363" s="240"/>
      <c r="E363" s="241"/>
      <c r="F363" s="264">
        <f>+F361+F354</f>
        <v>20927454.859999999</v>
      </c>
      <c r="G363" s="241"/>
      <c r="H363" s="372"/>
      <c r="I363" s="373"/>
      <c r="J363" s="389">
        <f t="shared" ref="J363:Q363" ca="1" si="139">+J361+J354</f>
        <v>10315643.287273932</v>
      </c>
      <c r="K363" s="264">
        <f t="shared" ca="1" si="139"/>
        <v>1439370.3635256193</v>
      </c>
      <c r="L363" s="264">
        <f t="shared" ca="1" si="139"/>
        <v>5625598.1746727247</v>
      </c>
      <c r="M363" s="264">
        <f t="shared" ca="1" si="139"/>
        <v>236641.7608772176</v>
      </c>
      <c r="N363" s="264">
        <f t="shared" ca="1" si="139"/>
        <v>1821597.0706012987</v>
      </c>
      <c r="O363" s="264">
        <f ca="1">+O361+O354</f>
        <v>59767.97443983765</v>
      </c>
      <c r="P363" s="264">
        <f t="shared" ca="1" si="139"/>
        <v>124669.39453708474</v>
      </c>
      <c r="Q363" s="264">
        <f t="shared" ca="1" si="139"/>
        <v>1280811.0357194713</v>
      </c>
      <c r="R363" s="264">
        <f ca="1">+R361+R354</f>
        <v>6600.1444166691936</v>
      </c>
      <c r="S363" s="243">
        <f ca="1">+S361+S354</f>
        <v>16755.653936143815</v>
      </c>
      <c r="T363" s="373"/>
      <c r="U363" s="243">
        <f ca="1">SUM(I363:T363)</f>
        <v>20927454.859999999</v>
      </c>
      <c r="V363" s="64"/>
      <c r="W363" s="643">
        <f t="shared" ca="1" si="134"/>
        <v>0</v>
      </c>
    </row>
    <row r="364" spans="1:23" ht="16.5" thickBot="1" x14ac:dyDescent="0.3">
      <c r="A364" s="45"/>
      <c r="B364" s="16">
        <f t="shared" si="130"/>
        <v>22</v>
      </c>
      <c r="C364" s="262" t="s">
        <v>537</v>
      </c>
      <c r="D364" s="246"/>
      <c r="E364" s="263"/>
      <c r="F364" s="248">
        <f>+F221-F363</f>
        <v>52282052.959999964</v>
      </c>
      <c r="G364" s="263"/>
      <c r="H364" s="387"/>
      <c r="I364" s="388"/>
      <c r="J364" s="377">
        <f t="shared" ref="J364:Q364" ca="1" si="140">+J221-J363</f>
        <v>25771074.995486762</v>
      </c>
      <c r="K364" s="248">
        <f t="shared" ca="1" si="140"/>
        <v>3595909.6831568</v>
      </c>
      <c r="L364" s="248">
        <f t="shared" ca="1" si="140"/>
        <v>14054161.084924141</v>
      </c>
      <c r="M364" s="248">
        <f t="shared" ca="1" si="140"/>
        <v>591190.71848426096</v>
      </c>
      <c r="N364" s="248">
        <f t="shared" ca="1" si="140"/>
        <v>4550808.2637889339</v>
      </c>
      <c r="O364" s="248">
        <f ca="1">+O221-O363</f>
        <v>149315.4531155212</v>
      </c>
      <c r="P364" s="248">
        <f t="shared" ca="1" si="140"/>
        <v>311455.54637593398</v>
      </c>
      <c r="Q364" s="248">
        <f t="shared" ca="1" si="140"/>
        <v>3199788.5480679907</v>
      </c>
      <c r="R364" s="248">
        <f ca="1">+R221-R363</f>
        <v>16488.823043431803</v>
      </c>
      <c r="S364" s="378">
        <f ca="1">+S221-S363</f>
        <v>41859.843556193577</v>
      </c>
      <c r="T364" s="388"/>
      <c r="U364" s="249">
        <f ca="1">SUM(I364:T364)</f>
        <v>52282052.959999956</v>
      </c>
      <c r="V364" s="64"/>
      <c r="W364" s="643">
        <f t="shared" ca="1" si="134"/>
        <v>0</v>
      </c>
    </row>
    <row r="365" spans="1:23" ht="15.75" thickBot="1" x14ac:dyDescent="0.25">
      <c r="A365" s="45"/>
      <c r="B365" s="16">
        <f t="shared" si="130"/>
        <v>23</v>
      </c>
      <c r="C365" s="1"/>
      <c r="D365" s="29"/>
      <c r="E365" s="265"/>
      <c r="F365" s="17"/>
      <c r="G365" s="265"/>
      <c r="H365" s="265"/>
      <c r="I365" s="265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265"/>
      <c r="U365" s="17"/>
      <c r="V365" s="64"/>
      <c r="W365" s="643">
        <f t="shared" si="134"/>
        <v>0</v>
      </c>
    </row>
    <row r="366" spans="1:23" ht="16.5" thickBot="1" x14ac:dyDescent="0.3">
      <c r="A366" s="45"/>
      <c r="B366" s="16">
        <f t="shared" si="130"/>
        <v>24</v>
      </c>
      <c r="C366" s="223" t="s">
        <v>538</v>
      </c>
      <c r="D366" s="224"/>
      <c r="E366" s="266"/>
      <c r="F366" s="194">
        <f>F364+F327</f>
        <v>278403750.57999992</v>
      </c>
      <c r="G366" s="266"/>
      <c r="H366" s="390"/>
      <c r="I366" s="969"/>
      <c r="J366" s="381">
        <f t="shared" ref="J366:Q366" ca="1" si="141">J364+J327</f>
        <v>137231870.76665196</v>
      </c>
      <c r="K366" s="812">
        <f t="shared" ca="1" si="141"/>
        <v>19148344.142180625</v>
      </c>
      <c r="L366" s="812">
        <f t="shared" ca="1" si="141"/>
        <v>74838896.634222046</v>
      </c>
      <c r="M366" s="812">
        <f t="shared" ca="1" si="141"/>
        <v>3148111.1397830476</v>
      </c>
      <c r="N366" s="812">
        <f t="shared" ca="1" si="141"/>
        <v>24233212.299039327</v>
      </c>
      <c r="O366" s="812">
        <f ca="1">O364+O327</f>
        <v>795109.98159765522</v>
      </c>
      <c r="P366" s="812">
        <f t="shared" ca="1" si="141"/>
        <v>1658511.6180564591</v>
      </c>
      <c r="Q366" s="812">
        <f t="shared" ca="1" si="141"/>
        <v>17038985.319237959</v>
      </c>
      <c r="R366" s="812">
        <f ca="1">R364+R327</f>
        <v>87803.556250047841</v>
      </c>
      <c r="S366" s="315">
        <f ca="1">S364+S327</f>
        <v>222905.12298077773</v>
      </c>
      <c r="T366" s="391"/>
      <c r="U366" s="195">
        <f ca="1">SUM(I366:T366)</f>
        <v>278403750.57999992</v>
      </c>
      <c r="V366" s="64"/>
      <c r="W366" s="643">
        <f t="shared" ca="1" si="134"/>
        <v>0</v>
      </c>
    </row>
    <row r="367" spans="1:23" ht="16.5" thickBot="1" x14ac:dyDescent="0.3">
      <c r="A367" s="45"/>
      <c r="B367" s="16">
        <f t="shared" si="130"/>
        <v>25</v>
      </c>
      <c r="C367" s="8"/>
      <c r="D367" s="8"/>
      <c r="E367" s="233"/>
      <c r="F367" s="21"/>
      <c r="G367" s="233"/>
      <c r="H367" s="233"/>
      <c r="I367" s="233"/>
      <c r="J367" s="805"/>
      <c r="K367" s="805"/>
      <c r="L367" s="805"/>
      <c r="M367" s="805"/>
      <c r="N367" s="805"/>
      <c r="O367" s="805"/>
      <c r="P367" s="805"/>
      <c r="Q367" s="805"/>
      <c r="R367" s="805"/>
      <c r="S367" s="805"/>
      <c r="T367" s="233"/>
      <c r="U367" s="21"/>
      <c r="V367" s="64"/>
      <c r="W367" s="643">
        <f t="shared" si="134"/>
        <v>0</v>
      </c>
    </row>
    <row r="368" spans="1:23" ht="16.5" thickBot="1" x14ac:dyDescent="0.3">
      <c r="A368" s="45"/>
      <c r="B368" s="16">
        <f t="shared" si="130"/>
        <v>26</v>
      </c>
      <c r="C368" s="223" t="s">
        <v>539</v>
      </c>
      <c r="D368" s="224"/>
      <c r="E368" s="266"/>
      <c r="F368" s="194">
        <f>F364+F326</f>
        <v>278312288.07999992</v>
      </c>
      <c r="G368" s="266"/>
      <c r="H368" s="390"/>
      <c r="I368" s="969"/>
      <c r="J368" s="381">
        <f t="shared" ref="J368:Q368" ca="1" si="142">J364+J326</f>
        <v>137186786.71173587</v>
      </c>
      <c r="K368" s="812">
        <f t="shared" ca="1" si="142"/>
        <v>19142053.438759942</v>
      </c>
      <c r="L368" s="812">
        <f t="shared" ca="1" si="142"/>
        <v>74814310.210479021</v>
      </c>
      <c r="M368" s="812">
        <f t="shared" ca="1" si="142"/>
        <v>3147076.9076129617</v>
      </c>
      <c r="N368" s="812">
        <f t="shared" ca="1" si="142"/>
        <v>24225251.090990644</v>
      </c>
      <c r="O368" s="812">
        <f ca="1">O364+O326</f>
        <v>794848.76835415408</v>
      </c>
      <c r="P368" s="812">
        <f t="shared" ca="1" si="142"/>
        <v>1657966.7560761501</v>
      </c>
      <c r="Q368" s="812">
        <f t="shared" ca="1" si="142"/>
        <v>17033387.592226326</v>
      </c>
      <c r="R368" s="812">
        <f ca="1">R364+R326</f>
        <v>87774.710615796183</v>
      </c>
      <c r="S368" s="315">
        <f ca="1">S364+S326</f>
        <v>222831.89314903819</v>
      </c>
      <c r="T368" s="390"/>
      <c r="U368" s="195">
        <f ca="1">SUM(I368:T368)</f>
        <v>278312288.07999986</v>
      </c>
      <c r="V368" s="64"/>
      <c r="W368" s="643">
        <f t="shared" ca="1" si="134"/>
        <v>0</v>
      </c>
    </row>
    <row r="369" spans="1:23" ht="15" x14ac:dyDescent="0.2">
      <c r="A369" s="45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138"/>
    </row>
    <row r="370" spans="1:23" ht="15" x14ac:dyDescent="0.2">
      <c r="A370" s="45"/>
      <c r="B370" s="64"/>
      <c r="C370" s="64"/>
      <c r="D370" s="64"/>
      <c r="E370" s="64"/>
      <c r="F370" s="64"/>
      <c r="G370" s="64"/>
      <c r="H370" s="105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105"/>
      <c r="V370" s="105">
        <f>$H$2</f>
        <v>0</v>
      </c>
      <c r="W370" s="138"/>
    </row>
    <row r="371" spans="1:23" ht="15.75" thickBot="1" x14ac:dyDescent="0.25">
      <c r="A371" s="45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138"/>
    </row>
    <row r="372" spans="1:23" ht="15.75" x14ac:dyDescent="0.25">
      <c r="A372" s="45"/>
      <c r="B372" s="829" t="str">
        <f>+$B$4</f>
        <v>2025 RATE CASE</v>
      </c>
      <c r="C372" s="844"/>
      <c r="D372" s="872"/>
      <c r="F372" s="267"/>
      <c r="U372" s="105"/>
      <c r="W372" s="138"/>
    </row>
    <row r="373" spans="1:23" ht="15.75" x14ac:dyDescent="0.25">
      <c r="A373" s="45"/>
      <c r="B373" s="826" t="str">
        <f>+$B$5</f>
        <v>ONCOR ELECTRIC DELIVERY COMPANY LLC</v>
      </c>
      <c r="C373" s="8"/>
      <c r="D373" s="873"/>
      <c r="F373" s="267"/>
      <c r="U373" s="105"/>
      <c r="V373" s="64"/>
      <c r="W373" s="138"/>
    </row>
    <row r="374" spans="1:23" ht="15.75" x14ac:dyDescent="0.25">
      <c r="A374" s="45"/>
      <c r="B374" s="826" t="str">
        <f>+$B$6</f>
        <v>II-I-1-TBILLTDCS:  CLASS REVENUE REQUIREMENT</v>
      </c>
      <c r="C374" s="82"/>
      <c r="D374" s="873"/>
      <c r="F374" s="267"/>
      <c r="U374" s="267"/>
      <c r="V374" s="64"/>
      <c r="W374" s="138"/>
    </row>
    <row r="375" spans="1:23" ht="15.75" x14ac:dyDescent="0.25">
      <c r="A375" s="45"/>
      <c r="B375" s="341" t="str">
        <f>+$B$7</f>
        <v>TEST YEAR ENDING 12/31/2024</v>
      </c>
      <c r="C375" s="82"/>
      <c r="D375" s="873"/>
      <c r="F375" s="267"/>
      <c r="U375" s="267"/>
      <c r="V375" s="64"/>
      <c r="W375" s="138"/>
    </row>
    <row r="376" spans="1:23" ht="15.75" x14ac:dyDescent="0.25">
      <c r="A376" s="45"/>
      <c r="B376" s="341" t="str">
        <f>+$B$8</f>
        <v>SPONSOR:  MATTHEW A. TROXLE</v>
      </c>
      <c r="C376" s="82"/>
      <c r="D376" s="873"/>
      <c r="F376" s="267"/>
      <c r="U376" s="267"/>
      <c r="V376" s="64"/>
      <c r="W376" s="138"/>
    </row>
    <row r="377" spans="1:23" ht="16.5" thickBot="1" x14ac:dyDescent="0.3">
      <c r="A377" s="45"/>
      <c r="B377" s="345"/>
      <c r="C377" s="843"/>
      <c r="D377" s="845"/>
      <c r="F377" s="267"/>
      <c r="U377" s="267"/>
      <c r="V377" s="64"/>
      <c r="W377" s="138"/>
    </row>
    <row r="378" spans="1:23" ht="15.75" thickBot="1" x14ac:dyDescent="0.25">
      <c r="A378" s="45"/>
      <c r="B378" s="12"/>
      <c r="C378" s="13"/>
      <c r="D378" s="13"/>
      <c r="E378" s="13"/>
      <c r="F378" s="12"/>
      <c r="G378" s="13"/>
      <c r="H378" s="13"/>
      <c r="I378" s="13"/>
      <c r="J378" s="177"/>
      <c r="K378" s="177"/>
      <c r="L378" s="13"/>
      <c r="M378" s="177"/>
      <c r="N378" s="177"/>
      <c r="O378" s="177"/>
      <c r="P378" s="177"/>
      <c r="Q378" s="13"/>
      <c r="R378" s="328" t="str">
        <f>R$10</f>
        <v xml:space="preserve"> </v>
      </c>
      <c r="S378" s="329"/>
      <c r="T378" s="177"/>
      <c r="U378" s="12"/>
      <c r="V378" s="64"/>
      <c r="W378" s="138"/>
    </row>
    <row r="379" spans="1:23" ht="15.75" x14ac:dyDescent="0.25">
      <c r="A379" s="45"/>
      <c r="B379" s="14" t="s">
        <v>2</v>
      </c>
      <c r="C379" s="14" t="s">
        <v>349</v>
      </c>
      <c r="D379" s="226" t="s">
        <v>113</v>
      </c>
      <c r="E379" s="14" t="s">
        <v>350</v>
      </c>
      <c r="F379" s="226" t="str">
        <f>F$11</f>
        <v>TBILLTDCS</v>
      </c>
      <c r="G379" s="181" t="s">
        <v>688</v>
      </c>
      <c r="H379" s="181" t="s">
        <v>355</v>
      </c>
      <c r="I379" s="14"/>
      <c r="J379" s="181" t="s">
        <v>679</v>
      </c>
      <c r="K379" s="181" t="s">
        <v>388</v>
      </c>
      <c r="L379" s="14" t="s">
        <v>388</v>
      </c>
      <c r="M379" s="181" t="s">
        <v>389</v>
      </c>
      <c r="N379" s="181" t="s">
        <v>389</v>
      </c>
      <c r="O379" s="181" t="s">
        <v>389</v>
      </c>
      <c r="P379" s="181" t="s">
        <v>390</v>
      </c>
      <c r="Q379" s="14" t="s">
        <v>391</v>
      </c>
      <c r="R379" s="331" t="str">
        <f>R$11</f>
        <v>Wholesale</v>
      </c>
      <c r="S379" s="12" t="str">
        <f>S$11</f>
        <v>Wholesale</v>
      </c>
      <c r="T379" s="181"/>
      <c r="U379" s="14" t="s">
        <v>10</v>
      </c>
      <c r="V379" s="64"/>
      <c r="W379" s="138"/>
    </row>
    <row r="380" spans="1:23" ht="15" x14ac:dyDescent="0.2">
      <c r="A380" s="45"/>
      <c r="B380" s="14"/>
      <c r="C380" s="14"/>
      <c r="D380" s="14"/>
      <c r="E380" s="14"/>
      <c r="F380" s="14"/>
      <c r="G380" s="181" t="s">
        <v>689</v>
      </c>
      <c r="H380" s="181" t="s">
        <v>690</v>
      </c>
      <c r="I380" s="14"/>
      <c r="J380" s="181"/>
      <c r="K380" s="181" t="s">
        <v>680</v>
      </c>
      <c r="L380" s="14" t="s">
        <v>681</v>
      </c>
      <c r="M380" s="181" t="s">
        <v>680</v>
      </c>
      <c r="N380" s="181" t="s">
        <v>681</v>
      </c>
      <c r="O380" s="181" t="s">
        <v>393</v>
      </c>
      <c r="P380" s="181"/>
      <c r="Q380" s="14"/>
      <c r="R380" s="174" t="str">
        <f>R$12</f>
        <v>XFMR</v>
      </c>
      <c r="S380" s="14" t="str">
        <f>S$12</f>
        <v>DLS</v>
      </c>
      <c r="T380" s="181"/>
      <c r="U380" s="14"/>
      <c r="V380" s="64"/>
      <c r="W380" s="138"/>
    </row>
    <row r="381" spans="1:23" ht="15.75" thickBot="1" x14ac:dyDescent="0.25">
      <c r="A381" s="45"/>
      <c r="B381" s="15"/>
      <c r="C381" s="15"/>
      <c r="D381" s="15"/>
      <c r="E381" s="15"/>
      <c r="F381" s="15" t="s">
        <v>13</v>
      </c>
      <c r="G381" s="15" t="s">
        <v>14</v>
      </c>
      <c r="H381" s="15" t="s">
        <v>15</v>
      </c>
      <c r="I381" s="15"/>
      <c r="J381" s="182" t="str">
        <f t="shared" ref="J381:Q381" si="143">J$13</f>
        <v>(d)</v>
      </c>
      <c r="K381" s="182" t="str">
        <f t="shared" si="143"/>
        <v>(e)</v>
      </c>
      <c r="L381" s="15" t="str">
        <f t="shared" si="143"/>
        <v>(f)</v>
      </c>
      <c r="M381" s="182" t="str">
        <f t="shared" si="143"/>
        <v>(g)</v>
      </c>
      <c r="N381" s="182" t="str">
        <f t="shared" si="143"/>
        <v>(h)</v>
      </c>
      <c r="O381" s="182" t="str">
        <f>O$13</f>
        <v>(i)</v>
      </c>
      <c r="P381" s="182" t="str">
        <f t="shared" si="143"/>
        <v>(j)</v>
      </c>
      <c r="Q381" s="182" t="str">
        <f t="shared" si="143"/>
        <v>(k)</v>
      </c>
      <c r="R381" s="182" t="str">
        <f>R$13</f>
        <v>(l)</v>
      </c>
      <c r="S381" s="15" t="str">
        <f>S$13</f>
        <v>(m)</v>
      </c>
      <c r="T381" s="15"/>
      <c r="U381" s="15" t="s">
        <v>683</v>
      </c>
      <c r="V381" s="64"/>
      <c r="W381" s="138"/>
    </row>
    <row r="382" spans="1:23" ht="15" x14ac:dyDescent="0.2">
      <c r="A382" s="45"/>
      <c r="B382" s="64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41"/>
      <c r="V382" s="64"/>
      <c r="W382" s="138"/>
    </row>
    <row r="383" spans="1:23" ht="15.75" x14ac:dyDescent="0.25">
      <c r="A383" s="45"/>
      <c r="B383" s="16">
        <f t="shared" ref="B383:B388" si="144">B382+1</f>
        <v>1</v>
      </c>
      <c r="C383" s="269" t="s">
        <v>110</v>
      </c>
      <c r="D383" s="34"/>
      <c r="E383" s="35"/>
      <c r="F383" s="37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4"/>
      <c r="V383" s="64"/>
      <c r="W383" s="138"/>
    </row>
    <row r="384" spans="1:23" ht="15.75" x14ac:dyDescent="0.25">
      <c r="A384" s="45"/>
      <c r="B384" s="16">
        <f t="shared" si="144"/>
        <v>2</v>
      </c>
      <c r="C384" s="269"/>
      <c r="D384" s="41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41"/>
      <c r="V384" s="64"/>
      <c r="W384" s="643">
        <f>F384-U384</f>
        <v>0</v>
      </c>
    </row>
    <row r="385" spans="1:23" ht="15.75" x14ac:dyDescent="0.25">
      <c r="A385" s="45"/>
      <c r="B385" s="16">
        <f t="shared" si="144"/>
        <v>3</v>
      </c>
      <c r="C385" s="41" t="s">
        <v>540</v>
      </c>
      <c r="D385" s="41" t="s">
        <v>113</v>
      </c>
      <c r="E385" s="36" t="s">
        <v>114</v>
      </c>
      <c r="F385" s="97">
        <f>' WP II-I-1.4'!$I$385</f>
        <v>0</v>
      </c>
      <c r="G385" s="38">
        <v>28</v>
      </c>
      <c r="H385" s="45" t="str">
        <f>VLOOKUP(G385,FactorTable,2)</f>
        <v>NCP XHV</v>
      </c>
      <c r="I385" s="36"/>
      <c r="J385" s="369">
        <f t="shared" ref="J385:S385" si="145">$F385*HLOOKUP(J$1354,FactorTable,$G385+1)</f>
        <v>0</v>
      </c>
      <c r="K385" s="369">
        <f t="shared" si="145"/>
        <v>0</v>
      </c>
      <c r="L385" s="369">
        <f t="shared" si="145"/>
        <v>0</v>
      </c>
      <c r="M385" s="369">
        <f t="shared" si="145"/>
        <v>0</v>
      </c>
      <c r="N385" s="369">
        <f t="shared" si="145"/>
        <v>0</v>
      </c>
      <c r="O385" s="369">
        <f t="shared" si="145"/>
        <v>0</v>
      </c>
      <c r="P385" s="369">
        <f t="shared" si="145"/>
        <v>0</v>
      </c>
      <c r="Q385" s="369">
        <f t="shared" si="145"/>
        <v>0</v>
      </c>
      <c r="R385" s="369">
        <f t="shared" si="145"/>
        <v>0</v>
      </c>
      <c r="S385" s="369">
        <f t="shared" si="145"/>
        <v>0</v>
      </c>
      <c r="T385" s="36"/>
      <c r="U385" s="97">
        <f>SUM(I385:T385)</f>
        <v>0</v>
      </c>
      <c r="V385" s="64"/>
      <c r="W385" s="643">
        <f>F385-U385</f>
        <v>0</v>
      </c>
    </row>
    <row r="386" spans="1:23" ht="15.75" x14ac:dyDescent="0.25">
      <c r="A386" s="45"/>
      <c r="B386" s="16">
        <f t="shared" si="144"/>
        <v>4</v>
      </c>
      <c r="C386" s="34"/>
      <c r="D386" s="42" t="s">
        <v>444</v>
      </c>
      <c r="E386" s="37"/>
      <c r="F386" s="37">
        <f>+F385</f>
        <v>0</v>
      </c>
      <c r="G386" s="37"/>
      <c r="H386" s="37"/>
      <c r="I386" s="37"/>
      <c r="J386" s="807">
        <f t="shared" ref="J386:Q386" si="146">+J385</f>
        <v>0</v>
      </c>
      <c r="K386" s="807">
        <f t="shared" si="146"/>
        <v>0</v>
      </c>
      <c r="L386" s="807">
        <f t="shared" si="146"/>
        <v>0</v>
      </c>
      <c r="M386" s="807">
        <f t="shared" si="146"/>
        <v>0</v>
      </c>
      <c r="N386" s="807">
        <f t="shared" si="146"/>
        <v>0</v>
      </c>
      <c r="O386" s="807">
        <f>+O385</f>
        <v>0</v>
      </c>
      <c r="P386" s="807">
        <f t="shared" si="146"/>
        <v>0</v>
      </c>
      <c r="Q386" s="807">
        <f t="shared" si="146"/>
        <v>0</v>
      </c>
      <c r="R386" s="807">
        <f>+R385</f>
        <v>0</v>
      </c>
      <c r="S386" s="807">
        <f>+S385</f>
        <v>0</v>
      </c>
      <c r="T386" s="37"/>
      <c r="U386" s="235">
        <f>SUM(I386:T386)</f>
        <v>0</v>
      </c>
      <c r="V386" s="64"/>
      <c r="W386" s="643">
        <f>F386-U386</f>
        <v>0</v>
      </c>
    </row>
    <row r="387" spans="1:23" ht="15.75" thickBot="1" x14ac:dyDescent="0.25">
      <c r="A387" s="45"/>
      <c r="B387" s="16">
        <f t="shared" si="144"/>
        <v>5</v>
      </c>
      <c r="C387" s="41"/>
      <c r="D387" s="41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41"/>
      <c r="V387" s="64"/>
      <c r="W387" s="138"/>
    </row>
    <row r="388" spans="1:23" ht="16.5" thickBot="1" x14ac:dyDescent="0.3">
      <c r="A388" s="45"/>
      <c r="B388" s="16">
        <f t="shared" si="144"/>
        <v>6</v>
      </c>
      <c r="C388" s="270" t="s">
        <v>541</v>
      </c>
      <c r="D388" s="271"/>
      <c r="E388" s="272" t="s">
        <v>114</v>
      </c>
      <c r="F388" s="217">
        <f>+F386</f>
        <v>0</v>
      </c>
      <c r="G388" s="272"/>
      <c r="H388" s="392"/>
      <c r="I388" s="393"/>
      <c r="J388" s="291">
        <f t="shared" ref="J388:Q388" si="147">+J386</f>
        <v>0</v>
      </c>
      <c r="K388" s="814">
        <f t="shared" si="147"/>
        <v>0</v>
      </c>
      <c r="L388" s="814">
        <f t="shared" si="147"/>
        <v>0</v>
      </c>
      <c r="M388" s="814">
        <f t="shared" si="147"/>
        <v>0</v>
      </c>
      <c r="N388" s="814">
        <f t="shared" si="147"/>
        <v>0</v>
      </c>
      <c r="O388" s="814">
        <f>+O386</f>
        <v>0</v>
      </c>
      <c r="P388" s="814">
        <f t="shared" si="147"/>
        <v>0</v>
      </c>
      <c r="Q388" s="814">
        <f t="shared" si="147"/>
        <v>0</v>
      </c>
      <c r="R388" s="814">
        <f>+R386</f>
        <v>0</v>
      </c>
      <c r="S388" s="218">
        <f>+S386</f>
        <v>0</v>
      </c>
      <c r="T388" s="393"/>
      <c r="U388" s="195">
        <f>SUM(I388:T388)</f>
        <v>0</v>
      </c>
      <c r="V388" s="64"/>
      <c r="W388" s="138"/>
    </row>
    <row r="389" spans="1:23" ht="15" x14ac:dyDescent="0.2">
      <c r="A389" s="45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138"/>
    </row>
    <row r="390" spans="1:23" ht="15" x14ac:dyDescent="0.2">
      <c r="A390" s="45"/>
      <c r="B390" s="64"/>
      <c r="C390" s="64"/>
      <c r="D390" s="64"/>
      <c r="E390" s="64"/>
      <c r="F390" s="64"/>
      <c r="G390" s="64"/>
      <c r="H390" s="105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105"/>
      <c r="V390" s="105">
        <f>$H$2</f>
        <v>0</v>
      </c>
      <c r="W390" s="138"/>
    </row>
    <row r="391" spans="1:23" ht="15.75" thickBot="1" x14ac:dyDescent="0.25">
      <c r="A391" s="45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138"/>
    </row>
    <row r="392" spans="1:23" ht="15.75" x14ac:dyDescent="0.25">
      <c r="A392" s="45"/>
      <c r="B392" s="829" t="str">
        <f>+$B$4</f>
        <v>2025 RATE CASE</v>
      </c>
      <c r="C392" s="844"/>
      <c r="D392" s="872"/>
      <c r="F392" s="267"/>
      <c r="U392" s="105"/>
      <c r="W392" s="138"/>
    </row>
    <row r="393" spans="1:23" ht="15.75" x14ac:dyDescent="0.25">
      <c r="A393" s="45"/>
      <c r="B393" s="826" t="str">
        <f>+$B$5</f>
        <v>ONCOR ELECTRIC DELIVERY COMPANY LLC</v>
      </c>
      <c r="C393" s="8"/>
      <c r="D393" s="873"/>
      <c r="F393" s="267"/>
      <c r="U393" s="105"/>
      <c r="V393" s="64"/>
      <c r="W393" s="138"/>
    </row>
    <row r="394" spans="1:23" ht="15.75" x14ac:dyDescent="0.25">
      <c r="A394" s="45"/>
      <c r="B394" s="826" t="str">
        <f>+$B$6</f>
        <v>II-I-1-TBILLTDCS:  CLASS REVENUE REQUIREMENT</v>
      </c>
      <c r="C394" s="82"/>
      <c r="D394" s="873"/>
      <c r="F394" s="267"/>
      <c r="U394" s="267"/>
      <c r="V394" s="64"/>
      <c r="W394" s="138"/>
    </row>
    <row r="395" spans="1:23" ht="15.75" x14ac:dyDescent="0.25">
      <c r="A395" s="45"/>
      <c r="B395" s="341" t="str">
        <f>+$B$7</f>
        <v>TEST YEAR ENDING 12/31/2024</v>
      </c>
      <c r="C395" s="82"/>
      <c r="D395" s="873"/>
      <c r="F395" s="267"/>
      <c r="U395" s="267"/>
      <c r="V395" s="64"/>
      <c r="W395" s="138"/>
    </row>
    <row r="396" spans="1:23" ht="15.75" x14ac:dyDescent="0.25">
      <c r="A396" s="45"/>
      <c r="B396" s="341" t="str">
        <f>+$B$8</f>
        <v>SPONSOR:  MATTHEW A. TROXLE</v>
      </c>
      <c r="C396" s="82"/>
      <c r="D396" s="873"/>
      <c r="F396" s="267"/>
      <c r="U396" s="267"/>
      <c r="V396" s="64"/>
      <c r="W396" s="138"/>
    </row>
    <row r="397" spans="1:23" ht="16.5" thickBot="1" x14ac:dyDescent="0.3">
      <c r="A397" s="45"/>
      <c r="B397" s="345"/>
      <c r="C397" s="843"/>
      <c r="D397" s="845"/>
      <c r="F397" s="267"/>
      <c r="U397" s="267"/>
      <c r="V397" s="64"/>
      <c r="W397" s="138"/>
    </row>
    <row r="398" spans="1:23" ht="15.75" thickBot="1" x14ac:dyDescent="0.25">
      <c r="A398" s="45"/>
      <c r="B398" s="12"/>
      <c r="C398" s="13"/>
      <c r="D398" s="13"/>
      <c r="E398" s="13"/>
      <c r="F398" s="12"/>
      <c r="G398" s="13"/>
      <c r="H398" s="13"/>
      <c r="I398" s="13"/>
      <c r="J398" s="177"/>
      <c r="K398" s="177"/>
      <c r="L398" s="13"/>
      <c r="M398" s="177"/>
      <c r="N398" s="177"/>
      <c r="O398" s="177"/>
      <c r="P398" s="177"/>
      <c r="Q398" s="13"/>
      <c r="R398" s="328" t="str">
        <f>R$10</f>
        <v xml:space="preserve"> </v>
      </c>
      <c r="S398" s="329"/>
      <c r="T398" s="177"/>
      <c r="U398" s="12"/>
      <c r="V398" s="64"/>
      <c r="W398" s="138"/>
    </row>
    <row r="399" spans="1:23" ht="15.75" x14ac:dyDescent="0.25">
      <c r="A399" s="45"/>
      <c r="B399" s="14" t="s">
        <v>2</v>
      </c>
      <c r="C399" s="14" t="s">
        <v>349</v>
      </c>
      <c r="D399" s="226" t="s">
        <v>542</v>
      </c>
      <c r="E399" s="14" t="s">
        <v>350</v>
      </c>
      <c r="F399" s="226" t="str">
        <f>F$11</f>
        <v>TBILLTDCS</v>
      </c>
      <c r="G399" s="181" t="s">
        <v>688</v>
      </c>
      <c r="H399" s="181" t="s">
        <v>355</v>
      </c>
      <c r="I399" s="14"/>
      <c r="J399" s="181" t="s">
        <v>679</v>
      </c>
      <c r="K399" s="181" t="s">
        <v>388</v>
      </c>
      <c r="L399" s="14" t="s">
        <v>388</v>
      </c>
      <c r="M399" s="181" t="s">
        <v>389</v>
      </c>
      <c r="N399" s="181" t="s">
        <v>389</v>
      </c>
      <c r="O399" s="181" t="s">
        <v>389</v>
      </c>
      <c r="P399" s="181" t="s">
        <v>390</v>
      </c>
      <c r="Q399" s="14" t="s">
        <v>391</v>
      </c>
      <c r="R399" s="331" t="str">
        <f>R$11</f>
        <v>Wholesale</v>
      </c>
      <c r="S399" s="12" t="str">
        <f>S$11</f>
        <v>Wholesale</v>
      </c>
      <c r="T399" s="181"/>
      <c r="U399" s="14" t="s">
        <v>10</v>
      </c>
      <c r="V399" s="64"/>
      <c r="W399" s="138"/>
    </row>
    <row r="400" spans="1:23" ht="15" x14ac:dyDescent="0.2">
      <c r="A400" s="45"/>
      <c r="B400" s="14"/>
      <c r="C400" s="14"/>
      <c r="D400" s="14"/>
      <c r="E400" s="14"/>
      <c r="F400" s="14"/>
      <c r="G400" s="181" t="s">
        <v>689</v>
      </c>
      <c r="H400" s="181" t="s">
        <v>690</v>
      </c>
      <c r="I400" s="14"/>
      <c r="J400" s="181"/>
      <c r="K400" s="181" t="s">
        <v>680</v>
      </c>
      <c r="L400" s="14" t="s">
        <v>681</v>
      </c>
      <c r="M400" s="181" t="s">
        <v>680</v>
      </c>
      <c r="N400" s="181" t="s">
        <v>681</v>
      </c>
      <c r="O400" s="181" t="s">
        <v>393</v>
      </c>
      <c r="P400" s="181"/>
      <c r="Q400" s="14"/>
      <c r="R400" s="174" t="str">
        <f>R$12</f>
        <v>XFMR</v>
      </c>
      <c r="S400" s="14" t="str">
        <f>S$12</f>
        <v>DLS</v>
      </c>
      <c r="T400" s="181"/>
      <c r="U400" s="14"/>
      <c r="V400" s="64"/>
      <c r="W400" s="138"/>
    </row>
    <row r="401" spans="1:23" ht="15.75" thickBot="1" x14ac:dyDescent="0.25">
      <c r="A401" s="45"/>
      <c r="B401" s="15"/>
      <c r="C401" s="15"/>
      <c r="D401" s="15"/>
      <c r="E401" s="15"/>
      <c r="F401" s="15" t="s">
        <v>13</v>
      </c>
      <c r="G401" s="15" t="s">
        <v>14</v>
      </c>
      <c r="H401" s="15" t="s">
        <v>15</v>
      </c>
      <c r="I401" s="15"/>
      <c r="J401" s="182" t="str">
        <f t="shared" ref="J401:Q401" si="148">J$13</f>
        <v>(d)</v>
      </c>
      <c r="K401" s="182" t="str">
        <f t="shared" si="148"/>
        <v>(e)</v>
      </c>
      <c r="L401" s="15" t="str">
        <f t="shared" si="148"/>
        <v>(f)</v>
      </c>
      <c r="M401" s="182" t="str">
        <f t="shared" si="148"/>
        <v>(g)</v>
      </c>
      <c r="N401" s="182" t="str">
        <f t="shared" si="148"/>
        <v>(h)</v>
      </c>
      <c r="O401" s="182" t="str">
        <f>O$13</f>
        <v>(i)</v>
      </c>
      <c r="P401" s="182" t="str">
        <f t="shared" si="148"/>
        <v>(j)</v>
      </c>
      <c r="Q401" s="182" t="str">
        <f t="shared" si="148"/>
        <v>(k)</v>
      </c>
      <c r="R401" s="182" t="str">
        <f>R$13</f>
        <v>(l)</v>
      </c>
      <c r="S401" s="15" t="str">
        <f>S$13</f>
        <v>(m)</v>
      </c>
      <c r="T401" s="15"/>
      <c r="U401" s="15" t="s">
        <v>683</v>
      </c>
      <c r="V401" s="64"/>
      <c r="W401" s="138"/>
    </row>
    <row r="402" spans="1:23" ht="15" x14ac:dyDescent="0.2">
      <c r="A402" s="45"/>
      <c r="B402" s="64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41"/>
      <c r="V402" s="64"/>
      <c r="W402" s="138"/>
    </row>
    <row r="403" spans="1:23" ht="15.75" x14ac:dyDescent="0.25">
      <c r="A403" s="45"/>
      <c r="B403" s="16">
        <f t="shared" ref="B403:B413" si="149">B402+1</f>
        <v>1</v>
      </c>
      <c r="C403" s="269" t="s">
        <v>110</v>
      </c>
      <c r="D403" s="34"/>
      <c r="E403" s="35"/>
      <c r="F403" s="273"/>
      <c r="G403" s="35"/>
      <c r="H403" s="35"/>
      <c r="I403" s="35"/>
      <c r="J403" s="35"/>
      <c r="K403" s="35"/>
      <c r="L403" s="806"/>
      <c r="M403" s="806"/>
      <c r="N403" s="35"/>
      <c r="O403" s="35"/>
      <c r="P403" s="35"/>
      <c r="Q403" s="35"/>
      <c r="R403" s="35"/>
      <c r="S403" s="35"/>
      <c r="T403" s="35"/>
      <c r="U403" s="42"/>
      <c r="V403" s="64"/>
      <c r="W403" s="138"/>
    </row>
    <row r="404" spans="1:23" ht="15.75" x14ac:dyDescent="0.25">
      <c r="A404" s="45"/>
      <c r="B404" s="16">
        <f t="shared" si="149"/>
        <v>2</v>
      </c>
      <c r="C404" s="269"/>
      <c r="D404" s="41"/>
      <c r="E404" s="202"/>
      <c r="F404" s="274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75"/>
      <c r="V404" s="64"/>
      <c r="W404" s="138"/>
    </row>
    <row r="405" spans="1:23" ht="15.75" x14ac:dyDescent="0.25">
      <c r="A405" s="45"/>
      <c r="B405" s="16">
        <f t="shared" si="149"/>
        <v>3</v>
      </c>
      <c r="C405" s="41"/>
      <c r="D405" s="41" t="s">
        <v>131</v>
      </c>
      <c r="E405" s="35" t="s">
        <v>475</v>
      </c>
      <c r="F405" s="97">
        <f>' WP II-I-1.4'!I405</f>
        <v>0</v>
      </c>
      <c r="G405" s="293">
        <v>2</v>
      </c>
      <c r="H405" s="45" t="str">
        <f>VLOOKUP(G405,FactorTable,2)</f>
        <v>N / A</v>
      </c>
      <c r="I405" s="806"/>
      <c r="J405" s="806"/>
      <c r="K405" s="806"/>
      <c r="L405" s="806"/>
      <c r="M405" s="806"/>
      <c r="N405" s="806"/>
      <c r="O405" s="806"/>
      <c r="P405" s="806"/>
      <c r="Q405" s="806"/>
      <c r="R405" s="806"/>
      <c r="S405" s="806"/>
      <c r="T405" s="806"/>
      <c r="U405" s="97">
        <f>SUM(I405:T405)</f>
        <v>0</v>
      </c>
      <c r="V405" s="64"/>
      <c r="W405" s="643">
        <f t="shared" ref="W405:W413" si="150">F405-U405</f>
        <v>0</v>
      </c>
    </row>
    <row r="406" spans="1:23" ht="15.75" x14ac:dyDescent="0.25">
      <c r="A406" s="45"/>
      <c r="B406" s="16">
        <f t="shared" si="149"/>
        <v>4</v>
      </c>
      <c r="C406" s="41"/>
      <c r="D406" s="41" t="s">
        <v>543</v>
      </c>
      <c r="E406" s="35"/>
      <c r="F406" s="97">
        <f>' WP II-I-1.4'!I406</f>
        <v>0</v>
      </c>
      <c r="G406" s="293">
        <v>2</v>
      </c>
      <c r="H406" s="45" t="str">
        <f>VLOOKUP(G406,FactorTable,2)</f>
        <v>N / A</v>
      </c>
      <c r="I406" s="806"/>
      <c r="J406" s="806"/>
      <c r="K406" s="806"/>
      <c r="L406" s="806"/>
      <c r="M406" s="806"/>
      <c r="N406" s="806"/>
      <c r="O406" s="806"/>
      <c r="P406" s="806"/>
      <c r="Q406" s="806"/>
      <c r="R406" s="806"/>
      <c r="S406" s="806"/>
      <c r="T406" s="806"/>
      <c r="U406" s="97">
        <f>SUM(I406:T406)</f>
        <v>0</v>
      </c>
      <c r="V406" s="64"/>
      <c r="W406" s="643">
        <f t="shared" si="150"/>
        <v>0</v>
      </c>
    </row>
    <row r="407" spans="1:23" ht="15.75" x14ac:dyDescent="0.25">
      <c r="A407" s="45"/>
      <c r="B407" s="16">
        <f t="shared" si="149"/>
        <v>5</v>
      </c>
      <c r="C407" s="41"/>
      <c r="D407" s="41" t="s">
        <v>544</v>
      </c>
      <c r="E407" s="35"/>
      <c r="F407" s="97">
        <f>' WP II-I-1.4'!I407</f>
        <v>0</v>
      </c>
      <c r="G407" s="293">
        <v>2</v>
      </c>
      <c r="H407" s="45" t="str">
        <f>VLOOKUP(G407,FactorTable,2)</f>
        <v>N / A</v>
      </c>
      <c r="I407" s="806"/>
      <c r="J407" s="806"/>
      <c r="K407" s="806"/>
      <c r="L407" s="806"/>
      <c r="M407" s="806"/>
      <c r="N407" s="806"/>
      <c r="O407" s="806"/>
      <c r="P407" s="806"/>
      <c r="Q407" s="806"/>
      <c r="R407" s="806"/>
      <c r="S407" s="806"/>
      <c r="T407" s="806"/>
      <c r="U407" s="97">
        <f>SUM(I407:T407)</f>
        <v>0</v>
      </c>
      <c r="V407" s="64"/>
      <c r="W407" s="643">
        <f t="shared" si="150"/>
        <v>0</v>
      </c>
    </row>
    <row r="408" spans="1:23" ht="16.5" thickBot="1" x14ac:dyDescent="0.3">
      <c r="A408" s="45"/>
      <c r="B408" s="16">
        <f t="shared" si="149"/>
        <v>6</v>
      </c>
      <c r="C408" s="41"/>
      <c r="D408" s="41"/>
      <c r="E408" s="35"/>
      <c r="F408" s="25"/>
      <c r="G408" s="35"/>
      <c r="H408" s="35"/>
      <c r="I408" s="35"/>
      <c r="J408" s="35"/>
      <c r="K408" s="35"/>
      <c r="L408" s="806"/>
      <c r="M408" s="806"/>
      <c r="N408" s="35"/>
      <c r="O408" s="35"/>
      <c r="P408" s="35"/>
      <c r="Q408" s="35"/>
      <c r="R408" s="35"/>
      <c r="S408" s="35"/>
      <c r="T408" s="35"/>
      <c r="U408" s="97"/>
      <c r="V408" s="64"/>
      <c r="W408" s="643">
        <f t="shared" si="150"/>
        <v>0</v>
      </c>
    </row>
    <row r="409" spans="1:23" ht="16.5" thickBot="1" x14ac:dyDescent="0.3">
      <c r="A409" s="45"/>
      <c r="B409" s="16">
        <f t="shared" si="149"/>
        <v>7</v>
      </c>
      <c r="C409" s="276" t="s">
        <v>545</v>
      </c>
      <c r="D409" s="271"/>
      <c r="E409" s="272" t="s">
        <v>475</v>
      </c>
      <c r="F409" s="277">
        <f>SUM(F405:F407)</f>
        <v>0</v>
      </c>
      <c r="G409" s="272"/>
      <c r="H409" s="392"/>
      <c r="I409" s="393"/>
      <c r="J409" s="395">
        <f t="shared" ref="J409:Q409" si="151">SUM(J405:J407)</f>
        <v>0</v>
      </c>
      <c r="K409" s="277">
        <f t="shared" si="151"/>
        <v>0</v>
      </c>
      <c r="L409" s="277">
        <f t="shared" si="151"/>
        <v>0</v>
      </c>
      <c r="M409" s="277">
        <f t="shared" si="151"/>
        <v>0</v>
      </c>
      <c r="N409" s="277">
        <f t="shared" si="151"/>
        <v>0</v>
      </c>
      <c r="O409" s="277">
        <f>SUM(O405:O407)</f>
        <v>0</v>
      </c>
      <c r="P409" s="277">
        <f t="shared" si="151"/>
        <v>0</v>
      </c>
      <c r="Q409" s="277">
        <f t="shared" si="151"/>
        <v>0</v>
      </c>
      <c r="R409" s="277">
        <f>SUM(R405:R407)</f>
        <v>0</v>
      </c>
      <c r="S409" s="396">
        <f>SUM(S405:S407)</f>
        <v>0</v>
      </c>
      <c r="T409" s="393"/>
      <c r="U409" s="195">
        <f>SUM(I409:T409)</f>
        <v>0</v>
      </c>
      <c r="V409" s="64"/>
      <c r="W409" s="643">
        <f t="shared" si="150"/>
        <v>0</v>
      </c>
    </row>
    <row r="410" spans="1:23" ht="15" x14ac:dyDescent="0.2">
      <c r="A410" s="45"/>
      <c r="B410" s="16">
        <f t="shared" si="149"/>
        <v>8</v>
      </c>
      <c r="C410" s="41"/>
      <c r="D410" s="41"/>
      <c r="E410" s="202"/>
      <c r="F410" s="274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79"/>
      <c r="V410" s="64"/>
      <c r="W410" s="643">
        <f t="shared" si="150"/>
        <v>0</v>
      </c>
    </row>
    <row r="411" spans="1:23" ht="15.75" x14ac:dyDescent="0.25">
      <c r="A411" s="118"/>
      <c r="B411" s="16">
        <f t="shared" si="149"/>
        <v>9</v>
      </c>
      <c r="C411" s="34" t="s">
        <v>546</v>
      </c>
      <c r="D411" s="42"/>
      <c r="E411" s="35" t="s">
        <v>125</v>
      </c>
      <c r="F411" s="97">
        <f>' WP II-I-1.4'!$I$411</f>
        <v>-52031200.460000001</v>
      </c>
      <c r="G411" s="293">
        <v>64</v>
      </c>
      <c r="H411" s="45" t="str">
        <f>VLOOKUP(G411,FactorTable,2)</f>
        <v>PLANT</v>
      </c>
      <c r="I411" s="806"/>
      <c r="J411" s="369">
        <f t="shared" ref="J411:S411" ca="1" si="152">$F411*HLOOKUP(J$1354,FactorTable,$G411+1)</f>
        <v>-25647423.795422953</v>
      </c>
      <c r="K411" s="369">
        <f t="shared" ca="1" si="152"/>
        <v>-3578656.2877233038</v>
      </c>
      <c r="L411" s="369">
        <f t="shared" ca="1" si="152"/>
        <v>-13986728.357172368</v>
      </c>
      <c r="M411" s="369">
        <f t="shared" ca="1" si="152"/>
        <v>-588354.14912035316</v>
      </c>
      <c r="N411" s="369">
        <f t="shared" ca="1" si="152"/>
        <v>-4528973.2063388117</v>
      </c>
      <c r="O411" s="369">
        <f t="shared" ca="1" si="152"/>
        <v>-148599.02840413287</v>
      </c>
      <c r="P411" s="369">
        <f t="shared" ca="1" si="152"/>
        <v>-309961.16354236309</v>
      </c>
      <c r="Q411" s="369">
        <f t="shared" ca="1" si="152"/>
        <v>-3184435.7661608197</v>
      </c>
      <c r="R411" s="369">
        <f t="shared" ca="1" si="152"/>
        <v>-16409.708658125106</v>
      </c>
      <c r="S411" s="369">
        <f t="shared" ca="1" si="152"/>
        <v>-41658.997456792837</v>
      </c>
      <c r="T411" s="806"/>
      <c r="U411" s="235">
        <f ca="1">SUM(I411:T411)</f>
        <v>-52031200.460000008</v>
      </c>
      <c r="V411" s="104"/>
      <c r="W411" s="643">
        <f t="shared" ca="1" si="150"/>
        <v>0</v>
      </c>
    </row>
    <row r="412" spans="1:23" ht="15.75" thickBot="1" x14ac:dyDescent="0.25">
      <c r="A412" s="45"/>
      <c r="B412" s="16">
        <f t="shared" si="149"/>
        <v>10</v>
      </c>
      <c r="C412" s="41"/>
      <c r="D412" s="41"/>
      <c r="E412" s="202"/>
      <c r="F412" s="274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75"/>
      <c r="V412" s="64"/>
      <c r="W412" s="643">
        <f t="shared" si="150"/>
        <v>0</v>
      </c>
    </row>
    <row r="413" spans="1:23" ht="16.5" thickBot="1" x14ac:dyDescent="0.3">
      <c r="A413" s="45"/>
      <c r="B413" s="16">
        <f t="shared" si="149"/>
        <v>11</v>
      </c>
      <c r="C413" s="276" t="s">
        <v>547</v>
      </c>
      <c r="D413" s="271"/>
      <c r="E413" s="272"/>
      <c r="F413" s="277">
        <f>+F411+F409</f>
        <v>-52031200.460000001</v>
      </c>
      <c r="G413" s="272"/>
      <c r="H413" s="392"/>
      <c r="I413" s="393"/>
      <c r="J413" s="395">
        <f t="shared" ref="J413:Q413" ca="1" si="153">+J411+J409</f>
        <v>-25647423.795422953</v>
      </c>
      <c r="K413" s="277">
        <f t="shared" ca="1" si="153"/>
        <v>-3578656.2877233038</v>
      </c>
      <c r="L413" s="277">
        <f t="shared" ca="1" si="153"/>
        <v>-13986728.357172368</v>
      </c>
      <c r="M413" s="277">
        <f t="shared" ca="1" si="153"/>
        <v>-588354.14912035316</v>
      </c>
      <c r="N413" s="277">
        <f t="shared" ca="1" si="153"/>
        <v>-4528973.2063388117</v>
      </c>
      <c r="O413" s="277">
        <f ca="1">+O411+O409</f>
        <v>-148599.02840413287</v>
      </c>
      <c r="P413" s="277">
        <f t="shared" ca="1" si="153"/>
        <v>-309961.16354236309</v>
      </c>
      <c r="Q413" s="277">
        <f t="shared" ca="1" si="153"/>
        <v>-3184435.7661608197</v>
      </c>
      <c r="R413" s="277">
        <f ca="1">+R411+R409</f>
        <v>-16409.708658125106</v>
      </c>
      <c r="S413" s="396">
        <f ca="1">+S411+S409</f>
        <v>-41658.997456792837</v>
      </c>
      <c r="T413" s="393"/>
      <c r="U413" s="195">
        <f ca="1">SUM(I413:T413)</f>
        <v>-52031200.460000008</v>
      </c>
      <c r="V413" s="64"/>
      <c r="W413" s="643">
        <f t="shared" ca="1" si="150"/>
        <v>0</v>
      </c>
    </row>
    <row r="414" spans="1:23" ht="15" x14ac:dyDescent="0.2">
      <c r="A414" s="45"/>
      <c r="B414" s="64"/>
      <c r="C414" s="64"/>
      <c r="D414" s="64"/>
      <c r="E414" s="64"/>
      <c r="F414" s="222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138"/>
    </row>
    <row r="415" spans="1:23" ht="15" x14ac:dyDescent="0.2">
      <c r="A415" s="45"/>
      <c r="B415" s="64"/>
      <c r="C415" s="64"/>
      <c r="D415" s="64"/>
      <c r="E415" s="64"/>
      <c r="F415" s="222"/>
      <c r="G415" s="64"/>
      <c r="H415" s="105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105"/>
      <c r="V415" s="105">
        <f>$H$2</f>
        <v>0</v>
      </c>
      <c r="W415" s="138"/>
    </row>
    <row r="416" spans="1:23" ht="15.75" thickBot="1" x14ac:dyDescent="0.25">
      <c r="A416" s="45"/>
      <c r="B416" s="64"/>
      <c r="C416" s="64"/>
      <c r="D416" s="64"/>
      <c r="E416" s="64"/>
      <c r="F416" s="222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138"/>
    </row>
    <row r="417" spans="1:23" ht="15.75" x14ac:dyDescent="0.25">
      <c r="A417" s="45"/>
      <c r="B417" s="829" t="str">
        <f>+$B$4</f>
        <v>2025 RATE CASE</v>
      </c>
      <c r="C417" s="844"/>
      <c r="D417" s="872"/>
      <c r="F417" s="267"/>
      <c r="U417" s="105"/>
      <c r="W417" s="138"/>
    </row>
    <row r="418" spans="1:23" ht="15.75" x14ac:dyDescent="0.25">
      <c r="A418" s="45"/>
      <c r="B418" s="826" t="str">
        <f>+$B$5</f>
        <v>ONCOR ELECTRIC DELIVERY COMPANY LLC</v>
      </c>
      <c r="C418" s="8"/>
      <c r="D418" s="873"/>
      <c r="F418" s="267"/>
      <c r="U418" s="105"/>
      <c r="V418" s="64"/>
      <c r="W418" s="138"/>
    </row>
    <row r="419" spans="1:23" ht="15.75" x14ac:dyDescent="0.25">
      <c r="A419" s="45"/>
      <c r="B419" s="826" t="str">
        <f>+$B$6</f>
        <v>II-I-1-TBILLTDCS:  CLASS REVENUE REQUIREMENT</v>
      </c>
      <c r="C419" s="82"/>
      <c r="D419" s="873"/>
      <c r="F419" s="267"/>
      <c r="U419" s="267"/>
      <c r="V419" s="64"/>
      <c r="W419" s="138"/>
    </row>
    <row r="420" spans="1:23" ht="15.75" x14ac:dyDescent="0.25">
      <c r="A420" s="45"/>
      <c r="B420" s="341" t="str">
        <f>+$B$7</f>
        <v>TEST YEAR ENDING 12/31/2024</v>
      </c>
      <c r="C420" s="82"/>
      <c r="D420" s="873"/>
      <c r="F420" s="267"/>
      <c r="U420" s="267"/>
      <c r="V420" s="64"/>
      <c r="W420" s="138"/>
    </row>
    <row r="421" spans="1:23" ht="15.75" x14ac:dyDescent="0.25">
      <c r="A421" s="45"/>
      <c r="B421" s="341" t="str">
        <f>+$B$8</f>
        <v>SPONSOR:  MATTHEW A. TROXLE</v>
      </c>
      <c r="C421" s="82"/>
      <c r="D421" s="873"/>
      <c r="F421" s="267"/>
      <c r="U421" s="267"/>
      <c r="V421" s="64"/>
      <c r="W421" s="138"/>
    </row>
    <row r="422" spans="1:23" ht="16.5" thickBot="1" x14ac:dyDescent="0.3">
      <c r="A422" s="45"/>
      <c r="B422" s="345"/>
      <c r="C422" s="843"/>
      <c r="D422" s="845"/>
      <c r="F422" s="267"/>
      <c r="U422" s="267"/>
      <c r="V422" s="64"/>
      <c r="W422" s="138"/>
    </row>
    <row r="423" spans="1:23" ht="15.75" thickBot="1" x14ac:dyDescent="0.25">
      <c r="A423" s="45"/>
      <c r="B423" s="12"/>
      <c r="C423" s="13"/>
      <c r="D423" s="13"/>
      <c r="E423" s="13"/>
      <c r="F423" s="12"/>
      <c r="G423" s="13"/>
      <c r="H423" s="13"/>
      <c r="I423" s="13"/>
      <c r="J423" s="177"/>
      <c r="K423" s="177"/>
      <c r="L423" s="13"/>
      <c r="M423" s="177"/>
      <c r="N423" s="177"/>
      <c r="O423" s="177"/>
      <c r="P423" s="177"/>
      <c r="Q423" s="13"/>
      <c r="R423" s="328" t="str">
        <f>R$10</f>
        <v xml:space="preserve"> </v>
      </c>
      <c r="S423" s="329"/>
      <c r="T423" s="177"/>
      <c r="U423" s="12"/>
      <c r="V423" s="64"/>
      <c r="W423" s="138"/>
    </row>
    <row r="424" spans="1:23" ht="15.75" x14ac:dyDescent="0.25">
      <c r="A424" s="45"/>
      <c r="B424" s="14" t="s">
        <v>2</v>
      </c>
      <c r="C424" s="14" t="s">
        <v>349</v>
      </c>
      <c r="D424" s="226" t="s">
        <v>548</v>
      </c>
      <c r="E424" s="14" t="s">
        <v>350</v>
      </c>
      <c r="F424" s="226" t="str">
        <f>F$11</f>
        <v>TBILLTDCS</v>
      </c>
      <c r="G424" s="181" t="s">
        <v>688</v>
      </c>
      <c r="H424" s="181" t="s">
        <v>355</v>
      </c>
      <c r="I424" s="14"/>
      <c r="J424" s="181" t="s">
        <v>679</v>
      </c>
      <c r="K424" s="181" t="s">
        <v>388</v>
      </c>
      <c r="L424" s="14" t="s">
        <v>388</v>
      </c>
      <c r="M424" s="181" t="s">
        <v>389</v>
      </c>
      <c r="N424" s="181" t="s">
        <v>389</v>
      </c>
      <c r="O424" s="181" t="s">
        <v>389</v>
      </c>
      <c r="P424" s="181" t="s">
        <v>390</v>
      </c>
      <c r="Q424" s="14" t="s">
        <v>391</v>
      </c>
      <c r="R424" s="331" t="str">
        <f>R$11</f>
        <v>Wholesale</v>
      </c>
      <c r="S424" s="12" t="str">
        <f>S$11</f>
        <v>Wholesale</v>
      </c>
      <c r="T424" s="181"/>
      <c r="U424" s="14" t="s">
        <v>10</v>
      </c>
      <c r="V424" s="64"/>
      <c r="W424" s="138"/>
    </row>
    <row r="425" spans="1:23" ht="15" x14ac:dyDescent="0.2">
      <c r="A425" s="45"/>
      <c r="B425" s="14"/>
      <c r="C425" s="14"/>
      <c r="D425" s="14"/>
      <c r="E425" s="14"/>
      <c r="F425" s="14"/>
      <c r="G425" s="181" t="s">
        <v>689</v>
      </c>
      <c r="H425" s="181" t="s">
        <v>690</v>
      </c>
      <c r="I425" s="14"/>
      <c r="J425" s="181"/>
      <c r="K425" s="181" t="s">
        <v>680</v>
      </c>
      <c r="L425" s="14" t="s">
        <v>681</v>
      </c>
      <c r="M425" s="181" t="s">
        <v>680</v>
      </c>
      <c r="N425" s="181" t="s">
        <v>681</v>
      </c>
      <c r="O425" s="181" t="s">
        <v>393</v>
      </c>
      <c r="P425" s="181"/>
      <c r="Q425" s="14"/>
      <c r="R425" s="174" t="str">
        <f>R$12</f>
        <v>XFMR</v>
      </c>
      <c r="S425" s="14" t="str">
        <f>S$12</f>
        <v>DLS</v>
      </c>
      <c r="T425" s="181"/>
      <c r="U425" s="14"/>
      <c r="V425" s="64"/>
      <c r="W425" s="138"/>
    </row>
    <row r="426" spans="1:23" ht="15.75" thickBot="1" x14ac:dyDescent="0.25">
      <c r="A426" s="45"/>
      <c r="B426" s="15"/>
      <c r="C426" s="15"/>
      <c r="D426" s="15"/>
      <c r="E426" s="15"/>
      <c r="F426" s="15" t="s">
        <v>13</v>
      </c>
      <c r="G426" s="15" t="s">
        <v>14</v>
      </c>
      <c r="H426" s="15" t="s">
        <v>15</v>
      </c>
      <c r="I426" s="15"/>
      <c r="J426" s="182" t="str">
        <f t="shared" ref="J426:Q426" si="154">J$13</f>
        <v>(d)</v>
      </c>
      <c r="K426" s="182" t="str">
        <f t="shared" si="154"/>
        <v>(e)</v>
      </c>
      <c r="L426" s="15" t="str">
        <f t="shared" si="154"/>
        <v>(f)</v>
      </c>
      <c r="M426" s="182" t="str">
        <f t="shared" si="154"/>
        <v>(g)</v>
      </c>
      <c r="N426" s="182" t="str">
        <f t="shared" si="154"/>
        <v>(h)</v>
      </c>
      <c r="O426" s="182" t="str">
        <f>O$13</f>
        <v>(i)</v>
      </c>
      <c r="P426" s="182" t="str">
        <f t="shared" si="154"/>
        <v>(j)</v>
      </c>
      <c r="Q426" s="182" t="str">
        <f t="shared" si="154"/>
        <v>(k)</v>
      </c>
      <c r="R426" s="182" t="str">
        <f>R$13</f>
        <v>(l)</v>
      </c>
      <c r="S426" s="15" t="str">
        <f>S$13</f>
        <v>(m)</v>
      </c>
      <c r="T426" s="15"/>
      <c r="U426" s="15" t="s">
        <v>683</v>
      </c>
      <c r="V426" s="64"/>
      <c r="W426" s="138"/>
    </row>
    <row r="427" spans="1:23" ht="15.75" x14ac:dyDescent="0.25">
      <c r="A427" s="45"/>
      <c r="B427" s="64"/>
      <c r="C427" s="33"/>
      <c r="D427" s="41"/>
      <c r="E427" s="202"/>
      <c r="F427" s="281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41"/>
      <c r="V427" s="64"/>
      <c r="W427" s="138"/>
    </row>
    <row r="428" spans="1:23" ht="15.75" x14ac:dyDescent="0.25">
      <c r="A428" s="45"/>
      <c r="B428" s="16">
        <f t="shared" ref="B428:B435" si="155">B427+1</f>
        <v>1</v>
      </c>
      <c r="C428" s="269" t="s">
        <v>110</v>
      </c>
      <c r="D428" s="41"/>
      <c r="E428" s="202"/>
      <c r="F428" s="281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41"/>
      <c r="V428" s="64"/>
      <c r="W428" s="138"/>
    </row>
    <row r="429" spans="1:23" ht="15.75" x14ac:dyDescent="0.25">
      <c r="A429" s="45"/>
      <c r="B429" s="16">
        <f t="shared" si="155"/>
        <v>2</v>
      </c>
      <c r="C429" s="53" t="s">
        <v>549</v>
      </c>
      <c r="D429" s="42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64"/>
      <c r="W429" s="138"/>
    </row>
    <row r="430" spans="1:23" ht="15.75" x14ac:dyDescent="0.25">
      <c r="A430" s="45"/>
      <c r="B430" s="16">
        <f t="shared" si="155"/>
        <v>3</v>
      </c>
      <c r="C430" s="41"/>
      <c r="D430" s="34" t="s">
        <v>548</v>
      </c>
      <c r="E430" s="35" t="s">
        <v>116</v>
      </c>
      <c r="F430" s="41"/>
      <c r="G430" s="35"/>
      <c r="H430" s="35"/>
      <c r="I430" s="35"/>
      <c r="J430" s="806"/>
      <c r="K430" s="806"/>
      <c r="L430" s="806"/>
      <c r="M430" s="806"/>
      <c r="N430" s="806"/>
      <c r="O430" s="806"/>
      <c r="P430" s="806"/>
      <c r="Q430" s="806"/>
      <c r="R430" s="806"/>
      <c r="S430" s="806"/>
      <c r="T430" s="35"/>
      <c r="U430" s="41"/>
      <c r="V430" s="64"/>
      <c r="W430" s="138"/>
    </row>
    <row r="431" spans="1:23" ht="15" x14ac:dyDescent="0.2">
      <c r="A431" s="45"/>
      <c r="B431" s="16">
        <f t="shared" si="155"/>
        <v>4</v>
      </c>
      <c r="C431" s="41">
        <v>154</v>
      </c>
      <c r="D431" s="41" t="s">
        <v>550</v>
      </c>
      <c r="E431" s="41"/>
      <c r="F431" s="97">
        <f>' WP II-I-1.4'!I431</f>
        <v>0</v>
      </c>
      <c r="G431" s="38">
        <v>64</v>
      </c>
      <c r="H431" s="45" t="str">
        <f>VLOOKUP(G431,FactorTable,2)</f>
        <v>PLANT</v>
      </c>
      <c r="I431" s="41"/>
      <c r="J431" s="369">
        <f t="shared" ref="J431:S432" ca="1" si="156">$F431*HLOOKUP(J$1354,FactorTable,$G431+1)</f>
        <v>0</v>
      </c>
      <c r="K431" s="369">
        <f t="shared" ca="1" si="156"/>
        <v>0</v>
      </c>
      <c r="L431" s="369">
        <f t="shared" ca="1" si="156"/>
        <v>0</v>
      </c>
      <c r="M431" s="369">
        <f t="shared" ca="1" si="156"/>
        <v>0</v>
      </c>
      <c r="N431" s="369">
        <f t="shared" ca="1" si="156"/>
        <v>0</v>
      </c>
      <c r="O431" s="369">
        <f t="shared" ca="1" si="156"/>
        <v>0</v>
      </c>
      <c r="P431" s="369">
        <f t="shared" ca="1" si="156"/>
        <v>0</v>
      </c>
      <c r="Q431" s="369">
        <f t="shared" ca="1" si="156"/>
        <v>0</v>
      </c>
      <c r="R431" s="369">
        <f t="shared" ca="1" si="156"/>
        <v>0</v>
      </c>
      <c r="S431" s="369">
        <f t="shared" ca="1" si="156"/>
        <v>0</v>
      </c>
      <c r="T431" s="41"/>
      <c r="U431" s="97">
        <f ca="1">SUM(I431:T431)</f>
        <v>0</v>
      </c>
      <c r="V431" s="64"/>
      <c r="W431" s="643">
        <f ca="1">F431-U431</f>
        <v>0</v>
      </c>
    </row>
    <row r="432" spans="1:23" ht="15" x14ac:dyDescent="0.2">
      <c r="A432" s="45"/>
      <c r="B432" s="16">
        <f t="shared" si="155"/>
        <v>5</v>
      </c>
      <c r="C432" s="41">
        <v>163</v>
      </c>
      <c r="D432" s="41" t="s">
        <v>551</v>
      </c>
      <c r="E432" s="202"/>
      <c r="F432" s="97">
        <f>' WP II-I-1.4'!I432</f>
        <v>0</v>
      </c>
      <c r="G432" s="38">
        <v>64</v>
      </c>
      <c r="H432" s="45" t="str">
        <f>VLOOKUP(G432,FactorTable,2)</f>
        <v>PLANT</v>
      </c>
      <c r="I432" s="202"/>
      <c r="J432" s="370">
        <f t="shared" ca="1" si="156"/>
        <v>0</v>
      </c>
      <c r="K432" s="370">
        <f t="shared" ca="1" si="156"/>
        <v>0</v>
      </c>
      <c r="L432" s="370">
        <f t="shared" ca="1" si="156"/>
        <v>0</v>
      </c>
      <c r="M432" s="370">
        <f t="shared" ca="1" si="156"/>
        <v>0</v>
      </c>
      <c r="N432" s="370">
        <f t="shared" ca="1" si="156"/>
        <v>0</v>
      </c>
      <c r="O432" s="370">
        <f t="shared" ca="1" si="156"/>
        <v>0</v>
      </c>
      <c r="P432" s="370">
        <f t="shared" ca="1" si="156"/>
        <v>0</v>
      </c>
      <c r="Q432" s="370">
        <f t="shared" ca="1" si="156"/>
        <v>0</v>
      </c>
      <c r="R432" s="370">
        <f t="shared" ca="1" si="156"/>
        <v>0</v>
      </c>
      <c r="S432" s="370">
        <f t="shared" ca="1" si="156"/>
        <v>0</v>
      </c>
      <c r="T432" s="202"/>
      <c r="U432" s="97">
        <f ca="1">SUM(I432:T432)</f>
        <v>0</v>
      </c>
      <c r="V432" s="64"/>
      <c r="W432" s="643">
        <f ca="1">F432-U432</f>
        <v>0</v>
      </c>
    </row>
    <row r="433" spans="1:23" ht="15.75" x14ac:dyDescent="0.25">
      <c r="A433" s="45"/>
      <c r="B433" s="16">
        <f t="shared" si="155"/>
        <v>6</v>
      </c>
      <c r="C433" s="34"/>
      <c r="D433" s="42" t="s">
        <v>444</v>
      </c>
      <c r="E433" s="37"/>
      <c r="F433" s="37">
        <f>SUM(F431:F432)</f>
        <v>0</v>
      </c>
      <c r="G433" s="37"/>
      <c r="H433" s="37"/>
      <c r="I433" s="37"/>
      <c r="J433" s="807">
        <f t="shared" ref="J433:Q433" ca="1" si="157">SUM(J431:J432)</f>
        <v>0</v>
      </c>
      <c r="K433" s="807">
        <f t="shared" ca="1" si="157"/>
        <v>0</v>
      </c>
      <c r="L433" s="807">
        <f t="shared" ca="1" si="157"/>
        <v>0</v>
      </c>
      <c r="M433" s="807">
        <f t="shared" ca="1" si="157"/>
        <v>0</v>
      </c>
      <c r="N433" s="807">
        <f t="shared" ca="1" si="157"/>
        <v>0</v>
      </c>
      <c r="O433" s="807">
        <f ca="1">SUM(O431:O432)</f>
        <v>0</v>
      </c>
      <c r="P433" s="807">
        <f t="shared" ca="1" si="157"/>
        <v>0</v>
      </c>
      <c r="Q433" s="807">
        <f t="shared" ca="1" si="157"/>
        <v>0</v>
      </c>
      <c r="R433" s="807">
        <f ca="1">SUM(R431:R432)</f>
        <v>0</v>
      </c>
      <c r="S433" s="807">
        <f ca="1">SUM(S431:S432)</f>
        <v>0</v>
      </c>
      <c r="T433" s="37"/>
      <c r="U433" s="235">
        <f ca="1">SUM(I433:T433)</f>
        <v>0</v>
      </c>
      <c r="V433" s="64"/>
      <c r="W433" s="643">
        <f ca="1">F433-U433</f>
        <v>0</v>
      </c>
    </row>
    <row r="434" spans="1:23" ht="15.75" thickBot="1" x14ac:dyDescent="0.25">
      <c r="A434" s="45"/>
      <c r="B434" s="16">
        <f t="shared" si="155"/>
        <v>7</v>
      </c>
      <c r="C434" s="41"/>
      <c r="D434" s="275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41"/>
      <c r="V434" s="64"/>
      <c r="W434" s="643">
        <f>F434-U434</f>
        <v>0</v>
      </c>
    </row>
    <row r="435" spans="1:23" ht="16.5" thickBot="1" x14ac:dyDescent="0.3">
      <c r="A435" s="45"/>
      <c r="B435" s="16">
        <f t="shared" si="155"/>
        <v>8</v>
      </c>
      <c r="C435" s="270" t="s">
        <v>552</v>
      </c>
      <c r="D435" s="271"/>
      <c r="E435" s="272" t="s">
        <v>116</v>
      </c>
      <c r="F435" s="217">
        <f>F433</f>
        <v>0</v>
      </c>
      <c r="G435" s="272"/>
      <c r="H435" s="392"/>
      <c r="I435" s="393"/>
      <c r="J435" s="291">
        <f t="shared" ref="J435:Q435" ca="1" si="158">J433</f>
        <v>0</v>
      </c>
      <c r="K435" s="814">
        <f t="shared" ca="1" si="158"/>
        <v>0</v>
      </c>
      <c r="L435" s="814">
        <f t="shared" ca="1" si="158"/>
        <v>0</v>
      </c>
      <c r="M435" s="814">
        <f t="shared" ca="1" si="158"/>
        <v>0</v>
      </c>
      <c r="N435" s="814">
        <f t="shared" ca="1" si="158"/>
        <v>0</v>
      </c>
      <c r="O435" s="814">
        <f ca="1">O433</f>
        <v>0</v>
      </c>
      <c r="P435" s="814">
        <f t="shared" ca="1" si="158"/>
        <v>0</v>
      </c>
      <c r="Q435" s="814">
        <f t="shared" ca="1" si="158"/>
        <v>0</v>
      </c>
      <c r="R435" s="814">
        <f ca="1">R433</f>
        <v>0</v>
      </c>
      <c r="S435" s="218">
        <f ca="1">S433</f>
        <v>0</v>
      </c>
      <c r="T435" s="393"/>
      <c r="U435" s="195">
        <f ca="1">SUM(I435:T435)</f>
        <v>0</v>
      </c>
      <c r="V435" s="64"/>
      <c r="W435" s="643">
        <f ca="1">F435-U435</f>
        <v>0</v>
      </c>
    </row>
    <row r="436" spans="1:23" ht="15" x14ac:dyDescent="0.2">
      <c r="A436" s="45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138"/>
    </row>
    <row r="437" spans="1:23" ht="15" x14ac:dyDescent="0.2">
      <c r="A437" s="45"/>
      <c r="B437" s="64"/>
      <c r="C437" s="64"/>
      <c r="D437" s="64"/>
      <c r="E437" s="64"/>
      <c r="F437" s="64"/>
      <c r="G437" s="64"/>
      <c r="H437" s="105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105"/>
      <c r="V437" s="105">
        <f>$H$2</f>
        <v>0</v>
      </c>
      <c r="W437" s="138"/>
    </row>
    <row r="438" spans="1:23" ht="15.75" thickBot="1" x14ac:dyDescent="0.25">
      <c r="A438" s="45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138"/>
    </row>
    <row r="439" spans="1:23" ht="15.75" x14ac:dyDescent="0.25">
      <c r="A439" s="45"/>
      <c r="B439" s="829" t="str">
        <f>+$B$4</f>
        <v>2025 RATE CASE</v>
      </c>
      <c r="C439" s="844"/>
      <c r="D439" s="872"/>
      <c r="F439" s="267"/>
      <c r="U439" s="105"/>
      <c r="W439" s="138"/>
    </row>
    <row r="440" spans="1:23" ht="15.75" x14ac:dyDescent="0.25">
      <c r="A440" s="45"/>
      <c r="B440" s="826" t="str">
        <f>+$B$5</f>
        <v>ONCOR ELECTRIC DELIVERY COMPANY LLC</v>
      </c>
      <c r="C440" s="8"/>
      <c r="D440" s="873"/>
      <c r="F440" s="267"/>
      <c r="U440" s="105"/>
      <c r="V440" s="64"/>
      <c r="W440" s="138"/>
    </row>
    <row r="441" spans="1:23" ht="15.75" x14ac:dyDescent="0.25">
      <c r="A441" s="45"/>
      <c r="B441" s="826" t="str">
        <f>+$B$6</f>
        <v>II-I-1-TBILLTDCS:  CLASS REVENUE REQUIREMENT</v>
      </c>
      <c r="C441" s="82"/>
      <c r="D441" s="873"/>
      <c r="F441" s="267"/>
      <c r="U441" s="267"/>
      <c r="V441" s="64"/>
      <c r="W441" s="138"/>
    </row>
    <row r="442" spans="1:23" ht="15.75" x14ac:dyDescent="0.25">
      <c r="A442" s="45"/>
      <c r="B442" s="341" t="str">
        <f>+$B$7</f>
        <v>TEST YEAR ENDING 12/31/2024</v>
      </c>
      <c r="C442" s="82"/>
      <c r="D442" s="873"/>
      <c r="F442" s="267"/>
      <c r="U442" s="267"/>
      <c r="V442" s="64"/>
      <c r="W442" s="138"/>
    </row>
    <row r="443" spans="1:23" ht="15.75" x14ac:dyDescent="0.25">
      <c r="A443" s="45"/>
      <c r="B443" s="341" t="str">
        <f>+$B$8</f>
        <v>SPONSOR:  MATTHEW A. TROXLE</v>
      </c>
      <c r="C443" s="82"/>
      <c r="D443" s="873"/>
      <c r="F443" s="267"/>
      <c r="U443" s="267"/>
      <c r="V443" s="64"/>
      <c r="W443" s="138"/>
    </row>
    <row r="444" spans="1:23" ht="16.5" thickBot="1" x14ac:dyDescent="0.3">
      <c r="A444" s="45"/>
      <c r="B444" s="345"/>
      <c r="C444" s="843"/>
      <c r="D444" s="845"/>
      <c r="F444" s="267"/>
      <c r="U444" s="267"/>
      <c r="V444" s="64"/>
      <c r="W444" s="138"/>
    </row>
    <row r="445" spans="1:23" ht="15.75" thickBot="1" x14ac:dyDescent="0.25">
      <c r="A445" s="45"/>
      <c r="B445" s="12"/>
      <c r="C445" s="13"/>
      <c r="D445" s="13"/>
      <c r="E445" s="13"/>
      <c r="F445" s="12"/>
      <c r="G445" s="13"/>
      <c r="H445" s="13"/>
      <c r="I445" s="13"/>
      <c r="J445" s="177"/>
      <c r="K445" s="177"/>
      <c r="L445" s="13"/>
      <c r="M445" s="177"/>
      <c r="N445" s="177"/>
      <c r="O445" s="177"/>
      <c r="P445" s="177"/>
      <c r="Q445" s="13"/>
      <c r="R445" s="328" t="str">
        <f>R$10</f>
        <v xml:space="preserve"> </v>
      </c>
      <c r="S445" s="329"/>
      <c r="T445" s="177"/>
      <c r="U445" s="12"/>
      <c r="V445" s="64"/>
      <c r="W445" s="138"/>
    </row>
    <row r="446" spans="1:23" ht="15.75" x14ac:dyDescent="0.25">
      <c r="A446" s="45"/>
      <c r="B446" s="14" t="s">
        <v>2</v>
      </c>
      <c r="C446" s="14" t="s">
        <v>349</v>
      </c>
      <c r="D446" s="226" t="s">
        <v>118</v>
      </c>
      <c r="E446" s="14" t="s">
        <v>350</v>
      </c>
      <c r="F446" s="226" t="str">
        <f>F$11</f>
        <v>TBILLTDCS</v>
      </c>
      <c r="G446" s="181" t="s">
        <v>688</v>
      </c>
      <c r="H446" s="181" t="s">
        <v>355</v>
      </c>
      <c r="I446" s="14"/>
      <c r="J446" s="181" t="s">
        <v>679</v>
      </c>
      <c r="K446" s="181" t="s">
        <v>388</v>
      </c>
      <c r="L446" s="14" t="s">
        <v>388</v>
      </c>
      <c r="M446" s="181" t="s">
        <v>389</v>
      </c>
      <c r="N446" s="181" t="s">
        <v>389</v>
      </c>
      <c r="O446" s="181" t="s">
        <v>389</v>
      </c>
      <c r="P446" s="181" t="s">
        <v>390</v>
      </c>
      <c r="Q446" s="14" t="s">
        <v>391</v>
      </c>
      <c r="R446" s="331" t="str">
        <f>R$11</f>
        <v>Wholesale</v>
      </c>
      <c r="S446" s="12" t="str">
        <f>S$11</f>
        <v>Wholesale</v>
      </c>
      <c r="T446" s="181"/>
      <c r="U446" s="14" t="s">
        <v>10</v>
      </c>
      <c r="V446" s="64"/>
      <c r="W446" s="138"/>
    </row>
    <row r="447" spans="1:23" ht="15" x14ac:dyDescent="0.2">
      <c r="A447" s="45"/>
      <c r="B447" s="14"/>
      <c r="C447" s="14"/>
      <c r="D447" s="14"/>
      <c r="E447" s="14"/>
      <c r="F447" s="14"/>
      <c r="G447" s="181" t="s">
        <v>689</v>
      </c>
      <c r="H447" s="181" t="s">
        <v>690</v>
      </c>
      <c r="I447" s="14"/>
      <c r="J447" s="181"/>
      <c r="K447" s="181" t="s">
        <v>680</v>
      </c>
      <c r="L447" s="14" t="s">
        <v>681</v>
      </c>
      <c r="M447" s="181" t="s">
        <v>680</v>
      </c>
      <c r="N447" s="181" t="s">
        <v>681</v>
      </c>
      <c r="O447" s="181" t="s">
        <v>393</v>
      </c>
      <c r="P447" s="181"/>
      <c r="Q447" s="14"/>
      <c r="R447" s="174" t="str">
        <f>R$12</f>
        <v>XFMR</v>
      </c>
      <c r="S447" s="14" t="str">
        <f>S$12</f>
        <v>DLS</v>
      </c>
      <c r="T447" s="181"/>
      <c r="U447" s="14"/>
      <c r="V447" s="64"/>
      <c r="W447" s="138"/>
    </row>
    <row r="448" spans="1:23" ht="15.75" thickBot="1" x14ac:dyDescent="0.25">
      <c r="A448" s="45"/>
      <c r="B448" s="15"/>
      <c r="C448" s="15"/>
      <c r="D448" s="15"/>
      <c r="E448" s="15"/>
      <c r="F448" s="15" t="s">
        <v>13</v>
      </c>
      <c r="G448" s="15" t="s">
        <v>14</v>
      </c>
      <c r="H448" s="15" t="s">
        <v>15</v>
      </c>
      <c r="I448" s="15"/>
      <c r="J448" s="182" t="str">
        <f t="shared" ref="J448:Q448" si="159">J$13</f>
        <v>(d)</v>
      </c>
      <c r="K448" s="182" t="str">
        <f t="shared" si="159"/>
        <v>(e)</v>
      </c>
      <c r="L448" s="15" t="str">
        <f t="shared" si="159"/>
        <v>(f)</v>
      </c>
      <c r="M448" s="182" t="str">
        <f t="shared" si="159"/>
        <v>(g)</v>
      </c>
      <c r="N448" s="182" t="str">
        <f t="shared" si="159"/>
        <v>(h)</v>
      </c>
      <c r="O448" s="182" t="str">
        <f>O$13</f>
        <v>(i)</v>
      </c>
      <c r="P448" s="182" t="str">
        <f t="shared" si="159"/>
        <v>(j)</v>
      </c>
      <c r="Q448" s="182" t="str">
        <f t="shared" si="159"/>
        <v>(k)</v>
      </c>
      <c r="R448" s="182" t="str">
        <f>R$13</f>
        <v>(l)</v>
      </c>
      <c r="S448" s="15" t="str">
        <f>S$13</f>
        <v>(m)</v>
      </c>
      <c r="T448" s="15"/>
      <c r="U448" s="15" t="s">
        <v>683</v>
      </c>
      <c r="V448" s="64"/>
      <c r="W448" s="138"/>
    </row>
    <row r="449" spans="1:23" ht="15" x14ac:dyDescent="0.2">
      <c r="A449" s="45"/>
      <c r="B449" s="64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41"/>
      <c r="V449" s="64"/>
      <c r="W449" s="138"/>
    </row>
    <row r="450" spans="1:23" ht="15.75" x14ac:dyDescent="0.25">
      <c r="A450" s="45"/>
      <c r="B450" s="16">
        <f t="shared" ref="B450:B455" si="160">B449+1</f>
        <v>1</v>
      </c>
      <c r="C450" s="269" t="s">
        <v>110</v>
      </c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64"/>
      <c r="W450" s="138"/>
    </row>
    <row r="451" spans="1:23" ht="15.75" x14ac:dyDescent="0.25">
      <c r="A451" s="45"/>
      <c r="B451" s="16">
        <f t="shared" si="160"/>
        <v>2</v>
      </c>
      <c r="C451" s="283" t="s">
        <v>549</v>
      </c>
      <c r="D451" s="34"/>
      <c r="E451" s="35" t="s">
        <v>119</v>
      </c>
      <c r="F451" s="284"/>
      <c r="G451" s="35"/>
      <c r="H451" s="35"/>
      <c r="I451" s="35"/>
      <c r="J451" s="806"/>
      <c r="K451" s="806"/>
      <c r="L451" s="806"/>
      <c r="M451" s="806"/>
      <c r="N451" s="806"/>
      <c r="O451" s="806"/>
      <c r="P451" s="806"/>
      <c r="Q451" s="806"/>
      <c r="R451" s="806"/>
      <c r="S451" s="806"/>
      <c r="T451" s="35"/>
      <c r="U451" s="34"/>
      <c r="V451" s="64"/>
      <c r="W451" s="138"/>
    </row>
    <row r="452" spans="1:23" ht="15" x14ac:dyDescent="0.2">
      <c r="A452" s="45"/>
      <c r="B452" s="16">
        <f t="shared" si="160"/>
        <v>3</v>
      </c>
      <c r="C452" s="41"/>
      <c r="D452" s="41" t="s">
        <v>118</v>
      </c>
      <c r="E452" s="41"/>
      <c r="F452" s="97">
        <f>' WP II-I-1.4'!$I$452</f>
        <v>175757.58000000461</v>
      </c>
      <c r="G452" s="38">
        <v>76</v>
      </c>
      <c r="H452" s="45" t="str">
        <f>VLOOKUP(G452,FactorTable,2)</f>
        <v>O&amp;M</v>
      </c>
      <c r="I452" s="41"/>
      <c r="J452" s="370">
        <f t="shared" ref="J452:S452" ca="1" si="161">$F452*HLOOKUP(J$1354,FactorTable,$G452+1)</f>
        <v>90603.251643622134</v>
      </c>
      <c r="K452" s="370">
        <f t="shared" ca="1" si="161"/>
        <v>11185.211466504536</v>
      </c>
      <c r="L452" s="370">
        <f t="shared" ca="1" si="161"/>
        <v>51172.592795944955</v>
      </c>
      <c r="M452" s="370">
        <f t="shared" ca="1" si="161"/>
        <v>1760.1355300862861</v>
      </c>
      <c r="N452" s="370">
        <f t="shared" ca="1" si="161"/>
        <v>15565.488358107961</v>
      </c>
      <c r="O452" s="370">
        <f t="shared" ca="1" si="161"/>
        <v>866.17481917531984</v>
      </c>
      <c r="P452" s="370">
        <f t="shared" ca="1" si="161"/>
        <v>2058.7592390568734</v>
      </c>
      <c r="Q452" s="370">
        <f t="shared" ca="1" si="161"/>
        <v>2373.2041951663396</v>
      </c>
      <c r="R452" s="370">
        <f t="shared" ca="1" si="161"/>
        <v>48.821356079719727</v>
      </c>
      <c r="S452" s="370">
        <f t="shared" ca="1" si="161"/>
        <v>123.94059626046811</v>
      </c>
      <c r="T452" s="41"/>
      <c r="U452" s="97">
        <f ca="1">SUM(I452:T452)</f>
        <v>175757.58000000459</v>
      </c>
      <c r="V452" s="64"/>
      <c r="W452" s="643">
        <f ca="1">F452-U452</f>
        <v>0</v>
      </c>
    </row>
    <row r="453" spans="1:23" ht="15.75" x14ac:dyDescent="0.25">
      <c r="A453" s="45"/>
      <c r="B453" s="16">
        <f t="shared" si="160"/>
        <v>4</v>
      </c>
      <c r="C453" s="34"/>
      <c r="D453" s="42" t="s">
        <v>444</v>
      </c>
      <c r="E453" s="37"/>
      <c r="F453" s="37">
        <f>+F452</f>
        <v>175757.58000000461</v>
      </c>
      <c r="G453" s="37"/>
      <c r="H453" s="37"/>
      <c r="I453" s="37"/>
      <c r="J453" s="807">
        <f t="shared" ref="J453:Q453" ca="1" si="162">+J452</f>
        <v>90603.251643622134</v>
      </c>
      <c r="K453" s="807">
        <f t="shared" ca="1" si="162"/>
        <v>11185.211466504536</v>
      </c>
      <c r="L453" s="807">
        <f t="shared" ca="1" si="162"/>
        <v>51172.592795944955</v>
      </c>
      <c r="M453" s="807">
        <f t="shared" ca="1" si="162"/>
        <v>1760.1355300862861</v>
      </c>
      <c r="N453" s="807">
        <f t="shared" ca="1" si="162"/>
        <v>15565.488358107961</v>
      </c>
      <c r="O453" s="807">
        <f ca="1">+O452</f>
        <v>866.17481917531984</v>
      </c>
      <c r="P453" s="807">
        <f t="shared" ca="1" si="162"/>
        <v>2058.7592390568734</v>
      </c>
      <c r="Q453" s="807">
        <f t="shared" ca="1" si="162"/>
        <v>2373.2041951663396</v>
      </c>
      <c r="R453" s="807">
        <f ca="1">+R452</f>
        <v>48.821356079719727</v>
      </c>
      <c r="S453" s="807">
        <f ca="1">+S452</f>
        <v>123.94059626046811</v>
      </c>
      <c r="T453" s="37"/>
      <c r="U453" s="235">
        <f ca="1">SUM(I453:T453)</f>
        <v>175757.58000000459</v>
      </c>
      <c r="V453" s="64"/>
      <c r="W453" s="643">
        <f ca="1">F453-U453</f>
        <v>0</v>
      </c>
    </row>
    <row r="454" spans="1:23" ht="15.75" thickBot="1" x14ac:dyDescent="0.25">
      <c r="A454" s="45"/>
      <c r="B454" s="16">
        <f t="shared" si="160"/>
        <v>5</v>
      </c>
      <c r="C454" s="41"/>
      <c r="D454" s="275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41"/>
      <c r="V454" s="64"/>
      <c r="W454" s="643">
        <f>F454-U454</f>
        <v>0</v>
      </c>
    </row>
    <row r="455" spans="1:23" ht="16.5" thickBot="1" x14ac:dyDescent="0.3">
      <c r="A455" s="45"/>
      <c r="B455" s="16">
        <f t="shared" si="160"/>
        <v>6</v>
      </c>
      <c r="C455" s="270" t="s">
        <v>553</v>
      </c>
      <c r="D455" s="271"/>
      <c r="E455" s="272" t="s">
        <v>119</v>
      </c>
      <c r="F455" s="217">
        <f>+F453</f>
        <v>175757.58000000461</v>
      </c>
      <c r="G455" s="272"/>
      <c r="H455" s="392"/>
      <c r="I455" s="568"/>
      <c r="J455" s="291">
        <f t="shared" ref="J455:Q455" ca="1" si="163">+J453</f>
        <v>90603.251643622134</v>
      </c>
      <c r="K455" s="814">
        <f t="shared" ca="1" si="163"/>
        <v>11185.211466504536</v>
      </c>
      <c r="L455" s="814">
        <f t="shared" ca="1" si="163"/>
        <v>51172.592795944955</v>
      </c>
      <c r="M455" s="814">
        <f t="shared" ca="1" si="163"/>
        <v>1760.1355300862861</v>
      </c>
      <c r="N455" s="814">
        <f t="shared" ca="1" si="163"/>
        <v>15565.488358107961</v>
      </c>
      <c r="O455" s="814">
        <f ca="1">+O453</f>
        <v>866.17481917531984</v>
      </c>
      <c r="P455" s="814">
        <f t="shared" ca="1" si="163"/>
        <v>2058.7592390568734</v>
      </c>
      <c r="Q455" s="814">
        <f t="shared" ca="1" si="163"/>
        <v>2373.2041951663396</v>
      </c>
      <c r="R455" s="814">
        <f ca="1">+R453</f>
        <v>48.821356079719727</v>
      </c>
      <c r="S455" s="218">
        <f ca="1">+S453</f>
        <v>123.94059626046811</v>
      </c>
      <c r="T455" s="392"/>
      <c r="U455" s="195">
        <f ca="1">SUM(I455:T455)</f>
        <v>175757.58000000459</v>
      </c>
      <c r="V455" s="64"/>
      <c r="W455" s="643">
        <f ca="1">F455-U455</f>
        <v>0</v>
      </c>
    </row>
    <row r="456" spans="1:23" ht="15" x14ac:dyDescent="0.2">
      <c r="A456" s="45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138"/>
    </row>
    <row r="457" spans="1:23" ht="15" x14ac:dyDescent="0.2">
      <c r="A457" s="45"/>
      <c r="B457" s="64"/>
      <c r="C457" s="64"/>
      <c r="D457" s="64"/>
      <c r="E457" s="64"/>
      <c r="F457" s="64"/>
      <c r="G457" s="64"/>
      <c r="H457" s="105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105"/>
      <c r="V457" s="105">
        <f>$H$2</f>
        <v>0</v>
      </c>
      <c r="W457" s="138"/>
    </row>
    <row r="458" spans="1:23" ht="15.75" thickBot="1" x14ac:dyDescent="0.25">
      <c r="A458" s="45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138"/>
    </row>
    <row r="459" spans="1:23" ht="15.75" x14ac:dyDescent="0.25">
      <c r="A459" s="45"/>
      <c r="B459" s="829" t="str">
        <f>+$B$4</f>
        <v>2025 RATE CASE</v>
      </c>
      <c r="C459" s="844"/>
      <c r="D459" s="872"/>
      <c r="F459" s="267"/>
      <c r="U459" s="105"/>
      <c r="W459" s="138"/>
    </row>
    <row r="460" spans="1:23" ht="15.75" x14ac:dyDescent="0.25">
      <c r="A460" s="45"/>
      <c r="B460" s="826" t="str">
        <f>+$B$5</f>
        <v>ONCOR ELECTRIC DELIVERY COMPANY LLC</v>
      </c>
      <c r="C460" s="8"/>
      <c r="D460" s="873"/>
      <c r="F460" s="267"/>
      <c r="U460" s="105"/>
      <c r="V460" s="64"/>
      <c r="W460" s="138"/>
    </row>
    <row r="461" spans="1:23" ht="15.75" x14ac:dyDescent="0.25">
      <c r="A461" s="45"/>
      <c r="B461" s="826" t="str">
        <f>+$B$6</f>
        <v>II-I-1-TBILLTDCS:  CLASS REVENUE REQUIREMENT</v>
      </c>
      <c r="C461" s="82"/>
      <c r="D461" s="873"/>
      <c r="F461" s="267"/>
      <c r="U461" s="267"/>
      <c r="V461" s="64"/>
      <c r="W461" s="138"/>
    </row>
    <row r="462" spans="1:23" ht="15.75" x14ac:dyDescent="0.25">
      <c r="A462" s="45"/>
      <c r="B462" s="341" t="str">
        <f>+$B$7</f>
        <v>TEST YEAR ENDING 12/31/2024</v>
      </c>
      <c r="C462" s="82"/>
      <c r="D462" s="873"/>
      <c r="F462" s="267"/>
      <c r="U462" s="267"/>
      <c r="V462" s="64"/>
      <c r="W462" s="138"/>
    </row>
    <row r="463" spans="1:23" ht="15.75" x14ac:dyDescent="0.25">
      <c r="A463" s="45"/>
      <c r="B463" s="341" t="str">
        <f>+$B$8</f>
        <v>SPONSOR:  MATTHEW A. TROXLE</v>
      </c>
      <c r="C463" s="82"/>
      <c r="D463" s="873"/>
      <c r="F463" s="267"/>
      <c r="U463" s="267"/>
      <c r="V463" s="64"/>
      <c r="W463" s="138"/>
    </row>
    <row r="464" spans="1:23" ht="16.5" thickBot="1" x14ac:dyDescent="0.3">
      <c r="A464" s="45"/>
      <c r="B464" s="345"/>
      <c r="C464" s="843"/>
      <c r="D464" s="845"/>
      <c r="F464" s="267"/>
      <c r="U464" s="267"/>
      <c r="V464" s="64"/>
      <c r="W464" s="138"/>
    </row>
    <row r="465" spans="1:23" ht="15.75" thickBot="1" x14ac:dyDescent="0.25">
      <c r="A465" s="45"/>
      <c r="B465" s="12"/>
      <c r="C465" s="13"/>
      <c r="D465" s="13"/>
      <c r="E465" s="13"/>
      <c r="F465" s="12"/>
      <c r="G465" s="13"/>
      <c r="H465" s="13"/>
      <c r="I465" s="13"/>
      <c r="J465" s="177"/>
      <c r="K465" s="177"/>
      <c r="L465" s="13"/>
      <c r="M465" s="177"/>
      <c r="N465" s="177"/>
      <c r="O465" s="177"/>
      <c r="P465" s="177"/>
      <c r="Q465" s="13"/>
      <c r="R465" s="328" t="str">
        <f>R$10</f>
        <v xml:space="preserve"> </v>
      </c>
      <c r="S465" s="329"/>
      <c r="T465" s="177"/>
      <c r="U465" s="12"/>
      <c r="V465" s="64"/>
      <c r="W465" s="138"/>
    </row>
    <row r="466" spans="1:23" ht="15.75" x14ac:dyDescent="0.25">
      <c r="A466" s="45"/>
      <c r="B466" s="14" t="s">
        <v>2</v>
      </c>
      <c r="C466" s="14" t="s">
        <v>349</v>
      </c>
      <c r="D466" s="226" t="s">
        <v>120</v>
      </c>
      <c r="E466" s="14" t="s">
        <v>350</v>
      </c>
      <c r="F466" s="226" t="str">
        <f>F$11</f>
        <v>TBILLTDCS</v>
      </c>
      <c r="G466" s="181" t="s">
        <v>688</v>
      </c>
      <c r="H466" s="181" t="s">
        <v>355</v>
      </c>
      <c r="I466" s="14"/>
      <c r="J466" s="181" t="s">
        <v>679</v>
      </c>
      <c r="K466" s="181" t="s">
        <v>388</v>
      </c>
      <c r="L466" s="14" t="s">
        <v>388</v>
      </c>
      <c r="M466" s="181" t="s">
        <v>389</v>
      </c>
      <c r="N466" s="181" t="s">
        <v>389</v>
      </c>
      <c r="O466" s="181" t="s">
        <v>389</v>
      </c>
      <c r="P466" s="181" t="s">
        <v>390</v>
      </c>
      <c r="Q466" s="14" t="s">
        <v>391</v>
      </c>
      <c r="R466" s="331" t="str">
        <f>R$11</f>
        <v>Wholesale</v>
      </c>
      <c r="S466" s="12" t="str">
        <f>S$11</f>
        <v>Wholesale</v>
      </c>
      <c r="T466" s="181"/>
      <c r="U466" s="14" t="s">
        <v>10</v>
      </c>
      <c r="V466" s="64"/>
      <c r="W466" s="138"/>
    </row>
    <row r="467" spans="1:23" ht="15" x14ac:dyDescent="0.2">
      <c r="A467" s="45"/>
      <c r="B467" s="14"/>
      <c r="C467" s="14"/>
      <c r="D467" s="14"/>
      <c r="E467" s="14"/>
      <c r="F467" s="14"/>
      <c r="G467" s="181" t="s">
        <v>689</v>
      </c>
      <c r="H467" s="181" t="s">
        <v>690</v>
      </c>
      <c r="I467" s="14"/>
      <c r="J467" s="181"/>
      <c r="K467" s="181" t="s">
        <v>680</v>
      </c>
      <c r="L467" s="14" t="s">
        <v>681</v>
      </c>
      <c r="M467" s="181" t="s">
        <v>680</v>
      </c>
      <c r="N467" s="181" t="s">
        <v>681</v>
      </c>
      <c r="O467" s="181" t="s">
        <v>393</v>
      </c>
      <c r="P467" s="181"/>
      <c r="Q467" s="14"/>
      <c r="R467" s="174" t="str">
        <f>R$12</f>
        <v>XFMR</v>
      </c>
      <c r="S467" s="14" t="str">
        <f>S$12</f>
        <v>DLS</v>
      </c>
      <c r="T467" s="181"/>
      <c r="U467" s="14"/>
      <c r="V467" s="64"/>
      <c r="W467" s="138"/>
    </row>
    <row r="468" spans="1:23" ht="15.75" thickBot="1" x14ac:dyDescent="0.25">
      <c r="A468" s="45"/>
      <c r="B468" s="15"/>
      <c r="C468" s="15"/>
      <c r="D468" s="15"/>
      <c r="E468" s="15"/>
      <c r="F468" s="15" t="s">
        <v>13</v>
      </c>
      <c r="G468" s="15" t="s">
        <v>14</v>
      </c>
      <c r="H468" s="15" t="s">
        <v>15</v>
      </c>
      <c r="I468" s="15"/>
      <c r="J468" s="182" t="str">
        <f t="shared" ref="J468:Q468" si="164">J$13</f>
        <v>(d)</v>
      </c>
      <c r="K468" s="182" t="str">
        <f t="shared" si="164"/>
        <v>(e)</v>
      </c>
      <c r="L468" s="15" t="str">
        <f t="shared" si="164"/>
        <v>(f)</v>
      </c>
      <c r="M468" s="182" t="str">
        <f t="shared" si="164"/>
        <v>(g)</v>
      </c>
      <c r="N468" s="182" t="str">
        <f t="shared" si="164"/>
        <v>(h)</v>
      </c>
      <c r="O468" s="182" t="str">
        <f>O$13</f>
        <v>(i)</v>
      </c>
      <c r="P468" s="182" t="str">
        <f t="shared" si="164"/>
        <v>(j)</v>
      </c>
      <c r="Q468" s="182" t="str">
        <f t="shared" si="164"/>
        <v>(k)</v>
      </c>
      <c r="R468" s="182" t="str">
        <f>R$13</f>
        <v>(l)</v>
      </c>
      <c r="S468" s="15" t="str">
        <f>S$13</f>
        <v>(m)</v>
      </c>
      <c r="T468" s="15"/>
      <c r="U468" s="15" t="s">
        <v>683</v>
      </c>
      <c r="V468" s="64"/>
      <c r="W468" s="138"/>
    </row>
    <row r="469" spans="1:23" ht="15" x14ac:dyDescent="0.2">
      <c r="A469" s="45"/>
      <c r="B469" s="64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41"/>
      <c r="V469" s="64"/>
      <c r="W469" s="138"/>
    </row>
    <row r="470" spans="1:23" ht="15.75" x14ac:dyDescent="0.25">
      <c r="A470" s="45"/>
      <c r="B470" s="16">
        <f t="shared" ref="B470:B478" si="165">B469+1</f>
        <v>1</v>
      </c>
      <c r="C470" s="269" t="s">
        <v>110</v>
      </c>
      <c r="D470" s="34"/>
      <c r="E470" s="35"/>
      <c r="F470" s="37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4"/>
      <c r="V470" s="64"/>
      <c r="W470" s="643"/>
    </row>
    <row r="471" spans="1:23" ht="15.75" x14ac:dyDescent="0.25">
      <c r="A471" s="45"/>
      <c r="B471" s="16">
        <f t="shared" si="165"/>
        <v>2</v>
      </c>
      <c r="C471" s="283" t="s">
        <v>549</v>
      </c>
      <c r="D471" s="4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41"/>
      <c r="V471" s="64"/>
      <c r="W471" s="643">
        <f t="shared" ref="W471:W478" si="166">F471-U471</f>
        <v>0</v>
      </c>
    </row>
    <row r="472" spans="1:23" ht="15.75" x14ac:dyDescent="0.25">
      <c r="A472" s="45"/>
      <c r="B472" s="16">
        <f t="shared" si="165"/>
        <v>3</v>
      </c>
      <c r="C472" s="34">
        <v>165</v>
      </c>
      <c r="D472" s="283" t="s">
        <v>120</v>
      </c>
      <c r="E472" s="35" t="s">
        <v>121</v>
      </c>
      <c r="F472" s="37"/>
      <c r="G472" s="35"/>
      <c r="H472" s="35"/>
      <c r="I472" s="35"/>
      <c r="J472" s="806"/>
      <c r="K472" s="806"/>
      <c r="L472" s="806"/>
      <c r="M472" s="806"/>
      <c r="N472" s="806"/>
      <c r="O472" s="806"/>
      <c r="P472" s="806"/>
      <c r="Q472" s="806"/>
      <c r="R472" s="806"/>
      <c r="S472" s="806"/>
      <c r="T472" s="35"/>
      <c r="U472" s="34"/>
      <c r="V472" s="64"/>
      <c r="W472" s="643">
        <f t="shared" si="166"/>
        <v>0</v>
      </c>
    </row>
    <row r="473" spans="1:23" ht="15" x14ac:dyDescent="0.2">
      <c r="A473" s="45"/>
      <c r="B473" s="16">
        <f t="shared" si="165"/>
        <v>4</v>
      </c>
      <c r="C473" s="41"/>
      <c r="D473" s="41" t="s">
        <v>120</v>
      </c>
      <c r="E473" s="286"/>
      <c r="F473" s="97">
        <f>' WP II-I-1.4'!$I$473</f>
        <v>529501.175314861</v>
      </c>
      <c r="G473" s="293">
        <v>19</v>
      </c>
      <c r="H473" s="45" t="str">
        <f>VLOOKUP(G473,FactorTable,2)</f>
        <v>ENERGY ICL</v>
      </c>
      <c r="I473" s="821"/>
      <c r="J473" s="370">
        <f t="shared" ref="J473:S473" si="167">$F473*HLOOKUP(J$1354,FactorTable,$G473+1)</f>
        <v>207606.13645560484</v>
      </c>
      <c r="K473" s="370">
        <f t="shared" si="167"/>
        <v>6289.6321654009789</v>
      </c>
      <c r="L473" s="370">
        <f t="shared" si="167"/>
        <v>221051.64195974506</v>
      </c>
      <c r="M473" s="370">
        <f t="shared" si="167"/>
        <v>4.2560916355768263</v>
      </c>
      <c r="N473" s="370">
        <f t="shared" si="167"/>
        <v>36602.637500708021</v>
      </c>
      <c r="O473" s="370">
        <f t="shared" si="167"/>
        <v>6977.131207379417</v>
      </c>
      <c r="P473" s="370">
        <f t="shared" si="167"/>
        <v>48120.849292618048</v>
      </c>
      <c r="Q473" s="370">
        <f t="shared" si="167"/>
        <v>1698.7056308252329</v>
      </c>
      <c r="R473" s="370">
        <f t="shared" si="167"/>
        <v>527.67437103067891</v>
      </c>
      <c r="S473" s="370">
        <f t="shared" si="167"/>
        <v>622.51063991296451</v>
      </c>
      <c r="T473" s="821"/>
      <c r="U473" s="97">
        <f>SUM(I473:T473)</f>
        <v>529501.17531486077</v>
      </c>
      <c r="V473" s="64"/>
      <c r="W473" s="643">
        <f t="shared" si="166"/>
        <v>0</v>
      </c>
    </row>
    <row r="474" spans="1:23" ht="15.75" x14ac:dyDescent="0.25">
      <c r="A474" s="45"/>
      <c r="B474" s="16">
        <f t="shared" si="165"/>
        <v>5</v>
      </c>
      <c r="C474" s="34"/>
      <c r="D474" s="42" t="s">
        <v>444</v>
      </c>
      <c r="E474" s="287"/>
      <c r="F474" s="37">
        <f>SUM(F473:F473)</f>
        <v>529501.175314861</v>
      </c>
      <c r="G474" s="287"/>
      <c r="H474" s="287"/>
      <c r="I474" s="287"/>
      <c r="J474" s="807">
        <f t="shared" ref="J474:Q474" si="168">SUM(J473:J473)</f>
        <v>207606.13645560484</v>
      </c>
      <c r="K474" s="807">
        <f t="shared" si="168"/>
        <v>6289.6321654009789</v>
      </c>
      <c r="L474" s="807">
        <f t="shared" si="168"/>
        <v>221051.64195974506</v>
      </c>
      <c r="M474" s="807">
        <f t="shared" si="168"/>
        <v>4.2560916355768263</v>
      </c>
      <c r="N474" s="807">
        <f t="shared" si="168"/>
        <v>36602.637500708021</v>
      </c>
      <c r="O474" s="807">
        <f>SUM(O473:O473)</f>
        <v>6977.131207379417</v>
      </c>
      <c r="P474" s="807">
        <f t="shared" si="168"/>
        <v>48120.849292618048</v>
      </c>
      <c r="Q474" s="807">
        <f t="shared" si="168"/>
        <v>1698.7056308252329</v>
      </c>
      <c r="R474" s="807">
        <f>SUM(R473:R473)</f>
        <v>527.67437103067891</v>
      </c>
      <c r="S474" s="807">
        <f>SUM(S473:S473)</f>
        <v>622.51063991296451</v>
      </c>
      <c r="T474" s="287"/>
      <c r="U474" s="235">
        <f>SUM(I474:T474)</f>
        <v>529501.17531486077</v>
      </c>
      <c r="V474" s="64"/>
      <c r="W474" s="643">
        <f t="shared" si="166"/>
        <v>0</v>
      </c>
    </row>
    <row r="475" spans="1:23" ht="16.5" thickBot="1" x14ac:dyDescent="0.3">
      <c r="A475" s="45"/>
      <c r="B475" s="16">
        <f t="shared" si="165"/>
        <v>6</v>
      </c>
      <c r="C475" s="34"/>
      <c r="D475" s="42"/>
      <c r="E475" s="287"/>
      <c r="F475" s="288"/>
      <c r="G475" s="287"/>
      <c r="H475" s="287"/>
      <c r="I475" s="287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7"/>
      <c r="U475" s="288"/>
      <c r="V475" s="64"/>
      <c r="W475" s="643">
        <f t="shared" si="166"/>
        <v>0</v>
      </c>
    </row>
    <row r="476" spans="1:23" ht="16.5" thickBot="1" x14ac:dyDescent="0.3">
      <c r="A476" s="45"/>
      <c r="B476" s="16">
        <f t="shared" si="165"/>
        <v>7</v>
      </c>
      <c r="C476" s="276" t="s">
        <v>554</v>
      </c>
      <c r="D476" s="271"/>
      <c r="E476" s="272" t="s">
        <v>121</v>
      </c>
      <c r="F476" s="217">
        <f>+F474</f>
        <v>529501.175314861</v>
      </c>
      <c r="G476" s="272"/>
      <c r="H476" s="392"/>
      <c r="I476" s="568"/>
      <c r="J476" s="291">
        <f t="shared" ref="J476:Q476" si="169">+J474</f>
        <v>207606.13645560484</v>
      </c>
      <c r="K476" s="814">
        <f t="shared" si="169"/>
        <v>6289.6321654009789</v>
      </c>
      <c r="L476" s="814">
        <f t="shared" si="169"/>
        <v>221051.64195974506</v>
      </c>
      <c r="M476" s="814">
        <f t="shared" si="169"/>
        <v>4.2560916355768263</v>
      </c>
      <c r="N476" s="814">
        <f t="shared" si="169"/>
        <v>36602.637500708021</v>
      </c>
      <c r="O476" s="814">
        <f>+O474</f>
        <v>6977.131207379417</v>
      </c>
      <c r="P476" s="814">
        <f t="shared" si="169"/>
        <v>48120.849292618048</v>
      </c>
      <c r="Q476" s="814">
        <f t="shared" si="169"/>
        <v>1698.7056308252329</v>
      </c>
      <c r="R476" s="814">
        <f>+R474</f>
        <v>527.67437103067891</v>
      </c>
      <c r="S476" s="218">
        <f>+S474</f>
        <v>622.51063991296451</v>
      </c>
      <c r="T476" s="392"/>
      <c r="U476" s="195">
        <f>SUM(I476:T476)</f>
        <v>529501.17531486077</v>
      </c>
      <c r="V476" s="64"/>
      <c r="W476" s="643">
        <f t="shared" si="166"/>
        <v>0</v>
      </c>
    </row>
    <row r="477" spans="1:23" ht="15.75" thickBot="1" x14ac:dyDescent="0.25">
      <c r="A477" s="45"/>
      <c r="B477" s="16">
        <f t="shared" si="165"/>
        <v>8</v>
      </c>
      <c r="C477" s="41"/>
      <c r="D477" s="275"/>
      <c r="E477" s="286"/>
      <c r="F477" s="202"/>
      <c r="G477" s="286"/>
      <c r="H477" s="286"/>
      <c r="I477" s="286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86"/>
      <c r="U477" s="202"/>
      <c r="V477" s="64"/>
      <c r="W477" s="643">
        <f t="shared" si="166"/>
        <v>0</v>
      </c>
    </row>
    <row r="478" spans="1:23" ht="16.5" thickBot="1" x14ac:dyDescent="0.3">
      <c r="A478" s="45"/>
      <c r="B478" s="16">
        <f t="shared" si="165"/>
        <v>9</v>
      </c>
      <c r="C478" s="276" t="s">
        <v>555</v>
      </c>
      <c r="D478" s="271"/>
      <c r="E478" s="272" t="s">
        <v>556</v>
      </c>
      <c r="F478" s="217">
        <f>+F476+F455+F435</f>
        <v>705258.75531486562</v>
      </c>
      <c r="G478" s="272"/>
      <c r="H478" s="392"/>
      <c r="I478" s="568"/>
      <c r="J478" s="291">
        <f t="shared" ref="J478:Q478" ca="1" si="170">+J476+J455+J435</f>
        <v>298209.38809922698</v>
      </c>
      <c r="K478" s="814">
        <f t="shared" ca="1" si="170"/>
        <v>17474.843631905514</v>
      </c>
      <c r="L478" s="814">
        <f t="shared" ca="1" si="170"/>
        <v>272224.23475569003</v>
      </c>
      <c r="M478" s="814">
        <f t="shared" ca="1" si="170"/>
        <v>1764.391621721863</v>
      </c>
      <c r="N478" s="814">
        <f t="shared" ca="1" si="170"/>
        <v>52168.125858815984</v>
      </c>
      <c r="O478" s="814">
        <f ca="1">+O476+O455+O435</f>
        <v>7843.3060265547365</v>
      </c>
      <c r="P478" s="814">
        <f t="shared" ca="1" si="170"/>
        <v>50179.608531674923</v>
      </c>
      <c r="Q478" s="814">
        <f t="shared" ca="1" si="170"/>
        <v>4071.9098259915727</v>
      </c>
      <c r="R478" s="814">
        <f ca="1">+R476+R455+R435</f>
        <v>576.49572711039866</v>
      </c>
      <c r="S478" s="218">
        <f ca="1">+S476+S455+S435</f>
        <v>746.45123617343256</v>
      </c>
      <c r="T478" s="392"/>
      <c r="U478" s="195">
        <f ca="1">SUM(I478:T478)</f>
        <v>705258.75531486562</v>
      </c>
      <c r="V478" s="64"/>
      <c r="W478" s="643">
        <f t="shared" ca="1" si="166"/>
        <v>0</v>
      </c>
    </row>
    <row r="479" spans="1:23" ht="15" x14ac:dyDescent="0.2">
      <c r="A479" s="45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138"/>
    </row>
    <row r="480" spans="1:23" ht="15" x14ac:dyDescent="0.2">
      <c r="A480" s="45"/>
      <c r="B480" s="64"/>
      <c r="C480" s="64"/>
      <c r="D480" s="64"/>
      <c r="E480" s="64"/>
      <c r="F480" s="64"/>
      <c r="G480" s="64"/>
      <c r="H480" s="105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105"/>
      <c r="V480" s="105">
        <f>$H$2</f>
        <v>0</v>
      </c>
      <c r="W480" s="138"/>
    </row>
    <row r="481" spans="1:23" ht="15.75" thickBot="1" x14ac:dyDescent="0.25">
      <c r="A481" s="45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138"/>
    </row>
    <row r="482" spans="1:23" ht="15.75" x14ac:dyDescent="0.25">
      <c r="A482" s="45"/>
      <c r="B482" s="829" t="str">
        <f>+$B$4</f>
        <v>2025 RATE CASE</v>
      </c>
      <c r="C482" s="844"/>
      <c r="D482" s="872"/>
      <c r="F482" s="267"/>
      <c r="U482" s="105"/>
      <c r="W482" s="138"/>
    </row>
    <row r="483" spans="1:23" ht="15.75" x14ac:dyDescent="0.25">
      <c r="A483" s="45"/>
      <c r="B483" s="826" t="str">
        <f>+$B$5</f>
        <v>ONCOR ELECTRIC DELIVERY COMPANY LLC</v>
      </c>
      <c r="C483" s="8"/>
      <c r="D483" s="873"/>
      <c r="F483" s="267"/>
      <c r="U483" s="105"/>
      <c r="V483" s="64"/>
      <c r="W483" s="138"/>
    </row>
    <row r="484" spans="1:23" ht="15.75" x14ac:dyDescent="0.25">
      <c r="A484" s="45"/>
      <c r="B484" s="826" t="str">
        <f>+$B$6</f>
        <v>II-I-1-TBILLTDCS:  CLASS REVENUE REQUIREMENT</v>
      </c>
      <c r="C484" s="82"/>
      <c r="D484" s="873"/>
      <c r="F484" s="267"/>
      <c r="U484" s="267"/>
      <c r="V484" s="64"/>
      <c r="W484" s="138"/>
    </row>
    <row r="485" spans="1:23" ht="15.75" x14ac:dyDescent="0.25">
      <c r="A485" s="45"/>
      <c r="B485" s="341" t="str">
        <f>+$B$7</f>
        <v>TEST YEAR ENDING 12/31/2024</v>
      </c>
      <c r="C485" s="82"/>
      <c r="D485" s="873"/>
      <c r="F485" s="267"/>
      <c r="U485" s="267"/>
      <c r="V485" s="64"/>
      <c r="W485" s="138"/>
    </row>
    <row r="486" spans="1:23" ht="15.75" x14ac:dyDescent="0.25">
      <c r="A486" s="45"/>
      <c r="B486" s="341" t="str">
        <f>+$B$8</f>
        <v>SPONSOR:  MATTHEW A. TROXLE</v>
      </c>
      <c r="C486" s="82"/>
      <c r="D486" s="873"/>
      <c r="F486" s="267"/>
      <c r="U486" s="267"/>
      <c r="V486" s="64"/>
      <c r="W486" s="138"/>
    </row>
    <row r="487" spans="1:23" ht="16.5" thickBot="1" x14ac:dyDescent="0.3">
      <c r="A487" s="45"/>
      <c r="B487" s="345"/>
      <c r="C487" s="843"/>
      <c r="D487" s="845"/>
      <c r="F487" s="267"/>
      <c r="U487" s="267"/>
      <c r="V487" s="64"/>
      <c r="W487" s="138"/>
    </row>
    <row r="488" spans="1:23" ht="15.75" thickBot="1" x14ac:dyDescent="0.25">
      <c r="A488" s="45"/>
      <c r="B488" s="12"/>
      <c r="C488" s="13"/>
      <c r="D488" s="13"/>
      <c r="E488" s="13"/>
      <c r="F488" s="12"/>
      <c r="G488" s="13"/>
      <c r="H488" s="13"/>
      <c r="I488" s="13"/>
      <c r="J488" s="177"/>
      <c r="K488" s="177"/>
      <c r="L488" s="13"/>
      <c r="M488" s="177"/>
      <c r="N488" s="177"/>
      <c r="O488" s="177"/>
      <c r="P488" s="177"/>
      <c r="Q488" s="13"/>
      <c r="R488" s="328" t="str">
        <f>R$10</f>
        <v xml:space="preserve"> </v>
      </c>
      <c r="S488" s="329"/>
      <c r="T488" s="177"/>
      <c r="U488" s="12"/>
      <c r="V488" s="64"/>
      <c r="W488" s="138"/>
    </row>
    <row r="489" spans="1:23" ht="15.75" x14ac:dyDescent="0.25">
      <c r="A489" s="45"/>
      <c r="B489" s="14" t="s">
        <v>2</v>
      </c>
      <c r="C489" s="14" t="s">
        <v>349</v>
      </c>
      <c r="D489" s="226" t="s">
        <v>122</v>
      </c>
      <c r="E489" s="14" t="s">
        <v>350</v>
      </c>
      <c r="F489" s="226" t="str">
        <f>F$11</f>
        <v>TBILLTDCS</v>
      </c>
      <c r="G489" s="181" t="s">
        <v>688</v>
      </c>
      <c r="H489" s="181" t="s">
        <v>355</v>
      </c>
      <c r="I489" s="14"/>
      <c r="J489" s="181" t="s">
        <v>679</v>
      </c>
      <c r="K489" s="181" t="s">
        <v>388</v>
      </c>
      <c r="L489" s="14" t="s">
        <v>388</v>
      </c>
      <c r="M489" s="181" t="s">
        <v>389</v>
      </c>
      <c r="N489" s="181" t="s">
        <v>389</v>
      </c>
      <c r="O489" s="181" t="s">
        <v>389</v>
      </c>
      <c r="P489" s="181" t="s">
        <v>390</v>
      </c>
      <c r="Q489" s="14" t="s">
        <v>391</v>
      </c>
      <c r="R489" s="331" t="str">
        <f>R$11</f>
        <v>Wholesale</v>
      </c>
      <c r="S489" s="12" t="str">
        <f>S$11</f>
        <v>Wholesale</v>
      </c>
      <c r="T489" s="181"/>
      <c r="U489" s="14" t="s">
        <v>10</v>
      </c>
      <c r="V489" s="64"/>
      <c r="W489" s="138"/>
    </row>
    <row r="490" spans="1:23" ht="15" x14ac:dyDescent="0.2">
      <c r="A490" s="45"/>
      <c r="B490" s="14"/>
      <c r="C490" s="14"/>
      <c r="D490" s="14"/>
      <c r="E490" s="14"/>
      <c r="F490" s="14"/>
      <c r="G490" s="181" t="s">
        <v>689</v>
      </c>
      <c r="H490" s="181" t="s">
        <v>690</v>
      </c>
      <c r="I490" s="14"/>
      <c r="J490" s="181"/>
      <c r="K490" s="181" t="s">
        <v>680</v>
      </c>
      <c r="L490" s="14" t="s">
        <v>681</v>
      </c>
      <c r="M490" s="181" t="s">
        <v>680</v>
      </c>
      <c r="N490" s="181" t="s">
        <v>681</v>
      </c>
      <c r="O490" s="181" t="s">
        <v>393</v>
      </c>
      <c r="P490" s="181"/>
      <c r="Q490" s="14"/>
      <c r="R490" s="174" t="str">
        <f>R$12</f>
        <v>XFMR</v>
      </c>
      <c r="S490" s="14" t="str">
        <f>S$12</f>
        <v>DLS</v>
      </c>
      <c r="T490" s="181"/>
      <c r="U490" s="14"/>
      <c r="V490" s="64"/>
      <c r="W490" s="138"/>
    </row>
    <row r="491" spans="1:23" ht="15.75" thickBot="1" x14ac:dyDescent="0.25">
      <c r="A491" s="45"/>
      <c r="B491" s="15"/>
      <c r="C491" s="15"/>
      <c r="D491" s="15"/>
      <c r="E491" s="15"/>
      <c r="F491" s="15" t="s">
        <v>13</v>
      </c>
      <c r="G491" s="15" t="s">
        <v>14</v>
      </c>
      <c r="H491" s="15" t="s">
        <v>15</v>
      </c>
      <c r="I491" s="15"/>
      <c r="J491" s="182" t="str">
        <f t="shared" ref="J491:Q491" si="171">J$13</f>
        <v>(d)</v>
      </c>
      <c r="K491" s="182" t="str">
        <f t="shared" si="171"/>
        <v>(e)</v>
      </c>
      <c r="L491" s="15" t="str">
        <f t="shared" si="171"/>
        <v>(f)</v>
      </c>
      <c r="M491" s="182" t="str">
        <f t="shared" si="171"/>
        <v>(g)</v>
      </c>
      <c r="N491" s="182" t="str">
        <f t="shared" si="171"/>
        <v>(h)</v>
      </c>
      <c r="O491" s="182" t="str">
        <f>O$13</f>
        <v>(i)</v>
      </c>
      <c r="P491" s="182" t="str">
        <f t="shared" si="171"/>
        <v>(j)</v>
      </c>
      <c r="Q491" s="182" t="str">
        <f t="shared" si="171"/>
        <v>(k)</v>
      </c>
      <c r="R491" s="182" t="str">
        <f>R$13</f>
        <v>(l)</v>
      </c>
      <c r="S491" s="15" t="str">
        <f>S$13</f>
        <v>(m)</v>
      </c>
      <c r="T491" s="15"/>
      <c r="U491" s="15" t="s">
        <v>683</v>
      </c>
      <c r="V491" s="64"/>
      <c r="W491" s="138"/>
    </row>
    <row r="492" spans="1:23" ht="15" x14ac:dyDescent="0.2">
      <c r="A492" s="45"/>
      <c r="B492" s="64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41"/>
      <c r="V492" s="64"/>
      <c r="W492" s="138"/>
    </row>
    <row r="493" spans="1:23" ht="15.75" x14ac:dyDescent="0.25">
      <c r="A493" s="45"/>
      <c r="B493" s="16">
        <f t="shared" ref="B493:B501" si="172">B492+1</f>
        <v>1</v>
      </c>
      <c r="C493" s="269" t="s">
        <v>557</v>
      </c>
      <c r="D493" s="34"/>
      <c r="E493" s="35" t="s">
        <v>123</v>
      </c>
      <c r="F493" s="37"/>
      <c r="G493" s="35"/>
      <c r="H493" s="35"/>
      <c r="I493" s="806"/>
      <c r="J493" s="806"/>
      <c r="K493" s="806"/>
      <c r="L493" s="806"/>
      <c r="M493" s="806"/>
      <c r="N493" s="806"/>
      <c r="O493" s="806"/>
      <c r="P493" s="806"/>
      <c r="Q493" s="806"/>
      <c r="R493" s="806"/>
      <c r="S493" s="806"/>
      <c r="T493" s="35"/>
      <c r="U493" s="34"/>
      <c r="V493" s="64"/>
      <c r="W493" s="643">
        <f t="shared" ref="W493:W501" si="173">F493-U493</f>
        <v>0</v>
      </c>
    </row>
    <row r="494" spans="1:23" ht="15.75" x14ac:dyDescent="0.25">
      <c r="A494" s="45"/>
      <c r="B494" s="16">
        <f t="shared" si="172"/>
        <v>2</v>
      </c>
      <c r="C494" s="269"/>
      <c r="D494" s="611" t="s">
        <v>1108</v>
      </c>
      <c r="E494" s="35"/>
      <c r="F494" s="97">
        <f>' WP II-I-1.4'!I494</f>
        <v>0</v>
      </c>
      <c r="G494" s="293">
        <v>26</v>
      </c>
      <c r="H494" s="45" t="str">
        <f>VLOOKUP(G494,FactorTable,2)</f>
        <v>NCP ALL</v>
      </c>
      <c r="I494" s="202"/>
      <c r="J494" s="369">
        <f t="shared" ref="J494:S498" si="174">$F494*HLOOKUP(J$1354,FactorTable,$G494+1)</f>
        <v>0</v>
      </c>
      <c r="K494" s="369">
        <f t="shared" si="174"/>
        <v>0</v>
      </c>
      <c r="L494" s="369">
        <f t="shared" si="174"/>
        <v>0</v>
      </c>
      <c r="M494" s="369">
        <f t="shared" si="174"/>
        <v>0</v>
      </c>
      <c r="N494" s="369">
        <f t="shared" si="174"/>
        <v>0</v>
      </c>
      <c r="O494" s="369">
        <f t="shared" si="174"/>
        <v>0</v>
      </c>
      <c r="P494" s="369">
        <f t="shared" si="174"/>
        <v>0</v>
      </c>
      <c r="Q494" s="369">
        <f t="shared" si="174"/>
        <v>0</v>
      </c>
      <c r="R494" s="369">
        <f t="shared" si="174"/>
        <v>0</v>
      </c>
      <c r="S494" s="369">
        <f t="shared" si="174"/>
        <v>0</v>
      </c>
      <c r="T494" s="202"/>
      <c r="U494" s="191">
        <f>SUM(I494:T494)</f>
        <v>0</v>
      </c>
      <c r="V494" s="64"/>
      <c r="W494" s="643">
        <f t="shared" si="173"/>
        <v>0</v>
      </c>
    </row>
    <row r="495" spans="1:23" ht="15.75" x14ac:dyDescent="0.25">
      <c r="A495" s="45"/>
      <c r="B495" s="16">
        <f t="shared" si="172"/>
        <v>3</v>
      </c>
      <c r="C495" s="41"/>
      <c r="D495" s="41"/>
      <c r="E495" s="35"/>
      <c r="F495" s="97">
        <f>' WP II-I-1.4'!I495</f>
        <v>0</v>
      </c>
      <c r="G495" s="293"/>
      <c r="H495" s="45"/>
      <c r="I495" s="806"/>
      <c r="J495" s="369">
        <f t="shared" si="174"/>
        <v>0</v>
      </c>
      <c r="K495" s="369">
        <f t="shared" si="174"/>
        <v>0</v>
      </c>
      <c r="L495" s="369">
        <f t="shared" si="174"/>
        <v>0</v>
      </c>
      <c r="M495" s="369">
        <f t="shared" si="174"/>
        <v>0</v>
      </c>
      <c r="N495" s="369">
        <f t="shared" si="174"/>
        <v>0</v>
      </c>
      <c r="O495" s="369">
        <f t="shared" si="174"/>
        <v>0</v>
      </c>
      <c r="P495" s="369">
        <f t="shared" si="174"/>
        <v>0</v>
      </c>
      <c r="Q495" s="369">
        <f t="shared" si="174"/>
        <v>0</v>
      </c>
      <c r="R495" s="369">
        <f t="shared" si="174"/>
        <v>0</v>
      </c>
      <c r="S495" s="369">
        <f t="shared" si="174"/>
        <v>0</v>
      </c>
      <c r="T495" s="806"/>
      <c r="U495" s="191">
        <f>SUM(I495:T495)</f>
        <v>0</v>
      </c>
      <c r="V495" s="64"/>
      <c r="W495" s="643">
        <f t="shared" si="173"/>
        <v>0</v>
      </c>
    </row>
    <row r="496" spans="1:23" ht="15.75" x14ac:dyDescent="0.25">
      <c r="A496" s="45"/>
      <c r="B496" s="16">
        <f t="shared" si="172"/>
        <v>4</v>
      </c>
      <c r="C496" s="41"/>
      <c r="D496" s="611" t="s">
        <v>1137</v>
      </c>
      <c r="E496" s="35"/>
      <c r="F496" s="98">
        <f>' WP II-I-1.4'!I496</f>
        <v>0</v>
      </c>
      <c r="G496" s="293">
        <v>26</v>
      </c>
      <c r="H496" s="1" t="str">
        <f>VLOOKUP(G496,FactorTable,2)</f>
        <v>NCP ALL</v>
      </c>
      <c r="I496" s="806"/>
      <c r="J496" s="369">
        <f t="shared" si="174"/>
        <v>0</v>
      </c>
      <c r="K496" s="369">
        <f t="shared" si="174"/>
        <v>0</v>
      </c>
      <c r="L496" s="369">
        <f t="shared" si="174"/>
        <v>0</v>
      </c>
      <c r="M496" s="369">
        <f t="shared" si="174"/>
        <v>0</v>
      </c>
      <c r="N496" s="369">
        <f t="shared" si="174"/>
        <v>0</v>
      </c>
      <c r="O496" s="369">
        <f t="shared" si="174"/>
        <v>0</v>
      </c>
      <c r="P496" s="369">
        <f t="shared" si="174"/>
        <v>0</v>
      </c>
      <c r="Q496" s="369">
        <f t="shared" si="174"/>
        <v>0</v>
      </c>
      <c r="R496" s="369">
        <f t="shared" si="174"/>
        <v>0</v>
      </c>
      <c r="S496" s="369">
        <f t="shared" si="174"/>
        <v>0</v>
      </c>
      <c r="T496" s="806"/>
      <c r="U496" s="191">
        <f>SUM(I496:T496)</f>
        <v>0</v>
      </c>
      <c r="V496" s="64"/>
      <c r="W496" s="643">
        <f t="shared" si="173"/>
        <v>0</v>
      </c>
    </row>
    <row r="497" spans="1:23" ht="15.75" x14ac:dyDescent="0.25">
      <c r="A497" s="45"/>
      <c r="B497" s="16">
        <f t="shared" si="172"/>
        <v>5</v>
      </c>
      <c r="C497" s="41"/>
      <c r="D497" s="611"/>
      <c r="E497" s="806"/>
      <c r="F497" s="98">
        <f>' WP II-I-1.4'!I497</f>
        <v>0</v>
      </c>
      <c r="G497" s="293"/>
      <c r="H497" s="1"/>
      <c r="I497" s="806"/>
      <c r="J497" s="369">
        <f t="shared" si="174"/>
        <v>0</v>
      </c>
      <c r="K497" s="369">
        <f t="shared" si="174"/>
        <v>0</v>
      </c>
      <c r="L497" s="369">
        <f t="shared" si="174"/>
        <v>0</v>
      </c>
      <c r="M497" s="369">
        <f t="shared" si="174"/>
        <v>0</v>
      </c>
      <c r="N497" s="369">
        <f t="shared" si="174"/>
        <v>0</v>
      </c>
      <c r="O497" s="369">
        <f t="shared" si="174"/>
        <v>0</v>
      </c>
      <c r="P497" s="369">
        <f t="shared" si="174"/>
        <v>0</v>
      </c>
      <c r="Q497" s="369">
        <f t="shared" si="174"/>
        <v>0</v>
      </c>
      <c r="R497" s="369">
        <f t="shared" si="174"/>
        <v>0</v>
      </c>
      <c r="S497" s="369">
        <f t="shared" si="174"/>
        <v>0</v>
      </c>
      <c r="T497" s="806"/>
      <c r="U497" s="191">
        <f t="shared" ref="U497:U498" si="175">SUM(I497:T497)</f>
        <v>0</v>
      </c>
      <c r="V497" s="64"/>
      <c r="W497" s="643"/>
    </row>
    <row r="498" spans="1:23" ht="15.75" x14ac:dyDescent="0.25">
      <c r="A498" s="45"/>
      <c r="B498" s="16">
        <f t="shared" si="172"/>
        <v>6</v>
      </c>
      <c r="C498" s="41"/>
      <c r="D498" s="611"/>
      <c r="E498" s="806"/>
      <c r="F498" s="98">
        <f>' WP II-I-1.4'!I498</f>
        <v>0</v>
      </c>
      <c r="G498" s="293"/>
      <c r="H498" s="1"/>
      <c r="I498" s="806"/>
      <c r="J498" s="369">
        <f t="shared" si="174"/>
        <v>0</v>
      </c>
      <c r="K498" s="369">
        <f t="shared" si="174"/>
        <v>0</v>
      </c>
      <c r="L498" s="369">
        <f t="shared" si="174"/>
        <v>0</v>
      </c>
      <c r="M498" s="369">
        <f t="shared" si="174"/>
        <v>0</v>
      </c>
      <c r="N498" s="369">
        <f t="shared" si="174"/>
        <v>0</v>
      </c>
      <c r="O498" s="369">
        <f t="shared" si="174"/>
        <v>0</v>
      </c>
      <c r="P498" s="369">
        <f t="shared" si="174"/>
        <v>0</v>
      </c>
      <c r="Q498" s="369">
        <f t="shared" si="174"/>
        <v>0</v>
      </c>
      <c r="R498" s="369">
        <f t="shared" si="174"/>
        <v>0</v>
      </c>
      <c r="S498" s="369">
        <f t="shared" si="174"/>
        <v>0</v>
      </c>
      <c r="T498" s="806"/>
      <c r="U498" s="191">
        <f t="shared" si="175"/>
        <v>0</v>
      </c>
      <c r="V498" s="64"/>
      <c r="W498" s="643"/>
    </row>
    <row r="499" spans="1:23" ht="15.75" x14ac:dyDescent="0.25">
      <c r="A499" s="45"/>
      <c r="B499" s="16">
        <f t="shared" si="172"/>
        <v>7</v>
      </c>
      <c r="C499" s="34"/>
      <c r="D499" s="42" t="s">
        <v>444</v>
      </c>
      <c r="E499" s="287"/>
      <c r="F499" s="37">
        <f>SUM(F494:F498)</f>
        <v>0</v>
      </c>
      <c r="G499" s="287"/>
      <c r="H499" s="287"/>
      <c r="I499" s="287"/>
      <c r="J499" s="807">
        <f t="shared" ref="J499:U499" si="176">SUM(J494:J498)</f>
        <v>0</v>
      </c>
      <c r="K499" s="807">
        <f t="shared" si="176"/>
        <v>0</v>
      </c>
      <c r="L499" s="807">
        <f t="shared" si="176"/>
        <v>0</v>
      </c>
      <c r="M499" s="807">
        <f t="shared" si="176"/>
        <v>0</v>
      </c>
      <c r="N499" s="807">
        <f t="shared" si="176"/>
        <v>0</v>
      </c>
      <c r="O499" s="807">
        <f t="shared" si="176"/>
        <v>0</v>
      </c>
      <c r="P499" s="807">
        <f t="shared" si="176"/>
        <v>0</v>
      </c>
      <c r="Q499" s="807">
        <f t="shared" si="176"/>
        <v>0</v>
      </c>
      <c r="R499" s="807">
        <f t="shared" si="176"/>
        <v>0</v>
      </c>
      <c r="S499" s="807">
        <f t="shared" si="176"/>
        <v>0</v>
      </c>
      <c r="T499" s="807">
        <f t="shared" si="176"/>
        <v>0</v>
      </c>
      <c r="U499" s="807">
        <f t="shared" si="176"/>
        <v>0</v>
      </c>
      <c r="V499" s="64"/>
      <c r="W499" s="643">
        <f t="shared" si="173"/>
        <v>0</v>
      </c>
    </row>
    <row r="500" spans="1:23" ht="16.5" thickBot="1" x14ac:dyDescent="0.3">
      <c r="A500" s="45"/>
      <c r="B500" s="16">
        <f t="shared" si="172"/>
        <v>8</v>
      </c>
      <c r="C500" s="34"/>
      <c r="D500" s="42"/>
      <c r="E500" s="35"/>
      <c r="F500" s="37"/>
      <c r="G500" s="35"/>
      <c r="H500" s="35"/>
      <c r="I500" s="35"/>
      <c r="J500" s="807"/>
      <c r="K500" s="807"/>
      <c r="L500" s="807"/>
      <c r="M500" s="807"/>
      <c r="N500" s="807"/>
      <c r="O500" s="807"/>
      <c r="P500" s="807"/>
      <c r="Q500" s="807"/>
      <c r="R500" s="807"/>
      <c r="S500" s="807"/>
      <c r="T500" s="35"/>
      <c r="U500" s="34"/>
      <c r="V500" s="64"/>
      <c r="W500" s="643">
        <f t="shared" si="173"/>
        <v>0</v>
      </c>
    </row>
    <row r="501" spans="1:23" ht="16.5" thickBot="1" x14ac:dyDescent="0.3">
      <c r="A501" s="45"/>
      <c r="B501" s="16">
        <f t="shared" si="172"/>
        <v>9</v>
      </c>
      <c r="C501" s="276" t="s">
        <v>558</v>
      </c>
      <c r="D501" s="271"/>
      <c r="E501" s="272"/>
      <c r="F501" s="217">
        <f>+F499+F478+F435+F413+F388</f>
        <v>-51325941.704685137</v>
      </c>
      <c r="G501" s="272"/>
      <c r="H501" s="392"/>
      <c r="I501" s="568"/>
      <c r="J501" s="291">
        <f t="shared" ref="J501:S501" ca="1" si="177">+J499+J478+J435+J413+J388</f>
        <v>-25349214.407323726</v>
      </c>
      <c r="K501" s="814">
        <f t="shared" ca="1" si="177"/>
        <v>-3561181.4440913983</v>
      </c>
      <c r="L501" s="814">
        <f t="shared" ca="1" si="177"/>
        <v>-13714504.122416679</v>
      </c>
      <c r="M501" s="814">
        <f t="shared" ca="1" si="177"/>
        <v>-586589.75749863125</v>
      </c>
      <c r="N501" s="814">
        <f t="shared" ca="1" si="177"/>
        <v>-4476805.0804799953</v>
      </c>
      <c r="O501" s="814">
        <f t="shared" ca="1" si="177"/>
        <v>-140755.72237757815</v>
      </c>
      <c r="P501" s="814">
        <f t="shared" ca="1" si="177"/>
        <v>-259781.55501068817</v>
      </c>
      <c r="Q501" s="814">
        <f t="shared" ca="1" si="177"/>
        <v>-3180363.8563348283</v>
      </c>
      <c r="R501" s="814">
        <f t="shared" ca="1" si="177"/>
        <v>-15833.212931014707</v>
      </c>
      <c r="S501" s="218">
        <f t="shared" ca="1" si="177"/>
        <v>-40912.546220619406</v>
      </c>
      <c r="T501" s="392"/>
      <c r="U501" s="195">
        <f ca="1">SUM(I501:T501)</f>
        <v>-51325941.704685159</v>
      </c>
      <c r="V501" s="64"/>
      <c r="W501" s="643">
        <f t="shared" ca="1" si="173"/>
        <v>0</v>
      </c>
    </row>
    <row r="502" spans="1:23" ht="15" x14ac:dyDescent="0.2">
      <c r="A502" s="45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138"/>
    </row>
    <row r="503" spans="1:23" ht="15" x14ac:dyDescent="0.2">
      <c r="A503" s="45"/>
      <c r="B503" s="64"/>
      <c r="C503" s="64"/>
      <c r="D503" s="64"/>
      <c r="E503" s="64"/>
      <c r="F503" s="64"/>
      <c r="G503" s="64"/>
      <c r="H503" s="105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105"/>
      <c r="V503" s="105">
        <f>$H$2</f>
        <v>0</v>
      </c>
      <c r="W503" s="138"/>
    </row>
    <row r="504" spans="1:23" ht="15.75" thickBot="1" x14ac:dyDescent="0.25">
      <c r="A504" s="45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138"/>
    </row>
    <row r="505" spans="1:23" ht="15.75" x14ac:dyDescent="0.25">
      <c r="A505" s="45"/>
      <c r="B505" s="829" t="str">
        <f>+$B$4</f>
        <v>2025 RATE CASE</v>
      </c>
      <c r="C505" s="844"/>
      <c r="D505" s="872"/>
      <c r="F505" s="267"/>
      <c r="U505" s="105"/>
      <c r="W505" s="138"/>
    </row>
    <row r="506" spans="1:23" ht="15.75" x14ac:dyDescent="0.25">
      <c r="A506" s="45"/>
      <c r="B506" s="826" t="str">
        <f>+$B$5</f>
        <v>ONCOR ELECTRIC DELIVERY COMPANY LLC</v>
      </c>
      <c r="C506" s="8"/>
      <c r="D506" s="873"/>
      <c r="F506" s="267"/>
      <c r="U506" s="105"/>
      <c r="V506" s="64"/>
      <c r="W506" s="138"/>
    </row>
    <row r="507" spans="1:23" ht="15.75" x14ac:dyDescent="0.25">
      <c r="A507" s="45"/>
      <c r="B507" s="826" t="str">
        <f>+$B$6</f>
        <v>II-I-1-TBILLTDCS:  CLASS REVENUE REQUIREMENT</v>
      </c>
      <c r="C507" s="82"/>
      <c r="D507" s="873"/>
      <c r="F507" s="267"/>
      <c r="U507" s="267"/>
      <c r="V507" s="64"/>
      <c r="W507" s="138"/>
    </row>
    <row r="508" spans="1:23" ht="15.75" x14ac:dyDescent="0.25">
      <c r="A508" s="45"/>
      <c r="B508" s="341" t="str">
        <f>+$B$7</f>
        <v>TEST YEAR ENDING 12/31/2024</v>
      </c>
      <c r="C508" s="82"/>
      <c r="D508" s="873"/>
      <c r="F508" s="267"/>
      <c r="U508" s="267"/>
      <c r="V508" s="64"/>
      <c r="W508" s="138"/>
    </row>
    <row r="509" spans="1:23" ht="15.75" x14ac:dyDescent="0.25">
      <c r="A509" s="45"/>
      <c r="B509" s="341" t="str">
        <f>+$B$8</f>
        <v>SPONSOR:  MATTHEW A. TROXLE</v>
      </c>
      <c r="C509" s="82"/>
      <c r="D509" s="873"/>
      <c r="F509" s="267"/>
      <c r="U509" s="267"/>
      <c r="V509" s="64"/>
      <c r="W509" s="138"/>
    </row>
    <row r="510" spans="1:23" ht="9" customHeight="1" thickBot="1" x14ac:dyDescent="0.3">
      <c r="A510" s="45"/>
      <c r="B510" s="345"/>
      <c r="C510" s="843"/>
      <c r="D510" s="845"/>
      <c r="F510" s="267"/>
      <c r="U510" s="267"/>
      <c r="V510" s="64"/>
      <c r="W510" s="138"/>
    </row>
    <row r="511" spans="1:23" ht="9" customHeight="1" thickBot="1" x14ac:dyDescent="0.25">
      <c r="A511" s="45"/>
      <c r="B511" s="12"/>
      <c r="C511" s="13"/>
      <c r="D511" s="13"/>
      <c r="E511" s="13"/>
      <c r="F511" s="12"/>
      <c r="G511" s="13"/>
      <c r="H511" s="13"/>
      <c r="I511" s="13"/>
      <c r="J511" s="177"/>
      <c r="K511" s="177"/>
      <c r="L511" s="13"/>
      <c r="M511" s="177"/>
      <c r="N511" s="177"/>
      <c r="O511" s="177"/>
      <c r="P511" s="177"/>
      <c r="Q511" s="13"/>
      <c r="R511" s="328" t="str">
        <f>R$10</f>
        <v xml:space="preserve"> </v>
      </c>
      <c r="S511" s="329"/>
      <c r="T511" s="177"/>
      <c r="U511" s="12"/>
      <c r="V511" s="64"/>
      <c r="W511" s="138"/>
    </row>
    <row r="512" spans="1:23" ht="15.75" x14ac:dyDescent="0.25">
      <c r="A512" s="45"/>
      <c r="B512" s="14" t="s">
        <v>2</v>
      </c>
      <c r="C512" s="14" t="s">
        <v>349</v>
      </c>
      <c r="D512" s="226" t="s">
        <v>559</v>
      </c>
      <c r="E512" s="14" t="s">
        <v>350</v>
      </c>
      <c r="F512" s="226" t="str">
        <f>F$11</f>
        <v>TBILLTDCS</v>
      </c>
      <c r="G512" s="181" t="s">
        <v>688</v>
      </c>
      <c r="H512" s="181" t="s">
        <v>355</v>
      </c>
      <c r="I512" s="14"/>
      <c r="J512" s="181" t="s">
        <v>679</v>
      </c>
      <c r="K512" s="181" t="s">
        <v>388</v>
      </c>
      <c r="L512" s="14" t="s">
        <v>388</v>
      </c>
      <c r="M512" s="181" t="s">
        <v>389</v>
      </c>
      <c r="N512" s="181" t="s">
        <v>389</v>
      </c>
      <c r="O512" s="181" t="s">
        <v>389</v>
      </c>
      <c r="P512" s="181" t="s">
        <v>390</v>
      </c>
      <c r="Q512" s="14" t="s">
        <v>391</v>
      </c>
      <c r="R512" s="331" t="str">
        <f>R$11</f>
        <v>Wholesale</v>
      </c>
      <c r="S512" s="12" t="str">
        <f>S$11</f>
        <v>Wholesale</v>
      </c>
      <c r="T512" s="181"/>
      <c r="U512" s="14" t="s">
        <v>10</v>
      </c>
      <c r="V512" s="64"/>
      <c r="W512" s="138"/>
    </row>
    <row r="513" spans="1:23" ht="15" x14ac:dyDescent="0.2">
      <c r="A513" s="45"/>
      <c r="B513" s="14"/>
      <c r="C513" s="14"/>
      <c r="D513" s="14"/>
      <c r="E513" s="14"/>
      <c r="F513" s="14"/>
      <c r="G513" s="181" t="s">
        <v>689</v>
      </c>
      <c r="H513" s="181" t="s">
        <v>690</v>
      </c>
      <c r="I513" s="14"/>
      <c r="J513" s="181"/>
      <c r="K513" s="181" t="s">
        <v>680</v>
      </c>
      <c r="L513" s="14" t="s">
        <v>681</v>
      </c>
      <c r="M513" s="181" t="s">
        <v>680</v>
      </c>
      <c r="N513" s="181" t="s">
        <v>681</v>
      </c>
      <c r="O513" s="181" t="s">
        <v>393</v>
      </c>
      <c r="P513" s="181"/>
      <c r="Q513" s="14"/>
      <c r="R513" s="174" t="str">
        <f>R$12</f>
        <v>XFMR</v>
      </c>
      <c r="S513" s="14" t="str">
        <f>S$12</f>
        <v>DLS</v>
      </c>
      <c r="T513" s="181"/>
      <c r="U513" s="14"/>
      <c r="V513" s="64"/>
      <c r="W513" s="138"/>
    </row>
    <row r="514" spans="1:23" ht="15.75" thickBot="1" x14ac:dyDescent="0.25">
      <c r="A514" s="45"/>
      <c r="B514" s="15"/>
      <c r="C514" s="15"/>
      <c r="D514" s="15"/>
      <c r="E514" s="15"/>
      <c r="F514" s="15" t="s">
        <v>13</v>
      </c>
      <c r="G514" s="15" t="s">
        <v>14</v>
      </c>
      <c r="H514" s="15" t="s">
        <v>15</v>
      </c>
      <c r="I514" s="15"/>
      <c r="J514" s="182" t="str">
        <f t="shared" ref="J514:Q514" si="178">J$13</f>
        <v>(d)</v>
      </c>
      <c r="K514" s="182" t="str">
        <f t="shared" si="178"/>
        <v>(e)</v>
      </c>
      <c r="L514" s="15" t="str">
        <f t="shared" si="178"/>
        <v>(f)</v>
      </c>
      <c r="M514" s="182" t="str">
        <f t="shared" si="178"/>
        <v>(g)</v>
      </c>
      <c r="N514" s="182" t="str">
        <f t="shared" si="178"/>
        <v>(h)</v>
      </c>
      <c r="O514" s="182" t="str">
        <f>O$13</f>
        <v>(i)</v>
      </c>
      <c r="P514" s="182" t="str">
        <f t="shared" si="178"/>
        <v>(j)</v>
      </c>
      <c r="Q514" s="182" t="str">
        <f t="shared" si="178"/>
        <v>(k)</v>
      </c>
      <c r="R514" s="182" t="str">
        <f>R$13</f>
        <v>(l)</v>
      </c>
      <c r="S514" s="15" t="str">
        <f>S$13</f>
        <v>(m)</v>
      </c>
      <c r="T514" s="15"/>
      <c r="U514" s="15" t="s">
        <v>683</v>
      </c>
      <c r="V514" s="64"/>
      <c r="W514" s="138"/>
    </row>
    <row r="515" spans="1:23" ht="6.95" customHeight="1" x14ac:dyDescent="0.2">
      <c r="A515" s="45"/>
      <c r="B515" s="64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41"/>
      <c r="V515" s="64"/>
      <c r="W515" s="138"/>
    </row>
    <row r="516" spans="1:23" ht="15.75" x14ac:dyDescent="0.25">
      <c r="A516" s="45"/>
      <c r="B516" s="16">
        <f t="shared" ref="B516:B537" si="179">B515+1</f>
        <v>1</v>
      </c>
      <c r="C516" s="269" t="s">
        <v>110</v>
      </c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64"/>
      <c r="W516" s="138"/>
    </row>
    <row r="517" spans="1:23" ht="15.75" x14ac:dyDescent="0.25">
      <c r="A517" s="45"/>
      <c r="B517" s="16">
        <f t="shared" si="179"/>
        <v>2</v>
      </c>
      <c r="C517" s="34" t="s">
        <v>560</v>
      </c>
      <c r="D517" s="42"/>
      <c r="E517" s="35" t="s">
        <v>127</v>
      </c>
      <c r="F517" s="290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4"/>
      <c r="V517" s="64"/>
      <c r="W517" s="138"/>
    </row>
    <row r="518" spans="1:23" ht="15.75" x14ac:dyDescent="0.25">
      <c r="A518" s="45"/>
      <c r="B518" s="16">
        <f t="shared" si="179"/>
        <v>3</v>
      </c>
      <c r="C518" s="34" t="s">
        <v>561</v>
      </c>
      <c r="D518" s="42"/>
      <c r="E518" s="35"/>
      <c r="F518" s="290"/>
      <c r="G518" s="35"/>
      <c r="H518" s="35"/>
      <c r="I518" s="806"/>
      <c r="J518" s="806"/>
      <c r="K518" s="806"/>
      <c r="L518" s="806"/>
      <c r="M518" s="806"/>
      <c r="N518" s="806"/>
      <c r="O518" s="806"/>
      <c r="P518" s="806"/>
      <c r="Q518" s="806"/>
      <c r="R518" s="806"/>
      <c r="S518" s="806"/>
      <c r="T518" s="806"/>
      <c r="U518" s="34"/>
      <c r="V518" s="64"/>
      <c r="W518" s="138"/>
    </row>
    <row r="519" spans="1:23" ht="15" x14ac:dyDescent="0.2">
      <c r="A519" s="45"/>
      <c r="B519" s="16">
        <f t="shared" si="179"/>
        <v>4</v>
      </c>
      <c r="C519" s="41">
        <v>189</v>
      </c>
      <c r="D519" s="41" t="s">
        <v>1324</v>
      </c>
      <c r="E519" s="202"/>
      <c r="F519" s="229">
        <f>' WP II-I-1.4'!I519</f>
        <v>0</v>
      </c>
      <c r="G519" s="293">
        <v>64</v>
      </c>
      <c r="H519" s="45" t="str">
        <f t="shared" ref="H519:H555" si="180">VLOOKUP(G519,FactorTable,2)</f>
        <v>PLANT</v>
      </c>
      <c r="I519" s="202"/>
      <c r="J519" s="369">
        <f t="shared" ref="J519:S528" ca="1" si="181">$F519*HLOOKUP(J$1354,FactorTable,$G519+1)</f>
        <v>0</v>
      </c>
      <c r="K519" s="369">
        <f t="shared" ca="1" si="181"/>
        <v>0</v>
      </c>
      <c r="L519" s="369">
        <f t="shared" ca="1" si="181"/>
        <v>0</v>
      </c>
      <c r="M519" s="369">
        <f t="shared" ca="1" si="181"/>
        <v>0</v>
      </c>
      <c r="N519" s="369">
        <f t="shared" ca="1" si="181"/>
        <v>0</v>
      </c>
      <c r="O519" s="369">
        <f t="shared" ca="1" si="181"/>
        <v>0</v>
      </c>
      <c r="P519" s="369">
        <f t="shared" ca="1" si="181"/>
        <v>0</v>
      </c>
      <c r="Q519" s="369">
        <f t="shared" ca="1" si="181"/>
        <v>0</v>
      </c>
      <c r="R519" s="369">
        <f t="shared" ca="1" si="181"/>
        <v>0</v>
      </c>
      <c r="S519" s="369">
        <f t="shared" ca="1" si="181"/>
        <v>0</v>
      </c>
      <c r="T519" s="202"/>
      <c r="U519" s="97">
        <f t="shared" ref="U519:U524" ca="1" si="182">SUM(J519:S519)</f>
        <v>0</v>
      </c>
      <c r="V519" s="64"/>
      <c r="W519" s="643">
        <f t="shared" ref="W519:W575" ca="1" si="183">F519-U519</f>
        <v>0</v>
      </c>
    </row>
    <row r="520" spans="1:23" ht="15.75" x14ac:dyDescent="0.25">
      <c r="A520" s="45"/>
      <c r="B520" s="16">
        <f t="shared" si="179"/>
        <v>5</v>
      </c>
      <c r="C520" s="41">
        <v>182</v>
      </c>
      <c r="D520" s="41" t="s">
        <v>1242</v>
      </c>
      <c r="E520" s="806"/>
      <c r="F520" s="229">
        <f>' WP II-I-1.4'!I520</f>
        <v>0</v>
      </c>
      <c r="G520" s="293">
        <v>58</v>
      </c>
      <c r="H520" s="45" t="str">
        <f t="shared" si="180"/>
        <v>PLTDIST_N</v>
      </c>
      <c r="I520" s="806"/>
      <c r="J520" s="369">
        <f t="shared" ca="1" si="181"/>
        <v>0</v>
      </c>
      <c r="K520" s="369">
        <f t="shared" ca="1" si="181"/>
        <v>0</v>
      </c>
      <c r="L520" s="369">
        <f t="shared" ca="1" si="181"/>
        <v>0</v>
      </c>
      <c r="M520" s="369">
        <f t="shared" ca="1" si="181"/>
        <v>0</v>
      </c>
      <c r="N520" s="369">
        <f t="shared" ca="1" si="181"/>
        <v>0</v>
      </c>
      <c r="O520" s="369">
        <f t="shared" ca="1" si="181"/>
        <v>0</v>
      </c>
      <c r="P520" s="369">
        <f t="shared" ca="1" si="181"/>
        <v>0</v>
      </c>
      <c r="Q520" s="369">
        <f t="shared" ca="1" si="181"/>
        <v>0</v>
      </c>
      <c r="R520" s="369">
        <f t="shared" ca="1" si="181"/>
        <v>0</v>
      </c>
      <c r="S520" s="369">
        <f t="shared" ca="1" si="181"/>
        <v>0</v>
      </c>
      <c r="T520" s="806"/>
      <c r="U520" s="97">
        <f t="shared" ca="1" si="182"/>
        <v>0</v>
      </c>
      <c r="V520" s="64"/>
      <c r="W520" s="643">
        <f t="shared" ca="1" si="183"/>
        <v>0</v>
      </c>
    </row>
    <row r="521" spans="1:23" ht="15.75" x14ac:dyDescent="0.25">
      <c r="A521" s="45"/>
      <c r="B521" s="16">
        <f t="shared" si="179"/>
        <v>6</v>
      </c>
      <c r="C521" s="41">
        <v>182</v>
      </c>
      <c r="D521" s="41" t="s">
        <v>1243</v>
      </c>
      <c r="E521" s="806"/>
      <c r="F521" s="229">
        <f>' WP II-I-1.4'!I521</f>
        <v>0</v>
      </c>
      <c r="G521" s="293">
        <v>58</v>
      </c>
      <c r="H521" s="45" t="str">
        <f t="shared" si="180"/>
        <v>PLTDIST_N</v>
      </c>
      <c r="I521" s="806"/>
      <c r="J521" s="369">
        <f t="shared" ca="1" si="181"/>
        <v>0</v>
      </c>
      <c r="K521" s="369">
        <f t="shared" ca="1" si="181"/>
        <v>0</v>
      </c>
      <c r="L521" s="369">
        <f t="shared" ca="1" si="181"/>
        <v>0</v>
      </c>
      <c r="M521" s="369">
        <f t="shared" ca="1" si="181"/>
        <v>0</v>
      </c>
      <c r="N521" s="369">
        <f t="shared" ca="1" si="181"/>
        <v>0</v>
      </c>
      <c r="O521" s="369">
        <f t="shared" ca="1" si="181"/>
        <v>0</v>
      </c>
      <c r="P521" s="369">
        <f t="shared" ca="1" si="181"/>
        <v>0</v>
      </c>
      <c r="Q521" s="369">
        <f t="shared" ca="1" si="181"/>
        <v>0</v>
      </c>
      <c r="R521" s="369">
        <f t="shared" ca="1" si="181"/>
        <v>0</v>
      </c>
      <c r="S521" s="369">
        <f t="shared" ca="1" si="181"/>
        <v>0</v>
      </c>
      <c r="T521" s="806"/>
      <c r="U521" s="97">
        <f t="shared" ca="1" si="182"/>
        <v>0</v>
      </c>
      <c r="V521" s="64"/>
      <c r="W521" s="643">
        <f t="shared" ca="1" si="183"/>
        <v>0</v>
      </c>
    </row>
    <row r="522" spans="1:23" ht="15.75" x14ac:dyDescent="0.25">
      <c r="A522" s="45"/>
      <c r="B522" s="16">
        <f t="shared" si="179"/>
        <v>7</v>
      </c>
      <c r="C522" s="41">
        <v>182</v>
      </c>
      <c r="D522" s="41" t="s">
        <v>1244</v>
      </c>
      <c r="E522" s="806"/>
      <c r="F522" s="229">
        <f>' WP II-I-1.4'!I522</f>
        <v>0</v>
      </c>
      <c r="G522" s="293">
        <v>64</v>
      </c>
      <c r="H522" s="45" t="str">
        <f t="shared" si="180"/>
        <v>PLANT</v>
      </c>
      <c r="I522" s="806"/>
      <c r="J522" s="369">
        <f t="shared" ca="1" si="181"/>
        <v>0</v>
      </c>
      <c r="K522" s="369">
        <f t="shared" ca="1" si="181"/>
        <v>0</v>
      </c>
      <c r="L522" s="369">
        <f t="shared" ca="1" si="181"/>
        <v>0</v>
      </c>
      <c r="M522" s="369">
        <f t="shared" ca="1" si="181"/>
        <v>0</v>
      </c>
      <c r="N522" s="369">
        <f t="shared" ca="1" si="181"/>
        <v>0</v>
      </c>
      <c r="O522" s="369">
        <f t="shared" ca="1" si="181"/>
        <v>0</v>
      </c>
      <c r="P522" s="369">
        <f t="shared" ca="1" si="181"/>
        <v>0</v>
      </c>
      <c r="Q522" s="369">
        <f t="shared" ca="1" si="181"/>
        <v>0</v>
      </c>
      <c r="R522" s="369">
        <f t="shared" ca="1" si="181"/>
        <v>0</v>
      </c>
      <c r="S522" s="369">
        <f t="shared" ca="1" si="181"/>
        <v>0</v>
      </c>
      <c r="T522" s="806"/>
      <c r="U522" s="97">
        <f t="shared" ca="1" si="182"/>
        <v>0</v>
      </c>
      <c r="V522" s="64"/>
      <c r="W522" s="643">
        <f t="shared" ca="1" si="183"/>
        <v>0</v>
      </c>
    </row>
    <row r="523" spans="1:23" ht="15.75" x14ac:dyDescent="0.25">
      <c r="A523" s="45"/>
      <c r="B523" s="16">
        <f t="shared" si="179"/>
        <v>8</v>
      </c>
      <c r="C523" s="41">
        <v>182</v>
      </c>
      <c r="D523" s="41" t="s">
        <v>1245</v>
      </c>
      <c r="E523" s="806"/>
      <c r="F523" s="229">
        <f>' WP II-I-1.4'!I523</f>
        <v>0</v>
      </c>
      <c r="G523" s="293">
        <v>58</v>
      </c>
      <c r="H523" s="45" t="str">
        <f t="shared" si="180"/>
        <v>PLTDIST_N</v>
      </c>
      <c r="I523" s="806"/>
      <c r="J523" s="369">
        <f t="shared" ca="1" si="181"/>
        <v>0</v>
      </c>
      <c r="K523" s="369">
        <f t="shared" ca="1" si="181"/>
        <v>0</v>
      </c>
      <c r="L523" s="369">
        <f t="shared" ca="1" si="181"/>
        <v>0</v>
      </c>
      <c r="M523" s="369">
        <f t="shared" ca="1" si="181"/>
        <v>0</v>
      </c>
      <c r="N523" s="369">
        <f t="shared" ca="1" si="181"/>
        <v>0</v>
      </c>
      <c r="O523" s="369">
        <f t="shared" ca="1" si="181"/>
        <v>0</v>
      </c>
      <c r="P523" s="369">
        <f t="shared" ca="1" si="181"/>
        <v>0</v>
      </c>
      <c r="Q523" s="369">
        <f t="shared" ca="1" si="181"/>
        <v>0</v>
      </c>
      <c r="R523" s="369">
        <f t="shared" ca="1" si="181"/>
        <v>0</v>
      </c>
      <c r="S523" s="369">
        <f t="shared" ca="1" si="181"/>
        <v>0</v>
      </c>
      <c r="T523" s="806"/>
      <c r="U523" s="97">
        <f t="shared" ca="1" si="182"/>
        <v>0</v>
      </c>
      <c r="V523" s="64"/>
      <c r="W523" s="643">
        <f t="shared" ca="1" si="183"/>
        <v>0</v>
      </c>
    </row>
    <row r="524" spans="1:23" ht="12.95" customHeight="1" x14ac:dyDescent="0.25">
      <c r="A524" s="45"/>
      <c r="B524" s="16">
        <f t="shared" si="179"/>
        <v>9</v>
      </c>
      <c r="C524" s="41">
        <v>182</v>
      </c>
      <c r="D524" s="41" t="s">
        <v>1246</v>
      </c>
      <c r="E524" s="806"/>
      <c r="F524" s="229">
        <f>' WP II-I-1.4'!I524</f>
        <v>0</v>
      </c>
      <c r="G524" s="293">
        <v>64</v>
      </c>
      <c r="H524" s="45" t="str">
        <f t="shared" si="180"/>
        <v>PLANT</v>
      </c>
      <c r="I524" s="806"/>
      <c r="J524" s="369">
        <f t="shared" ca="1" si="181"/>
        <v>0</v>
      </c>
      <c r="K524" s="369">
        <f t="shared" ca="1" si="181"/>
        <v>0</v>
      </c>
      <c r="L524" s="369">
        <f t="shared" ca="1" si="181"/>
        <v>0</v>
      </c>
      <c r="M524" s="369">
        <f t="shared" ca="1" si="181"/>
        <v>0</v>
      </c>
      <c r="N524" s="369">
        <f t="shared" ca="1" si="181"/>
        <v>0</v>
      </c>
      <c r="O524" s="369">
        <f t="shared" ca="1" si="181"/>
        <v>0</v>
      </c>
      <c r="P524" s="369">
        <f t="shared" ca="1" si="181"/>
        <v>0</v>
      </c>
      <c r="Q524" s="369">
        <f t="shared" ca="1" si="181"/>
        <v>0</v>
      </c>
      <c r="R524" s="369">
        <f t="shared" ca="1" si="181"/>
        <v>0</v>
      </c>
      <c r="S524" s="369">
        <f t="shared" ca="1" si="181"/>
        <v>0</v>
      </c>
      <c r="T524" s="806"/>
      <c r="U524" s="97">
        <f t="shared" ca="1" si="182"/>
        <v>0</v>
      </c>
      <c r="V524" s="64"/>
      <c r="W524" s="643">
        <f t="shared" ca="1" si="183"/>
        <v>0</v>
      </c>
    </row>
    <row r="525" spans="1:23" ht="14.45" customHeight="1" x14ac:dyDescent="0.25">
      <c r="A525" s="45"/>
      <c r="B525" s="16">
        <f t="shared" si="179"/>
        <v>10</v>
      </c>
      <c r="C525" s="41">
        <v>182</v>
      </c>
      <c r="D525" s="41" t="s">
        <v>1247</v>
      </c>
      <c r="E525" s="806"/>
      <c r="F525" s="229">
        <f>' WP II-I-1.4'!I525</f>
        <v>0</v>
      </c>
      <c r="G525" s="293">
        <v>69</v>
      </c>
      <c r="H525" s="45" t="str">
        <f t="shared" si="180"/>
        <v>PLANT_xWHL</v>
      </c>
      <c r="I525" s="806"/>
      <c r="J525" s="369">
        <f t="shared" ca="1" si="181"/>
        <v>0</v>
      </c>
      <c r="K525" s="369">
        <f t="shared" ca="1" si="181"/>
        <v>0</v>
      </c>
      <c r="L525" s="369">
        <f t="shared" ca="1" si="181"/>
        <v>0</v>
      </c>
      <c r="M525" s="369">
        <f t="shared" ca="1" si="181"/>
        <v>0</v>
      </c>
      <c r="N525" s="369">
        <f t="shared" ca="1" si="181"/>
        <v>0</v>
      </c>
      <c r="O525" s="369">
        <f t="shared" ca="1" si="181"/>
        <v>0</v>
      </c>
      <c r="P525" s="369">
        <f t="shared" ca="1" si="181"/>
        <v>0</v>
      </c>
      <c r="Q525" s="369">
        <f t="shared" ca="1" si="181"/>
        <v>0</v>
      </c>
      <c r="R525" s="369">
        <f t="shared" ca="1" si="181"/>
        <v>0</v>
      </c>
      <c r="S525" s="369">
        <f t="shared" ca="1" si="181"/>
        <v>0</v>
      </c>
      <c r="T525" s="806"/>
      <c r="U525" s="97">
        <f t="shared" ref="U525:U556" ca="1" si="184">SUM(I525:T525)</f>
        <v>0</v>
      </c>
      <c r="V525" s="64"/>
      <c r="W525" s="643">
        <f t="shared" ca="1" si="183"/>
        <v>0</v>
      </c>
    </row>
    <row r="526" spans="1:23" ht="15" x14ac:dyDescent="0.2">
      <c r="A526" s="45"/>
      <c r="B526" s="16">
        <f t="shared" si="179"/>
        <v>11</v>
      </c>
      <c r="C526" s="41">
        <v>182</v>
      </c>
      <c r="D526" s="41" t="s">
        <v>1248</v>
      </c>
      <c r="E526" s="202"/>
      <c r="F526" s="229">
        <f>' WP II-I-1.4'!I526</f>
        <v>5231900.28</v>
      </c>
      <c r="G526" s="293">
        <v>57</v>
      </c>
      <c r="H526" s="45" t="str">
        <f t="shared" si="180"/>
        <v>PLTDIST_N xWHL</v>
      </c>
      <c r="I526" s="202"/>
      <c r="J526" s="369">
        <f t="shared" ca="1" si="181"/>
        <v>2581810.2394132023</v>
      </c>
      <c r="K526" s="369">
        <f t="shared" ca="1" si="181"/>
        <v>360247.15467263956</v>
      </c>
      <c r="L526" s="369">
        <f t="shared" ca="1" si="181"/>
        <v>1407980.7304031453</v>
      </c>
      <c r="M526" s="369">
        <f t="shared" ca="1" si="181"/>
        <v>59226.953112977179</v>
      </c>
      <c r="N526" s="369">
        <f t="shared" ca="1" si="181"/>
        <v>455911.26389233355</v>
      </c>
      <c r="O526" s="369">
        <f t="shared" ca="1" si="181"/>
        <v>14958.792593005406</v>
      </c>
      <c r="P526" s="369">
        <f t="shared" ca="1" si="181"/>
        <v>31202.389457802696</v>
      </c>
      <c r="Q526" s="369">
        <f t="shared" ca="1" si="181"/>
        <v>320562.75645489444</v>
      </c>
      <c r="R526" s="369">
        <f t="shared" ca="1" si="181"/>
        <v>0</v>
      </c>
      <c r="S526" s="369">
        <f t="shared" ca="1" si="181"/>
        <v>0</v>
      </c>
      <c r="T526" s="202"/>
      <c r="U526" s="97">
        <f t="shared" ca="1" si="184"/>
        <v>5231900.28</v>
      </c>
      <c r="V526" s="64"/>
      <c r="W526" s="643">
        <f t="shared" ca="1" si="183"/>
        <v>0</v>
      </c>
    </row>
    <row r="527" spans="1:23" ht="15.75" x14ac:dyDescent="0.25">
      <c r="A527" s="45"/>
      <c r="B527" s="16">
        <f t="shared" si="179"/>
        <v>12</v>
      </c>
      <c r="C527" s="41">
        <v>182</v>
      </c>
      <c r="D527" s="41" t="s">
        <v>1249</v>
      </c>
      <c r="E527" s="806"/>
      <c r="F527" s="229">
        <f>' WP II-I-1.4'!I527</f>
        <v>2661400.7999999998</v>
      </c>
      <c r="G527" s="293">
        <v>57</v>
      </c>
      <c r="H527" s="45" t="str">
        <f t="shared" si="180"/>
        <v>PLTDIST_N xWHL</v>
      </c>
      <c r="I527" s="806"/>
      <c r="J527" s="369">
        <f t="shared" ca="1" si="181"/>
        <v>1313333.8689365247</v>
      </c>
      <c r="K527" s="369">
        <f t="shared" ca="1" si="181"/>
        <v>183253.12302081691</v>
      </c>
      <c r="L527" s="369">
        <f t="shared" ca="1" si="181"/>
        <v>716221.80120747921</v>
      </c>
      <c r="M527" s="369">
        <f t="shared" ca="1" si="181"/>
        <v>30127.994029052847</v>
      </c>
      <c r="N527" s="369">
        <f t="shared" ca="1" si="181"/>
        <v>231916.23263355996</v>
      </c>
      <c r="O527" s="369">
        <f t="shared" ca="1" si="181"/>
        <v>7609.3465936737348</v>
      </c>
      <c r="P527" s="369">
        <f t="shared" ca="1" si="181"/>
        <v>15872.256698460555</v>
      </c>
      <c r="Q527" s="369">
        <f t="shared" ca="1" si="181"/>
        <v>163066.17688043189</v>
      </c>
      <c r="R527" s="369">
        <f t="shared" ca="1" si="181"/>
        <v>0</v>
      </c>
      <c r="S527" s="369">
        <f t="shared" ca="1" si="181"/>
        <v>0</v>
      </c>
      <c r="T527" s="806"/>
      <c r="U527" s="97">
        <f t="shared" ca="1" si="184"/>
        <v>2661400.8000000003</v>
      </c>
      <c r="V527" s="64"/>
      <c r="W527" s="643">
        <f t="shared" ca="1" si="183"/>
        <v>0</v>
      </c>
    </row>
    <row r="528" spans="1:23" ht="15.75" x14ac:dyDescent="0.25">
      <c r="A528" s="45"/>
      <c r="B528" s="16">
        <f t="shared" si="179"/>
        <v>13</v>
      </c>
      <c r="C528" s="611">
        <v>182</v>
      </c>
      <c r="D528" s="611" t="s">
        <v>1250</v>
      </c>
      <c r="E528" s="806"/>
      <c r="F528" s="229">
        <f>' WP II-I-1.4'!I528</f>
        <v>863133.80999999959</v>
      </c>
      <c r="G528" s="1007">
        <v>69</v>
      </c>
      <c r="H528" s="620" t="str">
        <f t="shared" si="180"/>
        <v>PLANT_xWHL</v>
      </c>
      <c r="I528" s="806"/>
      <c r="J528" s="369">
        <f t="shared" ca="1" si="181"/>
        <v>425934.66797530954</v>
      </c>
      <c r="K528" s="369">
        <f t="shared" ca="1" si="181"/>
        <v>59431.84741935764</v>
      </c>
      <c r="L528" s="369">
        <f t="shared" ca="1" si="181"/>
        <v>232281.90661146346</v>
      </c>
      <c r="M528" s="369">
        <f t="shared" ca="1" si="181"/>
        <v>9770.9786041822899</v>
      </c>
      <c r="N528" s="369">
        <f t="shared" ca="1" si="181"/>
        <v>75214.053243634291</v>
      </c>
      <c r="O528" s="369">
        <f t="shared" ca="1" si="181"/>
        <v>2467.829842467971</v>
      </c>
      <c r="P528" s="369">
        <f t="shared" ca="1" si="181"/>
        <v>5147.6205303012903</v>
      </c>
      <c r="Q528" s="369">
        <f t="shared" ca="1" si="181"/>
        <v>52884.90577328339</v>
      </c>
      <c r="R528" s="369">
        <f t="shared" ca="1" si="181"/>
        <v>0</v>
      </c>
      <c r="S528" s="369">
        <f t="shared" ca="1" si="181"/>
        <v>0</v>
      </c>
      <c r="T528" s="806"/>
      <c r="U528" s="97">
        <f t="shared" ca="1" si="184"/>
        <v>863133.80999999982</v>
      </c>
      <c r="V528" s="64"/>
      <c r="W528" s="643">
        <f t="shared" ca="1" si="183"/>
        <v>0</v>
      </c>
    </row>
    <row r="529" spans="1:27" ht="15.75" x14ac:dyDescent="0.25">
      <c r="A529" s="45"/>
      <c r="B529" s="16">
        <f t="shared" si="179"/>
        <v>14</v>
      </c>
      <c r="C529" s="41">
        <v>182</v>
      </c>
      <c r="D529" s="41" t="s">
        <v>1251</v>
      </c>
      <c r="E529" s="806"/>
      <c r="F529" s="229">
        <f>' WP II-I-1.4'!I529</f>
        <v>80472.110000000044</v>
      </c>
      <c r="G529" s="293">
        <v>69</v>
      </c>
      <c r="H529" s="45" t="str">
        <f t="shared" si="180"/>
        <v>PLANT_xWHL</v>
      </c>
      <c r="I529" s="806"/>
      <c r="J529" s="369">
        <f t="shared" ref="J529:S538" ca="1" si="185">$F529*HLOOKUP(J$1354,FactorTable,$G529+1)</f>
        <v>39710.947546038798</v>
      </c>
      <c r="K529" s="369">
        <f t="shared" ca="1" si="185"/>
        <v>5540.9788234732332</v>
      </c>
      <c r="L529" s="369">
        <f t="shared" ca="1" si="185"/>
        <v>21656.219375588396</v>
      </c>
      <c r="M529" s="369">
        <f t="shared" ca="1" si="185"/>
        <v>910.97261621973132</v>
      </c>
      <c r="N529" s="369">
        <f t="shared" ca="1" si="185"/>
        <v>7012.3930913650593</v>
      </c>
      <c r="O529" s="369">
        <f t="shared" ca="1" si="185"/>
        <v>230.08190878812343</v>
      </c>
      <c r="P529" s="369">
        <f t="shared" ca="1" si="185"/>
        <v>479.92545391387716</v>
      </c>
      <c r="Q529" s="369">
        <f t="shared" ca="1" si="185"/>
        <v>4930.5911846128474</v>
      </c>
      <c r="R529" s="369">
        <f t="shared" ca="1" si="185"/>
        <v>0</v>
      </c>
      <c r="S529" s="369">
        <f t="shared" ca="1" si="185"/>
        <v>0</v>
      </c>
      <c r="T529" s="806"/>
      <c r="U529" s="97">
        <f t="shared" ca="1" si="184"/>
        <v>80472.110000000059</v>
      </c>
      <c r="V529" s="64"/>
      <c r="W529" s="643">
        <f t="shared" ca="1" si="183"/>
        <v>0</v>
      </c>
    </row>
    <row r="530" spans="1:27" s="321" customFormat="1" ht="15.75" x14ac:dyDescent="0.25">
      <c r="A530" s="45"/>
      <c r="B530" s="16">
        <f t="shared" si="179"/>
        <v>15</v>
      </c>
      <c r="C530" s="41">
        <v>182</v>
      </c>
      <c r="D530" s="41" t="s">
        <v>128</v>
      </c>
      <c r="E530" s="806"/>
      <c r="F530" s="229">
        <f>' WP II-I-1.4'!I530</f>
        <v>2538145.9800000042</v>
      </c>
      <c r="G530" s="293">
        <v>88</v>
      </c>
      <c r="H530" s="45" t="str">
        <f t="shared" si="180"/>
        <v>PAYROLL</v>
      </c>
      <c r="I530" s="806"/>
      <c r="J530" s="369">
        <f t="shared" ca="1" si="185"/>
        <v>1304343.9453964438</v>
      </c>
      <c r="K530" s="369">
        <f t="shared" ca="1" si="185"/>
        <v>162454.80080984786</v>
      </c>
      <c r="L530" s="369">
        <f t="shared" ca="1" si="185"/>
        <v>734961.68967330817</v>
      </c>
      <c r="M530" s="369">
        <f t="shared" ca="1" si="185"/>
        <v>25651.740338478216</v>
      </c>
      <c r="N530" s="369">
        <f t="shared" ca="1" si="185"/>
        <v>224509.90685743824</v>
      </c>
      <c r="O530" s="369">
        <f t="shared" ca="1" si="185"/>
        <v>12134.695514974806</v>
      </c>
      <c r="P530" s="369">
        <f t="shared" ca="1" si="185"/>
        <v>28692.312099482508</v>
      </c>
      <c r="Q530" s="369">
        <f t="shared" ca="1" si="185"/>
        <v>42877.992930301705</v>
      </c>
      <c r="R530" s="369">
        <f t="shared" ca="1" si="185"/>
        <v>711.82263917539592</v>
      </c>
      <c r="S530" s="369">
        <f t="shared" ca="1" si="185"/>
        <v>1807.0737405533705</v>
      </c>
      <c r="T530" s="806"/>
      <c r="U530" s="229">
        <f t="shared" ca="1" si="184"/>
        <v>2538145.9800000042</v>
      </c>
      <c r="V530" s="45"/>
      <c r="W530" s="1122">
        <f t="shared" ca="1" si="183"/>
        <v>0</v>
      </c>
      <c r="Y530"/>
      <c r="Z530"/>
      <c r="AA530"/>
    </row>
    <row r="531" spans="1:27" s="321" customFormat="1" ht="15.75" x14ac:dyDescent="0.25">
      <c r="A531" s="45"/>
      <c r="B531" s="16">
        <f t="shared" si="179"/>
        <v>16</v>
      </c>
      <c r="C531" s="41">
        <v>182</v>
      </c>
      <c r="D531" s="41" t="s">
        <v>129</v>
      </c>
      <c r="E531" s="806"/>
      <c r="F531" s="229">
        <f>' WP II-I-1.4'!I531</f>
        <v>-309878.14999999851</v>
      </c>
      <c r="G531" s="293">
        <v>88</v>
      </c>
      <c r="H531" s="45" t="str">
        <f t="shared" si="180"/>
        <v>PAYROLL</v>
      </c>
      <c r="I531" s="806"/>
      <c r="J531" s="369">
        <f t="shared" ca="1" si="185"/>
        <v>-159245.24907079947</v>
      </c>
      <c r="K531" s="369">
        <f t="shared" ca="1" si="185"/>
        <v>-19833.844676488556</v>
      </c>
      <c r="L531" s="369">
        <f t="shared" ca="1" si="185"/>
        <v>-89730.287584497943</v>
      </c>
      <c r="M531" s="369">
        <f t="shared" ca="1" si="185"/>
        <v>-3131.7796151220396</v>
      </c>
      <c r="N531" s="369">
        <f t="shared" ca="1" si="185"/>
        <v>-27410.052511500868</v>
      </c>
      <c r="O531" s="369">
        <f t="shared" ca="1" si="185"/>
        <v>-1481.5054085240856</v>
      </c>
      <c r="P531" s="369">
        <f t="shared" ca="1" si="185"/>
        <v>-3502.9981185755905</v>
      </c>
      <c r="Q531" s="369">
        <f t="shared" ca="1" si="185"/>
        <v>-5234.9050171475501</v>
      </c>
      <c r="R531" s="369">
        <f t="shared" ca="1" si="185"/>
        <v>-86.90527822035979</v>
      </c>
      <c r="S531" s="369">
        <f t="shared" ca="1" si="185"/>
        <v>-220.62271912203207</v>
      </c>
      <c r="T531" s="806"/>
      <c r="U531" s="229">
        <f ca="1">SUM(J531:S531)</f>
        <v>-309878.14999999851</v>
      </c>
      <c r="V531" s="45"/>
      <c r="W531" s="1122">
        <f t="shared" ca="1" si="183"/>
        <v>0</v>
      </c>
      <c r="Y531"/>
      <c r="Z531"/>
      <c r="AA531"/>
    </row>
    <row r="532" spans="1:27" s="321" customFormat="1" ht="15.75" x14ac:dyDescent="0.25">
      <c r="A532" s="45"/>
      <c r="B532" s="16">
        <f t="shared" si="179"/>
        <v>17</v>
      </c>
      <c r="C532" s="41">
        <v>182</v>
      </c>
      <c r="D532" s="41" t="s">
        <v>1171</v>
      </c>
      <c r="E532" s="806"/>
      <c r="F532" s="229">
        <f>' WP II-I-1.4'!I532</f>
        <v>0</v>
      </c>
      <c r="G532" s="293">
        <v>37</v>
      </c>
      <c r="H532" s="45" t="str">
        <f t="shared" si="180"/>
        <v>OPEB TOTAL</v>
      </c>
      <c r="I532" s="806"/>
      <c r="J532" s="369">
        <f t="shared" ca="1" si="185"/>
        <v>0</v>
      </c>
      <c r="K532" s="369">
        <f t="shared" ca="1" si="185"/>
        <v>0</v>
      </c>
      <c r="L532" s="369">
        <f t="shared" ca="1" si="185"/>
        <v>0</v>
      </c>
      <c r="M532" s="369">
        <f t="shared" ca="1" si="185"/>
        <v>0</v>
      </c>
      <c r="N532" s="369">
        <f t="shared" ca="1" si="185"/>
        <v>0</v>
      </c>
      <c r="O532" s="369">
        <f t="shared" ca="1" si="185"/>
        <v>0</v>
      </c>
      <c r="P532" s="369">
        <f t="shared" ca="1" si="185"/>
        <v>0</v>
      </c>
      <c r="Q532" s="369">
        <f t="shared" ca="1" si="185"/>
        <v>0</v>
      </c>
      <c r="R532" s="369">
        <f t="shared" ca="1" si="185"/>
        <v>0</v>
      </c>
      <c r="S532" s="369">
        <f t="shared" ca="1" si="185"/>
        <v>0</v>
      </c>
      <c r="T532" s="806"/>
      <c r="U532" s="229">
        <f ca="1">SUM(J532:S532)</f>
        <v>0</v>
      </c>
      <c r="V532" s="45"/>
      <c r="W532" s="1122">
        <f t="shared" ca="1" si="183"/>
        <v>0</v>
      </c>
      <c r="Y532"/>
      <c r="Z532"/>
      <c r="AA532"/>
    </row>
    <row r="533" spans="1:27" ht="15.75" x14ac:dyDescent="0.25">
      <c r="A533" s="45"/>
      <c r="B533" s="16">
        <f t="shared" si="179"/>
        <v>18</v>
      </c>
      <c r="C533" s="41">
        <v>182</v>
      </c>
      <c r="D533" s="41" t="s">
        <v>1172</v>
      </c>
      <c r="E533" s="806"/>
      <c r="F533" s="229">
        <f>' WP II-I-1.4'!I533</f>
        <v>0</v>
      </c>
      <c r="G533" s="293">
        <v>64</v>
      </c>
      <c r="H533" s="45" t="str">
        <f t="shared" si="180"/>
        <v>PLANT</v>
      </c>
      <c r="I533" s="806"/>
      <c r="J533" s="369">
        <f t="shared" ca="1" si="185"/>
        <v>0</v>
      </c>
      <c r="K533" s="369">
        <f t="shared" ca="1" si="185"/>
        <v>0</v>
      </c>
      <c r="L533" s="369">
        <f t="shared" ca="1" si="185"/>
        <v>0</v>
      </c>
      <c r="M533" s="369">
        <f t="shared" ca="1" si="185"/>
        <v>0</v>
      </c>
      <c r="N533" s="369">
        <f t="shared" ca="1" si="185"/>
        <v>0</v>
      </c>
      <c r="O533" s="369">
        <f t="shared" ca="1" si="185"/>
        <v>0</v>
      </c>
      <c r="P533" s="369">
        <f t="shared" ca="1" si="185"/>
        <v>0</v>
      </c>
      <c r="Q533" s="369">
        <f t="shared" ca="1" si="185"/>
        <v>0</v>
      </c>
      <c r="R533" s="369">
        <f t="shared" ca="1" si="185"/>
        <v>0</v>
      </c>
      <c r="S533" s="369">
        <f t="shared" ca="1" si="185"/>
        <v>0</v>
      </c>
      <c r="T533" s="806"/>
      <c r="U533" s="97">
        <f ca="1">SUM(J533:S533)</f>
        <v>0</v>
      </c>
      <c r="V533" s="64"/>
      <c r="W533" s="643">
        <f t="shared" ca="1" si="183"/>
        <v>0</v>
      </c>
    </row>
    <row r="534" spans="1:27" ht="15" x14ac:dyDescent="0.2">
      <c r="A534" s="45"/>
      <c r="B534" s="16">
        <f t="shared" si="179"/>
        <v>19</v>
      </c>
      <c r="C534" s="41">
        <v>182</v>
      </c>
      <c r="D534" s="41" t="s">
        <v>1252</v>
      </c>
      <c r="E534" s="202"/>
      <c r="F534" s="229">
        <f>' WP II-I-1.4'!I534</f>
        <v>0</v>
      </c>
      <c r="G534" s="293">
        <v>37</v>
      </c>
      <c r="H534" s="45" t="str">
        <f t="shared" si="180"/>
        <v>OPEB TOTAL</v>
      </c>
      <c r="I534" s="202"/>
      <c r="J534" s="369">
        <f t="shared" ca="1" si="185"/>
        <v>0</v>
      </c>
      <c r="K534" s="369">
        <f t="shared" ca="1" si="185"/>
        <v>0</v>
      </c>
      <c r="L534" s="369">
        <f t="shared" ca="1" si="185"/>
        <v>0</v>
      </c>
      <c r="M534" s="369">
        <f t="shared" ca="1" si="185"/>
        <v>0</v>
      </c>
      <c r="N534" s="369">
        <f t="shared" ca="1" si="185"/>
        <v>0</v>
      </c>
      <c r="O534" s="369">
        <f t="shared" ca="1" si="185"/>
        <v>0</v>
      </c>
      <c r="P534" s="369">
        <f t="shared" ca="1" si="185"/>
        <v>0</v>
      </c>
      <c r="Q534" s="369">
        <f t="shared" ca="1" si="185"/>
        <v>0</v>
      </c>
      <c r="R534" s="369">
        <f t="shared" ca="1" si="185"/>
        <v>0</v>
      </c>
      <c r="S534" s="369">
        <f t="shared" ca="1" si="185"/>
        <v>0</v>
      </c>
      <c r="T534" s="202"/>
      <c r="U534" s="97">
        <f t="shared" ca="1" si="184"/>
        <v>0</v>
      </c>
      <c r="V534" s="64"/>
      <c r="W534" s="643">
        <f t="shared" ca="1" si="183"/>
        <v>0</v>
      </c>
    </row>
    <row r="535" spans="1:27" ht="15" x14ac:dyDescent="0.2">
      <c r="A535" s="45"/>
      <c r="B535" s="16">
        <f t="shared" si="179"/>
        <v>20</v>
      </c>
      <c r="C535" s="619">
        <v>182</v>
      </c>
      <c r="D535" s="611" t="s">
        <v>1253</v>
      </c>
      <c r="E535" s="202"/>
      <c r="F535" s="229">
        <f>' WP II-I-1.4'!I535</f>
        <v>0</v>
      </c>
      <c r="G535" s="293">
        <v>51</v>
      </c>
      <c r="H535" s="45" t="str">
        <f t="shared" si="180"/>
        <v>PLT 370</v>
      </c>
      <c r="I535" s="202"/>
      <c r="J535" s="369">
        <f t="shared" si="185"/>
        <v>0</v>
      </c>
      <c r="K535" s="369">
        <f t="shared" si="185"/>
        <v>0</v>
      </c>
      <c r="L535" s="369">
        <f t="shared" si="185"/>
        <v>0</v>
      </c>
      <c r="M535" s="369">
        <f t="shared" si="185"/>
        <v>0</v>
      </c>
      <c r="N535" s="369">
        <f t="shared" si="185"/>
        <v>0</v>
      </c>
      <c r="O535" s="369">
        <f t="shared" si="185"/>
        <v>0</v>
      </c>
      <c r="P535" s="369">
        <f t="shared" si="185"/>
        <v>0</v>
      </c>
      <c r="Q535" s="369">
        <f t="shared" si="185"/>
        <v>0</v>
      </c>
      <c r="R535" s="369">
        <f t="shared" si="185"/>
        <v>0</v>
      </c>
      <c r="S535" s="369">
        <f t="shared" si="185"/>
        <v>0</v>
      </c>
      <c r="T535" s="202"/>
      <c r="U535" s="97">
        <f>SUM(J535:S535)</f>
        <v>0</v>
      </c>
      <c r="V535" s="64"/>
      <c r="W535" s="643">
        <f t="shared" si="183"/>
        <v>0</v>
      </c>
    </row>
    <row r="536" spans="1:27" ht="15.75" x14ac:dyDescent="0.25">
      <c r="A536" s="45"/>
      <c r="B536" s="16">
        <f t="shared" si="179"/>
        <v>21</v>
      </c>
      <c r="C536" s="41">
        <v>182</v>
      </c>
      <c r="D536" s="41" t="s">
        <v>1254</v>
      </c>
      <c r="E536" s="806"/>
      <c r="F536" s="229">
        <f>' WP II-I-1.4'!I536</f>
        <v>0</v>
      </c>
      <c r="G536" s="293">
        <v>64</v>
      </c>
      <c r="H536" s="45" t="str">
        <f t="shared" si="180"/>
        <v>PLANT</v>
      </c>
      <c r="I536" s="806"/>
      <c r="J536" s="369">
        <f t="shared" ca="1" si="185"/>
        <v>0</v>
      </c>
      <c r="K536" s="369">
        <f t="shared" ca="1" si="185"/>
        <v>0</v>
      </c>
      <c r="L536" s="369">
        <f t="shared" ca="1" si="185"/>
        <v>0</v>
      </c>
      <c r="M536" s="369">
        <f t="shared" ca="1" si="185"/>
        <v>0</v>
      </c>
      <c r="N536" s="369">
        <f t="shared" ca="1" si="185"/>
        <v>0</v>
      </c>
      <c r="O536" s="369">
        <f t="shared" ca="1" si="185"/>
        <v>0</v>
      </c>
      <c r="P536" s="369">
        <f t="shared" ca="1" si="185"/>
        <v>0</v>
      </c>
      <c r="Q536" s="369">
        <f t="shared" ca="1" si="185"/>
        <v>0</v>
      </c>
      <c r="R536" s="369">
        <f t="shared" ca="1" si="185"/>
        <v>0</v>
      </c>
      <c r="S536" s="369">
        <f t="shared" ca="1" si="185"/>
        <v>0</v>
      </c>
      <c r="T536" s="806"/>
      <c r="U536" s="97">
        <f t="shared" ca="1" si="184"/>
        <v>0</v>
      </c>
      <c r="V536" s="64"/>
      <c r="W536" s="643">
        <f t="shared" ca="1" si="183"/>
        <v>0</v>
      </c>
    </row>
    <row r="537" spans="1:27" ht="15.75" x14ac:dyDescent="0.25">
      <c r="A537" s="45"/>
      <c r="B537" s="16">
        <f t="shared" si="179"/>
        <v>22</v>
      </c>
      <c r="C537" s="41">
        <v>182</v>
      </c>
      <c r="D537" s="41" t="s">
        <v>1255</v>
      </c>
      <c r="E537" s="806"/>
      <c r="F537" s="229">
        <f>' WP II-I-1.4'!I537</f>
        <v>0</v>
      </c>
      <c r="G537" s="293">
        <v>64</v>
      </c>
      <c r="H537" s="45" t="str">
        <f t="shared" si="180"/>
        <v>PLANT</v>
      </c>
      <c r="I537" s="806"/>
      <c r="J537" s="369">
        <f t="shared" ca="1" si="185"/>
        <v>0</v>
      </c>
      <c r="K537" s="369">
        <f t="shared" ca="1" si="185"/>
        <v>0</v>
      </c>
      <c r="L537" s="369">
        <f t="shared" ca="1" si="185"/>
        <v>0</v>
      </c>
      <c r="M537" s="369">
        <f t="shared" ca="1" si="185"/>
        <v>0</v>
      </c>
      <c r="N537" s="369">
        <f t="shared" ca="1" si="185"/>
        <v>0</v>
      </c>
      <c r="O537" s="369">
        <f t="shared" ca="1" si="185"/>
        <v>0</v>
      </c>
      <c r="P537" s="369">
        <f t="shared" ca="1" si="185"/>
        <v>0</v>
      </c>
      <c r="Q537" s="369">
        <f t="shared" ca="1" si="185"/>
        <v>0</v>
      </c>
      <c r="R537" s="369">
        <f t="shared" ca="1" si="185"/>
        <v>0</v>
      </c>
      <c r="S537" s="369">
        <f t="shared" ca="1" si="185"/>
        <v>0</v>
      </c>
      <c r="T537" s="806"/>
      <c r="U537" s="97">
        <f t="shared" ca="1" si="184"/>
        <v>0</v>
      </c>
      <c r="V537" s="64"/>
      <c r="W537" s="643">
        <f t="shared" ca="1" si="183"/>
        <v>0</v>
      </c>
    </row>
    <row r="538" spans="1:27" ht="15" x14ac:dyDescent="0.25">
      <c r="A538" s="45"/>
      <c r="B538" s="16">
        <f>B537+1</f>
        <v>23</v>
      </c>
      <c r="C538" s="41">
        <v>182</v>
      </c>
      <c r="D538" s="41" t="s">
        <v>1256</v>
      </c>
      <c r="E538" s="806"/>
      <c r="F538" s="229">
        <f>' WP II-I-1.4'!I538</f>
        <v>0</v>
      </c>
      <c r="G538" s="293">
        <v>64</v>
      </c>
      <c r="H538" s="45" t="str">
        <f t="shared" si="180"/>
        <v>PLANT</v>
      </c>
      <c r="I538" s="806"/>
      <c r="J538" s="369">
        <f t="shared" ca="1" si="185"/>
        <v>0</v>
      </c>
      <c r="K538" s="369">
        <f t="shared" ca="1" si="185"/>
        <v>0</v>
      </c>
      <c r="L538" s="369">
        <f t="shared" ca="1" si="185"/>
        <v>0</v>
      </c>
      <c r="M538" s="369">
        <f t="shared" ca="1" si="185"/>
        <v>0</v>
      </c>
      <c r="N538" s="369">
        <f t="shared" ca="1" si="185"/>
        <v>0</v>
      </c>
      <c r="O538" s="369">
        <f t="shared" ca="1" si="185"/>
        <v>0</v>
      </c>
      <c r="P538" s="369">
        <f t="shared" ca="1" si="185"/>
        <v>0</v>
      </c>
      <c r="Q538" s="369">
        <f t="shared" ca="1" si="185"/>
        <v>0</v>
      </c>
      <c r="R538" s="369">
        <f t="shared" ca="1" si="185"/>
        <v>0</v>
      </c>
      <c r="S538" s="369">
        <f t="shared" ca="1" si="185"/>
        <v>0</v>
      </c>
      <c r="T538" s="806"/>
      <c r="U538" s="97">
        <f t="shared" ref="U538:U553" ca="1" si="186">SUM(I538:T538)</f>
        <v>0</v>
      </c>
      <c r="V538" s="64"/>
      <c r="W538" s="305">
        <f t="shared" ref="W538:W553" ca="1" si="187">U538-F538</f>
        <v>0</v>
      </c>
    </row>
    <row r="539" spans="1:27" ht="15" x14ac:dyDescent="0.25">
      <c r="A539" s="45"/>
      <c r="B539" s="16">
        <f t="shared" ref="B539:B575" si="188">B538+1</f>
        <v>24</v>
      </c>
      <c r="C539" s="41">
        <v>182</v>
      </c>
      <c r="D539" s="41" t="s">
        <v>1257</v>
      </c>
      <c r="E539" s="806"/>
      <c r="F539" s="229">
        <f>' WP II-I-1.4'!I539</f>
        <v>0</v>
      </c>
      <c r="G539" s="293">
        <v>64</v>
      </c>
      <c r="H539" s="45" t="str">
        <f t="shared" si="180"/>
        <v>PLANT</v>
      </c>
      <c r="I539" s="806"/>
      <c r="J539" s="369">
        <f t="shared" ref="J539:S548" ca="1" si="189">$F539*HLOOKUP(J$1354,FactorTable,$G539+1)</f>
        <v>0</v>
      </c>
      <c r="K539" s="369">
        <f t="shared" ca="1" si="189"/>
        <v>0</v>
      </c>
      <c r="L539" s="369">
        <f t="shared" ca="1" si="189"/>
        <v>0</v>
      </c>
      <c r="M539" s="369">
        <f t="shared" ca="1" si="189"/>
        <v>0</v>
      </c>
      <c r="N539" s="369">
        <f t="shared" ca="1" si="189"/>
        <v>0</v>
      </c>
      <c r="O539" s="369">
        <f t="shared" ca="1" si="189"/>
        <v>0</v>
      </c>
      <c r="P539" s="369">
        <f t="shared" ca="1" si="189"/>
        <v>0</v>
      </c>
      <c r="Q539" s="369">
        <f t="shared" ca="1" si="189"/>
        <v>0</v>
      </c>
      <c r="R539" s="369">
        <f t="shared" ca="1" si="189"/>
        <v>0</v>
      </c>
      <c r="S539" s="369">
        <f t="shared" ca="1" si="189"/>
        <v>0</v>
      </c>
      <c r="T539" s="806"/>
      <c r="U539" s="97">
        <f t="shared" ca="1" si="186"/>
        <v>0</v>
      </c>
      <c r="V539" s="64"/>
      <c r="W539" s="305">
        <f t="shared" ca="1" si="187"/>
        <v>0</v>
      </c>
    </row>
    <row r="540" spans="1:27" ht="15" x14ac:dyDescent="0.25">
      <c r="A540" s="45"/>
      <c r="B540" s="16">
        <f t="shared" si="188"/>
        <v>25</v>
      </c>
      <c r="C540" s="41">
        <v>182</v>
      </c>
      <c r="D540" s="41" t="s">
        <v>1258</v>
      </c>
      <c r="E540" s="806"/>
      <c r="F540" s="229">
        <f>' WP II-I-1.4'!I540</f>
        <v>0</v>
      </c>
      <c r="G540" s="293">
        <v>64</v>
      </c>
      <c r="H540" s="45" t="str">
        <f t="shared" si="180"/>
        <v>PLANT</v>
      </c>
      <c r="I540" s="806"/>
      <c r="J540" s="369">
        <f t="shared" ca="1" si="189"/>
        <v>0</v>
      </c>
      <c r="K540" s="369">
        <f t="shared" ca="1" si="189"/>
        <v>0</v>
      </c>
      <c r="L540" s="369">
        <f t="shared" ca="1" si="189"/>
        <v>0</v>
      </c>
      <c r="M540" s="369">
        <f t="shared" ca="1" si="189"/>
        <v>0</v>
      </c>
      <c r="N540" s="369">
        <f t="shared" ca="1" si="189"/>
        <v>0</v>
      </c>
      <c r="O540" s="369">
        <f t="shared" ca="1" si="189"/>
        <v>0</v>
      </c>
      <c r="P540" s="369">
        <f t="shared" ca="1" si="189"/>
        <v>0</v>
      </c>
      <c r="Q540" s="369">
        <f t="shared" ca="1" si="189"/>
        <v>0</v>
      </c>
      <c r="R540" s="369">
        <f t="shared" ca="1" si="189"/>
        <v>0</v>
      </c>
      <c r="S540" s="369">
        <f t="shared" ca="1" si="189"/>
        <v>0</v>
      </c>
      <c r="T540" s="806"/>
      <c r="U540" s="97">
        <f t="shared" ca="1" si="186"/>
        <v>0</v>
      </c>
      <c r="V540" s="64"/>
      <c r="W540" s="305">
        <f t="shared" ca="1" si="187"/>
        <v>0</v>
      </c>
    </row>
    <row r="541" spans="1:27" ht="15" x14ac:dyDescent="0.25">
      <c r="A541" s="45"/>
      <c r="B541" s="16">
        <f t="shared" si="188"/>
        <v>26</v>
      </c>
      <c r="C541" s="41">
        <v>182</v>
      </c>
      <c r="D541" s="41" t="s">
        <v>1259</v>
      </c>
      <c r="E541" s="806"/>
      <c r="F541" s="229">
        <f>' WP II-I-1.4'!I541</f>
        <v>0</v>
      </c>
      <c r="G541" s="293">
        <v>64</v>
      </c>
      <c r="H541" s="45" t="str">
        <f t="shared" si="180"/>
        <v>PLANT</v>
      </c>
      <c r="I541" s="806"/>
      <c r="J541" s="369">
        <f t="shared" ca="1" si="189"/>
        <v>0</v>
      </c>
      <c r="K541" s="369">
        <f t="shared" ca="1" si="189"/>
        <v>0</v>
      </c>
      <c r="L541" s="369">
        <f t="shared" ca="1" si="189"/>
        <v>0</v>
      </c>
      <c r="M541" s="369">
        <f t="shared" ca="1" si="189"/>
        <v>0</v>
      </c>
      <c r="N541" s="369">
        <f t="shared" ca="1" si="189"/>
        <v>0</v>
      </c>
      <c r="O541" s="369">
        <f t="shared" ca="1" si="189"/>
        <v>0</v>
      </c>
      <c r="P541" s="369">
        <f t="shared" ca="1" si="189"/>
        <v>0</v>
      </c>
      <c r="Q541" s="369">
        <f t="shared" ca="1" si="189"/>
        <v>0</v>
      </c>
      <c r="R541" s="369">
        <f t="shared" ca="1" si="189"/>
        <v>0</v>
      </c>
      <c r="S541" s="369">
        <f t="shared" ca="1" si="189"/>
        <v>0</v>
      </c>
      <c r="T541" s="806"/>
      <c r="U541" s="97">
        <f t="shared" ca="1" si="186"/>
        <v>0</v>
      </c>
      <c r="V541" s="64"/>
      <c r="W541" s="305">
        <f t="shared" ca="1" si="187"/>
        <v>0</v>
      </c>
    </row>
    <row r="542" spans="1:27" ht="15" x14ac:dyDescent="0.25">
      <c r="A542" s="45"/>
      <c r="B542" s="16">
        <f t="shared" si="188"/>
        <v>27</v>
      </c>
      <c r="C542" s="41">
        <v>186</v>
      </c>
      <c r="D542" s="41" t="s">
        <v>1260</v>
      </c>
      <c r="E542" s="806"/>
      <c r="F542" s="229">
        <f>' WP II-I-1.4'!I542</f>
        <v>0</v>
      </c>
      <c r="G542" s="293">
        <v>64</v>
      </c>
      <c r="H542" s="45" t="str">
        <f t="shared" si="180"/>
        <v>PLANT</v>
      </c>
      <c r="I542" s="806"/>
      <c r="J542" s="369">
        <f t="shared" ca="1" si="189"/>
        <v>0</v>
      </c>
      <c r="K542" s="369">
        <f t="shared" ca="1" si="189"/>
        <v>0</v>
      </c>
      <c r="L542" s="369">
        <f t="shared" ca="1" si="189"/>
        <v>0</v>
      </c>
      <c r="M542" s="369">
        <f t="shared" ca="1" si="189"/>
        <v>0</v>
      </c>
      <c r="N542" s="369">
        <f t="shared" ca="1" si="189"/>
        <v>0</v>
      </c>
      <c r="O542" s="369">
        <f t="shared" ca="1" si="189"/>
        <v>0</v>
      </c>
      <c r="P542" s="369">
        <f t="shared" ca="1" si="189"/>
        <v>0</v>
      </c>
      <c r="Q542" s="369">
        <f t="shared" ca="1" si="189"/>
        <v>0</v>
      </c>
      <c r="R542" s="369">
        <f t="shared" ca="1" si="189"/>
        <v>0</v>
      </c>
      <c r="S542" s="369">
        <f t="shared" ca="1" si="189"/>
        <v>0</v>
      </c>
      <c r="T542" s="806"/>
      <c r="U542" s="97">
        <f t="shared" ca="1" si="186"/>
        <v>0</v>
      </c>
      <c r="V542" s="64"/>
      <c r="W542" s="305">
        <f t="shared" ca="1" si="187"/>
        <v>0</v>
      </c>
    </row>
    <row r="543" spans="1:27" ht="11.1" customHeight="1" x14ac:dyDescent="0.25">
      <c r="A543" s="45"/>
      <c r="B543" s="16">
        <f t="shared" si="188"/>
        <v>28</v>
      </c>
      <c r="C543" s="41">
        <v>186</v>
      </c>
      <c r="D543" s="41" t="s">
        <v>1261</v>
      </c>
      <c r="E543" s="806"/>
      <c r="F543" s="229">
        <f>' WP II-I-1.4'!I543</f>
        <v>0</v>
      </c>
      <c r="G543" s="293">
        <v>64</v>
      </c>
      <c r="H543" s="45" t="str">
        <f t="shared" si="180"/>
        <v>PLANT</v>
      </c>
      <c r="I543" s="806"/>
      <c r="J543" s="369">
        <f t="shared" ca="1" si="189"/>
        <v>0</v>
      </c>
      <c r="K543" s="369">
        <f t="shared" ca="1" si="189"/>
        <v>0</v>
      </c>
      <c r="L543" s="369">
        <f t="shared" ca="1" si="189"/>
        <v>0</v>
      </c>
      <c r="M543" s="369">
        <f t="shared" ca="1" si="189"/>
        <v>0</v>
      </c>
      <c r="N543" s="369">
        <f t="shared" ca="1" si="189"/>
        <v>0</v>
      </c>
      <c r="O543" s="369">
        <f t="shared" ca="1" si="189"/>
        <v>0</v>
      </c>
      <c r="P543" s="369">
        <f t="shared" ca="1" si="189"/>
        <v>0</v>
      </c>
      <c r="Q543" s="369">
        <f t="shared" ca="1" si="189"/>
        <v>0</v>
      </c>
      <c r="R543" s="369">
        <f t="shared" ca="1" si="189"/>
        <v>0</v>
      </c>
      <c r="S543" s="369">
        <f t="shared" ca="1" si="189"/>
        <v>0</v>
      </c>
      <c r="T543" s="806"/>
      <c r="U543" s="97">
        <f t="shared" ca="1" si="186"/>
        <v>0</v>
      </c>
      <c r="V543" s="64"/>
      <c r="W543" s="305">
        <f t="shared" ca="1" si="187"/>
        <v>0</v>
      </c>
    </row>
    <row r="544" spans="1:27" ht="15" x14ac:dyDescent="0.25">
      <c r="A544" s="45"/>
      <c r="B544" s="16">
        <f t="shared" si="188"/>
        <v>29</v>
      </c>
      <c r="C544" s="41">
        <v>186</v>
      </c>
      <c r="D544" s="41" t="s">
        <v>1120</v>
      </c>
      <c r="E544" s="806"/>
      <c r="F544" s="229">
        <f>' WP II-I-1.4'!I544</f>
        <v>0</v>
      </c>
      <c r="G544" s="293">
        <v>88</v>
      </c>
      <c r="H544" s="45" t="str">
        <f t="shared" si="180"/>
        <v>PAYROLL</v>
      </c>
      <c r="I544" s="806"/>
      <c r="J544" s="369">
        <f t="shared" ca="1" si="189"/>
        <v>0</v>
      </c>
      <c r="K544" s="369">
        <f t="shared" ca="1" si="189"/>
        <v>0</v>
      </c>
      <c r="L544" s="369">
        <f t="shared" ca="1" si="189"/>
        <v>0</v>
      </c>
      <c r="M544" s="369">
        <f t="shared" ca="1" si="189"/>
        <v>0</v>
      </c>
      <c r="N544" s="369">
        <f t="shared" ca="1" si="189"/>
        <v>0</v>
      </c>
      <c r="O544" s="369">
        <f t="shared" ca="1" si="189"/>
        <v>0</v>
      </c>
      <c r="P544" s="369">
        <f t="shared" ca="1" si="189"/>
        <v>0</v>
      </c>
      <c r="Q544" s="369">
        <f t="shared" ca="1" si="189"/>
        <v>0</v>
      </c>
      <c r="R544" s="369">
        <f t="shared" ca="1" si="189"/>
        <v>0</v>
      </c>
      <c r="S544" s="369">
        <f t="shared" ca="1" si="189"/>
        <v>0</v>
      </c>
      <c r="T544" s="806"/>
      <c r="U544" s="97">
        <f t="shared" ca="1" si="186"/>
        <v>0</v>
      </c>
      <c r="V544" s="64"/>
      <c r="W544" s="305">
        <f t="shared" ca="1" si="187"/>
        <v>0</v>
      </c>
    </row>
    <row r="545" spans="1:23" ht="15" x14ac:dyDescent="0.25">
      <c r="A545" s="45"/>
      <c r="B545" s="16">
        <f t="shared" si="188"/>
        <v>30</v>
      </c>
      <c r="C545" s="41">
        <v>186</v>
      </c>
      <c r="D545" s="41" t="s">
        <v>1262</v>
      </c>
      <c r="E545" s="806"/>
      <c r="F545" s="229">
        <f>' WP II-I-1.4'!I545</f>
        <v>0</v>
      </c>
      <c r="G545" s="293">
        <v>51</v>
      </c>
      <c r="H545" s="45" t="str">
        <f t="shared" si="180"/>
        <v>PLT 370</v>
      </c>
      <c r="I545" s="806"/>
      <c r="J545" s="369">
        <f t="shared" si="189"/>
        <v>0</v>
      </c>
      <c r="K545" s="369">
        <f t="shared" si="189"/>
        <v>0</v>
      </c>
      <c r="L545" s="369">
        <f t="shared" si="189"/>
        <v>0</v>
      </c>
      <c r="M545" s="369">
        <f t="shared" si="189"/>
        <v>0</v>
      </c>
      <c r="N545" s="369">
        <f t="shared" si="189"/>
        <v>0</v>
      </c>
      <c r="O545" s="369">
        <f t="shared" si="189"/>
        <v>0</v>
      </c>
      <c r="P545" s="369">
        <f t="shared" si="189"/>
        <v>0</v>
      </c>
      <c r="Q545" s="369">
        <f t="shared" si="189"/>
        <v>0</v>
      </c>
      <c r="R545" s="369">
        <f t="shared" si="189"/>
        <v>0</v>
      </c>
      <c r="S545" s="369">
        <f t="shared" si="189"/>
        <v>0</v>
      </c>
      <c r="T545" s="806"/>
      <c r="U545" s="97">
        <f t="shared" si="186"/>
        <v>0</v>
      </c>
      <c r="V545" s="64"/>
      <c r="W545" s="305">
        <f t="shared" si="187"/>
        <v>0</v>
      </c>
    </row>
    <row r="546" spans="1:23" ht="15" x14ac:dyDescent="0.25">
      <c r="A546" s="45"/>
      <c r="B546" s="16">
        <f t="shared" si="188"/>
        <v>31</v>
      </c>
      <c r="C546" s="41">
        <v>186</v>
      </c>
      <c r="D546" s="41" t="s">
        <v>1263</v>
      </c>
      <c r="E546" s="806"/>
      <c r="F546" s="229">
        <f>' WP II-I-1.4'!I546</f>
        <v>0</v>
      </c>
      <c r="G546" s="293">
        <v>64</v>
      </c>
      <c r="H546" s="45" t="str">
        <f t="shared" si="180"/>
        <v>PLANT</v>
      </c>
      <c r="I546" s="806"/>
      <c r="J546" s="369">
        <f t="shared" ca="1" si="189"/>
        <v>0</v>
      </c>
      <c r="K546" s="369">
        <f t="shared" ca="1" si="189"/>
        <v>0</v>
      </c>
      <c r="L546" s="369">
        <f t="shared" ca="1" si="189"/>
        <v>0</v>
      </c>
      <c r="M546" s="369">
        <f t="shared" ca="1" si="189"/>
        <v>0</v>
      </c>
      <c r="N546" s="369">
        <f t="shared" ca="1" si="189"/>
        <v>0</v>
      </c>
      <c r="O546" s="369">
        <f t="shared" ca="1" si="189"/>
        <v>0</v>
      </c>
      <c r="P546" s="369">
        <f t="shared" ca="1" si="189"/>
        <v>0</v>
      </c>
      <c r="Q546" s="369">
        <f t="shared" ca="1" si="189"/>
        <v>0</v>
      </c>
      <c r="R546" s="369">
        <f t="shared" ca="1" si="189"/>
        <v>0</v>
      </c>
      <c r="S546" s="369">
        <f t="shared" ca="1" si="189"/>
        <v>0</v>
      </c>
      <c r="T546" s="806"/>
      <c r="U546" s="97">
        <f t="shared" ca="1" si="186"/>
        <v>0</v>
      </c>
      <c r="V546" s="64"/>
      <c r="W546" s="305">
        <f t="shared" ca="1" si="187"/>
        <v>0</v>
      </c>
    </row>
    <row r="547" spans="1:23" ht="15" x14ac:dyDescent="0.25">
      <c r="A547" s="45"/>
      <c r="B547" s="16">
        <f t="shared" si="188"/>
        <v>32</v>
      </c>
      <c r="C547" s="41">
        <v>186</v>
      </c>
      <c r="D547" s="41" t="s">
        <v>1264</v>
      </c>
      <c r="E547" s="806"/>
      <c r="F547" s="229">
        <f>' WP II-I-1.4'!I547</f>
        <v>0</v>
      </c>
      <c r="G547" s="293">
        <v>64</v>
      </c>
      <c r="H547" s="45" t="str">
        <f t="shared" si="180"/>
        <v>PLANT</v>
      </c>
      <c r="I547" s="806"/>
      <c r="J547" s="369">
        <f t="shared" ca="1" si="189"/>
        <v>0</v>
      </c>
      <c r="K547" s="369">
        <f t="shared" ca="1" si="189"/>
        <v>0</v>
      </c>
      <c r="L547" s="369">
        <f t="shared" ca="1" si="189"/>
        <v>0</v>
      </c>
      <c r="M547" s="369">
        <f t="shared" ca="1" si="189"/>
        <v>0</v>
      </c>
      <c r="N547" s="369">
        <f t="shared" ca="1" si="189"/>
        <v>0</v>
      </c>
      <c r="O547" s="369">
        <f t="shared" ca="1" si="189"/>
        <v>0</v>
      </c>
      <c r="P547" s="369">
        <f t="shared" ca="1" si="189"/>
        <v>0</v>
      </c>
      <c r="Q547" s="369">
        <f t="shared" ca="1" si="189"/>
        <v>0</v>
      </c>
      <c r="R547" s="369">
        <f t="shared" ca="1" si="189"/>
        <v>0</v>
      </c>
      <c r="S547" s="369">
        <f t="shared" ca="1" si="189"/>
        <v>0</v>
      </c>
      <c r="T547" s="806"/>
      <c r="U547" s="97">
        <f t="shared" ca="1" si="186"/>
        <v>0</v>
      </c>
      <c r="V547" s="64"/>
      <c r="W547" s="305">
        <f t="shared" ca="1" si="187"/>
        <v>0</v>
      </c>
    </row>
    <row r="548" spans="1:23" ht="15" x14ac:dyDescent="0.25">
      <c r="A548" s="45"/>
      <c r="B548" s="16">
        <f t="shared" si="188"/>
        <v>33</v>
      </c>
      <c r="C548" s="41">
        <v>186</v>
      </c>
      <c r="D548" s="41" t="s">
        <v>1265</v>
      </c>
      <c r="E548" s="806"/>
      <c r="F548" s="229">
        <f>' WP II-I-1.4'!I548</f>
        <v>0</v>
      </c>
      <c r="G548" s="293">
        <v>64</v>
      </c>
      <c r="H548" s="45" t="str">
        <f t="shared" ref="H548:H552" si="190">VLOOKUP(G548,FactorTable,2)</f>
        <v>PLANT</v>
      </c>
      <c r="I548" s="806"/>
      <c r="J548" s="369">
        <f t="shared" ca="1" si="189"/>
        <v>0</v>
      </c>
      <c r="K548" s="369">
        <f t="shared" ca="1" si="189"/>
        <v>0</v>
      </c>
      <c r="L548" s="369">
        <f t="shared" ca="1" si="189"/>
        <v>0</v>
      </c>
      <c r="M548" s="369">
        <f t="shared" ca="1" si="189"/>
        <v>0</v>
      </c>
      <c r="N548" s="369">
        <f t="shared" ca="1" si="189"/>
        <v>0</v>
      </c>
      <c r="O548" s="369">
        <f t="shared" ca="1" si="189"/>
        <v>0</v>
      </c>
      <c r="P548" s="369">
        <f t="shared" ca="1" si="189"/>
        <v>0</v>
      </c>
      <c r="Q548" s="369">
        <f t="shared" ca="1" si="189"/>
        <v>0</v>
      </c>
      <c r="R548" s="369">
        <f t="shared" ca="1" si="189"/>
        <v>0</v>
      </c>
      <c r="S548" s="369">
        <f t="shared" ca="1" si="189"/>
        <v>0</v>
      </c>
      <c r="T548" s="806"/>
      <c r="U548" s="97">
        <f t="shared" ref="U548:U552" ca="1" si="191">SUM(I548:T548)</f>
        <v>0</v>
      </c>
      <c r="V548" s="64"/>
      <c r="W548" s="305">
        <f t="shared" ref="W548:W552" ca="1" si="192">U548-F548</f>
        <v>0</v>
      </c>
    </row>
    <row r="549" spans="1:23" ht="15" x14ac:dyDescent="0.25">
      <c r="A549" s="45"/>
      <c r="B549" s="16">
        <f t="shared" si="188"/>
        <v>34</v>
      </c>
      <c r="C549" s="41">
        <v>186</v>
      </c>
      <c r="D549" s="41" t="s">
        <v>1266</v>
      </c>
      <c r="E549" s="806"/>
      <c r="F549" s="229">
        <f>' WP II-I-1.4'!I549</f>
        <v>0</v>
      </c>
      <c r="G549" s="293">
        <v>64</v>
      </c>
      <c r="H549" s="45" t="str">
        <f t="shared" si="190"/>
        <v>PLANT</v>
      </c>
      <c r="I549" s="806"/>
      <c r="J549" s="369">
        <f t="shared" ref="J549:S555" ca="1" si="193">$F549*HLOOKUP(J$1354,FactorTable,$G549+1)</f>
        <v>0</v>
      </c>
      <c r="K549" s="369">
        <f t="shared" ca="1" si="193"/>
        <v>0</v>
      </c>
      <c r="L549" s="369">
        <f t="shared" ca="1" si="193"/>
        <v>0</v>
      </c>
      <c r="M549" s="369">
        <f t="shared" ca="1" si="193"/>
        <v>0</v>
      </c>
      <c r="N549" s="369">
        <f t="shared" ca="1" si="193"/>
        <v>0</v>
      </c>
      <c r="O549" s="369">
        <f t="shared" ca="1" si="193"/>
        <v>0</v>
      </c>
      <c r="P549" s="369">
        <f t="shared" ca="1" si="193"/>
        <v>0</v>
      </c>
      <c r="Q549" s="369">
        <f t="shared" ca="1" si="193"/>
        <v>0</v>
      </c>
      <c r="R549" s="369">
        <f t="shared" ca="1" si="193"/>
        <v>0</v>
      </c>
      <c r="S549" s="369">
        <f t="shared" ca="1" si="193"/>
        <v>0</v>
      </c>
      <c r="T549" s="806"/>
      <c r="U549" s="97">
        <f t="shared" ca="1" si="191"/>
        <v>0</v>
      </c>
      <c r="V549" s="64"/>
      <c r="W549" s="305">
        <f t="shared" ca="1" si="192"/>
        <v>0</v>
      </c>
    </row>
    <row r="550" spans="1:23" ht="15" x14ac:dyDescent="0.25">
      <c r="A550" s="45"/>
      <c r="B550" s="16">
        <f t="shared" si="188"/>
        <v>35</v>
      </c>
      <c r="C550" s="41">
        <v>186</v>
      </c>
      <c r="D550" s="41" t="s">
        <v>1267</v>
      </c>
      <c r="E550" s="806"/>
      <c r="F550" s="229">
        <f>' WP II-I-1.4'!I550</f>
        <v>0</v>
      </c>
      <c r="G550" s="293">
        <v>64</v>
      </c>
      <c r="H550" s="45" t="str">
        <f t="shared" si="190"/>
        <v>PLANT</v>
      </c>
      <c r="I550" s="806"/>
      <c r="J550" s="369">
        <f t="shared" ca="1" si="193"/>
        <v>0</v>
      </c>
      <c r="K550" s="369">
        <f t="shared" ca="1" si="193"/>
        <v>0</v>
      </c>
      <c r="L550" s="369">
        <f t="shared" ca="1" si="193"/>
        <v>0</v>
      </c>
      <c r="M550" s="369">
        <f t="shared" ca="1" si="193"/>
        <v>0</v>
      </c>
      <c r="N550" s="369">
        <f t="shared" ca="1" si="193"/>
        <v>0</v>
      </c>
      <c r="O550" s="369">
        <f t="shared" ca="1" si="193"/>
        <v>0</v>
      </c>
      <c r="P550" s="369">
        <f t="shared" ca="1" si="193"/>
        <v>0</v>
      </c>
      <c r="Q550" s="369">
        <f t="shared" ca="1" si="193"/>
        <v>0</v>
      </c>
      <c r="R550" s="369">
        <f t="shared" ca="1" si="193"/>
        <v>0</v>
      </c>
      <c r="S550" s="369">
        <f t="shared" ca="1" si="193"/>
        <v>0</v>
      </c>
      <c r="T550" s="806"/>
      <c r="U550" s="97">
        <f t="shared" ca="1" si="191"/>
        <v>0</v>
      </c>
      <c r="V550" s="64"/>
      <c r="W550" s="305">
        <f t="shared" ca="1" si="192"/>
        <v>0</v>
      </c>
    </row>
    <row r="551" spans="1:23" ht="15" x14ac:dyDescent="0.25">
      <c r="A551" s="45"/>
      <c r="B551" s="16">
        <f t="shared" si="188"/>
        <v>36</v>
      </c>
      <c r="C551" s="610">
        <v>186</v>
      </c>
      <c r="D551" s="611" t="s">
        <v>1326</v>
      </c>
      <c r="E551" s="806"/>
      <c r="F551" s="229">
        <f>' WP II-I-1.4'!I551</f>
        <v>0</v>
      </c>
      <c r="G551" s="293">
        <v>64</v>
      </c>
      <c r="H551" s="45" t="str">
        <f t="shared" si="190"/>
        <v>PLANT</v>
      </c>
      <c r="I551" s="806"/>
      <c r="J551" s="369">
        <f t="shared" ca="1" si="193"/>
        <v>0</v>
      </c>
      <c r="K551" s="369">
        <f t="shared" ca="1" si="193"/>
        <v>0</v>
      </c>
      <c r="L551" s="369">
        <f t="shared" ca="1" si="193"/>
        <v>0</v>
      </c>
      <c r="M551" s="369">
        <f t="shared" ca="1" si="193"/>
        <v>0</v>
      </c>
      <c r="N551" s="369">
        <f t="shared" ca="1" si="193"/>
        <v>0</v>
      </c>
      <c r="O551" s="369">
        <f t="shared" ca="1" si="193"/>
        <v>0</v>
      </c>
      <c r="P551" s="369">
        <f t="shared" ca="1" si="193"/>
        <v>0</v>
      </c>
      <c r="Q551" s="369">
        <f t="shared" ca="1" si="193"/>
        <v>0</v>
      </c>
      <c r="R551" s="369">
        <f t="shared" ca="1" si="193"/>
        <v>0</v>
      </c>
      <c r="S551" s="369">
        <f t="shared" ca="1" si="193"/>
        <v>0</v>
      </c>
      <c r="T551" s="806"/>
      <c r="U551" s="97">
        <f t="shared" ca="1" si="191"/>
        <v>0</v>
      </c>
      <c r="V551" s="64"/>
      <c r="W551" s="305">
        <f t="shared" ca="1" si="192"/>
        <v>0</v>
      </c>
    </row>
    <row r="552" spans="1:23" ht="15" x14ac:dyDescent="0.25">
      <c r="A552" s="45"/>
      <c r="B552" s="16">
        <f t="shared" si="188"/>
        <v>37</v>
      </c>
      <c r="C552" s="610">
        <v>187</v>
      </c>
      <c r="D552" s="611" t="s">
        <v>1268</v>
      </c>
      <c r="E552" s="806"/>
      <c r="F552" s="229">
        <f>' WP II-I-1.4'!I552</f>
        <v>0</v>
      </c>
      <c r="G552" s="293">
        <v>64</v>
      </c>
      <c r="H552" s="45" t="str">
        <f t="shared" si="190"/>
        <v>PLANT</v>
      </c>
      <c r="I552" s="806"/>
      <c r="J552" s="369">
        <f t="shared" ca="1" si="193"/>
        <v>0</v>
      </c>
      <c r="K552" s="369">
        <f t="shared" ca="1" si="193"/>
        <v>0</v>
      </c>
      <c r="L552" s="369">
        <f t="shared" ca="1" si="193"/>
        <v>0</v>
      </c>
      <c r="M552" s="369">
        <f t="shared" ca="1" si="193"/>
        <v>0</v>
      </c>
      <c r="N552" s="369">
        <f t="shared" ca="1" si="193"/>
        <v>0</v>
      </c>
      <c r="O552" s="369">
        <f t="shared" ca="1" si="193"/>
        <v>0</v>
      </c>
      <c r="P552" s="369">
        <f t="shared" ca="1" si="193"/>
        <v>0</v>
      </c>
      <c r="Q552" s="369">
        <f t="shared" ca="1" si="193"/>
        <v>0</v>
      </c>
      <c r="R552" s="369">
        <f t="shared" ca="1" si="193"/>
        <v>0</v>
      </c>
      <c r="S552" s="369">
        <f t="shared" ca="1" si="193"/>
        <v>0</v>
      </c>
      <c r="T552" s="806"/>
      <c r="U552" s="97">
        <f t="shared" ca="1" si="191"/>
        <v>0</v>
      </c>
      <c r="V552" s="64"/>
      <c r="W552" s="305">
        <f t="shared" ca="1" si="192"/>
        <v>0</v>
      </c>
    </row>
    <row r="553" spans="1:23" ht="15" x14ac:dyDescent="0.25">
      <c r="A553" s="45"/>
      <c r="B553" s="16">
        <f t="shared" si="188"/>
        <v>38</v>
      </c>
      <c r="C553" s="610">
        <v>186</v>
      </c>
      <c r="D553" s="611" t="s">
        <v>1327</v>
      </c>
      <c r="E553" s="806"/>
      <c r="F553" s="229">
        <f>' WP II-I-1.4'!I553</f>
        <v>0</v>
      </c>
      <c r="G553" s="293">
        <v>64</v>
      </c>
      <c r="H553" s="45" t="str">
        <f t="shared" si="180"/>
        <v>PLANT</v>
      </c>
      <c r="I553" s="806"/>
      <c r="J553" s="369">
        <f t="shared" ca="1" si="193"/>
        <v>0</v>
      </c>
      <c r="K553" s="369">
        <f t="shared" ca="1" si="193"/>
        <v>0</v>
      </c>
      <c r="L553" s="369">
        <f t="shared" ca="1" si="193"/>
        <v>0</v>
      </c>
      <c r="M553" s="369">
        <f t="shared" ca="1" si="193"/>
        <v>0</v>
      </c>
      <c r="N553" s="369">
        <f t="shared" ca="1" si="193"/>
        <v>0</v>
      </c>
      <c r="O553" s="369">
        <f t="shared" ca="1" si="193"/>
        <v>0</v>
      </c>
      <c r="P553" s="369">
        <f t="shared" ca="1" si="193"/>
        <v>0</v>
      </c>
      <c r="Q553" s="369">
        <f t="shared" ca="1" si="193"/>
        <v>0</v>
      </c>
      <c r="R553" s="369">
        <f t="shared" ca="1" si="193"/>
        <v>0</v>
      </c>
      <c r="S553" s="369">
        <f t="shared" ca="1" si="193"/>
        <v>0</v>
      </c>
      <c r="T553" s="806"/>
      <c r="U553" s="97">
        <f t="shared" ca="1" si="186"/>
        <v>0</v>
      </c>
      <c r="V553" s="64"/>
      <c r="W553" s="305">
        <f t="shared" ca="1" si="187"/>
        <v>0</v>
      </c>
    </row>
    <row r="554" spans="1:23" ht="15.75" x14ac:dyDescent="0.25">
      <c r="A554" s="45"/>
      <c r="B554" s="16">
        <f t="shared" si="188"/>
        <v>39</v>
      </c>
      <c r="C554" s="38">
        <v>186</v>
      </c>
      <c r="D554" s="41" t="s">
        <v>1269</v>
      </c>
      <c r="E554" s="806"/>
      <c r="F554" s="229">
        <f>' WP II-I-1.4'!I554</f>
        <v>0</v>
      </c>
      <c r="G554" s="293">
        <v>64</v>
      </c>
      <c r="H554" s="45" t="str">
        <f t="shared" si="180"/>
        <v>PLANT</v>
      </c>
      <c r="I554" s="806"/>
      <c r="J554" s="369">
        <f t="shared" ca="1" si="193"/>
        <v>0</v>
      </c>
      <c r="K554" s="369">
        <f t="shared" ca="1" si="193"/>
        <v>0</v>
      </c>
      <c r="L554" s="369">
        <f t="shared" ca="1" si="193"/>
        <v>0</v>
      </c>
      <c r="M554" s="369">
        <f t="shared" ca="1" si="193"/>
        <v>0</v>
      </c>
      <c r="N554" s="369">
        <f t="shared" ca="1" si="193"/>
        <v>0</v>
      </c>
      <c r="O554" s="369">
        <f t="shared" ca="1" si="193"/>
        <v>0</v>
      </c>
      <c r="P554" s="369">
        <f t="shared" ca="1" si="193"/>
        <v>0</v>
      </c>
      <c r="Q554" s="369">
        <f t="shared" ca="1" si="193"/>
        <v>0</v>
      </c>
      <c r="R554" s="369">
        <f t="shared" ca="1" si="193"/>
        <v>0</v>
      </c>
      <c r="S554" s="369">
        <f t="shared" ca="1" si="193"/>
        <v>0</v>
      </c>
      <c r="T554" s="806"/>
      <c r="U554" s="97">
        <f t="shared" ca="1" si="184"/>
        <v>0</v>
      </c>
      <c r="V554" s="64"/>
      <c r="W554" s="643">
        <f t="shared" ca="1" si="183"/>
        <v>0</v>
      </c>
    </row>
    <row r="555" spans="1:23" ht="15.75" x14ac:dyDescent="0.25">
      <c r="A555" s="45"/>
      <c r="B555" s="16">
        <f t="shared" si="188"/>
        <v>40</v>
      </c>
      <c r="C555" s="38">
        <v>186</v>
      </c>
      <c r="D555" s="41" t="s">
        <v>1328</v>
      </c>
      <c r="E555" s="806"/>
      <c r="F555" s="229">
        <f>' WP II-I-1.4'!I555</f>
        <v>0</v>
      </c>
      <c r="G555" s="293">
        <v>64</v>
      </c>
      <c r="H555" s="45" t="str">
        <f t="shared" si="180"/>
        <v>PLANT</v>
      </c>
      <c r="I555" s="806"/>
      <c r="J555" s="370">
        <f t="shared" ca="1" si="193"/>
        <v>0</v>
      </c>
      <c r="K555" s="370">
        <f t="shared" ca="1" si="193"/>
        <v>0</v>
      </c>
      <c r="L555" s="370">
        <f t="shared" ca="1" si="193"/>
        <v>0</v>
      </c>
      <c r="M555" s="370">
        <f t="shared" ca="1" si="193"/>
        <v>0</v>
      </c>
      <c r="N555" s="370">
        <f t="shared" ca="1" si="193"/>
        <v>0</v>
      </c>
      <c r="O555" s="370">
        <f t="shared" ca="1" si="193"/>
        <v>0</v>
      </c>
      <c r="P555" s="370">
        <f t="shared" ca="1" si="193"/>
        <v>0</v>
      </c>
      <c r="Q555" s="370">
        <f t="shared" ca="1" si="193"/>
        <v>0</v>
      </c>
      <c r="R555" s="370">
        <f t="shared" ca="1" si="193"/>
        <v>0</v>
      </c>
      <c r="S555" s="370">
        <f t="shared" ca="1" si="193"/>
        <v>0</v>
      </c>
      <c r="T555" s="806"/>
      <c r="U555" s="97">
        <f t="shared" ca="1" si="184"/>
        <v>0</v>
      </c>
      <c r="V555" s="64"/>
      <c r="W555" s="643">
        <f t="shared" ca="1" si="183"/>
        <v>0</v>
      </c>
    </row>
    <row r="556" spans="1:23" ht="15.75" x14ac:dyDescent="0.25">
      <c r="A556" s="118"/>
      <c r="B556" s="16">
        <f t="shared" si="188"/>
        <v>41</v>
      </c>
      <c r="C556" s="34"/>
      <c r="D556" s="42" t="s">
        <v>562</v>
      </c>
      <c r="E556" s="806"/>
      <c r="F556" s="807">
        <f>SUM(F519:F555)</f>
        <v>11065174.830000006</v>
      </c>
      <c r="G556" s="806"/>
      <c r="H556" s="806"/>
      <c r="I556" s="806"/>
      <c r="J556" s="807">
        <f t="shared" ref="J556:S556" ca="1" si="194">SUM(J519:J555)</f>
        <v>5505888.4201967195</v>
      </c>
      <c r="K556" s="807">
        <f t="shared" ca="1" si="194"/>
        <v>751094.06006964669</v>
      </c>
      <c r="L556" s="807">
        <f t="shared" ca="1" si="194"/>
        <v>3023372.0596864866</v>
      </c>
      <c r="M556" s="807">
        <f t="shared" ca="1" si="194"/>
        <v>122556.85908578822</v>
      </c>
      <c r="N556" s="807">
        <f t="shared" ca="1" si="194"/>
        <v>967153.79720683023</v>
      </c>
      <c r="O556" s="807">
        <f t="shared" ca="1" si="194"/>
        <v>35919.241044385955</v>
      </c>
      <c r="P556" s="807">
        <f t="shared" ca="1" si="194"/>
        <v>77891.506121385333</v>
      </c>
      <c r="Q556" s="807">
        <f t="shared" ca="1" si="194"/>
        <v>579087.5182063767</v>
      </c>
      <c r="R556" s="807">
        <f t="shared" ca="1" si="194"/>
        <v>624.91736095503609</v>
      </c>
      <c r="S556" s="807">
        <f t="shared" ca="1" si="194"/>
        <v>1586.4510214313384</v>
      </c>
      <c r="T556" s="806"/>
      <c r="U556" s="37">
        <f t="shared" ca="1" si="184"/>
        <v>11065174.830000006</v>
      </c>
      <c r="V556" s="104"/>
      <c r="W556" s="643">
        <f t="shared" ca="1" si="183"/>
        <v>0</v>
      </c>
    </row>
    <row r="557" spans="1:23" ht="15.75" x14ac:dyDescent="0.25">
      <c r="A557" s="45"/>
      <c r="B557" s="16">
        <f t="shared" si="188"/>
        <v>42</v>
      </c>
      <c r="C557" s="41"/>
      <c r="D557" s="42"/>
      <c r="E557" s="806"/>
      <c r="F557" s="202"/>
      <c r="G557" s="806"/>
      <c r="H557" s="806"/>
      <c r="I557" s="806"/>
      <c r="J557" s="806"/>
      <c r="K557" s="806"/>
      <c r="L557" s="806"/>
      <c r="M557" s="806"/>
      <c r="N557" s="806"/>
      <c r="O557" s="806"/>
      <c r="P557" s="806"/>
      <c r="Q557" s="806"/>
      <c r="R557" s="806"/>
      <c r="S557" s="806"/>
      <c r="T557" s="806"/>
      <c r="U557" s="97"/>
      <c r="V557" s="64"/>
      <c r="W557" s="643">
        <f t="shared" si="183"/>
        <v>0</v>
      </c>
    </row>
    <row r="558" spans="1:23" ht="15.75" x14ac:dyDescent="0.25">
      <c r="A558" s="45"/>
      <c r="B558" s="16">
        <f t="shared" si="188"/>
        <v>43</v>
      </c>
      <c r="C558" s="34" t="s">
        <v>130</v>
      </c>
      <c r="D558" s="41"/>
      <c r="E558" s="806"/>
      <c r="F558" s="17"/>
      <c r="G558" s="806"/>
      <c r="H558" s="806"/>
      <c r="I558" s="806"/>
      <c r="J558" s="806"/>
      <c r="K558" s="806"/>
      <c r="L558" s="806"/>
      <c r="M558" s="806"/>
      <c r="N558" s="806"/>
      <c r="O558" s="806"/>
      <c r="P558" s="806"/>
      <c r="Q558" s="806"/>
      <c r="R558" s="806"/>
      <c r="S558" s="806"/>
      <c r="T558" s="806"/>
      <c r="U558" s="97"/>
      <c r="V558" s="64"/>
      <c r="W558" s="643">
        <f t="shared" si="183"/>
        <v>0</v>
      </c>
    </row>
    <row r="559" spans="1:23" ht="15.75" x14ac:dyDescent="0.25">
      <c r="A559" s="45"/>
      <c r="B559" s="16">
        <f t="shared" si="188"/>
        <v>44</v>
      </c>
      <c r="C559" s="611">
        <v>254</v>
      </c>
      <c r="D559" s="41" t="s">
        <v>1173</v>
      </c>
      <c r="E559" s="806"/>
      <c r="F559" s="229">
        <f>' WP II-I-1.4'!I559</f>
        <v>0</v>
      </c>
      <c r="G559" s="293">
        <v>64</v>
      </c>
      <c r="H559" s="45" t="str">
        <f t="shared" ref="H559:H563" si="195">VLOOKUP(G559,FactorTable,2)</f>
        <v>PLANT</v>
      </c>
      <c r="I559" s="806"/>
      <c r="J559" s="369">
        <f t="shared" ref="J559:S572" ca="1" si="196">$F559*HLOOKUP(J$1354,FactorTable,$G559+1)</f>
        <v>0</v>
      </c>
      <c r="K559" s="369">
        <f t="shared" ca="1" si="196"/>
        <v>0</v>
      </c>
      <c r="L559" s="369">
        <f t="shared" ca="1" si="196"/>
        <v>0</v>
      </c>
      <c r="M559" s="369">
        <f t="shared" ca="1" si="196"/>
        <v>0</v>
      </c>
      <c r="N559" s="369">
        <f t="shared" ca="1" si="196"/>
        <v>0</v>
      </c>
      <c r="O559" s="369">
        <f t="shared" ca="1" si="196"/>
        <v>0</v>
      </c>
      <c r="P559" s="369">
        <f t="shared" ca="1" si="196"/>
        <v>0</v>
      </c>
      <c r="Q559" s="369">
        <f t="shared" ca="1" si="196"/>
        <v>0</v>
      </c>
      <c r="R559" s="369">
        <f t="shared" ca="1" si="196"/>
        <v>0</v>
      </c>
      <c r="S559" s="369">
        <f t="shared" ca="1" si="196"/>
        <v>0</v>
      </c>
      <c r="T559" s="806"/>
      <c r="U559" s="97">
        <f t="shared" ref="U559:U563" ca="1" si="197">SUM(I559:T559)</f>
        <v>0</v>
      </c>
      <c r="V559" s="64"/>
      <c r="W559" s="643">
        <f t="shared" ca="1" si="183"/>
        <v>0</v>
      </c>
    </row>
    <row r="560" spans="1:23" ht="15" x14ac:dyDescent="0.2">
      <c r="A560" s="45"/>
      <c r="B560" s="16">
        <f t="shared" si="188"/>
        <v>45</v>
      </c>
      <c r="C560" s="611" t="s">
        <v>1121</v>
      </c>
      <c r="D560" s="41" t="s">
        <v>926</v>
      </c>
      <c r="E560" s="202"/>
      <c r="F560" s="229">
        <f>' WP II-I-1.4'!I560</f>
        <v>0</v>
      </c>
      <c r="G560" s="293">
        <v>69</v>
      </c>
      <c r="H560" s="45" t="str">
        <f t="shared" si="195"/>
        <v>PLANT_xWHL</v>
      </c>
      <c r="I560" s="202"/>
      <c r="J560" s="369">
        <f t="shared" ca="1" si="196"/>
        <v>0</v>
      </c>
      <c r="K560" s="369">
        <f t="shared" ca="1" si="196"/>
        <v>0</v>
      </c>
      <c r="L560" s="369">
        <f t="shared" ca="1" si="196"/>
        <v>0</v>
      </c>
      <c r="M560" s="369">
        <f t="shared" ca="1" si="196"/>
        <v>0</v>
      </c>
      <c r="N560" s="369">
        <f t="shared" ca="1" si="196"/>
        <v>0</v>
      </c>
      <c r="O560" s="369">
        <f t="shared" ca="1" si="196"/>
        <v>0</v>
      </c>
      <c r="P560" s="369">
        <f t="shared" ca="1" si="196"/>
        <v>0</v>
      </c>
      <c r="Q560" s="369">
        <f t="shared" ca="1" si="196"/>
        <v>0</v>
      </c>
      <c r="R560" s="369">
        <f t="shared" ca="1" si="196"/>
        <v>0</v>
      </c>
      <c r="S560" s="369">
        <f t="shared" ca="1" si="196"/>
        <v>0</v>
      </c>
      <c r="T560" s="202"/>
      <c r="U560" s="97">
        <f t="shared" ca="1" si="197"/>
        <v>0</v>
      </c>
      <c r="V560" s="64"/>
      <c r="W560" s="643">
        <f t="shared" ca="1" si="183"/>
        <v>0</v>
      </c>
    </row>
    <row r="561" spans="1:23" ht="15.75" x14ac:dyDescent="0.25">
      <c r="A561" s="45"/>
      <c r="B561" s="16">
        <f t="shared" si="188"/>
        <v>46</v>
      </c>
      <c r="C561" s="611">
        <v>254</v>
      </c>
      <c r="D561" s="41" t="s">
        <v>1272</v>
      </c>
      <c r="E561" s="806"/>
      <c r="F561" s="229">
        <f>' WP II-I-1.4'!I561</f>
        <v>0</v>
      </c>
      <c r="G561" s="293">
        <v>66</v>
      </c>
      <c r="H561" s="45" t="str">
        <f t="shared" si="195"/>
        <v>PLT INT_N</v>
      </c>
      <c r="I561" s="806"/>
      <c r="J561" s="369">
        <f t="shared" ca="1" si="196"/>
        <v>0</v>
      </c>
      <c r="K561" s="369">
        <f t="shared" ca="1" si="196"/>
        <v>0</v>
      </c>
      <c r="L561" s="369">
        <f t="shared" ca="1" si="196"/>
        <v>0</v>
      </c>
      <c r="M561" s="369">
        <f t="shared" ca="1" si="196"/>
        <v>0</v>
      </c>
      <c r="N561" s="369">
        <f t="shared" ca="1" si="196"/>
        <v>0</v>
      </c>
      <c r="O561" s="369">
        <f t="shared" ca="1" si="196"/>
        <v>0</v>
      </c>
      <c r="P561" s="369">
        <f t="shared" ca="1" si="196"/>
        <v>0</v>
      </c>
      <c r="Q561" s="369">
        <f t="shared" ca="1" si="196"/>
        <v>0</v>
      </c>
      <c r="R561" s="369">
        <f t="shared" ca="1" si="196"/>
        <v>0</v>
      </c>
      <c r="S561" s="369">
        <f t="shared" ca="1" si="196"/>
        <v>0</v>
      </c>
      <c r="T561" s="806"/>
      <c r="U561" s="97">
        <f t="shared" ca="1" si="197"/>
        <v>0</v>
      </c>
      <c r="V561" s="64"/>
      <c r="W561" s="643">
        <f t="shared" ca="1" si="183"/>
        <v>0</v>
      </c>
    </row>
    <row r="562" spans="1:23" ht="15" customHeight="1" x14ac:dyDescent="0.25">
      <c r="A562" s="45"/>
      <c r="B562" s="16">
        <f t="shared" si="188"/>
        <v>47</v>
      </c>
      <c r="C562" s="619">
        <v>254</v>
      </c>
      <c r="D562" s="41" t="s">
        <v>1273</v>
      </c>
      <c r="E562" s="806"/>
      <c r="F562" s="229">
        <f>' WP II-I-1.4'!I562</f>
        <v>0</v>
      </c>
      <c r="G562" s="293">
        <v>66</v>
      </c>
      <c r="H562" s="45" t="str">
        <f t="shared" si="195"/>
        <v>PLT INT_N</v>
      </c>
      <c r="I562" s="806"/>
      <c r="J562" s="369">
        <f t="shared" ca="1" si="196"/>
        <v>0</v>
      </c>
      <c r="K562" s="369">
        <f t="shared" ca="1" si="196"/>
        <v>0</v>
      </c>
      <c r="L562" s="369">
        <f t="shared" ca="1" si="196"/>
        <v>0</v>
      </c>
      <c r="M562" s="369">
        <f t="shared" ca="1" si="196"/>
        <v>0</v>
      </c>
      <c r="N562" s="369">
        <f t="shared" ca="1" si="196"/>
        <v>0</v>
      </c>
      <c r="O562" s="369">
        <f t="shared" ca="1" si="196"/>
        <v>0</v>
      </c>
      <c r="P562" s="369">
        <f t="shared" ca="1" si="196"/>
        <v>0</v>
      </c>
      <c r="Q562" s="369">
        <f t="shared" ca="1" si="196"/>
        <v>0</v>
      </c>
      <c r="R562" s="369">
        <f t="shared" ca="1" si="196"/>
        <v>0</v>
      </c>
      <c r="S562" s="369">
        <f t="shared" ca="1" si="196"/>
        <v>0</v>
      </c>
      <c r="T562" s="806"/>
      <c r="U562" s="97">
        <f t="shared" ca="1" si="197"/>
        <v>0</v>
      </c>
      <c r="V562" s="64"/>
      <c r="W562" s="643">
        <f t="shared" ca="1" si="183"/>
        <v>0</v>
      </c>
    </row>
    <row r="563" spans="1:23" ht="15.75" x14ac:dyDescent="0.25">
      <c r="A563" s="45"/>
      <c r="B563" s="16">
        <f t="shared" si="188"/>
        <v>48</v>
      </c>
      <c r="C563" s="1539">
        <v>254</v>
      </c>
      <c r="D563" s="1153" t="s">
        <v>1274</v>
      </c>
      <c r="E563" s="806"/>
      <c r="F563" s="229">
        <f>' WP II-I-1.4'!I563</f>
        <v>0</v>
      </c>
      <c r="G563" s="293">
        <v>64</v>
      </c>
      <c r="H563" s="45" t="str">
        <f t="shared" si="195"/>
        <v>PLANT</v>
      </c>
      <c r="I563" s="806"/>
      <c r="J563" s="369">
        <f t="shared" ca="1" si="196"/>
        <v>0</v>
      </c>
      <c r="K563" s="369">
        <f t="shared" ca="1" si="196"/>
        <v>0</v>
      </c>
      <c r="L563" s="369">
        <f t="shared" ca="1" si="196"/>
        <v>0</v>
      </c>
      <c r="M563" s="369">
        <f t="shared" ca="1" si="196"/>
        <v>0</v>
      </c>
      <c r="N563" s="369">
        <f t="shared" ca="1" si="196"/>
        <v>0</v>
      </c>
      <c r="O563" s="369">
        <f t="shared" ca="1" si="196"/>
        <v>0</v>
      </c>
      <c r="P563" s="369">
        <f t="shared" ca="1" si="196"/>
        <v>0</v>
      </c>
      <c r="Q563" s="369">
        <f t="shared" ca="1" si="196"/>
        <v>0</v>
      </c>
      <c r="R563" s="369">
        <f t="shared" ca="1" si="196"/>
        <v>0</v>
      </c>
      <c r="S563" s="369">
        <f t="shared" ca="1" si="196"/>
        <v>0</v>
      </c>
      <c r="T563" s="806"/>
      <c r="U563" s="97">
        <f t="shared" ca="1" si="197"/>
        <v>0</v>
      </c>
      <c r="V563" s="64"/>
      <c r="W563" s="643">
        <f t="shared" ca="1" si="183"/>
        <v>0</v>
      </c>
    </row>
    <row r="564" spans="1:23" ht="15" x14ac:dyDescent="0.25">
      <c r="A564" s="45"/>
      <c r="B564" s="16">
        <f t="shared" si="188"/>
        <v>49</v>
      </c>
      <c r="C564" s="275">
        <v>254</v>
      </c>
      <c r="D564" s="41" t="s">
        <v>1174</v>
      </c>
      <c r="E564" s="806"/>
      <c r="F564" s="229">
        <f>' WP II-I-1.4'!I564</f>
        <v>0</v>
      </c>
      <c r="G564" s="293">
        <v>64</v>
      </c>
      <c r="H564" s="45" t="str">
        <f t="shared" ref="H564:H569" si="198">VLOOKUP(G564,FactorTable,2)</f>
        <v>PLANT</v>
      </c>
      <c r="I564" s="806"/>
      <c r="J564" s="369">
        <f t="shared" ca="1" si="196"/>
        <v>0</v>
      </c>
      <c r="K564" s="369">
        <f t="shared" ca="1" si="196"/>
        <v>0</v>
      </c>
      <c r="L564" s="369">
        <f t="shared" ca="1" si="196"/>
        <v>0</v>
      </c>
      <c r="M564" s="369">
        <f t="shared" ca="1" si="196"/>
        <v>0</v>
      </c>
      <c r="N564" s="369">
        <f t="shared" ca="1" si="196"/>
        <v>0</v>
      </c>
      <c r="O564" s="369">
        <f t="shared" ca="1" si="196"/>
        <v>0</v>
      </c>
      <c r="P564" s="369">
        <f t="shared" ca="1" si="196"/>
        <v>0</v>
      </c>
      <c r="Q564" s="369">
        <f t="shared" ca="1" si="196"/>
        <v>0</v>
      </c>
      <c r="R564" s="369">
        <f t="shared" ca="1" si="196"/>
        <v>0</v>
      </c>
      <c r="S564" s="369">
        <f t="shared" ca="1" si="196"/>
        <v>0</v>
      </c>
      <c r="T564" s="806"/>
      <c r="U564" s="97">
        <f t="shared" ref="U564:U569" ca="1" si="199">SUM(I564:T564)</f>
        <v>0</v>
      </c>
      <c r="V564" s="64"/>
      <c r="W564" s="305">
        <f t="shared" ref="W564:W569" ca="1" si="200">U564-F564</f>
        <v>0</v>
      </c>
    </row>
    <row r="565" spans="1:23" ht="15" x14ac:dyDescent="0.25">
      <c r="A565" s="45"/>
      <c r="B565" s="16">
        <f t="shared" si="188"/>
        <v>50</v>
      </c>
      <c r="C565" s="41">
        <v>254</v>
      </c>
      <c r="D565" s="41" t="s">
        <v>1175</v>
      </c>
      <c r="E565" s="806"/>
      <c r="F565" s="229">
        <f>' WP II-I-1.4'!I565</f>
        <v>0</v>
      </c>
      <c r="G565" s="293">
        <v>64</v>
      </c>
      <c r="H565" s="45" t="str">
        <f t="shared" si="198"/>
        <v>PLANT</v>
      </c>
      <c r="I565" s="806"/>
      <c r="J565" s="369">
        <f t="shared" ca="1" si="196"/>
        <v>0</v>
      </c>
      <c r="K565" s="369">
        <f t="shared" ca="1" si="196"/>
        <v>0</v>
      </c>
      <c r="L565" s="369">
        <f t="shared" ca="1" si="196"/>
        <v>0</v>
      </c>
      <c r="M565" s="369">
        <f t="shared" ca="1" si="196"/>
        <v>0</v>
      </c>
      <c r="N565" s="369">
        <f t="shared" ca="1" si="196"/>
        <v>0</v>
      </c>
      <c r="O565" s="369">
        <f t="shared" ca="1" si="196"/>
        <v>0</v>
      </c>
      <c r="P565" s="369">
        <f t="shared" ca="1" si="196"/>
        <v>0</v>
      </c>
      <c r="Q565" s="369">
        <f t="shared" ca="1" si="196"/>
        <v>0</v>
      </c>
      <c r="R565" s="369">
        <f t="shared" ca="1" si="196"/>
        <v>0</v>
      </c>
      <c r="S565" s="369">
        <f t="shared" ca="1" si="196"/>
        <v>0</v>
      </c>
      <c r="T565" s="806"/>
      <c r="U565" s="97">
        <f t="shared" ca="1" si="199"/>
        <v>0</v>
      </c>
      <c r="V565" s="64"/>
      <c r="W565" s="305">
        <f t="shared" ca="1" si="200"/>
        <v>0</v>
      </c>
    </row>
    <row r="566" spans="1:23" ht="15" x14ac:dyDescent="0.25">
      <c r="A566" s="45"/>
      <c r="B566" s="16">
        <f t="shared" si="188"/>
        <v>51</v>
      </c>
      <c r="C566" s="41">
        <v>254</v>
      </c>
      <c r="D566" s="41" t="s">
        <v>1275</v>
      </c>
      <c r="E566" s="806"/>
      <c r="F566" s="229">
        <f>' WP II-I-1.4'!I566</f>
        <v>0</v>
      </c>
      <c r="G566" s="293">
        <v>64</v>
      </c>
      <c r="H566" s="45" t="str">
        <f t="shared" ref="H566:H567" si="201">VLOOKUP(G566,FactorTable,2)</f>
        <v>PLANT</v>
      </c>
      <c r="I566" s="806"/>
      <c r="J566" s="369">
        <f t="shared" ca="1" si="196"/>
        <v>0</v>
      </c>
      <c r="K566" s="369">
        <f t="shared" ca="1" si="196"/>
        <v>0</v>
      </c>
      <c r="L566" s="369">
        <f t="shared" ca="1" si="196"/>
        <v>0</v>
      </c>
      <c r="M566" s="369">
        <f t="shared" ca="1" si="196"/>
        <v>0</v>
      </c>
      <c r="N566" s="369">
        <f t="shared" ca="1" si="196"/>
        <v>0</v>
      </c>
      <c r="O566" s="369">
        <f t="shared" ca="1" si="196"/>
        <v>0</v>
      </c>
      <c r="P566" s="369">
        <f t="shared" ca="1" si="196"/>
        <v>0</v>
      </c>
      <c r="Q566" s="369">
        <f t="shared" ca="1" si="196"/>
        <v>0</v>
      </c>
      <c r="R566" s="369">
        <f t="shared" ca="1" si="196"/>
        <v>0</v>
      </c>
      <c r="S566" s="369">
        <f t="shared" ca="1" si="196"/>
        <v>0</v>
      </c>
      <c r="T566" s="806"/>
      <c r="U566" s="97">
        <f t="shared" ref="U566:U567" ca="1" si="202">SUM(I566:T566)</f>
        <v>0</v>
      </c>
      <c r="V566" s="64"/>
      <c r="W566" s="305">
        <f t="shared" ref="W566:W567" ca="1" si="203">U566-F566</f>
        <v>0</v>
      </c>
    </row>
    <row r="567" spans="1:23" ht="15" x14ac:dyDescent="0.25">
      <c r="A567" s="45"/>
      <c r="B567" s="16">
        <f t="shared" si="188"/>
        <v>52</v>
      </c>
      <c r="C567" s="41">
        <v>254</v>
      </c>
      <c r="D567" s="41" t="s">
        <v>1276</v>
      </c>
      <c r="E567" s="806"/>
      <c r="F567" s="229">
        <f>' WP II-I-1.4'!I567</f>
        <v>0</v>
      </c>
      <c r="G567" s="293">
        <v>64</v>
      </c>
      <c r="H567" s="45" t="str">
        <f t="shared" si="201"/>
        <v>PLANT</v>
      </c>
      <c r="I567" s="806"/>
      <c r="J567" s="369">
        <f t="shared" ca="1" si="196"/>
        <v>0</v>
      </c>
      <c r="K567" s="369">
        <f t="shared" ca="1" si="196"/>
        <v>0</v>
      </c>
      <c r="L567" s="369">
        <f t="shared" ca="1" si="196"/>
        <v>0</v>
      </c>
      <c r="M567" s="369">
        <f t="shared" ca="1" si="196"/>
        <v>0</v>
      </c>
      <c r="N567" s="369">
        <f t="shared" ca="1" si="196"/>
        <v>0</v>
      </c>
      <c r="O567" s="369">
        <f t="shared" ca="1" si="196"/>
        <v>0</v>
      </c>
      <c r="P567" s="369">
        <f t="shared" ca="1" si="196"/>
        <v>0</v>
      </c>
      <c r="Q567" s="369">
        <f t="shared" ca="1" si="196"/>
        <v>0</v>
      </c>
      <c r="R567" s="369">
        <f t="shared" ca="1" si="196"/>
        <v>0</v>
      </c>
      <c r="S567" s="369">
        <f t="shared" ca="1" si="196"/>
        <v>0</v>
      </c>
      <c r="T567" s="806"/>
      <c r="U567" s="97">
        <f t="shared" ca="1" si="202"/>
        <v>0</v>
      </c>
      <c r="V567" s="64"/>
      <c r="W567" s="305">
        <f t="shared" ca="1" si="203"/>
        <v>0</v>
      </c>
    </row>
    <row r="568" spans="1:23" ht="15" x14ac:dyDescent="0.25">
      <c r="A568" s="45"/>
      <c r="B568" s="16">
        <f t="shared" si="188"/>
        <v>53</v>
      </c>
      <c r="C568" s="41">
        <v>254</v>
      </c>
      <c r="D568" s="41" t="s">
        <v>1277</v>
      </c>
      <c r="E568" s="806"/>
      <c r="F568" s="229">
        <f>' WP II-I-1.4'!I568</f>
        <v>0</v>
      </c>
      <c r="G568" s="293">
        <v>64</v>
      </c>
      <c r="H568" s="45" t="str">
        <f t="shared" si="198"/>
        <v>PLANT</v>
      </c>
      <c r="I568" s="806"/>
      <c r="J568" s="369">
        <f t="shared" ca="1" si="196"/>
        <v>0</v>
      </c>
      <c r="K568" s="369">
        <f t="shared" ca="1" si="196"/>
        <v>0</v>
      </c>
      <c r="L568" s="369">
        <f t="shared" ca="1" si="196"/>
        <v>0</v>
      </c>
      <c r="M568" s="369">
        <f t="shared" ca="1" si="196"/>
        <v>0</v>
      </c>
      <c r="N568" s="369">
        <f t="shared" ca="1" si="196"/>
        <v>0</v>
      </c>
      <c r="O568" s="369">
        <f t="shared" ca="1" si="196"/>
        <v>0</v>
      </c>
      <c r="P568" s="369">
        <f t="shared" ca="1" si="196"/>
        <v>0</v>
      </c>
      <c r="Q568" s="369">
        <f t="shared" ca="1" si="196"/>
        <v>0</v>
      </c>
      <c r="R568" s="369">
        <f t="shared" ca="1" si="196"/>
        <v>0</v>
      </c>
      <c r="S568" s="369">
        <f t="shared" ca="1" si="196"/>
        <v>0</v>
      </c>
      <c r="T568" s="806"/>
      <c r="U568" s="97">
        <f t="shared" ca="1" si="199"/>
        <v>0</v>
      </c>
      <c r="V568" s="64"/>
      <c r="W568" s="305">
        <f t="shared" ca="1" si="200"/>
        <v>0</v>
      </c>
    </row>
    <row r="569" spans="1:23" ht="15" x14ac:dyDescent="0.25">
      <c r="A569" s="45"/>
      <c r="B569" s="16">
        <f t="shared" si="188"/>
        <v>54</v>
      </c>
      <c r="C569" s="41">
        <v>254</v>
      </c>
      <c r="D569" s="41" t="s">
        <v>1278</v>
      </c>
      <c r="E569" s="806"/>
      <c r="F569" s="229">
        <f>' WP II-I-1.4'!I569</f>
        <v>0</v>
      </c>
      <c r="G569" s="293">
        <v>64</v>
      </c>
      <c r="H569" s="45" t="str">
        <f t="shared" si="198"/>
        <v>PLANT</v>
      </c>
      <c r="I569" s="806"/>
      <c r="J569" s="369">
        <f t="shared" ca="1" si="196"/>
        <v>0</v>
      </c>
      <c r="K569" s="369">
        <f t="shared" ca="1" si="196"/>
        <v>0</v>
      </c>
      <c r="L569" s="369">
        <f t="shared" ca="1" si="196"/>
        <v>0</v>
      </c>
      <c r="M569" s="369">
        <f t="shared" ca="1" si="196"/>
        <v>0</v>
      </c>
      <c r="N569" s="369">
        <f t="shared" ca="1" si="196"/>
        <v>0</v>
      </c>
      <c r="O569" s="369">
        <f t="shared" ca="1" si="196"/>
        <v>0</v>
      </c>
      <c r="P569" s="369">
        <f t="shared" ca="1" si="196"/>
        <v>0</v>
      </c>
      <c r="Q569" s="369">
        <f t="shared" ca="1" si="196"/>
        <v>0</v>
      </c>
      <c r="R569" s="369">
        <f t="shared" ca="1" si="196"/>
        <v>0</v>
      </c>
      <c r="S569" s="369">
        <f t="shared" ca="1" si="196"/>
        <v>0</v>
      </c>
      <c r="T569" s="806"/>
      <c r="U569" s="97">
        <f t="shared" ca="1" si="199"/>
        <v>0</v>
      </c>
      <c r="V569" s="64"/>
      <c r="W569" s="305">
        <f t="shared" ca="1" si="200"/>
        <v>0</v>
      </c>
    </row>
    <row r="570" spans="1:23" ht="15.75" x14ac:dyDescent="0.25">
      <c r="A570" s="45"/>
      <c r="B570" s="16">
        <f t="shared" si="188"/>
        <v>55</v>
      </c>
      <c r="C570" s="41">
        <v>254</v>
      </c>
      <c r="D570" s="41" t="s">
        <v>1279</v>
      </c>
      <c r="E570" s="806"/>
      <c r="F570" s="229">
        <f>' WP II-I-1.4'!I570</f>
        <v>411033.34000000032</v>
      </c>
      <c r="G570" s="293">
        <v>64</v>
      </c>
      <c r="H570" s="45" t="str">
        <f t="shared" ref="H570" si="204">VLOOKUP(G570,FactorTable,2)</f>
        <v>PLANT</v>
      </c>
      <c r="I570" s="806"/>
      <c r="J570" s="369">
        <f t="shared" ca="1" si="196"/>
        <v>202608.16917212025</v>
      </c>
      <c r="K570" s="369">
        <f t="shared" ca="1" si="196"/>
        <v>28270.480666417276</v>
      </c>
      <c r="L570" s="369">
        <f t="shared" ca="1" si="196"/>
        <v>110491.62082548797</v>
      </c>
      <c r="M570" s="369">
        <f t="shared" ca="1" si="196"/>
        <v>4647.849153542229</v>
      </c>
      <c r="N570" s="369">
        <f t="shared" ca="1" si="196"/>
        <v>35777.744263330271</v>
      </c>
      <c r="O570" s="369">
        <f t="shared" ca="1" si="196"/>
        <v>1173.8947866994042</v>
      </c>
      <c r="P570" s="369">
        <f t="shared" ca="1" si="196"/>
        <v>2448.6148925018251</v>
      </c>
      <c r="Q570" s="369">
        <f t="shared" ca="1" si="196"/>
        <v>25156.238130365477</v>
      </c>
      <c r="R570" s="369">
        <f t="shared" ca="1" si="196"/>
        <v>129.6325531324496</v>
      </c>
      <c r="S570" s="369">
        <f t="shared" ca="1" si="196"/>
        <v>329.09555640333343</v>
      </c>
      <c r="T570" s="806"/>
      <c r="U570" s="97">
        <f t="shared" ref="U570" ca="1" si="205">SUM(I570:T570)</f>
        <v>411033.34000000049</v>
      </c>
      <c r="V570" s="64"/>
      <c r="W570" s="643">
        <f t="shared" ca="1" si="183"/>
        <v>0</v>
      </c>
    </row>
    <row r="571" spans="1:23" ht="15.75" x14ac:dyDescent="0.25">
      <c r="A571" s="45"/>
      <c r="B571" s="16">
        <f t="shared" si="188"/>
        <v>56</v>
      </c>
      <c r="C571" s="41">
        <v>254</v>
      </c>
      <c r="D571" s="41" t="s">
        <v>1176</v>
      </c>
      <c r="E571" s="806"/>
      <c r="F571" s="229">
        <f>' WP II-I-1.4'!I571</f>
        <v>-274196.65999999642</v>
      </c>
      <c r="G571" s="293">
        <v>64</v>
      </c>
      <c r="H571" s="45" t="str">
        <f t="shared" ref="H571:H572" si="206">VLOOKUP(G571,FactorTable,2)</f>
        <v>PLANT</v>
      </c>
      <c r="I571" s="806"/>
      <c r="J571" s="369">
        <f t="shared" ca="1" si="196"/>
        <v>-135158.09514554116</v>
      </c>
      <c r="K571" s="369">
        <f t="shared" ca="1" si="196"/>
        <v>-18858.984469060546</v>
      </c>
      <c r="L571" s="369">
        <f t="shared" ca="1" si="196"/>
        <v>-73707.970716766737</v>
      </c>
      <c r="M571" s="369">
        <f t="shared" ca="1" si="196"/>
        <v>-3100.5385453284366</v>
      </c>
      <c r="N571" s="369">
        <f t="shared" ca="1" si="196"/>
        <v>-23867.012781345635</v>
      </c>
      <c r="O571" s="369">
        <f t="shared" ca="1" si="196"/>
        <v>-783.09469909274173</v>
      </c>
      <c r="P571" s="369">
        <f t="shared" ca="1" si="196"/>
        <v>-1633.4490655922225</v>
      </c>
      <c r="Q571" s="369">
        <f t="shared" ca="1" si="196"/>
        <v>-16781.501163654419</v>
      </c>
      <c r="R571" s="369">
        <f t="shared" ca="1" si="196"/>
        <v>-86.476715237235325</v>
      </c>
      <c r="S571" s="369">
        <f t="shared" ca="1" si="196"/>
        <v>-219.53669837739778</v>
      </c>
      <c r="T571" s="806"/>
      <c r="U571" s="97">
        <f t="shared" ref="U571:U572" ca="1" si="207">SUM(I571:T571)</f>
        <v>-274196.65999999654</v>
      </c>
      <c r="V571" s="64"/>
      <c r="W571" s="643">
        <f t="shared" ref="W571:W572" ca="1" si="208">F571-U571</f>
        <v>0</v>
      </c>
    </row>
    <row r="572" spans="1:23" ht="15.75" x14ac:dyDescent="0.25">
      <c r="A572" s="45"/>
      <c r="B572" s="16">
        <f t="shared" si="188"/>
        <v>57</v>
      </c>
      <c r="C572" s="41">
        <v>257</v>
      </c>
      <c r="D572" s="41" t="s">
        <v>1122</v>
      </c>
      <c r="E572" s="806"/>
      <c r="F572" s="229">
        <f>' WP II-I-1.4'!I572</f>
        <v>0</v>
      </c>
      <c r="G572" s="293">
        <v>64</v>
      </c>
      <c r="H572" s="45" t="str">
        <f t="shared" si="206"/>
        <v>PLANT</v>
      </c>
      <c r="I572" s="806"/>
      <c r="J572" s="369">
        <f t="shared" ca="1" si="196"/>
        <v>0</v>
      </c>
      <c r="K572" s="369">
        <f t="shared" ca="1" si="196"/>
        <v>0</v>
      </c>
      <c r="L572" s="369">
        <f t="shared" ca="1" si="196"/>
        <v>0</v>
      </c>
      <c r="M572" s="369">
        <f t="shared" ca="1" si="196"/>
        <v>0</v>
      </c>
      <c r="N572" s="369">
        <f t="shared" ca="1" si="196"/>
        <v>0</v>
      </c>
      <c r="O572" s="369">
        <f t="shared" ca="1" si="196"/>
        <v>0</v>
      </c>
      <c r="P572" s="369">
        <f t="shared" ca="1" si="196"/>
        <v>0</v>
      </c>
      <c r="Q572" s="369">
        <f t="shared" ca="1" si="196"/>
        <v>0</v>
      </c>
      <c r="R572" s="369">
        <f t="shared" ca="1" si="196"/>
        <v>0</v>
      </c>
      <c r="S572" s="369">
        <f t="shared" ca="1" si="196"/>
        <v>0</v>
      </c>
      <c r="T572" s="806"/>
      <c r="U572" s="97">
        <f t="shared" ca="1" si="207"/>
        <v>0</v>
      </c>
      <c r="V572" s="64"/>
      <c r="W572" s="643">
        <f t="shared" ca="1" si="208"/>
        <v>0</v>
      </c>
    </row>
    <row r="573" spans="1:23" ht="15.75" x14ac:dyDescent="0.25">
      <c r="A573" s="118"/>
      <c r="B573" s="16">
        <f t="shared" si="188"/>
        <v>58</v>
      </c>
      <c r="C573" s="34"/>
      <c r="D573" s="42" t="s">
        <v>563</v>
      </c>
      <c r="E573" s="35"/>
      <c r="F573" s="37">
        <f>SUM(F559:F572)</f>
        <v>136836.68000000389</v>
      </c>
      <c r="G573" s="35"/>
      <c r="H573" s="35"/>
      <c r="I573" s="806"/>
      <c r="J573" s="807">
        <f t="shared" ref="J573:U573" ca="1" si="209">SUM(J559:J572)</f>
        <v>67450.074026579096</v>
      </c>
      <c r="K573" s="807">
        <f t="shared" ca="1" si="209"/>
        <v>9411.4961973567297</v>
      </c>
      <c r="L573" s="807">
        <f t="shared" ca="1" si="209"/>
        <v>36783.650108721238</v>
      </c>
      <c r="M573" s="807">
        <f t="shared" ca="1" si="209"/>
        <v>1547.3106082137924</v>
      </c>
      <c r="N573" s="807">
        <f t="shared" ca="1" si="209"/>
        <v>11910.731481984636</v>
      </c>
      <c r="O573" s="807">
        <f t="shared" ca="1" si="209"/>
        <v>390.80008760666249</v>
      </c>
      <c r="P573" s="807">
        <f t="shared" ca="1" si="209"/>
        <v>815.16582690960263</v>
      </c>
      <c r="Q573" s="807">
        <f t="shared" ca="1" si="209"/>
        <v>8374.7369667110579</v>
      </c>
      <c r="R573" s="807">
        <f t="shared" ca="1" si="209"/>
        <v>43.155837895214276</v>
      </c>
      <c r="S573" s="807">
        <f t="shared" ca="1" si="209"/>
        <v>109.55885802593565</v>
      </c>
      <c r="T573" s="807">
        <f t="shared" si="209"/>
        <v>0</v>
      </c>
      <c r="U573" s="807">
        <f t="shared" ca="1" si="209"/>
        <v>136836.68000000395</v>
      </c>
      <c r="V573" s="104"/>
      <c r="W573" s="643">
        <f t="shared" ca="1" si="183"/>
        <v>0</v>
      </c>
    </row>
    <row r="574" spans="1:23" ht="16.5" thickBot="1" x14ac:dyDescent="0.3">
      <c r="A574" s="45"/>
      <c r="B574" s="16">
        <f t="shared" si="188"/>
        <v>59</v>
      </c>
      <c r="C574" s="41"/>
      <c r="D574" s="42"/>
      <c r="E574" s="35"/>
      <c r="F574" s="202"/>
      <c r="G574" s="35"/>
      <c r="H574" s="35"/>
      <c r="I574" s="35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35"/>
      <c r="U574" s="97"/>
      <c r="V574" s="64"/>
      <c r="W574" s="643">
        <f t="shared" si="183"/>
        <v>0</v>
      </c>
    </row>
    <row r="575" spans="1:23" ht="16.5" thickBot="1" x14ac:dyDescent="0.3">
      <c r="A575" s="38"/>
      <c r="B575" s="16">
        <f t="shared" si="188"/>
        <v>60</v>
      </c>
      <c r="C575" s="291" t="s">
        <v>564</v>
      </c>
      <c r="D575" s="217"/>
      <c r="E575" s="272" t="s">
        <v>127</v>
      </c>
      <c r="F575" s="217">
        <f>F556+F573</f>
        <v>11202011.510000009</v>
      </c>
      <c r="G575" s="272"/>
      <c r="H575" s="392"/>
      <c r="I575" s="568"/>
      <c r="J575" s="291">
        <f t="shared" ref="J575:S575" ca="1" si="210">J556+J573</f>
        <v>5573338.4942232985</v>
      </c>
      <c r="K575" s="814">
        <f t="shared" ca="1" si="210"/>
        <v>760505.55626700341</v>
      </c>
      <c r="L575" s="814">
        <f t="shared" ca="1" si="210"/>
        <v>3060155.7097952077</v>
      </c>
      <c r="M575" s="814">
        <f t="shared" ca="1" si="210"/>
        <v>124104.16969400202</v>
      </c>
      <c r="N575" s="814">
        <f t="shared" ca="1" si="210"/>
        <v>979064.52868881484</v>
      </c>
      <c r="O575" s="814">
        <f t="shared" ca="1" si="210"/>
        <v>36310.041131992621</v>
      </c>
      <c r="P575" s="814">
        <f t="shared" ca="1" si="210"/>
        <v>78706.671948294941</v>
      </c>
      <c r="Q575" s="814">
        <f t="shared" ca="1" si="210"/>
        <v>587462.2551730877</v>
      </c>
      <c r="R575" s="814">
        <f t="shared" ca="1" si="210"/>
        <v>668.07319885025038</v>
      </c>
      <c r="S575" s="218">
        <f t="shared" ca="1" si="210"/>
        <v>1696.0098794572741</v>
      </c>
      <c r="T575" s="392"/>
      <c r="U575" s="218">
        <f ca="1">SUM(I575:T575)</f>
        <v>11202011.510000007</v>
      </c>
      <c r="V575" s="34"/>
      <c r="W575" s="643">
        <f t="shared" ca="1" si="183"/>
        <v>0</v>
      </c>
    </row>
    <row r="576" spans="1:23" ht="15.75" x14ac:dyDescent="0.25">
      <c r="A576" s="45"/>
      <c r="B576" s="16"/>
      <c r="C576" s="41"/>
      <c r="D576" s="42"/>
      <c r="E576" s="35"/>
      <c r="F576" s="202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97"/>
      <c r="V576" s="64"/>
      <c r="W576" s="138"/>
    </row>
    <row r="577" spans="1:23" ht="15.75" x14ac:dyDescent="0.25">
      <c r="A577" s="45"/>
      <c r="B577" s="16"/>
      <c r="C577" s="41"/>
      <c r="D577" s="42"/>
      <c r="E577" s="35"/>
      <c r="F577" s="202"/>
      <c r="G577" s="35"/>
      <c r="H577" s="10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105"/>
      <c r="V577" s="105">
        <f>$H$2</f>
        <v>0</v>
      </c>
      <c r="W577" s="138"/>
    </row>
    <row r="578" spans="1:23" ht="16.5" thickBot="1" x14ac:dyDescent="0.3">
      <c r="A578" s="45"/>
      <c r="B578" s="16"/>
      <c r="C578" s="41"/>
      <c r="D578" s="42"/>
      <c r="E578" s="35"/>
      <c r="F578" s="202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97"/>
      <c r="V578" s="64"/>
      <c r="W578" s="138"/>
    </row>
    <row r="579" spans="1:23" ht="15.75" x14ac:dyDescent="0.25">
      <c r="A579" s="45"/>
      <c r="B579" s="829" t="str">
        <f>+$B$4</f>
        <v>2025 RATE CASE</v>
      </c>
      <c r="C579" s="844"/>
      <c r="D579" s="872"/>
      <c r="F579" s="267"/>
      <c r="U579" s="105"/>
      <c r="W579" s="138"/>
    </row>
    <row r="580" spans="1:23" ht="15.75" x14ac:dyDescent="0.25">
      <c r="A580" s="45"/>
      <c r="B580" s="826" t="str">
        <f>+$B$5</f>
        <v>ONCOR ELECTRIC DELIVERY COMPANY LLC</v>
      </c>
      <c r="C580" s="8"/>
      <c r="D580" s="873"/>
      <c r="F580" s="267"/>
      <c r="U580" s="105"/>
      <c r="V580" s="64"/>
      <c r="W580" s="138"/>
    </row>
    <row r="581" spans="1:23" ht="15.75" x14ac:dyDescent="0.25">
      <c r="A581" s="45"/>
      <c r="B581" s="826" t="str">
        <f>+$B$6</f>
        <v>II-I-1-TBILLTDCS:  CLASS REVENUE REQUIREMENT</v>
      </c>
      <c r="C581" s="82"/>
      <c r="D581" s="873"/>
      <c r="F581" s="267"/>
      <c r="U581" s="267"/>
      <c r="V581" s="64"/>
      <c r="W581" s="138"/>
    </row>
    <row r="582" spans="1:23" ht="15.75" x14ac:dyDescent="0.25">
      <c r="A582" s="45"/>
      <c r="B582" s="341" t="str">
        <f>+$B$7</f>
        <v>TEST YEAR ENDING 12/31/2024</v>
      </c>
      <c r="C582" s="82"/>
      <c r="D582" s="873"/>
      <c r="F582" s="267"/>
      <c r="U582" s="267"/>
      <c r="V582" s="64"/>
      <c r="W582" s="138"/>
    </row>
    <row r="583" spans="1:23" ht="15.75" x14ac:dyDescent="0.25">
      <c r="A583" s="45"/>
      <c r="B583" s="341" t="str">
        <f>+$B$8</f>
        <v>SPONSOR:  MATTHEW A. TROXLE</v>
      </c>
      <c r="C583" s="82"/>
      <c r="D583" s="873"/>
      <c r="F583" s="267"/>
      <c r="U583" s="267"/>
      <c r="V583" s="64"/>
      <c r="W583" s="138"/>
    </row>
    <row r="584" spans="1:23" ht="16.5" thickBot="1" x14ac:dyDescent="0.3">
      <c r="A584" s="45"/>
      <c r="B584" s="345"/>
      <c r="C584" s="843"/>
      <c r="D584" s="845"/>
      <c r="F584" s="267"/>
      <c r="U584" s="267"/>
      <c r="V584" s="64"/>
      <c r="W584" s="138"/>
    </row>
    <row r="585" spans="1:23" ht="15.75" thickBot="1" x14ac:dyDescent="0.25">
      <c r="A585" s="45"/>
      <c r="B585" s="12"/>
      <c r="C585" s="13"/>
      <c r="D585" s="13"/>
      <c r="E585" s="13"/>
      <c r="F585" s="12"/>
      <c r="G585" s="13"/>
      <c r="H585" s="13"/>
      <c r="I585" s="13"/>
      <c r="J585" s="177"/>
      <c r="K585" s="177"/>
      <c r="L585" s="13"/>
      <c r="M585" s="177"/>
      <c r="N585" s="177"/>
      <c r="O585" s="177"/>
      <c r="P585" s="177"/>
      <c r="Q585" s="13"/>
      <c r="R585" s="328" t="str">
        <f>R$10</f>
        <v xml:space="preserve"> </v>
      </c>
      <c r="S585" s="329"/>
      <c r="T585" s="177"/>
      <c r="U585" s="12"/>
      <c r="V585" s="64"/>
      <c r="W585" s="138"/>
    </row>
    <row r="586" spans="1:23" ht="15.75" x14ac:dyDescent="0.25">
      <c r="A586" s="45"/>
      <c r="B586" s="14" t="s">
        <v>2</v>
      </c>
      <c r="C586" s="14" t="s">
        <v>349</v>
      </c>
      <c r="D586" s="226" t="s">
        <v>565</v>
      </c>
      <c r="E586" s="14" t="s">
        <v>350</v>
      </c>
      <c r="F586" s="226" t="str">
        <f>F$11</f>
        <v>TBILLTDCS</v>
      </c>
      <c r="G586" s="181" t="s">
        <v>688</v>
      </c>
      <c r="H586" s="181" t="s">
        <v>355</v>
      </c>
      <c r="I586" s="14"/>
      <c r="J586" s="181" t="s">
        <v>679</v>
      </c>
      <c r="K586" s="181" t="s">
        <v>388</v>
      </c>
      <c r="L586" s="14" t="s">
        <v>388</v>
      </c>
      <c r="M586" s="181" t="s">
        <v>389</v>
      </c>
      <c r="N586" s="181" t="s">
        <v>389</v>
      </c>
      <c r="O586" s="181" t="s">
        <v>389</v>
      </c>
      <c r="P586" s="181" t="s">
        <v>390</v>
      </c>
      <c r="Q586" s="14" t="s">
        <v>391</v>
      </c>
      <c r="R586" s="331" t="str">
        <f>R$11</f>
        <v>Wholesale</v>
      </c>
      <c r="S586" s="12" t="str">
        <f>S$11</f>
        <v>Wholesale</v>
      </c>
      <c r="T586" s="181"/>
      <c r="U586" s="14" t="s">
        <v>10</v>
      </c>
      <c r="V586" s="64"/>
      <c r="W586" s="138"/>
    </row>
    <row r="587" spans="1:23" ht="15" x14ac:dyDescent="0.2">
      <c r="A587" s="45"/>
      <c r="B587" s="14"/>
      <c r="C587" s="14"/>
      <c r="D587" s="14"/>
      <c r="E587" s="14"/>
      <c r="F587" s="14"/>
      <c r="G587" s="181" t="s">
        <v>689</v>
      </c>
      <c r="H587" s="181" t="s">
        <v>690</v>
      </c>
      <c r="I587" s="14"/>
      <c r="J587" s="181"/>
      <c r="K587" s="181" t="s">
        <v>680</v>
      </c>
      <c r="L587" s="14" t="s">
        <v>681</v>
      </c>
      <c r="M587" s="181" t="s">
        <v>680</v>
      </c>
      <c r="N587" s="181" t="s">
        <v>681</v>
      </c>
      <c r="O587" s="181" t="s">
        <v>393</v>
      </c>
      <c r="P587" s="181"/>
      <c r="Q587" s="14"/>
      <c r="R587" s="174" t="str">
        <f>R$12</f>
        <v>XFMR</v>
      </c>
      <c r="S587" s="14" t="str">
        <f>S$12</f>
        <v>DLS</v>
      </c>
      <c r="T587" s="181"/>
      <c r="U587" s="14"/>
      <c r="V587" s="64"/>
      <c r="W587" s="138"/>
    </row>
    <row r="588" spans="1:23" ht="15.75" thickBot="1" x14ac:dyDescent="0.25">
      <c r="A588" s="45"/>
      <c r="B588" s="15"/>
      <c r="C588" s="15"/>
      <c r="D588" s="15"/>
      <c r="E588" s="15"/>
      <c r="F588" s="15" t="s">
        <v>13</v>
      </c>
      <c r="G588" s="15" t="s">
        <v>14</v>
      </c>
      <c r="H588" s="15" t="s">
        <v>15</v>
      </c>
      <c r="I588" s="15"/>
      <c r="J588" s="182" t="str">
        <f t="shared" ref="J588:S588" si="211">J$13</f>
        <v>(d)</v>
      </c>
      <c r="K588" s="182" t="str">
        <f t="shared" si="211"/>
        <v>(e)</v>
      </c>
      <c r="L588" s="15" t="str">
        <f t="shared" si="211"/>
        <v>(f)</v>
      </c>
      <c r="M588" s="182" t="str">
        <f t="shared" si="211"/>
        <v>(g)</v>
      </c>
      <c r="N588" s="182" t="str">
        <f t="shared" si="211"/>
        <v>(h)</v>
      </c>
      <c r="O588" s="182" t="str">
        <f t="shared" si="211"/>
        <v>(i)</v>
      </c>
      <c r="P588" s="182" t="str">
        <f t="shared" si="211"/>
        <v>(j)</v>
      </c>
      <c r="Q588" s="182" t="str">
        <f t="shared" si="211"/>
        <v>(k)</v>
      </c>
      <c r="R588" s="182" t="str">
        <f t="shared" si="211"/>
        <v>(l)</v>
      </c>
      <c r="S588" s="15" t="str">
        <f t="shared" si="211"/>
        <v>(m)</v>
      </c>
      <c r="T588" s="15"/>
      <c r="U588" s="15" t="s">
        <v>683</v>
      </c>
      <c r="V588" s="64"/>
      <c r="W588" s="138"/>
    </row>
    <row r="589" spans="1:23" ht="15" x14ac:dyDescent="0.2">
      <c r="A589" s="45"/>
      <c r="B589" s="64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41"/>
      <c r="V589" s="64"/>
      <c r="W589" s="138"/>
    </row>
    <row r="590" spans="1:23" ht="15.75" x14ac:dyDescent="0.25">
      <c r="A590" s="38"/>
      <c r="B590" s="16">
        <f>B576+1</f>
        <v>1</v>
      </c>
      <c r="C590" s="34" t="s">
        <v>132</v>
      </c>
      <c r="D590" s="41"/>
      <c r="E590" s="806" t="s">
        <v>127</v>
      </c>
      <c r="F590" s="281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41"/>
      <c r="V590" s="41"/>
      <c r="W590" s="138"/>
    </row>
    <row r="591" spans="1:23" ht="15" x14ac:dyDescent="0.2">
      <c r="A591" s="38"/>
      <c r="B591" s="16">
        <f t="shared" ref="B591:B602" si="212">B590+1</f>
        <v>2</v>
      </c>
      <c r="C591" s="41">
        <v>182</v>
      </c>
      <c r="D591" s="41" t="s">
        <v>133</v>
      </c>
      <c r="E591" s="293"/>
      <c r="F591" s="229">
        <f>' WP II-I-1.4'!I591</f>
        <v>0</v>
      </c>
      <c r="G591" s="293">
        <v>64</v>
      </c>
      <c r="H591" s="45" t="str">
        <f t="shared" ref="H591:H596" si="213">VLOOKUP(G591,FactorTable,2)</f>
        <v>PLANT</v>
      </c>
      <c r="I591" s="293"/>
      <c r="J591" s="369">
        <f t="shared" ref="J591:S596" ca="1" si="214">$F591*HLOOKUP(J$1354,FactorTable,$G591+1)</f>
        <v>0</v>
      </c>
      <c r="K591" s="369">
        <f t="shared" ca="1" si="214"/>
        <v>0</v>
      </c>
      <c r="L591" s="369">
        <f t="shared" ca="1" si="214"/>
        <v>0</v>
      </c>
      <c r="M591" s="369">
        <f t="shared" ca="1" si="214"/>
        <v>0</v>
      </c>
      <c r="N591" s="369">
        <f t="shared" ca="1" si="214"/>
        <v>0</v>
      </c>
      <c r="O591" s="369">
        <f t="shared" ca="1" si="214"/>
        <v>0</v>
      </c>
      <c r="P591" s="369">
        <f t="shared" ca="1" si="214"/>
        <v>0</v>
      </c>
      <c r="Q591" s="369">
        <f t="shared" ca="1" si="214"/>
        <v>0</v>
      </c>
      <c r="R591" s="369">
        <f t="shared" ca="1" si="214"/>
        <v>0</v>
      </c>
      <c r="S591" s="369">
        <f t="shared" ca="1" si="214"/>
        <v>0</v>
      </c>
      <c r="T591" s="293"/>
      <c r="U591" s="97">
        <f t="shared" ref="U591:U597" ca="1" si="215">SUM(I591:T591)</f>
        <v>0</v>
      </c>
      <c r="V591" s="41"/>
      <c r="W591" s="643">
        <f t="shared" ref="W591:W622" ca="1" si="216">F591-U591</f>
        <v>0</v>
      </c>
    </row>
    <row r="592" spans="1:23" ht="15" x14ac:dyDescent="0.2">
      <c r="A592" s="38"/>
      <c r="B592" s="16">
        <f t="shared" si="212"/>
        <v>3</v>
      </c>
      <c r="C592" s="41">
        <v>182</v>
      </c>
      <c r="D592" s="41" t="s">
        <v>134</v>
      </c>
      <c r="E592" s="293"/>
      <c r="F592" s="229">
        <f>' WP II-I-1.4'!I592</f>
        <v>0</v>
      </c>
      <c r="G592" s="293">
        <v>64</v>
      </c>
      <c r="H592" s="45" t="str">
        <f t="shared" si="213"/>
        <v>PLANT</v>
      </c>
      <c r="I592" s="293"/>
      <c r="J592" s="369">
        <f t="shared" ca="1" si="214"/>
        <v>0</v>
      </c>
      <c r="K592" s="369">
        <f t="shared" ca="1" si="214"/>
        <v>0</v>
      </c>
      <c r="L592" s="369">
        <f t="shared" ca="1" si="214"/>
        <v>0</v>
      </c>
      <c r="M592" s="369">
        <f t="shared" ca="1" si="214"/>
        <v>0</v>
      </c>
      <c r="N592" s="369">
        <f t="shared" ca="1" si="214"/>
        <v>0</v>
      </c>
      <c r="O592" s="369">
        <f t="shared" ca="1" si="214"/>
        <v>0</v>
      </c>
      <c r="P592" s="369">
        <f t="shared" ca="1" si="214"/>
        <v>0</v>
      </c>
      <c r="Q592" s="369">
        <f t="shared" ca="1" si="214"/>
        <v>0</v>
      </c>
      <c r="R592" s="369">
        <f t="shared" ca="1" si="214"/>
        <v>0</v>
      </c>
      <c r="S592" s="369">
        <f t="shared" ca="1" si="214"/>
        <v>0</v>
      </c>
      <c r="T592" s="293"/>
      <c r="U592" s="97">
        <f t="shared" ca="1" si="215"/>
        <v>0</v>
      </c>
      <c r="V592" s="41"/>
      <c r="W592" s="643">
        <f t="shared" ca="1" si="216"/>
        <v>0</v>
      </c>
    </row>
    <row r="593" spans="1:23" ht="15" x14ac:dyDescent="0.2">
      <c r="A593" s="38"/>
      <c r="B593" s="16">
        <f t="shared" si="212"/>
        <v>4</v>
      </c>
      <c r="C593" s="41">
        <v>182</v>
      </c>
      <c r="D593" s="41" t="s">
        <v>135</v>
      </c>
      <c r="E593" s="293"/>
      <c r="F593" s="229">
        <f>' WP II-I-1.4'!I593</f>
        <v>0</v>
      </c>
      <c r="G593" s="293">
        <v>37</v>
      </c>
      <c r="H593" s="45" t="str">
        <f t="shared" si="213"/>
        <v>OPEB TOTAL</v>
      </c>
      <c r="I593" s="293"/>
      <c r="J593" s="369">
        <f t="shared" ca="1" si="214"/>
        <v>0</v>
      </c>
      <c r="K593" s="369">
        <f t="shared" ca="1" si="214"/>
        <v>0</v>
      </c>
      <c r="L593" s="369">
        <f t="shared" ca="1" si="214"/>
        <v>0</v>
      </c>
      <c r="M593" s="369">
        <f t="shared" ca="1" si="214"/>
        <v>0</v>
      </c>
      <c r="N593" s="369">
        <f t="shared" ca="1" si="214"/>
        <v>0</v>
      </c>
      <c r="O593" s="369">
        <f t="shared" ca="1" si="214"/>
        <v>0</v>
      </c>
      <c r="P593" s="369">
        <f t="shared" ca="1" si="214"/>
        <v>0</v>
      </c>
      <c r="Q593" s="369">
        <f t="shared" ca="1" si="214"/>
        <v>0</v>
      </c>
      <c r="R593" s="369">
        <f t="shared" ca="1" si="214"/>
        <v>0</v>
      </c>
      <c r="S593" s="369">
        <f t="shared" ca="1" si="214"/>
        <v>0</v>
      </c>
      <c r="T593" s="293"/>
      <c r="U593" s="97">
        <f t="shared" ca="1" si="215"/>
        <v>0</v>
      </c>
      <c r="V593" s="41"/>
      <c r="W593" s="643">
        <f t="shared" ca="1" si="216"/>
        <v>0</v>
      </c>
    </row>
    <row r="594" spans="1:23" ht="15" x14ac:dyDescent="0.2">
      <c r="A594" s="38"/>
      <c r="B594" s="16">
        <f>B593+1</f>
        <v>5</v>
      </c>
      <c r="C594" s="41">
        <v>182</v>
      </c>
      <c r="D594" s="41" t="s">
        <v>136</v>
      </c>
      <c r="E594" s="293"/>
      <c r="F594" s="229">
        <f>' WP II-I-1.4'!I594</f>
        <v>0</v>
      </c>
      <c r="G594" s="293">
        <v>64</v>
      </c>
      <c r="H594" s="45" t="str">
        <f t="shared" si="213"/>
        <v>PLANT</v>
      </c>
      <c r="I594" s="293"/>
      <c r="J594" s="369">
        <f t="shared" ca="1" si="214"/>
        <v>0</v>
      </c>
      <c r="K594" s="369">
        <f t="shared" ca="1" si="214"/>
        <v>0</v>
      </c>
      <c r="L594" s="369">
        <f t="shared" ca="1" si="214"/>
        <v>0</v>
      </c>
      <c r="M594" s="369">
        <f t="shared" ca="1" si="214"/>
        <v>0</v>
      </c>
      <c r="N594" s="369">
        <f t="shared" ca="1" si="214"/>
        <v>0</v>
      </c>
      <c r="O594" s="369">
        <f t="shared" ca="1" si="214"/>
        <v>0</v>
      </c>
      <c r="P594" s="369">
        <f t="shared" ca="1" si="214"/>
        <v>0</v>
      </c>
      <c r="Q594" s="369">
        <f t="shared" ca="1" si="214"/>
        <v>0</v>
      </c>
      <c r="R594" s="369">
        <f t="shared" ca="1" si="214"/>
        <v>0</v>
      </c>
      <c r="S594" s="369">
        <f t="shared" ca="1" si="214"/>
        <v>0</v>
      </c>
      <c r="T594" s="293"/>
      <c r="U594" s="97">
        <f t="shared" ca="1" si="215"/>
        <v>0</v>
      </c>
      <c r="V594" s="41"/>
      <c r="W594" s="643">
        <f t="shared" ca="1" si="216"/>
        <v>0</v>
      </c>
    </row>
    <row r="595" spans="1:23" ht="15" x14ac:dyDescent="0.2">
      <c r="A595" s="38"/>
      <c r="B595" s="16">
        <f>B594+1</f>
        <v>6</v>
      </c>
      <c r="C595" s="41">
        <v>182</v>
      </c>
      <c r="D595" s="620" t="s">
        <v>1209</v>
      </c>
      <c r="E595" s="293"/>
      <c r="F595" s="229">
        <f>' WP II-I-1.4'!I595</f>
        <v>2671995.9100000011</v>
      </c>
      <c r="G595" s="293">
        <v>64</v>
      </c>
      <c r="H595" s="45" t="str">
        <f t="shared" si="213"/>
        <v>PLANT</v>
      </c>
      <c r="I595" s="293"/>
      <c r="J595" s="369">
        <f t="shared" ca="1" si="214"/>
        <v>1317090.7239799409</v>
      </c>
      <c r="K595" s="369">
        <f t="shared" ca="1" si="214"/>
        <v>183777.32744112922</v>
      </c>
      <c r="L595" s="369">
        <f t="shared" ca="1" si="214"/>
        <v>718270.58830549999</v>
      </c>
      <c r="M595" s="369">
        <f t="shared" ca="1" si="214"/>
        <v>30214.176612928266</v>
      </c>
      <c r="N595" s="369">
        <f t="shared" ca="1" si="214"/>
        <v>232579.64023221185</v>
      </c>
      <c r="O595" s="369">
        <f t="shared" ca="1" si="214"/>
        <v>7631.1134975842333</v>
      </c>
      <c r="P595" s="369">
        <f t="shared" ca="1" si="214"/>
        <v>15917.660056310675</v>
      </c>
      <c r="Q595" s="369">
        <f t="shared" ca="1" si="214"/>
        <v>163532.63556509206</v>
      </c>
      <c r="R595" s="369">
        <f t="shared" ca="1" si="214"/>
        <v>842.69965003997697</v>
      </c>
      <c r="S595" s="369">
        <f t="shared" ca="1" si="214"/>
        <v>2139.3446592650635</v>
      </c>
      <c r="T595" s="293"/>
      <c r="U595" s="97">
        <f t="shared" ca="1" si="215"/>
        <v>2671995.9100000015</v>
      </c>
      <c r="V595" s="41"/>
      <c r="W595" s="643">
        <f t="shared" ca="1" si="216"/>
        <v>0</v>
      </c>
    </row>
    <row r="596" spans="1:23" ht="15" x14ac:dyDescent="0.2">
      <c r="A596" s="38"/>
      <c r="B596" s="16">
        <f t="shared" si="212"/>
        <v>7</v>
      </c>
      <c r="C596" s="41">
        <v>182</v>
      </c>
      <c r="D596" s="620" t="s">
        <v>1355</v>
      </c>
      <c r="E596" s="293"/>
      <c r="F596" s="229">
        <f>' WP II-I-1.4'!I596</f>
        <v>0</v>
      </c>
      <c r="G596" s="293">
        <v>64</v>
      </c>
      <c r="H596" s="45" t="str">
        <f t="shared" si="213"/>
        <v>PLANT</v>
      </c>
      <c r="I596" s="293"/>
      <c r="J596" s="370">
        <f t="shared" ca="1" si="214"/>
        <v>0</v>
      </c>
      <c r="K596" s="370">
        <f t="shared" ca="1" si="214"/>
        <v>0</v>
      </c>
      <c r="L596" s="370">
        <f t="shared" ca="1" si="214"/>
        <v>0</v>
      </c>
      <c r="M596" s="370">
        <f t="shared" ca="1" si="214"/>
        <v>0</v>
      </c>
      <c r="N596" s="370">
        <f t="shared" ca="1" si="214"/>
        <v>0</v>
      </c>
      <c r="O596" s="370">
        <f t="shared" ca="1" si="214"/>
        <v>0</v>
      </c>
      <c r="P596" s="370">
        <f t="shared" ca="1" si="214"/>
        <v>0</v>
      </c>
      <c r="Q596" s="370">
        <f t="shared" ca="1" si="214"/>
        <v>0</v>
      </c>
      <c r="R596" s="370">
        <f t="shared" ca="1" si="214"/>
        <v>0</v>
      </c>
      <c r="S596" s="370">
        <f t="shared" ca="1" si="214"/>
        <v>0</v>
      </c>
      <c r="T596" s="293"/>
      <c r="U596" s="97">
        <f t="shared" ca="1" si="215"/>
        <v>0</v>
      </c>
      <c r="V596" s="41"/>
      <c r="W596" s="643">
        <f t="shared" ca="1" si="216"/>
        <v>0</v>
      </c>
    </row>
    <row r="597" spans="1:23" ht="15.75" x14ac:dyDescent="0.25">
      <c r="A597" s="36"/>
      <c r="B597" s="16">
        <f t="shared" si="212"/>
        <v>8</v>
      </c>
      <c r="C597" s="33"/>
      <c r="D597" s="42" t="s">
        <v>566</v>
      </c>
      <c r="E597" s="35"/>
      <c r="F597" s="20">
        <f>SUM(F591:F596)</f>
        <v>2671995.9100000011</v>
      </c>
      <c r="G597" s="35"/>
      <c r="H597" s="35"/>
      <c r="I597" s="806"/>
      <c r="J597" s="804">
        <f t="shared" ref="J597:S597" ca="1" si="217">SUM(J591:J596)</f>
        <v>1317090.7239799409</v>
      </c>
      <c r="K597" s="804">
        <f t="shared" ca="1" si="217"/>
        <v>183777.32744112922</v>
      </c>
      <c r="L597" s="804">
        <f t="shared" ca="1" si="217"/>
        <v>718270.58830549999</v>
      </c>
      <c r="M597" s="804">
        <f t="shared" ca="1" si="217"/>
        <v>30214.176612928266</v>
      </c>
      <c r="N597" s="804">
        <f t="shared" ca="1" si="217"/>
        <v>232579.64023221185</v>
      </c>
      <c r="O597" s="804">
        <f t="shared" ca="1" si="217"/>
        <v>7631.1134975842333</v>
      </c>
      <c r="P597" s="804">
        <f t="shared" ca="1" si="217"/>
        <v>15917.660056310675</v>
      </c>
      <c r="Q597" s="804">
        <f t="shared" ca="1" si="217"/>
        <v>163532.63556509206</v>
      </c>
      <c r="R597" s="804">
        <f t="shared" ca="1" si="217"/>
        <v>842.69965003997697</v>
      </c>
      <c r="S597" s="804">
        <f t="shared" ca="1" si="217"/>
        <v>2139.3446592650635</v>
      </c>
      <c r="T597" s="806"/>
      <c r="U597" s="97">
        <f t="shared" ca="1" si="215"/>
        <v>2671995.9100000015</v>
      </c>
      <c r="V597" s="34"/>
      <c r="W597" s="643">
        <f t="shared" ca="1" si="216"/>
        <v>0</v>
      </c>
    </row>
    <row r="598" spans="1:23" ht="15.75" x14ac:dyDescent="0.25">
      <c r="A598" s="36"/>
      <c r="B598" s="16">
        <f t="shared" si="212"/>
        <v>9</v>
      </c>
      <c r="C598" s="33"/>
      <c r="D598" s="42"/>
      <c r="E598" s="35"/>
      <c r="F598" s="20"/>
      <c r="G598" s="35"/>
      <c r="H598" s="35"/>
      <c r="I598" s="806"/>
      <c r="J598" s="806"/>
      <c r="K598" s="806"/>
      <c r="L598" s="806"/>
      <c r="M598" s="806"/>
      <c r="N598" s="806"/>
      <c r="O598" s="806"/>
      <c r="P598" s="806"/>
      <c r="Q598" s="806"/>
      <c r="R598" s="806"/>
      <c r="S598" s="806"/>
      <c r="T598" s="806"/>
      <c r="U598" s="97"/>
      <c r="V598" s="34"/>
      <c r="W598" s="643">
        <f t="shared" si="216"/>
        <v>0</v>
      </c>
    </row>
    <row r="599" spans="1:23" ht="15.75" x14ac:dyDescent="0.25">
      <c r="A599" s="38"/>
      <c r="B599" s="16">
        <f t="shared" si="212"/>
        <v>10</v>
      </c>
      <c r="C599" s="34" t="s">
        <v>137</v>
      </c>
      <c r="D599" s="41"/>
      <c r="E599" s="806" t="s">
        <v>127</v>
      </c>
      <c r="F599" s="202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02"/>
      <c r="V599" s="41"/>
      <c r="W599" s="643">
        <f t="shared" si="216"/>
        <v>0</v>
      </c>
    </row>
    <row r="600" spans="1:23" ht="15" x14ac:dyDescent="0.2">
      <c r="A600" s="38"/>
      <c r="B600" s="16">
        <f t="shared" si="212"/>
        <v>11</v>
      </c>
      <c r="C600" s="41">
        <v>254</v>
      </c>
      <c r="D600" s="41" t="s">
        <v>138</v>
      </c>
      <c r="E600" s="293"/>
      <c r="F600" s="229">
        <f>' WP II-I-1.4'!I600</f>
        <v>0</v>
      </c>
      <c r="G600" s="293">
        <v>64</v>
      </c>
      <c r="H600" s="45" t="str">
        <f t="shared" ref="H600:H609" si="218">VLOOKUP(G600,FactorTable,2)</f>
        <v>PLANT</v>
      </c>
      <c r="I600" s="293"/>
      <c r="J600" s="369">
        <f t="shared" ref="J600:S609" ca="1" si="219">$F600*HLOOKUP(J$1354,FactorTable,$G600+1)</f>
        <v>0</v>
      </c>
      <c r="K600" s="369">
        <f t="shared" ca="1" si="219"/>
        <v>0</v>
      </c>
      <c r="L600" s="369">
        <f t="shared" ca="1" si="219"/>
        <v>0</v>
      </c>
      <c r="M600" s="369">
        <f t="shared" ca="1" si="219"/>
        <v>0</v>
      </c>
      <c r="N600" s="369">
        <f t="shared" ca="1" si="219"/>
        <v>0</v>
      </c>
      <c r="O600" s="369">
        <f t="shared" ca="1" si="219"/>
        <v>0</v>
      </c>
      <c r="P600" s="369">
        <f t="shared" ca="1" si="219"/>
        <v>0</v>
      </c>
      <c r="Q600" s="369">
        <f t="shared" ca="1" si="219"/>
        <v>0</v>
      </c>
      <c r="R600" s="369">
        <f t="shared" ca="1" si="219"/>
        <v>0</v>
      </c>
      <c r="S600" s="369">
        <f t="shared" ca="1" si="219"/>
        <v>0</v>
      </c>
      <c r="T600" s="293"/>
      <c r="U600" s="97">
        <f t="shared" ref="U600:U610" ca="1" si="220">SUM(I600:T600)</f>
        <v>0</v>
      </c>
      <c r="V600" s="41"/>
      <c r="W600" s="643">
        <f t="shared" ca="1" si="216"/>
        <v>0</v>
      </c>
    </row>
    <row r="601" spans="1:23" ht="15" x14ac:dyDescent="0.2">
      <c r="A601" s="38"/>
      <c r="B601" s="16">
        <f t="shared" si="212"/>
        <v>12</v>
      </c>
      <c r="C601" s="41">
        <v>254</v>
      </c>
      <c r="D601" s="41" t="s">
        <v>1211</v>
      </c>
      <c r="E601" s="293"/>
      <c r="F601" s="229">
        <f>' WP II-I-1.4'!I601</f>
        <v>-911807.07</v>
      </c>
      <c r="G601" s="293">
        <v>64</v>
      </c>
      <c r="H601" s="45" t="str">
        <f t="shared" si="218"/>
        <v>PLANT</v>
      </c>
      <c r="I601" s="293"/>
      <c r="J601" s="369">
        <f t="shared" ca="1" si="219"/>
        <v>-449451.52403183433</v>
      </c>
      <c r="K601" s="369">
        <f t="shared" ca="1" si="219"/>
        <v>-62713.219672004125</v>
      </c>
      <c r="L601" s="369">
        <f t="shared" ca="1" si="219"/>
        <v>-245106.7376783574</v>
      </c>
      <c r="M601" s="369">
        <f t="shared" ca="1" si="219"/>
        <v>-10310.457342689808</v>
      </c>
      <c r="N601" s="369">
        <f t="shared" ca="1" si="219"/>
        <v>-79366.798245505968</v>
      </c>
      <c r="O601" s="369">
        <f t="shared" ca="1" si="219"/>
        <v>-2604.0845395866377</v>
      </c>
      <c r="P601" s="369">
        <f t="shared" ca="1" si="219"/>
        <v>-5431.8327819598589</v>
      </c>
      <c r="Q601" s="369">
        <f t="shared" ca="1" si="219"/>
        <v>-55804.805960194863</v>
      </c>
      <c r="R601" s="369">
        <f t="shared" ca="1" si="219"/>
        <v>-287.56761786846317</v>
      </c>
      <c r="S601" s="369">
        <f t="shared" ca="1" si="219"/>
        <v>-730.04212999885351</v>
      </c>
      <c r="T601" s="293"/>
      <c r="U601" s="97">
        <f t="shared" ca="1" si="220"/>
        <v>-911807.07000000053</v>
      </c>
      <c r="V601" s="41"/>
      <c r="W601" s="643">
        <f t="shared" ca="1" si="216"/>
        <v>0</v>
      </c>
    </row>
    <row r="602" spans="1:23" ht="15" x14ac:dyDescent="0.2">
      <c r="A602" s="38"/>
      <c r="B602" s="16">
        <f t="shared" si="212"/>
        <v>13</v>
      </c>
      <c r="C602" s="41">
        <v>254</v>
      </c>
      <c r="D602" s="611" t="s">
        <v>1356</v>
      </c>
      <c r="E602" s="293"/>
      <c r="F602" s="229">
        <f>' WP II-I-1.4'!I602</f>
        <v>0</v>
      </c>
      <c r="G602" s="293">
        <v>64</v>
      </c>
      <c r="H602" s="45" t="str">
        <f t="shared" si="218"/>
        <v>PLANT</v>
      </c>
      <c r="I602" s="293"/>
      <c r="J602" s="369">
        <f t="shared" ca="1" si="219"/>
        <v>0</v>
      </c>
      <c r="K602" s="369">
        <f t="shared" ca="1" si="219"/>
        <v>0</v>
      </c>
      <c r="L602" s="369">
        <f t="shared" ca="1" si="219"/>
        <v>0</v>
      </c>
      <c r="M602" s="369">
        <f t="shared" ca="1" si="219"/>
        <v>0</v>
      </c>
      <c r="N602" s="369">
        <f t="shared" ca="1" si="219"/>
        <v>0</v>
      </c>
      <c r="O602" s="369">
        <f t="shared" ca="1" si="219"/>
        <v>0</v>
      </c>
      <c r="P602" s="369">
        <f t="shared" ca="1" si="219"/>
        <v>0</v>
      </c>
      <c r="Q602" s="369">
        <f t="shared" ca="1" si="219"/>
        <v>0</v>
      </c>
      <c r="R602" s="369">
        <f t="shared" ca="1" si="219"/>
        <v>0</v>
      </c>
      <c r="S602" s="369">
        <f t="shared" ca="1" si="219"/>
        <v>0</v>
      </c>
      <c r="T602" s="293"/>
      <c r="U602" s="97">
        <f t="shared" ca="1" si="220"/>
        <v>0</v>
      </c>
      <c r="V602" s="41"/>
      <c r="W602" s="643">
        <f t="shared" ca="1" si="216"/>
        <v>0</v>
      </c>
    </row>
    <row r="603" spans="1:23" ht="15" x14ac:dyDescent="0.2">
      <c r="A603" s="38"/>
      <c r="B603" s="16">
        <f>B602+1</f>
        <v>14</v>
      </c>
      <c r="C603" s="41">
        <v>254</v>
      </c>
      <c r="D603" s="41" t="s">
        <v>1123</v>
      </c>
      <c r="E603" s="293"/>
      <c r="F603" s="229">
        <f>' WP II-I-1.4'!I603</f>
        <v>-10413455.779999999</v>
      </c>
      <c r="G603" s="293">
        <v>64</v>
      </c>
      <c r="H603" s="45" t="str">
        <f t="shared" si="218"/>
        <v>PLANT</v>
      </c>
      <c r="I603" s="293"/>
      <c r="J603" s="369">
        <f t="shared" ca="1" si="219"/>
        <v>-5133041.544368716</v>
      </c>
      <c r="K603" s="369">
        <f t="shared" ca="1" si="219"/>
        <v>-716227.54567568889</v>
      </c>
      <c r="L603" s="369">
        <f t="shared" ca="1" si="219"/>
        <v>-2799285.3512241738</v>
      </c>
      <c r="M603" s="369">
        <f t="shared" ca="1" si="219"/>
        <v>-117752.42279013763</v>
      </c>
      <c r="N603" s="369">
        <f t="shared" ca="1" si="219"/>
        <v>-906422.71936952404</v>
      </c>
      <c r="O603" s="369">
        <f t="shared" ca="1" si="219"/>
        <v>-29740.413397284919</v>
      </c>
      <c r="P603" s="369">
        <f t="shared" ca="1" si="219"/>
        <v>-62035.218129305984</v>
      </c>
      <c r="Q603" s="369">
        <f t="shared" ca="1" si="219"/>
        <v>-637328.7708527745</v>
      </c>
      <c r="R603" s="369">
        <f t="shared" ca="1" si="219"/>
        <v>-3284.2174303750235</v>
      </c>
      <c r="S603" s="369">
        <f t="shared" ca="1" si="219"/>
        <v>-8337.5767620227743</v>
      </c>
      <c r="T603" s="293"/>
      <c r="U603" s="97">
        <f t="shared" ref="U603:U606" ca="1" si="221">SUM(I603:T603)</f>
        <v>-10413455.780000001</v>
      </c>
      <c r="V603" s="41"/>
      <c r="W603" s="643"/>
    </row>
    <row r="604" spans="1:23" ht="15" x14ac:dyDescent="0.2">
      <c r="A604" s="38"/>
      <c r="B604" s="16">
        <f t="shared" ref="B604:B622" si="222">B603+1</f>
        <v>15</v>
      </c>
      <c r="C604" s="41">
        <v>254</v>
      </c>
      <c r="D604" s="611" t="s">
        <v>1334</v>
      </c>
      <c r="E604" s="293"/>
      <c r="F604" s="229">
        <f>' WP II-I-1.4'!I604</f>
        <v>0</v>
      </c>
      <c r="G604" s="293">
        <v>64</v>
      </c>
      <c r="H604" s="45" t="str">
        <f t="shared" si="218"/>
        <v>PLANT</v>
      </c>
      <c r="I604" s="293"/>
      <c r="J604" s="369">
        <f t="shared" ca="1" si="219"/>
        <v>0</v>
      </c>
      <c r="K604" s="369">
        <f t="shared" ca="1" si="219"/>
        <v>0</v>
      </c>
      <c r="L604" s="369">
        <f t="shared" ca="1" si="219"/>
        <v>0</v>
      </c>
      <c r="M604" s="369">
        <f t="shared" ca="1" si="219"/>
        <v>0</v>
      </c>
      <c r="N604" s="369">
        <f t="shared" ca="1" si="219"/>
        <v>0</v>
      </c>
      <c r="O604" s="369">
        <f t="shared" ca="1" si="219"/>
        <v>0</v>
      </c>
      <c r="P604" s="369">
        <f t="shared" ca="1" si="219"/>
        <v>0</v>
      </c>
      <c r="Q604" s="369">
        <f t="shared" ca="1" si="219"/>
        <v>0</v>
      </c>
      <c r="R604" s="369">
        <f t="shared" ca="1" si="219"/>
        <v>0</v>
      </c>
      <c r="S604" s="369">
        <f t="shared" ca="1" si="219"/>
        <v>0</v>
      </c>
      <c r="T604" s="293"/>
      <c r="U604" s="97">
        <f t="shared" ca="1" si="221"/>
        <v>0</v>
      </c>
      <c r="V604" s="41"/>
      <c r="W604" s="643"/>
    </row>
    <row r="605" spans="1:23" ht="15" x14ac:dyDescent="0.2">
      <c r="A605" s="38"/>
      <c r="B605" s="16">
        <f t="shared" si="222"/>
        <v>16</v>
      </c>
      <c r="C605" s="41">
        <v>254</v>
      </c>
      <c r="D605" s="41" t="s">
        <v>1125</v>
      </c>
      <c r="E605" s="293"/>
      <c r="F605" s="229">
        <f>' WP II-I-1.4'!I605</f>
        <v>183687.79000000004</v>
      </c>
      <c r="G605" s="293">
        <v>64</v>
      </c>
      <c r="H605" s="45" t="str">
        <f t="shared" si="218"/>
        <v>PLANT</v>
      </c>
      <c r="I605" s="293"/>
      <c r="J605" s="369">
        <f t="shared" ca="1" si="219"/>
        <v>90544.107276487295</v>
      </c>
      <c r="K605" s="369">
        <f t="shared" ca="1" si="219"/>
        <v>12633.870809243634</v>
      </c>
      <c r="L605" s="369">
        <f t="shared" ca="1" si="219"/>
        <v>49377.896311165052</v>
      </c>
      <c r="M605" s="369">
        <f t="shared" ca="1" si="219"/>
        <v>2077.0897544893614</v>
      </c>
      <c r="N605" s="369">
        <f t="shared" ca="1" si="219"/>
        <v>15988.81194142624</v>
      </c>
      <c r="O605" s="369">
        <f t="shared" ca="1" si="219"/>
        <v>524.60498474730741</v>
      </c>
      <c r="P605" s="369">
        <f t="shared" ca="1" si="219"/>
        <v>1094.2680663440772</v>
      </c>
      <c r="Q605" s="369">
        <f t="shared" ca="1" si="219"/>
        <v>11242.138622819655</v>
      </c>
      <c r="R605" s="369">
        <f t="shared" ca="1" si="219"/>
        <v>57.931838806451154</v>
      </c>
      <c r="S605" s="369">
        <f t="shared" ca="1" si="219"/>
        <v>147.07039447103887</v>
      </c>
      <c r="T605" s="293"/>
      <c r="U605" s="97">
        <f t="shared" ca="1" si="221"/>
        <v>183687.79000000012</v>
      </c>
      <c r="V605" s="41"/>
      <c r="W605" s="643"/>
    </row>
    <row r="606" spans="1:23" ht="15" x14ac:dyDescent="0.2">
      <c r="A606" s="38"/>
      <c r="B606" s="16">
        <f t="shared" si="222"/>
        <v>17</v>
      </c>
      <c r="C606" s="41">
        <v>254</v>
      </c>
      <c r="D606" s="41" t="s">
        <v>1126</v>
      </c>
      <c r="E606" s="293"/>
      <c r="F606" s="229">
        <f>' WP II-I-1.4'!I606</f>
        <v>256765.98</v>
      </c>
      <c r="G606" s="293">
        <v>64</v>
      </c>
      <c r="H606" s="45" t="str">
        <f t="shared" si="218"/>
        <v>PLANT</v>
      </c>
      <c r="I606" s="293"/>
      <c r="J606" s="369">
        <f t="shared" ca="1" si="219"/>
        <v>126566.09586337986</v>
      </c>
      <c r="K606" s="369">
        <f t="shared" ca="1" si="219"/>
        <v>17660.118941650035</v>
      </c>
      <c r="L606" s="369">
        <f t="shared" ca="1" si="219"/>
        <v>69022.355468889233</v>
      </c>
      <c r="M606" s="369">
        <f t="shared" ca="1" si="219"/>
        <v>2903.437328955943</v>
      </c>
      <c r="N606" s="369">
        <f t="shared" ca="1" si="219"/>
        <v>22349.786924737949</v>
      </c>
      <c r="O606" s="369">
        <f t="shared" ca="1" si="219"/>
        <v>733.31337385858592</v>
      </c>
      <c r="P606" s="369">
        <f t="shared" ca="1" si="219"/>
        <v>1529.6107184780324</v>
      </c>
      <c r="Q606" s="369">
        <f t="shared" ca="1" si="219"/>
        <v>15714.701237268622</v>
      </c>
      <c r="R606" s="369">
        <f t="shared" ca="1" si="219"/>
        <v>80.979390978248787</v>
      </c>
      <c r="S606" s="369">
        <f t="shared" ca="1" si="219"/>
        <v>205.58075180360581</v>
      </c>
      <c r="T606" s="293"/>
      <c r="U606" s="97">
        <f t="shared" ca="1" si="221"/>
        <v>256765.98000000013</v>
      </c>
      <c r="V606" s="41"/>
      <c r="W606" s="643"/>
    </row>
    <row r="607" spans="1:23" ht="15" x14ac:dyDescent="0.2">
      <c r="A607" s="38"/>
      <c r="B607" s="16">
        <f t="shared" si="222"/>
        <v>18</v>
      </c>
      <c r="C607" s="41">
        <v>254</v>
      </c>
      <c r="D607" s="41" t="s">
        <v>1127</v>
      </c>
      <c r="E607" s="293"/>
      <c r="F607" s="229">
        <f>' WP II-I-1.4'!I607</f>
        <v>0</v>
      </c>
      <c r="G607" s="293">
        <v>64</v>
      </c>
      <c r="H607" s="45" t="str">
        <f t="shared" si="218"/>
        <v>PLANT</v>
      </c>
      <c r="I607" s="293"/>
      <c r="J607" s="369">
        <f t="shared" ca="1" si="219"/>
        <v>0</v>
      </c>
      <c r="K607" s="369">
        <f t="shared" ca="1" si="219"/>
        <v>0</v>
      </c>
      <c r="L607" s="369">
        <f t="shared" ca="1" si="219"/>
        <v>0</v>
      </c>
      <c r="M607" s="369">
        <f t="shared" ca="1" si="219"/>
        <v>0</v>
      </c>
      <c r="N607" s="369">
        <f t="shared" ca="1" si="219"/>
        <v>0</v>
      </c>
      <c r="O607" s="369">
        <f t="shared" ca="1" si="219"/>
        <v>0</v>
      </c>
      <c r="P607" s="369">
        <f t="shared" ca="1" si="219"/>
        <v>0</v>
      </c>
      <c r="Q607" s="369">
        <f t="shared" ca="1" si="219"/>
        <v>0</v>
      </c>
      <c r="R607" s="369">
        <f t="shared" ca="1" si="219"/>
        <v>0</v>
      </c>
      <c r="S607" s="369">
        <f t="shared" ca="1" si="219"/>
        <v>0</v>
      </c>
      <c r="T607" s="293"/>
      <c r="U607" s="97">
        <f t="shared" ca="1" si="220"/>
        <v>0</v>
      </c>
      <c r="V607" s="41"/>
      <c r="W607" s="643">
        <f t="shared" ca="1" si="216"/>
        <v>0</v>
      </c>
    </row>
    <row r="608" spans="1:23" ht="15" x14ac:dyDescent="0.2">
      <c r="A608" s="38"/>
      <c r="B608" s="16">
        <f t="shared" si="222"/>
        <v>19</v>
      </c>
      <c r="C608" s="41">
        <v>254</v>
      </c>
      <c r="D608" s="41" t="s">
        <v>1213</v>
      </c>
      <c r="E608" s="293"/>
      <c r="F608" s="229">
        <f>' WP II-I-1.4'!I608</f>
        <v>0</v>
      </c>
      <c r="G608" s="293">
        <v>37</v>
      </c>
      <c r="H608" s="45" t="str">
        <f t="shared" si="218"/>
        <v>OPEB TOTAL</v>
      </c>
      <c r="I608" s="293"/>
      <c r="J608" s="369">
        <f t="shared" ca="1" si="219"/>
        <v>0</v>
      </c>
      <c r="K608" s="369">
        <f t="shared" ca="1" si="219"/>
        <v>0</v>
      </c>
      <c r="L608" s="369">
        <f t="shared" ca="1" si="219"/>
        <v>0</v>
      </c>
      <c r="M608" s="369">
        <f t="shared" ca="1" si="219"/>
        <v>0</v>
      </c>
      <c r="N608" s="369">
        <f t="shared" ca="1" si="219"/>
        <v>0</v>
      </c>
      <c r="O608" s="369">
        <f t="shared" ca="1" si="219"/>
        <v>0</v>
      </c>
      <c r="P608" s="369">
        <f t="shared" ca="1" si="219"/>
        <v>0</v>
      </c>
      <c r="Q608" s="369">
        <f t="shared" ca="1" si="219"/>
        <v>0</v>
      </c>
      <c r="R608" s="369">
        <f t="shared" ca="1" si="219"/>
        <v>0</v>
      </c>
      <c r="S608" s="369">
        <f t="shared" ca="1" si="219"/>
        <v>0</v>
      </c>
      <c r="T608" s="293"/>
      <c r="U608" s="97">
        <f t="shared" ca="1" si="220"/>
        <v>0</v>
      </c>
      <c r="V608" s="41"/>
      <c r="W608" s="643">
        <f t="shared" ca="1" si="216"/>
        <v>0</v>
      </c>
    </row>
    <row r="609" spans="1:23" ht="15" x14ac:dyDescent="0.2">
      <c r="A609" s="38"/>
      <c r="B609" s="16">
        <f t="shared" si="222"/>
        <v>20</v>
      </c>
      <c r="C609" s="41">
        <v>254</v>
      </c>
      <c r="D609" s="41" t="s">
        <v>139</v>
      </c>
      <c r="E609" s="293"/>
      <c r="F609" s="229">
        <f>' WP II-I-1.4'!I609</f>
        <v>0</v>
      </c>
      <c r="G609" s="293">
        <v>37</v>
      </c>
      <c r="H609" s="45" t="str">
        <f t="shared" si="218"/>
        <v>OPEB TOTAL</v>
      </c>
      <c r="I609" s="293"/>
      <c r="J609" s="370">
        <f t="shared" ca="1" si="219"/>
        <v>0</v>
      </c>
      <c r="K609" s="370">
        <f t="shared" ca="1" si="219"/>
        <v>0</v>
      </c>
      <c r="L609" s="370">
        <f t="shared" ca="1" si="219"/>
        <v>0</v>
      </c>
      <c r="M609" s="370">
        <f t="shared" ca="1" si="219"/>
        <v>0</v>
      </c>
      <c r="N609" s="370">
        <f t="shared" ca="1" si="219"/>
        <v>0</v>
      </c>
      <c r="O609" s="370">
        <f t="shared" ca="1" si="219"/>
        <v>0</v>
      </c>
      <c r="P609" s="370">
        <f t="shared" ca="1" si="219"/>
        <v>0</v>
      </c>
      <c r="Q609" s="370">
        <f t="shared" ca="1" si="219"/>
        <v>0</v>
      </c>
      <c r="R609" s="370">
        <f t="shared" ca="1" si="219"/>
        <v>0</v>
      </c>
      <c r="S609" s="370">
        <f t="shared" ca="1" si="219"/>
        <v>0</v>
      </c>
      <c r="T609" s="293"/>
      <c r="U609" s="97">
        <f t="shared" ca="1" si="220"/>
        <v>0</v>
      </c>
      <c r="V609" s="41"/>
      <c r="W609" s="643">
        <f t="shared" ca="1" si="216"/>
        <v>0</v>
      </c>
    </row>
    <row r="610" spans="1:23" ht="15.75" x14ac:dyDescent="0.25">
      <c r="A610" s="36"/>
      <c r="B610" s="16">
        <f t="shared" si="222"/>
        <v>21</v>
      </c>
      <c r="C610" s="33"/>
      <c r="D610" s="42" t="s">
        <v>567</v>
      </c>
      <c r="E610" s="35"/>
      <c r="F610" s="20">
        <f>SUM(F600:F609)</f>
        <v>-10884809.079999998</v>
      </c>
      <c r="G610" s="35"/>
      <c r="H610" s="35"/>
      <c r="I610" s="806"/>
      <c r="J610" s="804">
        <f t="shared" ref="J610:Q610" ca="1" si="223">SUM(J600:J609)</f>
        <v>-5365382.8652606839</v>
      </c>
      <c r="K610" s="804">
        <f t="shared" ca="1" si="223"/>
        <v>-748646.77559679933</v>
      </c>
      <c r="L610" s="804">
        <f t="shared" ca="1" si="223"/>
        <v>-2925991.8371224771</v>
      </c>
      <c r="M610" s="804">
        <f t="shared" ca="1" si="223"/>
        <v>-123082.35304938213</v>
      </c>
      <c r="N610" s="804">
        <f t="shared" ca="1" si="223"/>
        <v>-947450.91874886584</v>
      </c>
      <c r="O610" s="804">
        <f ca="1">SUM(O600:O609)</f>
        <v>-31086.579578265664</v>
      </c>
      <c r="P610" s="804">
        <f t="shared" ca="1" si="223"/>
        <v>-64843.172126443729</v>
      </c>
      <c r="Q610" s="804">
        <f t="shared" ca="1" si="223"/>
        <v>-666176.7369528811</v>
      </c>
      <c r="R610" s="804">
        <f ca="1">SUM(R600:R609)</f>
        <v>-3432.8738184587864</v>
      </c>
      <c r="S610" s="804">
        <f ca="1">SUM(S600:S609)</f>
        <v>-8714.9677457469843</v>
      </c>
      <c r="T610" s="35"/>
      <c r="U610" s="20">
        <f t="shared" ca="1" si="220"/>
        <v>-10884809.080000004</v>
      </c>
      <c r="V610" s="34"/>
      <c r="W610" s="643">
        <f t="shared" ca="1" si="216"/>
        <v>0</v>
      </c>
    </row>
    <row r="611" spans="1:23" ht="16.5" thickBot="1" x14ac:dyDescent="0.3">
      <c r="A611" s="38"/>
      <c r="B611" s="16">
        <f t="shared" si="222"/>
        <v>22</v>
      </c>
      <c r="C611" s="33"/>
      <c r="D611" s="41"/>
      <c r="E611" s="293"/>
      <c r="F611" s="281"/>
      <c r="G611" s="293"/>
      <c r="H611" s="293"/>
      <c r="I611" s="293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93"/>
      <c r="U611" s="41"/>
      <c r="V611" s="41"/>
      <c r="W611" s="643">
        <f t="shared" si="216"/>
        <v>0</v>
      </c>
    </row>
    <row r="612" spans="1:23" ht="16.5" thickBot="1" x14ac:dyDescent="0.3">
      <c r="A612" s="36"/>
      <c r="B612" s="16">
        <f t="shared" si="222"/>
        <v>23</v>
      </c>
      <c r="C612" s="291" t="s">
        <v>568</v>
      </c>
      <c r="D612" s="217"/>
      <c r="E612" s="272" t="s">
        <v>127</v>
      </c>
      <c r="F612" s="217">
        <f>F597+F610</f>
        <v>-8212813.1699999971</v>
      </c>
      <c r="G612" s="272"/>
      <c r="H612" s="392"/>
      <c r="I612" s="568"/>
      <c r="J612" s="291">
        <f t="shared" ref="J612:Q612" ca="1" si="224">J597+J610</f>
        <v>-4048292.1412807433</v>
      </c>
      <c r="K612" s="814">
        <f t="shared" ca="1" si="224"/>
        <v>-564869.44815567008</v>
      </c>
      <c r="L612" s="814">
        <f t="shared" ca="1" si="224"/>
        <v>-2207721.2488169773</v>
      </c>
      <c r="M612" s="814">
        <f t="shared" ca="1" si="224"/>
        <v>-92868.176436453869</v>
      </c>
      <c r="N612" s="814">
        <f t="shared" ca="1" si="224"/>
        <v>-714871.27851665393</v>
      </c>
      <c r="O612" s="814">
        <f ca="1">O597+O610</f>
        <v>-23455.466080681432</v>
      </c>
      <c r="P612" s="814">
        <f t="shared" ca="1" si="224"/>
        <v>-48925.512070133052</v>
      </c>
      <c r="Q612" s="814">
        <f t="shared" ca="1" si="224"/>
        <v>-502644.10138778901</v>
      </c>
      <c r="R612" s="814">
        <f ca="1">R597+R610</f>
        <v>-2590.1741684188096</v>
      </c>
      <c r="S612" s="218">
        <f ca="1">S597+S610</f>
        <v>-6575.6230864819208</v>
      </c>
      <c r="T612" s="392"/>
      <c r="U612" s="218">
        <f ca="1">SUM(I612:T612)</f>
        <v>-8212813.1700000037</v>
      </c>
      <c r="V612" s="34"/>
      <c r="W612" s="643">
        <f t="shared" ca="1" si="216"/>
        <v>0</v>
      </c>
    </row>
    <row r="613" spans="1:23" ht="16.5" thickBot="1" x14ac:dyDescent="0.3">
      <c r="A613" s="38"/>
      <c r="B613" s="16">
        <f t="shared" si="222"/>
        <v>24</v>
      </c>
      <c r="C613" s="44"/>
      <c r="D613" s="34"/>
      <c r="E613" s="35"/>
      <c r="F613" s="37"/>
      <c r="G613" s="35"/>
      <c r="H613" s="35"/>
      <c r="I613" s="35"/>
      <c r="J613" s="807"/>
      <c r="K613" s="807"/>
      <c r="L613" s="807"/>
      <c r="M613" s="807"/>
      <c r="N613" s="807"/>
      <c r="O613" s="807"/>
      <c r="P613" s="807"/>
      <c r="Q613" s="807"/>
      <c r="R613" s="807"/>
      <c r="S613" s="807"/>
      <c r="T613" s="35"/>
      <c r="U613" s="41"/>
      <c r="V613" s="34"/>
      <c r="W613" s="643">
        <f t="shared" si="216"/>
        <v>0</v>
      </c>
    </row>
    <row r="614" spans="1:23" ht="16.5" thickBot="1" x14ac:dyDescent="0.3">
      <c r="A614" s="36"/>
      <c r="B614" s="16">
        <f t="shared" si="222"/>
        <v>25</v>
      </c>
      <c r="C614" s="270" t="s">
        <v>569</v>
      </c>
      <c r="D614" s="271"/>
      <c r="E614" s="271"/>
      <c r="F614" s="295">
        <f>F575+F612</f>
        <v>2989198.340000012</v>
      </c>
      <c r="G614" s="271"/>
      <c r="H614" s="399"/>
      <c r="I614" s="270"/>
      <c r="J614" s="400">
        <f t="shared" ref="J614:S614" ca="1" si="225">J575+J612</f>
        <v>1525046.3529425552</v>
      </c>
      <c r="K614" s="295">
        <f t="shared" ca="1" si="225"/>
        <v>195636.10811133333</v>
      </c>
      <c r="L614" s="295">
        <f t="shared" ca="1" si="225"/>
        <v>852434.46097823046</v>
      </c>
      <c r="M614" s="295">
        <f t="shared" ca="1" si="225"/>
        <v>31235.993257548151</v>
      </c>
      <c r="N614" s="295">
        <f t="shared" ca="1" si="225"/>
        <v>264193.25017216092</v>
      </c>
      <c r="O614" s="295">
        <f t="shared" ca="1" si="225"/>
        <v>12854.575051311189</v>
      </c>
      <c r="P614" s="295">
        <f t="shared" ca="1" si="225"/>
        <v>29781.159878161889</v>
      </c>
      <c r="Q614" s="295">
        <f t="shared" ca="1" si="225"/>
        <v>84818.153785298695</v>
      </c>
      <c r="R614" s="295">
        <f t="shared" ca="1" si="225"/>
        <v>-1922.1009695685593</v>
      </c>
      <c r="S614" s="296">
        <f t="shared" ca="1" si="225"/>
        <v>-4879.6132070246467</v>
      </c>
      <c r="T614" s="399"/>
      <c r="U614" s="296">
        <f ca="1">SUM(I614:T614)</f>
        <v>2989198.3400000068</v>
      </c>
      <c r="V614" s="34"/>
      <c r="W614" s="643">
        <f t="shared" ca="1" si="216"/>
        <v>5.1222741603851318E-9</v>
      </c>
    </row>
    <row r="615" spans="1:23" ht="16.5" thickBot="1" x14ac:dyDescent="0.3">
      <c r="A615" s="38"/>
      <c r="B615" s="16">
        <f t="shared" si="222"/>
        <v>26</v>
      </c>
      <c r="C615" s="297"/>
      <c r="D615" s="297"/>
      <c r="E615" s="297"/>
      <c r="F615" s="297"/>
      <c r="G615" s="297"/>
      <c r="H615" s="297"/>
      <c r="I615" s="297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297"/>
      <c r="U615" s="297"/>
      <c r="V615" s="34"/>
      <c r="W615" s="643">
        <f t="shared" si="216"/>
        <v>0</v>
      </c>
    </row>
    <row r="616" spans="1:23" ht="16.5" thickBot="1" x14ac:dyDescent="0.3">
      <c r="A616" s="118"/>
      <c r="B616" s="16">
        <f t="shared" si="222"/>
        <v>27</v>
      </c>
      <c r="C616" s="276" t="s">
        <v>570</v>
      </c>
      <c r="D616" s="271"/>
      <c r="E616" s="272" t="s">
        <v>571</v>
      </c>
      <c r="F616" s="217">
        <f>F614+F499+F476+F455+F435+F388</f>
        <v>3694457.0953148776</v>
      </c>
      <c r="G616" s="272"/>
      <c r="H616" s="392"/>
      <c r="I616" s="568"/>
      <c r="J616" s="291">
        <f t="shared" ref="J616:S616" ca="1" si="226">J614+J499+J476+J455+J435+J388</f>
        <v>1823255.7410417821</v>
      </c>
      <c r="K616" s="814">
        <f t="shared" ca="1" si="226"/>
        <v>213110.95174323884</v>
      </c>
      <c r="L616" s="814">
        <f t="shared" ca="1" si="226"/>
        <v>1124658.6957339204</v>
      </c>
      <c r="M616" s="814">
        <f t="shared" ca="1" si="226"/>
        <v>33000.384879270016</v>
      </c>
      <c r="N616" s="814">
        <f t="shared" ca="1" si="226"/>
        <v>316361.37603097688</v>
      </c>
      <c r="O616" s="814">
        <f t="shared" ca="1" si="226"/>
        <v>20697.881077865928</v>
      </c>
      <c r="P616" s="814">
        <f t="shared" ca="1" si="226"/>
        <v>79960.768409836804</v>
      </c>
      <c r="Q616" s="814">
        <f t="shared" ca="1" si="226"/>
        <v>88890.063611290272</v>
      </c>
      <c r="R616" s="814">
        <f t="shared" ca="1" si="226"/>
        <v>-1345.6052424581608</v>
      </c>
      <c r="S616" s="218">
        <f t="shared" ca="1" si="226"/>
        <v>-4133.1619708512144</v>
      </c>
      <c r="T616" s="392"/>
      <c r="U616" s="218">
        <f ca="1">SUM(I616:T616)</f>
        <v>3694457.0953148725</v>
      </c>
      <c r="V616" s="104"/>
      <c r="W616" s="643">
        <f t="shared" ca="1" si="216"/>
        <v>5.1222741603851318E-9</v>
      </c>
    </row>
    <row r="617" spans="1:23" ht="16.5" thickBot="1" x14ac:dyDescent="0.3">
      <c r="A617" s="45"/>
      <c r="B617" s="16">
        <f t="shared" si="222"/>
        <v>28</v>
      </c>
      <c r="C617" s="34"/>
      <c r="D617" s="34"/>
      <c r="E617" s="298"/>
      <c r="F617" s="37"/>
      <c r="G617" s="298"/>
      <c r="H617" s="298"/>
      <c r="I617" s="298"/>
      <c r="J617" s="807"/>
      <c r="K617" s="807"/>
      <c r="L617" s="807"/>
      <c r="M617" s="807"/>
      <c r="N617" s="807"/>
      <c r="O617" s="807"/>
      <c r="P617" s="807"/>
      <c r="Q617" s="807"/>
      <c r="R617" s="807"/>
      <c r="S617" s="807"/>
      <c r="T617" s="298"/>
      <c r="U617" s="37"/>
      <c r="V617" s="64"/>
      <c r="W617" s="643">
        <f t="shared" si="216"/>
        <v>0</v>
      </c>
    </row>
    <row r="618" spans="1:23" ht="16.5" thickBot="1" x14ac:dyDescent="0.3">
      <c r="A618" s="118"/>
      <c r="B618" s="16">
        <f t="shared" si="222"/>
        <v>29</v>
      </c>
      <c r="C618" s="276" t="s">
        <v>572</v>
      </c>
      <c r="D618" s="271"/>
      <c r="E618" s="272" t="s">
        <v>573</v>
      </c>
      <c r="F618" s="217">
        <f>F366+F616+F411</f>
        <v>230067007.21531478</v>
      </c>
      <c r="G618" s="272"/>
      <c r="H618" s="392"/>
      <c r="I618" s="568"/>
      <c r="J618" s="291">
        <f t="shared" ref="J618:S618" ca="1" si="227">J366+J616+J411</f>
        <v>113407702.71227078</v>
      </c>
      <c r="K618" s="814">
        <f t="shared" ca="1" si="227"/>
        <v>15782798.80620056</v>
      </c>
      <c r="L618" s="814">
        <f t="shared" ca="1" si="227"/>
        <v>61976826.972783595</v>
      </c>
      <c r="M618" s="814">
        <f t="shared" ca="1" si="227"/>
        <v>2592757.3755419645</v>
      </c>
      <c r="N618" s="814">
        <f t="shared" ca="1" si="227"/>
        <v>20020600.468731493</v>
      </c>
      <c r="O618" s="814">
        <f t="shared" ca="1" si="227"/>
        <v>667208.83427138836</v>
      </c>
      <c r="P618" s="814">
        <f t="shared" ca="1" si="227"/>
        <v>1428511.2229239328</v>
      </c>
      <c r="Q618" s="814">
        <f t="shared" ca="1" si="227"/>
        <v>13943439.61668843</v>
      </c>
      <c r="R618" s="814">
        <f t="shared" ca="1" si="227"/>
        <v>70048.242349464577</v>
      </c>
      <c r="S618" s="218">
        <f t="shared" ca="1" si="227"/>
        <v>177112.96355313368</v>
      </c>
      <c r="T618" s="392"/>
      <c r="U618" s="218">
        <f ca="1">SUM(I618:T618)</f>
        <v>230067007.21531475</v>
      </c>
      <c r="V618" s="104"/>
      <c r="W618" s="643">
        <f t="shared" ca="1" si="216"/>
        <v>0</v>
      </c>
    </row>
    <row r="619" spans="1:23" ht="15" x14ac:dyDescent="0.2">
      <c r="A619" s="45"/>
      <c r="B619" s="16">
        <f t="shared" si="222"/>
        <v>30</v>
      </c>
      <c r="C619" s="41"/>
      <c r="D619" s="41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41"/>
      <c r="V619" s="64"/>
      <c r="W619" s="643">
        <f t="shared" si="216"/>
        <v>0</v>
      </c>
    </row>
    <row r="620" spans="1:23" ht="15.75" x14ac:dyDescent="0.25">
      <c r="A620" s="45"/>
      <c r="B620" s="16">
        <f t="shared" si="222"/>
        <v>31</v>
      </c>
      <c r="C620" s="299" t="s">
        <v>140</v>
      </c>
      <c r="D620" s="300"/>
      <c r="E620" s="34"/>
      <c r="F620" s="146">
        <f>' WP II-I-1.4'!$I$620</f>
        <v>7.4700000000000003E-2</v>
      </c>
      <c r="G620" s="293">
        <v>1</v>
      </c>
      <c r="H620" s="45" t="str">
        <f>VLOOKUP(G620,FactorTable,2)</f>
        <v>ASSIGNED</v>
      </c>
      <c r="I620" s="34"/>
      <c r="J620" s="970">
        <f t="shared" ref="J620:S620" si="228">$F620</f>
        <v>7.4700000000000003E-2</v>
      </c>
      <c r="K620" s="970">
        <f t="shared" si="228"/>
        <v>7.4700000000000003E-2</v>
      </c>
      <c r="L620" s="970">
        <f t="shared" si="228"/>
        <v>7.4700000000000003E-2</v>
      </c>
      <c r="M620" s="970">
        <f t="shared" si="228"/>
        <v>7.4700000000000003E-2</v>
      </c>
      <c r="N620" s="970">
        <f t="shared" si="228"/>
        <v>7.4700000000000003E-2</v>
      </c>
      <c r="O620" s="970">
        <f t="shared" si="228"/>
        <v>7.4700000000000003E-2</v>
      </c>
      <c r="P620" s="970">
        <f t="shared" si="228"/>
        <v>7.4700000000000003E-2</v>
      </c>
      <c r="Q620" s="970">
        <f t="shared" si="228"/>
        <v>7.4700000000000003E-2</v>
      </c>
      <c r="R620" s="970">
        <f t="shared" si="228"/>
        <v>7.4700000000000003E-2</v>
      </c>
      <c r="S620" s="970">
        <f t="shared" si="228"/>
        <v>7.4700000000000003E-2</v>
      </c>
      <c r="T620" s="34"/>
      <c r="U620" s="221">
        <f ca="1">U622/U618</f>
        <v>7.470000000000003E-2</v>
      </c>
      <c r="V620" s="64"/>
      <c r="W620" s="643">
        <f t="shared" ca="1" si="216"/>
        <v>0</v>
      </c>
    </row>
    <row r="621" spans="1:23" ht="15.75" thickBot="1" x14ac:dyDescent="0.25">
      <c r="A621" s="45"/>
      <c r="B621" s="16">
        <f t="shared" si="222"/>
        <v>32</v>
      </c>
      <c r="C621" s="1"/>
      <c r="D621" s="202"/>
      <c r="E621" s="202"/>
      <c r="F621" s="1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11"/>
      <c r="V621" s="64"/>
      <c r="W621" s="643">
        <f t="shared" si="216"/>
        <v>0</v>
      </c>
    </row>
    <row r="622" spans="1:23" ht="16.5" thickBot="1" x14ac:dyDescent="0.3">
      <c r="A622" s="45"/>
      <c r="B622" s="16">
        <f t="shared" si="222"/>
        <v>33</v>
      </c>
      <c r="C622" s="276" t="s">
        <v>574</v>
      </c>
      <c r="D622" s="271"/>
      <c r="E622" s="272"/>
      <c r="F622" s="217">
        <f>+F618*F620</f>
        <v>17186005.438984014</v>
      </c>
      <c r="G622" s="272"/>
      <c r="H622" s="392"/>
      <c r="I622" s="568"/>
      <c r="J622" s="291">
        <f t="shared" ref="J622:Q622" ca="1" si="229">+J618*J620</f>
        <v>8471555.3926066272</v>
      </c>
      <c r="K622" s="814">
        <f t="shared" ca="1" si="229"/>
        <v>1178975.0708231819</v>
      </c>
      <c r="L622" s="814">
        <f t="shared" ca="1" si="229"/>
        <v>4629668.9748669351</v>
      </c>
      <c r="M622" s="814">
        <f t="shared" ca="1" si="229"/>
        <v>193678.97595298477</v>
      </c>
      <c r="N622" s="814">
        <f t="shared" ca="1" si="229"/>
        <v>1495538.8550142425</v>
      </c>
      <c r="O622" s="814">
        <f ca="1">+O618*O620</f>
        <v>49840.499920072711</v>
      </c>
      <c r="P622" s="814">
        <f t="shared" ca="1" si="229"/>
        <v>106709.78835241779</v>
      </c>
      <c r="Q622" s="814">
        <f t="shared" ca="1" si="229"/>
        <v>1041574.9393666257</v>
      </c>
      <c r="R622" s="814">
        <f ca="1">+R618*R620</f>
        <v>5232.603703505004</v>
      </c>
      <c r="S622" s="218">
        <f ca="1">+S618*S620</f>
        <v>13230.338377419086</v>
      </c>
      <c r="T622" s="392"/>
      <c r="U622" s="195">
        <f ca="1">SUM(I622:T622)</f>
        <v>17186005.438984014</v>
      </c>
      <c r="V622" s="64" t="b">
        <f ca="1">IF(ROUND(U622-'WP II-I-1.1'!I494,2)=0,TRUE,U622-'WP II-I-1.1'!I494)</f>
        <v>1</v>
      </c>
      <c r="W622" s="643">
        <f t="shared" ca="1" si="216"/>
        <v>0</v>
      </c>
    </row>
    <row r="623" spans="1:23" ht="15" x14ac:dyDescent="0.2">
      <c r="A623" s="45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138"/>
    </row>
    <row r="624" spans="1:23" ht="15" x14ac:dyDescent="0.2">
      <c r="A624" s="45"/>
      <c r="B624" s="64"/>
      <c r="C624" s="64"/>
      <c r="D624" s="64"/>
      <c r="E624" s="64"/>
      <c r="F624" s="64"/>
      <c r="G624" s="64"/>
      <c r="H624" s="105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105"/>
      <c r="V624" s="105">
        <f>$H$2</f>
        <v>0</v>
      </c>
      <c r="W624" s="138"/>
    </row>
    <row r="625" spans="1:23" ht="15.75" thickBot="1" x14ac:dyDescent="0.25">
      <c r="A625" s="45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138"/>
    </row>
    <row r="626" spans="1:23" ht="15.75" x14ac:dyDescent="0.25">
      <c r="A626" s="45"/>
      <c r="B626" s="829" t="str">
        <f>+$B$4</f>
        <v>2025 RATE CASE</v>
      </c>
      <c r="C626" s="844"/>
      <c r="D626" s="872"/>
      <c r="F626" s="267"/>
      <c r="U626" s="105" t="s">
        <v>0</v>
      </c>
      <c r="W626" s="138"/>
    </row>
    <row r="627" spans="1:23" ht="15.75" x14ac:dyDescent="0.25">
      <c r="A627" s="45"/>
      <c r="B627" s="826" t="str">
        <f>+$B$5</f>
        <v>ONCOR ELECTRIC DELIVERY COMPANY LLC</v>
      </c>
      <c r="C627" s="8"/>
      <c r="D627" s="873"/>
      <c r="F627" s="267"/>
      <c r="U627" s="105"/>
      <c r="V627" s="64"/>
      <c r="W627" s="138"/>
    </row>
    <row r="628" spans="1:23" ht="15.75" x14ac:dyDescent="0.25">
      <c r="A628" s="45"/>
      <c r="B628" s="826" t="str">
        <f>+$B$6</f>
        <v>II-I-1-TBILLTDCS:  CLASS REVENUE REQUIREMENT</v>
      </c>
      <c r="C628" s="82"/>
      <c r="D628" s="873"/>
      <c r="F628" s="267"/>
      <c r="U628" s="267"/>
      <c r="V628" s="64"/>
      <c r="W628" s="138"/>
    </row>
    <row r="629" spans="1:23" ht="15.75" x14ac:dyDescent="0.25">
      <c r="A629" s="45"/>
      <c r="B629" s="341" t="str">
        <f>+$B$7</f>
        <v>TEST YEAR ENDING 12/31/2024</v>
      </c>
      <c r="C629" s="82"/>
      <c r="D629" s="873"/>
      <c r="F629" s="267"/>
      <c r="U629" s="267"/>
      <c r="V629" s="64"/>
      <c r="W629" s="138"/>
    </row>
    <row r="630" spans="1:23" ht="15.75" x14ac:dyDescent="0.25">
      <c r="A630" s="45"/>
      <c r="B630" s="341" t="str">
        <f>+$B$8</f>
        <v>SPONSOR:  MATTHEW A. TROXLE</v>
      </c>
      <c r="C630" s="82"/>
      <c r="D630" s="873"/>
      <c r="F630" s="267"/>
      <c r="U630" s="267"/>
      <c r="V630" s="64"/>
      <c r="W630" s="138"/>
    </row>
    <row r="631" spans="1:23" ht="16.5" thickBot="1" x14ac:dyDescent="0.3">
      <c r="A631" s="45"/>
      <c r="B631" s="345"/>
      <c r="C631" s="843"/>
      <c r="D631" s="845"/>
      <c r="F631" s="267"/>
      <c r="U631" s="267"/>
      <c r="V631" s="64"/>
      <c r="W631" s="138"/>
    </row>
    <row r="632" spans="1:23" ht="15.75" thickBot="1" x14ac:dyDescent="0.25">
      <c r="A632" s="45"/>
      <c r="B632" s="12"/>
      <c r="C632" s="13"/>
      <c r="D632" s="13"/>
      <c r="E632" s="13"/>
      <c r="F632" s="12"/>
      <c r="G632" s="13"/>
      <c r="H632" s="13"/>
      <c r="I632" s="13"/>
      <c r="J632" s="177"/>
      <c r="K632" s="177"/>
      <c r="L632" s="13"/>
      <c r="M632" s="177"/>
      <c r="N632" s="177"/>
      <c r="O632" s="177"/>
      <c r="P632" s="177"/>
      <c r="Q632" s="13"/>
      <c r="R632" s="328" t="str">
        <f>R$10</f>
        <v xml:space="preserve"> </v>
      </c>
      <c r="S632" s="329"/>
      <c r="T632" s="177"/>
      <c r="U632" s="12"/>
      <c r="V632" s="64"/>
      <c r="W632" s="138"/>
    </row>
    <row r="633" spans="1:23" ht="15.75" x14ac:dyDescent="0.25">
      <c r="A633" s="45"/>
      <c r="B633" s="14" t="s">
        <v>2</v>
      </c>
      <c r="C633" s="14" t="s">
        <v>349</v>
      </c>
      <c r="D633" s="226" t="s">
        <v>575</v>
      </c>
      <c r="E633" s="14" t="s">
        <v>350</v>
      </c>
      <c r="F633" s="226" t="str">
        <f>F$11</f>
        <v>TBILLTDCS</v>
      </c>
      <c r="G633" s="181" t="s">
        <v>688</v>
      </c>
      <c r="H633" s="181" t="s">
        <v>355</v>
      </c>
      <c r="I633" s="14"/>
      <c r="J633" s="181" t="s">
        <v>679</v>
      </c>
      <c r="K633" s="181" t="s">
        <v>388</v>
      </c>
      <c r="L633" s="14" t="s">
        <v>388</v>
      </c>
      <c r="M633" s="181" t="s">
        <v>389</v>
      </c>
      <c r="N633" s="181" t="s">
        <v>389</v>
      </c>
      <c r="O633" s="181" t="s">
        <v>389</v>
      </c>
      <c r="P633" s="181" t="s">
        <v>390</v>
      </c>
      <c r="Q633" s="14" t="s">
        <v>391</v>
      </c>
      <c r="R633" s="331" t="str">
        <f>R$11</f>
        <v>Wholesale</v>
      </c>
      <c r="S633" s="12" t="str">
        <f>S$11</f>
        <v>Wholesale</v>
      </c>
      <c r="T633" s="181"/>
      <c r="U633" s="14" t="s">
        <v>10</v>
      </c>
      <c r="V633" s="64"/>
      <c r="W633" s="138"/>
    </row>
    <row r="634" spans="1:23" ht="15" x14ac:dyDescent="0.2">
      <c r="A634" s="45"/>
      <c r="B634" s="14"/>
      <c r="C634" s="14"/>
      <c r="D634" s="14"/>
      <c r="E634" s="14"/>
      <c r="F634" s="14"/>
      <c r="G634" s="181" t="s">
        <v>689</v>
      </c>
      <c r="H634" s="181" t="s">
        <v>690</v>
      </c>
      <c r="I634" s="14"/>
      <c r="J634" s="181"/>
      <c r="K634" s="181" t="s">
        <v>680</v>
      </c>
      <c r="L634" s="14" t="s">
        <v>681</v>
      </c>
      <c r="M634" s="181" t="s">
        <v>680</v>
      </c>
      <c r="N634" s="181" t="s">
        <v>681</v>
      </c>
      <c r="O634" s="181" t="s">
        <v>393</v>
      </c>
      <c r="P634" s="181"/>
      <c r="Q634" s="14"/>
      <c r="R634" s="174" t="str">
        <f>R$12</f>
        <v>XFMR</v>
      </c>
      <c r="S634" s="14" t="str">
        <f>S$12</f>
        <v>DLS</v>
      </c>
      <c r="T634" s="181"/>
      <c r="U634" s="14"/>
      <c r="V634" s="64"/>
      <c r="W634" s="138"/>
    </row>
    <row r="635" spans="1:23" ht="15.75" thickBot="1" x14ac:dyDescent="0.25">
      <c r="A635" s="45"/>
      <c r="B635" s="15"/>
      <c r="C635" s="15"/>
      <c r="D635" s="15"/>
      <c r="E635" s="15"/>
      <c r="F635" s="15" t="s">
        <v>13</v>
      </c>
      <c r="G635" s="15" t="s">
        <v>14</v>
      </c>
      <c r="H635" s="15" t="s">
        <v>15</v>
      </c>
      <c r="I635" s="15"/>
      <c r="J635" s="182" t="str">
        <f t="shared" ref="J635:Q635" si="230">J$13</f>
        <v>(d)</v>
      </c>
      <c r="K635" s="182" t="str">
        <f t="shared" si="230"/>
        <v>(e)</v>
      </c>
      <c r="L635" s="15" t="str">
        <f t="shared" si="230"/>
        <v>(f)</v>
      </c>
      <c r="M635" s="182" t="str">
        <f t="shared" si="230"/>
        <v>(g)</v>
      </c>
      <c r="N635" s="182" t="str">
        <f t="shared" si="230"/>
        <v>(h)</v>
      </c>
      <c r="O635" s="182" t="str">
        <f>O$13</f>
        <v>(i)</v>
      </c>
      <c r="P635" s="182" t="str">
        <f t="shared" si="230"/>
        <v>(j)</v>
      </c>
      <c r="Q635" s="182" t="str">
        <f t="shared" si="230"/>
        <v>(k)</v>
      </c>
      <c r="R635" s="182" t="str">
        <f>R$13</f>
        <v>(l)</v>
      </c>
      <c r="S635" s="15" t="str">
        <f>S$13</f>
        <v>(m)</v>
      </c>
      <c r="T635" s="15"/>
      <c r="U635" s="15" t="s">
        <v>683</v>
      </c>
      <c r="V635" s="64"/>
      <c r="W635" s="138"/>
    </row>
    <row r="636" spans="1:23" ht="15" x14ac:dyDescent="0.2">
      <c r="A636" s="45"/>
      <c r="B636" s="45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41"/>
      <c r="V636" s="64"/>
      <c r="W636" s="138"/>
    </row>
    <row r="637" spans="1:23" ht="15.75" x14ac:dyDescent="0.25">
      <c r="A637" s="45"/>
      <c r="B637" s="16">
        <f t="shared" ref="B637:B663" si="231">B636+1</f>
        <v>1</v>
      </c>
      <c r="C637" s="8" t="s">
        <v>575</v>
      </c>
      <c r="D637" s="8"/>
      <c r="E637" s="19"/>
      <c r="F637" s="8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8"/>
      <c r="V637" s="64"/>
      <c r="W637" s="138"/>
    </row>
    <row r="638" spans="1:23" ht="15.75" x14ac:dyDescent="0.25">
      <c r="A638" s="45"/>
      <c r="B638" s="16">
        <f t="shared" si="231"/>
        <v>2</v>
      </c>
      <c r="C638" s="8"/>
      <c r="D638" s="8"/>
      <c r="E638" s="19"/>
      <c r="F638" s="8"/>
      <c r="G638" s="19"/>
      <c r="H638" s="19"/>
      <c r="I638" s="19"/>
      <c r="J638" s="961"/>
      <c r="K638" s="961"/>
      <c r="L638" s="961"/>
      <c r="M638" s="961"/>
      <c r="N638" s="961"/>
      <c r="O638" s="961"/>
      <c r="P638" s="961"/>
      <c r="Q638" s="961"/>
      <c r="R638" s="961"/>
      <c r="S638" s="961"/>
      <c r="T638" s="913"/>
      <c r="U638" s="8"/>
      <c r="V638" s="64"/>
      <c r="W638" s="138"/>
    </row>
    <row r="639" spans="1:23" ht="15.75" x14ac:dyDescent="0.25">
      <c r="A639" s="45"/>
      <c r="B639" s="16">
        <f t="shared" si="231"/>
        <v>3</v>
      </c>
      <c r="C639" s="8"/>
      <c r="D639" s="301" t="s">
        <v>576</v>
      </c>
      <c r="E639" s="19" t="s">
        <v>143</v>
      </c>
      <c r="F639" s="8"/>
      <c r="G639" s="19"/>
      <c r="H639" s="19"/>
      <c r="I639" s="913"/>
      <c r="J639" s="961"/>
      <c r="K639" s="961"/>
      <c r="L639" s="961"/>
      <c r="M639" s="961"/>
      <c r="N639" s="961"/>
      <c r="O639" s="961"/>
      <c r="P639" s="961"/>
      <c r="Q639" s="961"/>
      <c r="R639" s="961"/>
      <c r="S639" s="961"/>
      <c r="T639" s="913"/>
      <c r="U639" s="8"/>
      <c r="V639" s="64"/>
      <c r="W639" s="138"/>
    </row>
    <row r="640" spans="1:23" ht="15" x14ac:dyDescent="0.2">
      <c r="A640" s="45"/>
      <c r="B640" s="16">
        <f t="shared" si="231"/>
        <v>4</v>
      </c>
      <c r="C640" s="26" t="s">
        <v>144</v>
      </c>
      <c r="D640" s="1" t="s">
        <v>145</v>
      </c>
      <c r="E640" s="16"/>
      <c r="F640" s="97">
        <f>' WP II-I-1.4'!I640</f>
        <v>0</v>
      </c>
      <c r="G640" s="16">
        <v>28</v>
      </c>
      <c r="H640" s="45" t="str">
        <f t="shared" ref="H640:H647" si="232">VLOOKUP(G640,FactorTable,2)</f>
        <v>NCP XHV</v>
      </c>
      <c r="I640" s="16"/>
      <c r="J640" s="369">
        <f t="shared" ref="J640:S647" si="233">$F640*HLOOKUP(J$1354,FactorTable,$G640+1)</f>
        <v>0</v>
      </c>
      <c r="K640" s="369">
        <f t="shared" si="233"/>
        <v>0</v>
      </c>
      <c r="L640" s="369">
        <f t="shared" si="233"/>
        <v>0</v>
      </c>
      <c r="M640" s="369">
        <f t="shared" si="233"/>
        <v>0</v>
      </c>
      <c r="N640" s="369">
        <f t="shared" si="233"/>
        <v>0</v>
      </c>
      <c r="O640" s="369">
        <f t="shared" si="233"/>
        <v>0</v>
      </c>
      <c r="P640" s="369">
        <f t="shared" si="233"/>
        <v>0</v>
      </c>
      <c r="Q640" s="369">
        <f t="shared" si="233"/>
        <v>0</v>
      </c>
      <c r="R640" s="369">
        <f t="shared" si="233"/>
        <v>0</v>
      </c>
      <c r="S640" s="369">
        <f t="shared" si="233"/>
        <v>0</v>
      </c>
      <c r="T640" s="16"/>
      <c r="U640" s="98">
        <f t="shared" ref="U640:U648" si="234">SUM(I640:T640)</f>
        <v>0</v>
      </c>
      <c r="V640" s="64"/>
      <c r="W640" s="643">
        <f t="shared" ref="W640:W663" si="235">F640-U640</f>
        <v>0</v>
      </c>
    </row>
    <row r="641" spans="1:23" ht="15" x14ac:dyDescent="0.2">
      <c r="A641" s="45"/>
      <c r="B641" s="16">
        <f t="shared" si="231"/>
        <v>5</v>
      </c>
      <c r="C641" s="1" t="s">
        <v>146</v>
      </c>
      <c r="D641" s="1" t="s">
        <v>147</v>
      </c>
      <c r="E641" s="16"/>
      <c r="F641" s="97">
        <f>' WP II-I-1.4'!I641</f>
        <v>0</v>
      </c>
      <c r="G641" s="16">
        <v>28</v>
      </c>
      <c r="H641" s="45" t="str">
        <f t="shared" si="232"/>
        <v>NCP XHV</v>
      </c>
      <c r="I641" s="16"/>
      <c r="J641" s="369">
        <f t="shared" si="233"/>
        <v>0</v>
      </c>
      <c r="K641" s="369">
        <f t="shared" si="233"/>
        <v>0</v>
      </c>
      <c r="L641" s="369">
        <f t="shared" si="233"/>
        <v>0</v>
      </c>
      <c r="M641" s="369">
        <f t="shared" si="233"/>
        <v>0</v>
      </c>
      <c r="N641" s="369">
        <f t="shared" si="233"/>
        <v>0</v>
      </c>
      <c r="O641" s="369">
        <f t="shared" si="233"/>
        <v>0</v>
      </c>
      <c r="P641" s="369">
        <f t="shared" si="233"/>
        <v>0</v>
      </c>
      <c r="Q641" s="369">
        <f t="shared" si="233"/>
        <v>0</v>
      </c>
      <c r="R641" s="369">
        <f t="shared" si="233"/>
        <v>0</v>
      </c>
      <c r="S641" s="369">
        <f t="shared" si="233"/>
        <v>0</v>
      </c>
      <c r="T641" s="16"/>
      <c r="U641" s="98">
        <f t="shared" si="234"/>
        <v>0</v>
      </c>
      <c r="V641" s="64"/>
      <c r="W641" s="643">
        <f t="shared" si="235"/>
        <v>0</v>
      </c>
    </row>
    <row r="642" spans="1:23" ht="15" x14ac:dyDescent="0.2">
      <c r="A642" s="45"/>
      <c r="B642" s="16">
        <f t="shared" si="231"/>
        <v>6</v>
      </c>
      <c r="C642" s="1" t="s">
        <v>148</v>
      </c>
      <c r="D642" s="1" t="s">
        <v>149</v>
      </c>
      <c r="E642" s="16"/>
      <c r="F642" s="97">
        <f>' WP II-I-1.4'!I642</f>
        <v>0</v>
      </c>
      <c r="G642" s="16">
        <v>28</v>
      </c>
      <c r="H642" s="45" t="str">
        <f t="shared" si="232"/>
        <v>NCP XHV</v>
      </c>
      <c r="I642" s="16"/>
      <c r="J642" s="369">
        <f t="shared" si="233"/>
        <v>0</v>
      </c>
      <c r="K642" s="369">
        <f t="shared" si="233"/>
        <v>0</v>
      </c>
      <c r="L642" s="369">
        <f t="shared" si="233"/>
        <v>0</v>
      </c>
      <c r="M642" s="369">
        <f t="shared" si="233"/>
        <v>0</v>
      </c>
      <c r="N642" s="369">
        <f t="shared" si="233"/>
        <v>0</v>
      </c>
      <c r="O642" s="369">
        <f t="shared" si="233"/>
        <v>0</v>
      </c>
      <c r="P642" s="369">
        <f t="shared" si="233"/>
        <v>0</v>
      </c>
      <c r="Q642" s="369">
        <f t="shared" si="233"/>
        <v>0</v>
      </c>
      <c r="R642" s="369">
        <f t="shared" si="233"/>
        <v>0</v>
      </c>
      <c r="S642" s="369">
        <f t="shared" si="233"/>
        <v>0</v>
      </c>
      <c r="T642" s="16"/>
      <c r="U642" s="98">
        <f t="shared" si="234"/>
        <v>0</v>
      </c>
      <c r="V642" s="64"/>
      <c r="W642" s="643">
        <f t="shared" si="235"/>
        <v>0</v>
      </c>
    </row>
    <row r="643" spans="1:23" ht="15" x14ac:dyDescent="0.2">
      <c r="A643" s="45"/>
      <c r="B643" s="16">
        <f t="shared" si="231"/>
        <v>7</v>
      </c>
      <c r="C643" s="1" t="s">
        <v>150</v>
      </c>
      <c r="D643" s="1" t="s">
        <v>151</v>
      </c>
      <c r="E643" s="16"/>
      <c r="F643" s="97">
        <f>' WP II-I-1.4'!I643</f>
        <v>0</v>
      </c>
      <c r="G643" s="16">
        <v>28</v>
      </c>
      <c r="H643" s="45" t="str">
        <f t="shared" si="232"/>
        <v>NCP XHV</v>
      </c>
      <c r="I643" s="16"/>
      <c r="J643" s="369">
        <f t="shared" si="233"/>
        <v>0</v>
      </c>
      <c r="K643" s="369">
        <f t="shared" si="233"/>
        <v>0</v>
      </c>
      <c r="L643" s="369">
        <f t="shared" si="233"/>
        <v>0</v>
      </c>
      <c r="M643" s="369">
        <f t="shared" si="233"/>
        <v>0</v>
      </c>
      <c r="N643" s="369">
        <f t="shared" si="233"/>
        <v>0</v>
      </c>
      <c r="O643" s="369">
        <f t="shared" si="233"/>
        <v>0</v>
      </c>
      <c r="P643" s="369">
        <f t="shared" si="233"/>
        <v>0</v>
      </c>
      <c r="Q643" s="369">
        <f t="shared" si="233"/>
        <v>0</v>
      </c>
      <c r="R643" s="369">
        <f t="shared" si="233"/>
        <v>0</v>
      </c>
      <c r="S643" s="369">
        <f t="shared" si="233"/>
        <v>0</v>
      </c>
      <c r="T643" s="16"/>
      <c r="U643" s="98">
        <f t="shared" si="234"/>
        <v>0</v>
      </c>
      <c r="V643" s="64"/>
      <c r="W643" s="643">
        <f t="shared" si="235"/>
        <v>0</v>
      </c>
    </row>
    <row r="644" spans="1:23" ht="15" x14ac:dyDescent="0.2">
      <c r="A644" s="45"/>
      <c r="B644" s="16">
        <f t="shared" si="231"/>
        <v>8</v>
      </c>
      <c r="C644" s="1" t="s">
        <v>152</v>
      </c>
      <c r="D644" s="1" t="s">
        <v>153</v>
      </c>
      <c r="E644" s="16"/>
      <c r="F644" s="97">
        <f>' WP II-I-1.4'!I644</f>
        <v>0</v>
      </c>
      <c r="G644" s="16">
        <v>28</v>
      </c>
      <c r="H644" s="45" t="str">
        <f t="shared" si="232"/>
        <v>NCP XHV</v>
      </c>
      <c r="I644" s="16"/>
      <c r="J644" s="369">
        <f t="shared" si="233"/>
        <v>0</v>
      </c>
      <c r="K644" s="369">
        <f t="shared" si="233"/>
        <v>0</v>
      </c>
      <c r="L644" s="369">
        <f t="shared" si="233"/>
        <v>0</v>
      </c>
      <c r="M644" s="369">
        <f t="shared" si="233"/>
        <v>0</v>
      </c>
      <c r="N644" s="369">
        <f t="shared" si="233"/>
        <v>0</v>
      </c>
      <c r="O644" s="369">
        <f t="shared" si="233"/>
        <v>0</v>
      </c>
      <c r="P644" s="369">
        <f t="shared" si="233"/>
        <v>0</v>
      </c>
      <c r="Q644" s="369">
        <f t="shared" si="233"/>
        <v>0</v>
      </c>
      <c r="R644" s="369">
        <f t="shared" si="233"/>
        <v>0</v>
      </c>
      <c r="S644" s="369">
        <f t="shared" si="233"/>
        <v>0</v>
      </c>
      <c r="T644" s="16"/>
      <c r="U644" s="98">
        <f t="shared" si="234"/>
        <v>0</v>
      </c>
      <c r="V644" s="64"/>
      <c r="W644" s="643">
        <f t="shared" si="235"/>
        <v>0</v>
      </c>
    </row>
    <row r="645" spans="1:23" ht="15.75" x14ac:dyDescent="0.25">
      <c r="A645" s="539"/>
      <c r="B645" s="16">
        <f t="shared" si="231"/>
        <v>9</v>
      </c>
      <c r="C645" s="1" t="s">
        <v>154</v>
      </c>
      <c r="D645" s="1" t="s">
        <v>155</v>
      </c>
      <c r="E645" s="16"/>
      <c r="F645" s="97">
        <f>' WP II-I-1.4'!I645</f>
        <v>0</v>
      </c>
      <c r="G645" s="16">
        <v>23</v>
      </c>
      <c r="H645" s="45" t="str">
        <f t="shared" si="232"/>
        <v>4CP RTL</v>
      </c>
      <c r="I645" s="16"/>
      <c r="J645" s="369">
        <f t="shared" si="233"/>
        <v>0</v>
      </c>
      <c r="K645" s="369">
        <f t="shared" si="233"/>
        <v>0</v>
      </c>
      <c r="L645" s="369">
        <f t="shared" si="233"/>
        <v>0</v>
      </c>
      <c r="M645" s="369">
        <f t="shared" si="233"/>
        <v>0</v>
      </c>
      <c r="N645" s="369">
        <f t="shared" si="233"/>
        <v>0</v>
      </c>
      <c r="O645" s="369">
        <f t="shared" si="233"/>
        <v>0</v>
      </c>
      <c r="P645" s="369">
        <f t="shared" si="233"/>
        <v>0</v>
      </c>
      <c r="Q645" s="369">
        <f t="shared" si="233"/>
        <v>0</v>
      </c>
      <c r="R645" s="369">
        <f t="shared" si="233"/>
        <v>0</v>
      </c>
      <c r="S645" s="369">
        <f t="shared" si="233"/>
        <v>0</v>
      </c>
      <c r="T645" s="16"/>
      <c r="U645" s="98">
        <f t="shared" si="234"/>
        <v>0</v>
      </c>
      <c r="V645" s="302"/>
      <c r="W645" s="643">
        <f t="shared" si="235"/>
        <v>0</v>
      </c>
    </row>
    <row r="646" spans="1:23" ht="15" x14ac:dyDescent="0.2">
      <c r="A646" s="45"/>
      <c r="B646" s="16">
        <f t="shared" si="231"/>
        <v>10</v>
      </c>
      <c r="C646" s="1" t="s">
        <v>156</v>
      </c>
      <c r="D646" s="29" t="s">
        <v>157</v>
      </c>
      <c r="E646" s="16"/>
      <c r="F646" s="97">
        <f>' WP II-I-1.4'!I646</f>
        <v>0</v>
      </c>
      <c r="G646" s="16">
        <v>28</v>
      </c>
      <c r="H646" s="45" t="str">
        <f t="shared" si="232"/>
        <v>NCP XHV</v>
      </c>
      <c r="I646" s="16"/>
      <c r="J646" s="369">
        <f t="shared" si="233"/>
        <v>0</v>
      </c>
      <c r="K646" s="369">
        <f t="shared" si="233"/>
        <v>0</v>
      </c>
      <c r="L646" s="369">
        <f t="shared" si="233"/>
        <v>0</v>
      </c>
      <c r="M646" s="369">
        <f t="shared" si="233"/>
        <v>0</v>
      </c>
      <c r="N646" s="369">
        <f t="shared" si="233"/>
        <v>0</v>
      </c>
      <c r="O646" s="369">
        <f t="shared" si="233"/>
        <v>0</v>
      </c>
      <c r="P646" s="369">
        <f t="shared" si="233"/>
        <v>0</v>
      </c>
      <c r="Q646" s="369">
        <f t="shared" si="233"/>
        <v>0</v>
      </c>
      <c r="R646" s="369">
        <f t="shared" si="233"/>
        <v>0</v>
      </c>
      <c r="S646" s="369">
        <f t="shared" si="233"/>
        <v>0</v>
      </c>
      <c r="T646" s="16"/>
      <c r="U646" s="98">
        <f t="shared" si="234"/>
        <v>0</v>
      </c>
      <c r="V646" s="64"/>
      <c r="W646" s="643">
        <f t="shared" si="235"/>
        <v>0</v>
      </c>
    </row>
    <row r="647" spans="1:23" ht="15" x14ac:dyDescent="0.2">
      <c r="A647" s="45"/>
      <c r="B647" s="16">
        <f t="shared" si="231"/>
        <v>11</v>
      </c>
      <c r="C647" s="1" t="s">
        <v>158</v>
      </c>
      <c r="D647" s="1" t="s">
        <v>159</v>
      </c>
      <c r="E647" s="16"/>
      <c r="F647" s="97">
        <f>' WP II-I-1.4'!I647</f>
        <v>0</v>
      </c>
      <c r="G647" s="16">
        <v>28</v>
      </c>
      <c r="H647" s="45" t="str">
        <f t="shared" si="232"/>
        <v>NCP XHV</v>
      </c>
      <c r="I647" s="16"/>
      <c r="J647" s="369">
        <f t="shared" si="233"/>
        <v>0</v>
      </c>
      <c r="K647" s="369">
        <f t="shared" si="233"/>
        <v>0</v>
      </c>
      <c r="L647" s="369">
        <f t="shared" si="233"/>
        <v>0</v>
      </c>
      <c r="M647" s="369">
        <f t="shared" si="233"/>
        <v>0</v>
      </c>
      <c r="N647" s="369">
        <f t="shared" si="233"/>
        <v>0</v>
      </c>
      <c r="O647" s="369">
        <f t="shared" si="233"/>
        <v>0</v>
      </c>
      <c r="P647" s="369">
        <f t="shared" si="233"/>
        <v>0</v>
      </c>
      <c r="Q647" s="369">
        <f t="shared" si="233"/>
        <v>0</v>
      </c>
      <c r="R647" s="369">
        <f t="shared" si="233"/>
        <v>0</v>
      </c>
      <c r="S647" s="369">
        <f t="shared" si="233"/>
        <v>0</v>
      </c>
      <c r="T647" s="16"/>
      <c r="U647" s="98">
        <f t="shared" si="234"/>
        <v>0</v>
      </c>
      <c r="V647" s="64"/>
      <c r="W647" s="643">
        <f t="shared" si="235"/>
        <v>0</v>
      </c>
    </row>
    <row r="648" spans="1:23" ht="15.75" x14ac:dyDescent="0.25">
      <c r="A648" s="45"/>
      <c r="B648" s="16">
        <f t="shared" si="231"/>
        <v>12</v>
      </c>
      <c r="C648" s="8"/>
      <c r="D648" s="233" t="s">
        <v>444</v>
      </c>
      <c r="E648" s="19"/>
      <c r="F648" s="21">
        <f>SUM(F640:F647)</f>
        <v>0</v>
      </c>
      <c r="G648" s="19"/>
      <c r="H648" s="19"/>
      <c r="I648" s="913"/>
      <c r="J648" s="805">
        <f t="shared" ref="J648:Q648" si="236">SUM(J640:J647)</f>
        <v>0</v>
      </c>
      <c r="K648" s="805">
        <f t="shared" si="236"/>
        <v>0</v>
      </c>
      <c r="L648" s="805">
        <f t="shared" si="236"/>
        <v>0</v>
      </c>
      <c r="M648" s="805">
        <f t="shared" si="236"/>
        <v>0</v>
      </c>
      <c r="N648" s="805">
        <f t="shared" si="236"/>
        <v>0</v>
      </c>
      <c r="O648" s="805">
        <f>SUM(O640:O647)</f>
        <v>0</v>
      </c>
      <c r="P648" s="805">
        <f t="shared" si="236"/>
        <v>0</v>
      </c>
      <c r="Q648" s="805">
        <f t="shared" si="236"/>
        <v>0</v>
      </c>
      <c r="R648" s="805">
        <f>SUM(R640:R647)</f>
        <v>0</v>
      </c>
      <c r="S648" s="805">
        <f>SUM(S640:S647)</f>
        <v>0</v>
      </c>
      <c r="T648" s="913"/>
      <c r="U648" s="235">
        <f t="shared" si="234"/>
        <v>0</v>
      </c>
      <c r="V648" s="64"/>
      <c r="W648" s="643">
        <f t="shared" si="235"/>
        <v>0</v>
      </c>
    </row>
    <row r="649" spans="1:23" ht="15.75" x14ac:dyDescent="0.25">
      <c r="A649" s="45"/>
      <c r="B649" s="16">
        <f t="shared" si="231"/>
        <v>13</v>
      </c>
      <c r="C649" s="8"/>
      <c r="D649" s="19"/>
      <c r="E649" s="19"/>
      <c r="F649" s="21"/>
      <c r="G649" s="19"/>
      <c r="H649" s="19"/>
      <c r="I649" s="913"/>
      <c r="J649" s="805"/>
      <c r="K649" s="805"/>
      <c r="L649" s="805"/>
      <c r="M649" s="805"/>
      <c r="N649" s="805"/>
      <c r="O649" s="805"/>
      <c r="P649" s="805"/>
      <c r="Q649" s="805"/>
      <c r="R649" s="805"/>
      <c r="S649" s="805"/>
      <c r="T649" s="913"/>
      <c r="U649" s="8"/>
      <c r="V649" s="64"/>
      <c r="W649" s="643">
        <f t="shared" si="235"/>
        <v>0</v>
      </c>
    </row>
    <row r="650" spans="1:23" ht="15.75" x14ac:dyDescent="0.25">
      <c r="A650" s="45"/>
      <c r="B650" s="16">
        <f t="shared" si="231"/>
        <v>14</v>
      </c>
      <c r="C650" s="8"/>
      <c r="D650" s="233" t="s">
        <v>577</v>
      </c>
      <c r="E650" s="19"/>
      <c r="F650" s="21">
        <f>' WP II-I-1.4'!I650</f>
        <v>0</v>
      </c>
      <c r="G650" s="19"/>
      <c r="H650" s="19"/>
      <c r="I650" s="913"/>
      <c r="J650" s="805">
        <f t="shared" ref="J650:Q650" si="237">J648-J645</f>
        <v>0</v>
      </c>
      <c r="K650" s="805">
        <f t="shared" si="237"/>
        <v>0</v>
      </c>
      <c r="L650" s="805">
        <f t="shared" si="237"/>
        <v>0</v>
      </c>
      <c r="M650" s="805">
        <f t="shared" si="237"/>
        <v>0</v>
      </c>
      <c r="N650" s="805">
        <f t="shared" si="237"/>
        <v>0</v>
      </c>
      <c r="O650" s="805">
        <f>O648-O645</f>
        <v>0</v>
      </c>
      <c r="P650" s="805">
        <f t="shared" si="237"/>
        <v>0</v>
      </c>
      <c r="Q650" s="805">
        <f t="shared" si="237"/>
        <v>0</v>
      </c>
      <c r="R650" s="805">
        <f>R648-R645</f>
        <v>0</v>
      </c>
      <c r="S650" s="805">
        <f>S648-S645</f>
        <v>0</v>
      </c>
      <c r="T650" s="913"/>
      <c r="U650" s="235">
        <f>SUM(I650:T650)</f>
        <v>0</v>
      </c>
      <c r="V650" s="64"/>
      <c r="W650" s="643">
        <f t="shared" si="235"/>
        <v>0</v>
      </c>
    </row>
    <row r="651" spans="1:23" ht="15.75" x14ac:dyDescent="0.25">
      <c r="A651" s="45"/>
      <c r="B651" s="16">
        <f t="shared" si="231"/>
        <v>15</v>
      </c>
      <c r="C651" s="8"/>
      <c r="D651" s="19"/>
      <c r="E651" s="19"/>
      <c r="F651" s="21"/>
      <c r="G651" s="19"/>
      <c r="H651" s="19"/>
      <c r="I651" s="913"/>
      <c r="J651" s="961"/>
      <c r="K651" s="961"/>
      <c r="L651" s="961"/>
      <c r="M651" s="961"/>
      <c r="N651" s="961"/>
      <c r="O651" s="961"/>
      <c r="P651" s="961"/>
      <c r="Q651" s="961"/>
      <c r="R651" s="961"/>
      <c r="S651" s="961"/>
      <c r="T651" s="913"/>
      <c r="U651" s="8"/>
      <c r="V651" s="64"/>
      <c r="W651" s="643">
        <f t="shared" si="235"/>
        <v>0</v>
      </c>
    </row>
    <row r="652" spans="1:23" ht="15.75" x14ac:dyDescent="0.25">
      <c r="A652" s="45"/>
      <c r="B652" s="16">
        <f t="shared" si="231"/>
        <v>16</v>
      </c>
      <c r="C652" s="8"/>
      <c r="D652" s="301" t="s">
        <v>578</v>
      </c>
      <c r="E652" s="19" t="s">
        <v>143</v>
      </c>
      <c r="F652" s="21"/>
      <c r="G652" s="19"/>
      <c r="H652" s="19"/>
      <c r="I652" s="913"/>
      <c r="J652" s="961"/>
      <c r="K652" s="961"/>
      <c r="L652" s="961"/>
      <c r="M652" s="961"/>
      <c r="N652" s="961"/>
      <c r="O652" s="961"/>
      <c r="P652" s="961"/>
      <c r="Q652" s="961"/>
      <c r="R652" s="961"/>
      <c r="S652" s="961"/>
      <c r="T652" s="913"/>
      <c r="U652" s="8"/>
      <c r="V652" s="64"/>
      <c r="W652" s="643">
        <f t="shared" si="235"/>
        <v>0</v>
      </c>
    </row>
    <row r="653" spans="1:23" ht="15" x14ac:dyDescent="0.2">
      <c r="A653" s="45"/>
      <c r="B653" s="16">
        <f t="shared" si="231"/>
        <v>17</v>
      </c>
      <c r="C653" s="1" t="s">
        <v>161</v>
      </c>
      <c r="D653" s="1" t="s">
        <v>162</v>
      </c>
      <c r="E653" s="16"/>
      <c r="F653" s="97">
        <f>' WP II-I-1.4'!I653</f>
        <v>0</v>
      </c>
      <c r="G653" s="16">
        <v>28</v>
      </c>
      <c r="H653" s="45" t="str">
        <f t="shared" ref="H653:H658" si="238">VLOOKUP(G653,FactorTable,2)</f>
        <v>NCP XHV</v>
      </c>
      <c r="I653" s="16"/>
      <c r="J653" s="369">
        <f t="shared" ref="J653:S658" si="239">$F653*HLOOKUP(J$1354,FactorTable,$G653+1)</f>
        <v>0</v>
      </c>
      <c r="K653" s="369">
        <f t="shared" si="239"/>
        <v>0</v>
      </c>
      <c r="L653" s="369">
        <f t="shared" si="239"/>
        <v>0</v>
      </c>
      <c r="M653" s="369">
        <f t="shared" si="239"/>
        <v>0</v>
      </c>
      <c r="N653" s="369">
        <f t="shared" si="239"/>
        <v>0</v>
      </c>
      <c r="O653" s="369">
        <f t="shared" si="239"/>
        <v>0</v>
      </c>
      <c r="P653" s="369">
        <f t="shared" si="239"/>
        <v>0</v>
      </c>
      <c r="Q653" s="369">
        <f t="shared" si="239"/>
        <v>0</v>
      </c>
      <c r="R653" s="369">
        <f t="shared" si="239"/>
        <v>0</v>
      </c>
      <c r="S653" s="369">
        <f t="shared" si="239"/>
        <v>0</v>
      </c>
      <c r="T653" s="16"/>
      <c r="U653" s="97">
        <f t="shared" ref="U653:U659" si="240">SUM(I653:T653)</f>
        <v>0</v>
      </c>
      <c r="V653" s="64"/>
      <c r="W653" s="643">
        <f t="shared" si="235"/>
        <v>0</v>
      </c>
    </row>
    <row r="654" spans="1:23" ht="15" x14ac:dyDescent="0.2">
      <c r="A654" s="45"/>
      <c r="B654" s="16">
        <f t="shared" si="231"/>
        <v>18</v>
      </c>
      <c r="C654" s="1" t="s">
        <v>163</v>
      </c>
      <c r="D654" s="29" t="s">
        <v>164</v>
      </c>
      <c r="E654" s="16"/>
      <c r="F654" s="97">
        <f>' WP II-I-1.4'!I654</f>
        <v>0</v>
      </c>
      <c r="G654" s="16">
        <v>28</v>
      </c>
      <c r="H654" s="45" t="str">
        <f t="shared" si="238"/>
        <v>NCP XHV</v>
      </c>
      <c r="I654" s="16"/>
      <c r="J654" s="369">
        <f t="shared" si="239"/>
        <v>0</v>
      </c>
      <c r="K654" s="369">
        <f t="shared" si="239"/>
        <v>0</v>
      </c>
      <c r="L654" s="369">
        <f t="shared" si="239"/>
        <v>0</v>
      </c>
      <c r="M654" s="369">
        <f t="shared" si="239"/>
        <v>0</v>
      </c>
      <c r="N654" s="369">
        <f t="shared" si="239"/>
        <v>0</v>
      </c>
      <c r="O654" s="369">
        <f t="shared" si="239"/>
        <v>0</v>
      </c>
      <c r="P654" s="369">
        <f t="shared" si="239"/>
        <v>0</v>
      </c>
      <c r="Q654" s="369">
        <f t="shared" si="239"/>
        <v>0</v>
      </c>
      <c r="R654" s="369">
        <f t="shared" si="239"/>
        <v>0</v>
      </c>
      <c r="S654" s="369">
        <f t="shared" si="239"/>
        <v>0</v>
      </c>
      <c r="T654" s="16"/>
      <c r="U654" s="97">
        <f t="shared" si="240"/>
        <v>0</v>
      </c>
      <c r="V654" s="64"/>
      <c r="W654" s="643">
        <f t="shared" si="235"/>
        <v>0</v>
      </c>
    </row>
    <row r="655" spans="1:23" ht="15" x14ac:dyDescent="0.2">
      <c r="A655" s="45"/>
      <c r="B655" s="16">
        <f t="shared" si="231"/>
        <v>19</v>
      </c>
      <c r="C655" s="1" t="s">
        <v>165</v>
      </c>
      <c r="D655" s="1" t="s">
        <v>166</v>
      </c>
      <c r="E655" s="16"/>
      <c r="F655" s="97">
        <f>' WP II-I-1.4'!I655</f>
        <v>0</v>
      </c>
      <c r="G655" s="16">
        <v>28</v>
      </c>
      <c r="H655" s="45" t="str">
        <f t="shared" si="238"/>
        <v>NCP XHV</v>
      </c>
      <c r="I655" s="16"/>
      <c r="J655" s="369">
        <f t="shared" si="239"/>
        <v>0</v>
      </c>
      <c r="K655" s="369">
        <f t="shared" si="239"/>
        <v>0</v>
      </c>
      <c r="L655" s="369">
        <f t="shared" si="239"/>
        <v>0</v>
      </c>
      <c r="M655" s="369">
        <f t="shared" si="239"/>
        <v>0</v>
      </c>
      <c r="N655" s="369">
        <f t="shared" si="239"/>
        <v>0</v>
      </c>
      <c r="O655" s="369">
        <f t="shared" si="239"/>
        <v>0</v>
      </c>
      <c r="P655" s="369">
        <f t="shared" si="239"/>
        <v>0</v>
      </c>
      <c r="Q655" s="369">
        <f t="shared" si="239"/>
        <v>0</v>
      </c>
      <c r="R655" s="369">
        <f t="shared" si="239"/>
        <v>0</v>
      </c>
      <c r="S655" s="369">
        <f t="shared" si="239"/>
        <v>0</v>
      </c>
      <c r="T655" s="16"/>
      <c r="U655" s="97">
        <f t="shared" si="240"/>
        <v>0</v>
      </c>
      <c r="V655" s="64"/>
      <c r="W655" s="643">
        <f t="shared" si="235"/>
        <v>0</v>
      </c>
    </row>
    <row r="656" spans="1:23" ht="15" x14ac:dyDescent="0.2">
      <c r="A656" s="45"/>
      <c r="B656" s="16">
        <f t="shared" si="231"/>
        <v>20</v>
      </c>
      <c r="C656" s="1" t="s">
        <v>167</v>
      </c>
      <c r="D656" s="1" t="s">
        <v>168</v>
      </c>
      <c r="E656" s="16"/>
      <c r="F656" s="97">
        <f>' WP II-I-1.4'!I656</f>
        <v>0</v>
      </c>
      <c r="G656" s="16">
        <v>28</v>
      </c>
      <c r="H656" s="45" t="str">
        <f t="shared" si="238"/>
        <v>NCP XHV</v>
      </c>
      <c r="I656" s="16"/>
      <c r="J656" s="369">
        <f t="shared" si="239"/>
        <v>0</v>
      </c>
      <c r="K656" s="369">
        <f t="shared" si="239"/>
        <v>0</v>
      </c>
      <c r="L656" s="369">
        <f t="shared" si="239"/>
        <v>0</v>
      </c>
      <c r="M656" s="369">
        <f t="shared" si="239"/>
        <v>0</v>
      </c>
      <c r="N656" s="369">
        <f t="shared" si="239"/>
        <v>0</v>
      </c>
      <c r="O656" s="369">
        <f t="shared" si="239"/>
        <v>0</v>
      </c>
      <c r="P656" s="369">
        <f t="shared" si="239"/>
        <v>0</v>
      </c>
      <c r="Q656" s="369">
        <f t="shared" si="239"/>
        <v>0</v>
      </c>
      <c r="R656" s="369">
        <f t="shared" si="239"/>
        <v>0</v>
      </c>
      <c r="S656" s="369">
        <f t="shared" si="239"/>
        <v>0</v>
      </c>
      <c r="T656" s="16"/>
      <c r="U656" s="97">
        <f t="shared" si="240"/>
        <v>0</v>
      </c>
      <c r="V656" s="64"/>
      <c r="W656" s="643">
        <f t="shared" si="235"/>
        <v>0</v>
      </c>
    </row>
    <row r="657" spans="1:23" ht="15" x14ac:dyDescent="0.2">
      <c r="A657" s="45"/>
      <c r="B657" s="16">
        <f t="shared" si="231"/>
        <v>21</v>
      </c>
      <c r="C657" s="1" t="s">
        <v>169</v>
      </c>
      <c r="D657" s="29" t="s">
        <v>170</v>
      </c>
      <c r="E657" s="16"/>
      <c r="F657" s="97">
        <f>' WP II-I-1.4'!I657</f>
        <v>0</v>
      </c>
      <c r="G657" s="16">
        <v>28</v>
      </c>
      <c r="H657" s="45" t="str">
        <f t="shared" si="238"/>
        <v>NCP XHV</v>
      </c>
      <c r="I657" s="16"/>
      <c r="J657" s="369">
        <f t="shared" si="239"/>
        <v>0</v>
      </c>
      <c r="K657" s="369">
        <f t="shared" si="239"/>
        <v>0</v>
      </c>
      <c r="L657" s="369">
        <f t="shared" si="239"/>
        <v>0</v>
      </c>
      <c r="M657" s="369">
        <f t="shared" si="239"/>
        <v>0</v>
      </c>
      <c r="N657" s="369">
        <f t="shared" si="239"/>
        <v>0</v>
      </c>
      <c r="O657" s="369">
        <f t="shared" si="239"/>
        <v>0</v>
      </c>
      <c r="P657" s="369">
        <f t="shared" si="239"/>
        <v>0</v>
      </c>
      <c r="Q657" s="369">
        <f t="shared" si="239"/>
        <v>0</v>
      </c>
      <c r="R657" s="369">
        <f t="shared" si="239"/>
        <v>0</v>
      </c>
      <c r="S657" s="369">
        <f t="shared" si="239"/>
        <v>0</v>
      </c>
      <c r="T657" s="16"/>
      <c r="U657" s="97">
        <f t="shared" si="240"/>
        <v>0</v>
      </c>
      <c r="V657" s="64"/>
      <c r="W657" s="643">
        <f t="shared" si="235"/>
        <v>0</v>
      </c>
    </row>
    <row r="658" spans="1:23" ht="15" x14ac:dyDescent="0.2">
      <c r="A658" s="45"/>
      <c r="B658" s="16">
        <f t="shared" si="231"/>
        <v>22</v>
      </c>
      <c r="C658" s="1" t="s">
        <v>171</v>
      </c>
      <c r="D658" s="29" t="s">
        <v>172</v>
      </c>
      <c r="E658" s="16"/>
      <c r="F658" s="97">
        <f>' WP II-I-1.4'!I658</f>
        <v>0</v>
      </c>
      <c r="G658" s="16">
        <v>28</v>
      </c>
      <c r="H658" s="45" t="str">
        <f t="shared" si="238"/>
        <v>NCP XHV</v>
      </c>
      <c r="I658" s="16"/>
      <c r="J658" s="369">
        <f t="shared" si="239"/>
        <v>0</v>
      </c>
      <c r="K658" s="369">
        <f t="shared" si="239"/>
        <v>0</v>
      </c>
      <c r="L658" s="369">
        <f t="shared" si="239"/>
        <v>0</v>
      </c>
      <c r="M658" s="369">
        <f t="shared" si="239"/>
        <v>0</v>
      </c>
      <c r="N658" s="369">
        <f t="shared" si="239"/>
        <v>0</v>
      </c>
      <c r="O658" s="369">
        <f t="shared" si="239"/>
        <v>0</v>
      </c>
      <c r="P658" s="369">
        <f t="shared" si="239"/>
        <v>0</v>
      </c>
      <c r="Q658" s="369">
        <f t="shared" si="239"/>
        <v>0</v>
      </c>
      <c r="R658" s="369">
        <f t="shared" si="239"/>
        <v>0</v>
      </c>
      <c r="S658" s="369">
        <f t="shared" si="239"/>
        <v>0</v>
      </c>
      <c r="T658" s="16"/>
      <c r="U658" s="97">
        <f t="shared" si="240"/>
        <v>0</v>
      </c>
      <c r="V658" s="64"/>
      <c r="W658" s="643">
        <f t="shared" si="235"/>
        <v>0</v>
      </c>
    </row>
    <row r="659" spans="1:23" ht="15.75" x14ac:dyDescent="0.25">
      <c r="A659" s="45"/>
      <c r="B659" s="16">
        <f t="shared" si="231"/>
        <v>23</v>
      </c>
      <c r="C659" s="8"/>
      <c r="D659" s="233" t="s">
        <v>444</v>
      </c>
      <c r="E659" s="19"/>
      <c r="F659" s="21">
        <f>SUM(F653:F658)</f>
        <v>0</v>
      </c>
      <c r="G659" s="19"/>
      <c r="H659" s="19"/>
      <c r="I659" s="913"/>
      <c r="J659" s="805">
        <f t="shared" ref="J659:Q659" si="241">SUM(J653:J658)</f>
        <v>0</v>
      </c>
      <c r="K659" s="805">
        <f t="shared" si="241"/>
        <v>0</v>
      </c>
      <c r="L659" s="805">
        <f t="shared" si="241"/>
        <v>0</v>
      </c>
      <c r="M659" s="805">
        <f t="shared" si="241"/>
        <v>0</v>
      </c>
      <c r="N659" s="805">
        <f t="shared" si="241"/>
        <v>0</v>
      </c>
      <c r="O659" s="805">
        <f>SUM(O653:O658)</f>
        <v>0</v>
      </c>
      <c r="P659" s="805">
        <f t="shared" si="241"/>
        <v>0</v>
      </c>
      <c r="Q659" s="805">
        <f t="shared" si="241"/>
        <v>0</v>
      </c>
      <c r="R659" s="805">
        <f>SUM(R653:R658)</f>
        <v>0</v>
      </c>
      <c r="S659" s="805">
        <f>SUM(S653:S658)</f>
        <v>0</v>
      </c>
      <c r="T659" s="913"/>
      <c r="U659" s="235">
        <f t="shared" si="240"/>
        <v>0</v>
      </c>
      <c r="V659" s="64"/>
      <c r="W659" s="643">
        <f t="shared" si="235"/>
        <v>0</v>
      </c>
    </row>
    <row r="660" spans="1:23" ht="16.5" thickBot="1" x14ac:dyDescent="0.3">
      <c r="A660" s="45"/>
      <c r="B660" s="16">
        <f t="shared" si="231"/>
        <v>24</v>
      </c>
      <c r="C660" s="8"/>
      <c r="D660" s="233"/>
      <c r="E660" s="19"/>
      <c r="F660" s="21"/>
      <c r="G660" s="19"/>
      <c r="H660" s="19"/>
      <c r="I660" s="19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19"/>
      <c r="U660" s="8"/>
      <c r="V660" s="64"/>
      <c r="W660" s="643">
        <f t="shared" si="235"/>
        <v>0</v>
      </c>
    </row>
    <row r="661" spans="1:23" ht="16.5" thickBot="1" x14ac:dyDescent="0.3">
      <c r="A661" s="45"/>
      <c r="B661" s="16">
        <f t="shared" si="231"/>
        <v>25</v>
      </c>
      <c r="C661" s="779" t="s">
        <v>579</v>
      </c>
      <c r="D661" s="920"/>
      <c r="E661" s="916"/>
      <c r="F661" s="917">
        <f>+F659+F648</f>
        <v>0</v>
      </c>
      <c r="G661" s="916"/>
      <c r="H661" s="916"/>
      <c r="I661" s="919"/>
      <c r="J661" s="917">
        <f t="shared" ref="J661:Q661" si="242">+J659+J648</f>
        <v>0</v>
      </c>
      <c r="K661" s="917">
        <f t="shared" si="242"/>
        <v>0</v>
      </c>
      <c r="L661" s="917">
        <f t="shared" si="242"/>
        <v>0</v>
      </c>
      <c r="M661" s="917">
        <f t="shared" si="242"/>
        <v>0</v>
      </c>
      <c r="N661" s="917">
        <f t="shared" si="242"/>
        <v>0</v>
      </c>
      <c r="O661" s="917">
        <f>+O659+O648</f>
        <v>0</v>
      </c>
      <c r="P661" s="917">
        <f t="shared" si="242"/>
        <v>0</v>
      </c>
      <c r="Q661" s="917">
        <f t="shared" si="242"/>
        <v>0</v>
      </c>
      <c r="R661" s="917">
        <f>+R659+R648</f>
        <v>0</v>
      </c>
      <c r="S661" s="917">
        <f>+S659+S648</f>
        <v>0</v>
      </c>
      <c r="T661" s="919"/>
      <c r="U661" s="918">
        <f>SUM(I661:T661)</f>
        <v>0</v>
      </c>
      <c r="V661" s="64"/>
      <c r="W661" s="643">
        <f t="shared" si="235"/>
        <v>0</v>
      </c>
    </row>
    <row r="662" spans="1:23" ht="16.5" thickBot="1" x14ac:dyDescent="0.3">
      <c r="A662" s="45"/>
      <c r="B662" s="16">
        <f t="shared" si="231"/>
        <v>26</v>
      </c>
      <c r="C662" s="8"/>
      <c r="D662" s="8"/>
      <c r="E662" s="19"/>
      <c r="F662" s="21"/>
      <c r="G662" s="19"/>
      <c r="H662" s="19"/>
      <c r="I662" s="19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19"/>
      <c r="U662" s="8"/>
      <c r="V662" s="64"/>
      <c r="W662" s="643">
        <f t="shared" si="235"/>
        <v>0</v>
      </c>
    </row>
    <row r="663" spans="1:23" ht="16.5" thickBot="1" x14ac:dyDescent="0.3">
      <c r="A663" s="45"/>
      <c r="B663" s="16">
        <f t="shared" si="231"/>
        <v>27</v>
      </c>
      <c r="C663" s="779" t="s">
        <v>580</v>
      </c>
      <c r="D663" s="920"/>
      <c r="E663" s="916"/>
      <c r="F663" s="917">
        <f>F661-F645</f>
        <v>0</v>
      </c>
      <c r="G663" s="916"/>
      <c r="H663" s="916"/>
      <c r="I663" s="919"/>
      <c r="J663" s="917">
        <f t="shared" ref="J663:Q663" si="243">J661-J645</f>
        <v>0</v>
      </c>
      <c r="K663" s="917">
        <f t="shared" si="243"/>
        <v>0</v>
      </c>
      <c r="L663" s="917">
        <f t="shared" si="243"/>
        <v>0</v>
      </c>
      <c r="M663" s="917">
        <f t="shared" si="243"/>
        <v>0</v>
      </c>
      <c r="N663" s="917">
        <f t="shared" si="243"/>
        <v>0</v>
      </c>
      <c r="O663" s="917">
        <f>O661-O645</f>
        <v>0</v>
      </c>
      <c r="P663" s="917">
        <f t="shared" si="243"/>
        <v>0</v>
      </c>
      <c r="Q663" s="917">
        <f t="shared" si="243"/>
        <v>0</v>
      </c>
      <c r="R663" s="917">
        <f>R661-R645</f>
        <v>0</v>
      </c>
      <c r="S663" s="917">
        <f>S661-S645</f>
        <v>0</v>
      </c>
      <c r="T663" s="919"/>
      <c r="U663" s="918">
        <f>SUM(I663:T663)</f>
        <v>0</v>
      </c>
      <c r="V663" s="64"/>
      <c r="W663" s="643">
        <f t="shared" si="235"/>
        <v>0</v>
      </c>
    </row>
    <row r="664" spans="1:23" ht="15.75" x14ac:dyDescent="0.25">
      <c r="A664" s="45"/>
      <c r="B664" s="16"/>
      <c r="C664" s="8"/>
      <c r="D664" s="8"/>
      <c r="E664" s="19"/>
      <c r="F664" s="21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8"/>
      <c r="V664" s="64"/>
      <c r="W664" s="138"/>
    </row>
    <row r="665" spans="1:23" ht="15.75" x14ac:dyDescent="0.25">
      <c r="A665" s="45"/>
      <c r="B665" s="16"/>
      <c r="C665" s="8"/>
      <c r="D665" s="8"/>
      <c r="E665" s="19"/>
      <c r="F665" s="21"/>
      <c r="G665" s="19"/>
      <c r="H665" s="105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05"/>
      <c r="V665" s="105">
        <f>$H$2</f>
        <v>0</v>
      </c>
      <c r="W665" s="138"/>
    </row>
    <row r="666" spans="1:23" ht="16.5" thickBot="1" x14ac:dyDescent="0.3">
      <c r="A666" s="45"/>
      <c r="B666" s="16"/>
      <c r="C666" s="8"/>
      <c r="D666" s="8"/>
      <c r="E666" s="19"/>
      <c r="F666" s="21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8"/>
      <c r="V666" s="64"/>
      <c r="W666" s="138"/>
    </row>
    <row r="667" spans="1:23" ht="15.75" x14ac:dyDescent="0.25">
      <c r="A667" s="45"/>
      <c r="B667" s="829" t="str">
        <f>+$B$4</f>
        <v>2025 RATE CASE</v>
      </c>
      <c r="C667" s="844"/>
      <c r="D667" s="872"/>
      <c r="F667" s="267"/>
      <c r="U667" s="105"/>
      <c r="W667" s="138"/>
    </row>
    <row r="668" spans="1:23" ht="15.75" x14ac:dyDescent="0.25">
      <c r="A668" s="45"/>
      <c r="B668" s="826" t="str">
        <f>+$B$5</f>
        <v>ONCOR ELECTRIC DELIVERY COMPANY LLC</v>
      </c>
      <c r="C668" s="8"/>
      <c r="D668" s="873"/>
      <c r="F668" s="267"/>
      <c r="U668" s="105"/>
      <c r="V668" s="64"/>
      <c r="W668" s="138"/>
    </row>
    <row r="669" spans="1:23" ht="15.75" x14ac:dyDescent="0.25">
      <c r="A669" s="45"/>
      <c r="B669" s="826" t="str">
        <f>+$B$6</f>
        <v>II-I-1-TBILLTDCS:  CLASS REVENUE REQUIREMENT</v>
      </c>
      <c r="C669" s="82"/>
      <c r="D669" s="873"/>
      <c r="F669" s="267"/>
      <c r="U669" s="267"/>
      <c r="V669" s="64"/>
      <c r="W669" s="138"/>
    </row>
    <row r="670" spans="1:23" ht="15.75" x14ac:dyDescent="0.25">
      <c r="A670" s="45"/>
      <c r="B670" s="341" t="str">
        <f>+$B$7</f>
        <v>TEST YEAR ENDING 12/31/2024</v>
      </c>
      <c r="C670" s="82"/>
      <c r="D670" s="873"/>
      <c r="F670" s="267"/>
      <c r="U670" s="267"/>
      <c r="V670" s="64"/>
      <c r="W670" s="138"/>
    </row>
    <row r="671" spans="1:23" ht="15.75" x14ac:dyDescent="0.25">
      <c r="A671" s="45"/>
      <c r="B671" s="341" t="str">
        <f>+$B$8</f>
        <v>SPONSOR:  MATTHEW A. TROXLE</v>
      </c>
      <c r="C671" s="82"/>
      <c r="D671" s="873"/>
      <c r="F671" s="267"/>
      <c r="U671" s="267"/>
      <c r="V671" s="64"/>
      <c r="W671" s="138"/>
    </row>
    <row r="672" spans="1:23" ht="16.5" thickBot="1" x14ac:dyDescent="0.3">
      <c r="A672" s="45"/>
      <c r="B672" s="345"/>
      <c r="C672" s="843"/>
      <c r="D672" s="845"/>
      <c r="F672" s="267"/>
      <c r="U672" s="267"/>
      <c r="V672" s="64"/>
      <c r="W672" s="138"/>
    </row>
    <row r="673" spans="1:23" ht="15.75" thickBot="1" x14ac:dyDescent="0.25">
      <c r="A673" s="45"/>
      <c r="B673" s="12"/>
      <c r="C673" s="13"/>
      <c r="D673" s="13"/>
      <c r="E673" s="13"/>
      <c r="F673" s="12"/>
      <c r="G673" s="13"/>
      <c r="H673" s="13"/>
      <c r="I673" s="13"/>
      <c r="J673" s="177"/>
      <c r="K673" s="177"/>
      <c r="L673" s="13"/>
      <c r="M673" s="177"/>
      <c r="N673" s="177"/>
      <c r="O673" s="177"/>
      <c r="P673" s="177"/>
      <c r="Q673" s="13"/>
      <c r="R673" s="328" t="str">
        <f>R$10</f>
        <v xml:space="preserve"> </v>
      </c>
      <c r="S673" s="329"/>
      <c r="T673" s="177"/>
      <c r="U673" s="12"/>
      <c r="V673" s="64"/>
      <c r="W673" s="138"/>
    </row>
    <row r="674" spans="1:23" ht="15.75" x14ac:dyDescent="0.25">
      <c r="A674" s="45"/>
      <c r="B674" s="14" t="s">
        <v>2</v>
      </c>
      <c r="C674" s="14" t="s">
        <v>349</v>
      </c>
      <c r="D674" s="226" t="s">
        <v>581</v>
      </c>
      <c r="E674" s="14" t="s">
        <v>350</v>
      </c>
      <c r="F674" s="226" t="str">
        <f>F$11</f>
        <v>TBILLTDCS</v>
      </c>
      <c r="G674" s="181" t="s">
        <v>688</v>
      </c>
      <c r="H674" s="181" t="s">
        <v>355</v>
      </c>
      <c r="I674" s="14"/>
      <c r="J674" s="181" t="s">
        <v>679</v>
      </c>
      <c r="K674" s="181" t="s">
        <v>388</v>
      </c>
      <c r="L674" s="14" t="s">
        <v>388</v>
      </c>
      <c r="M674" s="181" t="s">
        <v>389</v>
      </c>
      <c r="N674" s="181" t="s">
        <v>389</v>
      </c>
      <c r="O674" s="181" t="s">
        <v>389</v>
      </c>
      <c r="P674" s="181" t="s">
        <v>390</v>
      </c>
      <c r="Q674" s="14" t="s">
        <v>391</v>
      </c>
      <c r="R674" s="331" t="str">
        <f>R$11</f>
        <v>Wholesale</v>
      </c>
      <c r="S674" s="12" t="str">
        <f>S$11</f>
        <v>Wholesale</v>
      </c>
      <c r="T674" s="181"/>
      <c r="U674" s="14" t="s">
        <v>10</v>
      </c>
      <c r="V674" s="64"/>
      <c r="W674" s="138"/>
    </row>
    <row r="675" spans="1:23" ht="15" x14ac:dyDescent="0.2">
      <c r="A675" s="45"/>
      <c r="B675" s="14"/>
      <c r="C675" s="14"/>
      <c r="D675" s="14"/>
      <c r="E675" s="14"/>
      <c r="F675" s="14"/>
      <c r="G675" s="181" t="s">
        <v>689</v>
      </c>
      <c r="H675" s="181" t="s">
        <v>690</v>
      </c>
      <c r="I675" s="14"/>
      <c r="J675" s="181"/>
      <c r="K675" s="181" t="s">
        <v>680</v>
      </c>
      <c r="L675" s="14" t="s">
        <v>681</v>
      </c>
      <c r="M675" s="181" t="s">
        <v>680</v>
      </c>
      <c r="N675" s="181" t="s">
        <v>681</v>
      </c>
      <c r="O675" s="181" t="s">
        <v>393</v>
      </c>
      <c r="P675" s="181"/>
      <c r="Q675" s="14"/>
      <c r="R675" s="174" t="str">
        <f>R$12</f>
        <v>XFMR</v>
      </c>
      <c r="S675" s="14" t="str">
        <f>S$12</f>
        <v>DLS</v>
      </c>
      <c r="T675" s="181"/>
      <c r="U675" s="14"/>
      <c r="V675" s="64"/>
      <c r="W675" s="138"/>
    </row>
    <row r="676" spans="1:23" ht="15.75" thickBot="1" x14ac:dyDescent="0.25">
      <c r="A676" s="45"/>
      <c r="B676" s="15"/>
      <c r="C676" s="15"/>
      <c r="D676" s="15"/>
      <c r="E676" s="15"/>
      <c r="F676" s="15" t="s">
        <v>13</v>
      </c>
      <c r="G676" s="15" t="s">
        <v>14</v>
      </c>
      <c r="H676" s="15" t="s">
        <v>15</v>
      </c>
      <c r="I676" s="15"/>
      <c r="J676" s="182" t="str">
        <f t="shared" ref="J676:Q676" si="244">J$13</f>
        <v>(d)</v>
      </c>
      <c r="K676" s="182" t="str">
        <f t="shared" si="244"/>
        <v>(e)</v>
      </c>
      <c r="L676" s="15" t="str">
        <f t="shared" si="244"/>
        <v>(f)</v>
      </c>
      <c r="M676" s="182" t="str">
        <f t="shared" si="244"/>
        <v>(g)</v>
      </c>
      <c r="N676" s="182" t="str">
        <f t="shared" si="244"/>
        <v>(h)</v>
      </c>
      <c r="O676" s="182" t="str">
        <f>O$13</f>
        <v>(i)</v>
      </c>
      <c r="P676" s="182" t="str">
        <f t="shared" si="244"/>
        <v>(j)</v>
      </c>
      <c r="Q676" s="182" t="str">
        <f t="shared" si="244"/>
        <v>(k)</v>
      </c>
      <c r="R676" s="182" t="str">
        <f>R$13</f>
        <v>(l)</v>
      </c>
      <c r="S676" s="15" t="str">
        <f>S$13</f>
        <v>(m)</v>
      </c>
      <c r="T676" s="15"/>
      <c r="U676" s="15" t="s">
        <v>683</v>
      </c>
      <c r="V676" s="64"/>
      <c r="W676" s="138"/>
    </row>
    <row r="677" spans="1:23" ht="15" x14ac:dyDescent="0.2">
      <c r="A677" s="45"/>
      <c r="B677" s="45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41"/>
      <c r="V677" s="64"/>
      <c r="W677" s="138"/>
    </row>
    <row r="678" spans="1:23" ht="15.75" x14ac:dyDescent="0.25">
      <c r="A678" s="45"/>
      <c r="B678" s="16">
        <f t="shared" ref="B678:B709" si="245">B677+1</f>
        <v>1</v>
      </c>
      <c r="C678" s="8" t="s">
        <v>581</v>
      </c>
      <c r="D678" s="8"/>
      <c r="E678" s="19"/>
      <c r="F678" s="8"/>
      <c r="G678" s="19"/>
      <c r="H678" s="19"/>
      <c r="I678" s="19"/>
      <c r="J678" s="961"/>
      <c r="K678" s="961"/>
      <c r="L678" s="961"/>
      <c r="M678" s="961"/>
      <c r="N678" s="961"/>
      <c r="O678" s="961"/>
      <c r="P678" s="961"/>
      <c r="Q678" s="961"/>
      <c r="R678" s="961"/>
      <c r="S678" s="961"/>
      <c r="T678" s="19"/>
      <c r="U678" s="8"/>
      <c r="V678" s="64"/>
      <c r="W678" s="138"/>
    </row>
    <row r="679" spans="1:23" ht="15.75" x14ac:dyDescent="0.25">
      <c r="A679" s="45"/>
      <c r="B679" s="16">
        <f t="shared" si="245"/>
        <v>2</v>
      </c>
      <c r="C679" s="8"/>
      <c r="D679" s="301" t="s">
        <v>576</v>
      </c>
      <c r="E679" s="19" t="s">
        <v>143</v>
      </c>
      <c r="F679" s="8"/>
      <c r="G679" s="19"/>
      <c r="H679" s="19"/>
      <c r="I679" s="913"/>
      <c r="J679" s="961"/>
      <c r="K679" s="961"/>
      <c r="L679" s="961"/>
      <c r="M679" s="961"/>
      <c r="N679" s="961"/>
      <c r="O679" s="961"/>
      <c r="P679" s="961"/>
      <c r="Q679" s="961"/>
      <c r="R679" s="961"/>
      <c r="S679" s="961"/>
      <c r="T679" s="913"/>
      <c r="U679" s="8"/>
      <c r="V679" s="64"/>
      <c r="W679" s="138"/>
    </row>
    <row r="680" spans="1:23" ht="15" x14ac:dyDescent="0.2">
      <c r="A680" s="45"/>
      <c r="B680" s="16">
        <f t="shared" si="245"/>
        <v>3</v>
      </c>
      <c r="C680" s="1" t="s">
        <v>174</v>
      </c>
      <c r="D680" s="26" t="s">
        <v>145</v>
      </c>
      <c r="E680" s="64"/>
      <c r="F680" s="97">
        <f>' WP II-I-1.4'!I680</f>
        <v>64046.58</v>
      </c>
      <c r="G680" s="65">
        <v>71</v>
      </c>
      <c r="H680" s="45" t="str">
        <f t="shared" ref="H680:H689" si="246">VLOOKUP(G680,FactorTable,2)</f>
        <v>DIST OPS</v>
      </c>
      <c r="I680" s="11"/>
      <c r="J680" s="369">
        <f t="shared" ref="J680:S689" si="247">$F680*HLOOKUP(J$1354,FactorTable,$G680+1)</f>
        <v>0</v>
      </c>
      <c r="K680" s="369">
        <f t="shared" si="247"/>
        <v>0</v>
      </c>
      <c r="L680" s="369">
        <f t="shared" si="247"/>
        <v>0</v>
      </c>
      <c r="M680" s="369">
        <f t="shared" si="247"/>
        <v>0</v>
      </c>
      <c r="N680" s="369">
        <f t="shared" si="247"/>
        <v>0</v>
      </c>
      <c r="O680" s="369">
        <f t="shared" si="247"/>
        <v>0</v>
      </c>
      <c r="P680" s="369">
        <f t="shared" si="247"/>
        <v>0</v>
      </c>
      <c r="Q680" s="369">
        <f t="shared" si="247"/>
        <v>64046.58</v>
      </c>
      <c r="R680" s="369">
        <f t="shared" si="247"/>
        <v>0</v>
      </c>
      <c r="S680" s="369">
        <f t="shared" si="247"/>
        <v>0</v>
      </c>
      <c r="T680" s="11"/>
      <c r="U680" s="97">
        <f t="shared" ref="U680:U690" si="248">SUM(I680:T680)</f>
        <v>64046.58</v>
      </c>
      <c r="V680" s="64"/>
      <c r="W680" s="643">
        <f t="shared" ref="W680:W709" si="249">F680-U680</f>
        <v>0</v>
      </c>
    </row>
    <row r="681" spans="1:23" ht="15" x14ac:dyDescent="0.2">
      <c r="A681" s="45"/>
      <c r="B681" s="16">
        <f t="shared" si="245"/>
        <v>4</v>
      </c>
      <c r="C681" s="1" t="s">
        <v>175</v>
      </c>
      <c r="D681" s="1" t="s">
        <v>176</v>
      </c>
      <c r="E681" s="18"/>
      <c r="F681" s="229">
        <f>' WP II-I-1.4'!I681</f>
        <v>0</v>
      </c>
      <c r="G681" s="401">
        <v>28</v>
      </c>
      <c r="H681" s="45" t="str">
        <f t="shared" si="246"/>
        <v>NCP XHV</v>
      </c>
      <c r="I681" s="18"/>
      <c r="J681" s="369">
        <f t="shared" si="247"/>
        <v>0</v>
      </c>
      <c r="K681" s="369">
        <f t="shared" si="247"/>
        <v>0</v>
      </c>
      <c r="L681" s="369">
        <f t="shared" si="247"/>
        <v>0</v>
      </c>
      <c r="M681" s="369">
        <f t="shared" si="247"/>
        <v>0</v>
      </c>
      <c r="N681" s="369">
        <f t="shared" si="247"/>
        <v>0</v>
      </c>
      <c r="O681" s="369">
        <f t="shared" si="247"/>
        <v>0</v>
      </c>
      <c r="P681" s="369">
        <f t="shared" si="247"/>
        <v>0</v>
      </c>
      <c r="Q681" s="369">
        <f t="shared" si="247"/>
        <v>0</v>
      </c>
      <c r="R681" s="369">
        <f t="shared" si="247"/>
        <v>0</v>
      </c>
      <c r="S681" s="369">
        <f t="shared" si="247"/>
        <v>0</v>
      </c>
      <c r="T681" s="18"/>
      <c r="U681" s="97">
        <f t="shared" si="248"/>
        <v>0</v>
      </c>
      <c r="V681" s="64"/>
      <c r="W681" s="643">
        <f t="shared" si="249"/>
        <v>0</v>
      </c>
    </row>
    <row r="682" spans="1:23" ht="15" x14ac:dyDescent="0.2">
      <c r="A682" s="45"/>
      <c r="B682" s="16">
        <f t="shared" si="245"/>
        <v>5</v>
      </c>
      <c r="C682" s="1" t="s">
        <v>177</v>
      </c>
      <c r="D682" s="1" t="s">
        <v>149</v>
      </c>
      <c r="E682" s="18"/>
      <c r="F682" s="229">
        <f>' WP II-I-1.4'!I682</f>
        <v>0</v>
      </c>
      <c r="G682" s="401">
        <v>44</v>
      </c>
      <c r="H682" s="45" t="str">
        <f t="shared" si="246"/>
        <v>PLT 362</v>
      </c>
      <c r="I682" s="18"/>
      <c r="J682" s="369">
        <f t="shared" si="247"/>
        <v>0</v>
      </c>
      <c r="K682" s="369">
        <f t="shared" si="247"/>
        <v>0</v>
      </c>
      <c r="L682" s="369">
        <f t="shared" si="247"/>
        <v>0</v>
      </c>
      <c r="M682" s="369">
        <f t="shared" si="247"/>
        <v>0</v>
      </c>
      <c r="N682" s="369">
        <f t="shared" si="247"/>
        <v>0</v>
      </c>
      <c r="O682" s="369">
        <f t="shared" si="247"/>
        <v>0</v>
      </c>
      <c r="P682" s="369">
        <f t="shared" si="247"/>
        <v>0</v>
      </c>
      <c r="Q682" s="369">
        <f t="shared" si="247"/>
        <v>0</v>
      </c>
      <c r="R682" s="369">
        <f t="shared" si="247"/>
        <v>0</v>
      </c>
      <c r="S682" s="369">
        <f t="shared" si="247"/>
        <v>0</v>
      </c>
      <c r="T682" s="18"/>
      <c r="U682" s="97">
        <f t="shared" si="248"/>
        <v>0</v>
      </c>
      <c r="V682" s="64"/>
      <c r="W682" s="643">
        <f t="shared" si="249"/>
        <v>0</v>
      </c>
    </row>
    <row r="683" spans="1:23" ht="15" x14ac:dyDescent="0.2">
      <c r="A683" s="45"/>
      <c r="B683" s="16">
        <f t="shared" si="245"/>
        <v>6</v>
      </c>
      <c r="C683" s="1" t="s">
        <v>178</v>
      </c>
      <c r="D683" s="1" t="s">
        <v>151</v>
      </c>
      <c r="E683" s="18"/>
      <c r="F683" s="229">
        <f>' WP II-I-1.4'!I683</f>
        <v>0</v>
      </c>
      <c r="G683" s="401">
        <v>46</v>
      </c>
      <c r="H683" s="45" t="str">
        <f t="shared" si="246"/>
        <v>PLT 365</v>
      </c>
      <c r="I683" s="18"/>
      <c r="J683" s="369">
        <f t="shared" si="247"/>
        <v>0</v>
      </c>
      <c r="K683" s="369">
        <f t="shared" si="247"/>
        <v>0</v>
      </c>
      <c r="L683" s="369">
        <f t="shared" si="247"/>
        <v>0</v>
      </c>
      <c r="M683" s="369">
        <f t="shared" si="247"/>
        <v>0</v>
      </c>
      <c r="N683" s="369">
        <f t="shared" si="247"/>
        <v>0</v>
      </c>
      <c r="O683" s="369">
        <f t="shared" si="247"/>
        <v>0</v>
      </c>
      <c r="P683" s="369">
        <f t="shared" si="247"/>
        <v>0</v>
      </c>
      <c r="Q683" s="369">
        <f t="shared" si="247"/>
        <v>0</v>
      </c>
      <c r="R683" s="369">
        <f t="shared" si="247"/>
        <v>0</v>
      </c>
      <c r="S683" s="369">
        <f t="shared" si="247"/>
        <v>0</v>
      </c>
      <c r="T683" s="18"/>
      <c r="U683" s="97">
        <f t="shared" si="248"/>
        <v>0</v>
      </c>
      <c r="V683" s="64"/>
      <c r="W683" s="643">
        <f t="shared" si="249"/>
        <v>0</v>
      </c>
    </row>
    <row r="684" spans="1:23" ht="15" x14ac:dyDescent="0.2">
      <c r="A684" s="45"/>
      <c r="B684" s="16">
        <f t="shared" si="245"/>
        <v>7</v>
      </c>
      <c r="C684" s="1" t="s">
        <v>179</v>
      </c>
      <c r="D684" s="1" t="s">
        <v>153</v>
      </c>
      <c r="E684" s="18"/>
      <c r="F684" s="229">
        <f>' WP II-I-1.4'!I684</f>
        <v>0</v>
      </c>
      <c r="G684" s="401">
        <v>28</v>
      </c>
      <c r="H684" s="45" t="str">
        <f t="shared" si="246"/>
        <v>NCP XHV</v>
      </c>
      <c r="I684" s="18"/>
      <c r="J684" s="369">
        <f t="shared" si="247"/>
        <v>0</v>
      </c>
      <c r="K684" s="369">
        <f t="shared" si="247"/>
        <v>0</v>
      </c>
      <c r="L684" s="369">
        <f t="shared" si="247"/>
        <v>0</v>
      </c>
      <c r="M684" s="369">
        <f t="shared" si="247"/>
        <v>0</v>
      </c>
      <c r="N684" s="369">
        <f t="shared" si="247"/>
        <v>0</v>
      </c>
      <c r="O684" s="369">
        <f t="shared" si="247"/>
        <v>0</v>
      </c>
      <c r="P684" s="369">
        <f t="shared" si="247"/>
        <v>0</v>
      </c>
      <c r="Q684" s="369">
        <f t="shared" si="247"/>
        <v>0</v>
      </c>
      <c r="R684" s="369">
        <f t="shared" si="247"/>
        <v>0</v>
      </c>
      <c r="S684" s="369">
        <f t="shared" si="247"/>
        <v>0</v>
      </c>
      <c r="T684" s="18"/>
      <c r="U684" s="97">
        <f t="shared" si="248"/>
        <v>0</v>
      </c>
      <c r="V684" s="64"/>
      <c r="W684" s="643">
        <f t="shared" si="249"/>
        <v>0</v>
      </c>
    </row>
    <row r="685" spans="1:23" ht="15" x14ac:dyDescent="0.2">
      <c r="A685" s="45"/>
      <c r="B685" s="16">
        <f t="shared" si="245"/>
        <v>8</v>
      </c>
      <c r="C685" s="1" t="s">
        <v>180</v>
      </c>
      <c r="D685" s="1" t="s">
        <v>181</v>
      </c>
      <c r="E685" s="18"/>
      <c r="F685" s="229">
        <f>' WP II-I-1.4'!I685</f>
        <v>0</v>
      </c>
      <c r="G685" s="401">
        <v>33</v>
      </c>
      <c r="H685" s="45" t="str">
        <f t="shared" si="246"/>
        <v>NCP LGT</v>
      </c>
      <c r="I685" s="18"/>
      <c r="J685" s="369">
        <f t="shared" si="247"/>
        <v>0</v>
      </c>
      <c r="K685" s="369">
        <f t="shared" si="247"/>
        <v>0</v>
      </c>
      <c r="L685" s="369">
        <f t="shared" si="247"/>
        <v>0</v>
      </c>
      <c r="M685" s="369">
        <f t="shared" si="247"/>
        <v>0</v>
      </c>
      <c r="N685" s="369">
        <f t="shared" si="247"/>
        <v>0</v>
      </c>
      <c r="O685" s="369">
        <f t="shared" si="247"/>
        <v>0</v>
      </c>
      <c r="P685" s="369">
        <f t="shared" si="247"/>
        <v>0</v>
      </c>
      <c r="Q685" s="369">
        <f t="shared" si="247"/>
        <v>0</v>
      </c>
      <c r="R685" s="369">
        <f t="shared" si="247"/>
        <v>0</v>
      </c>
      <c r="S685" s="369">
        <f t="shared" si="247"/>
        <v>0</v>
      </c>
      <c r="T685" s="18"/>
      <c r="U685" s="97">
        <f t="shared" si="248"/>
        <v>0</v>
      </c>
      <c r="V685" s="64"/>
      <c r="W685" s="643">
        <f t="shared" si="249"/>
        <v>0</v>
      </c>
    </row>
    <row r="686" spans="1:23" ht="15" x14ac:dyDescent="0.2">
      <c r="A686" s="45"/>
      <c r="B686" s="16">
        <f t="shared" si="245"/>
        <v>9</v>
      </c>
      <c r="C686" s="1" t="s">
        <v>182</v>
      </c>
      <c r="D686" s="1" t="s">
        <v>183</v>
      </c>
      <c r="E686" s="18"/>
      <c r="F686" s="229">
        <f>' WP II-I-1.4'!I686</f>
        <v>0</v>
      </c>
      <c r="G686" s="401">
        <v>6</v>
      </c>
      <c r="H686" s="45" t="str">
        <f t="shared" si="246"/>
        <v>CUS W ALL</v>
      </c>
      <c r="I686" s="18"/>
      <c r="J686" s="369">
        <f t="shared" si="247"/>
        <v>0</v>
      </c>
      <c r="K686" s="369">
        <f t="shared" si="247"/>
        <v>0</v>
      </c>
      <c r="L686" s="369">
        <f t="shared" si="247"/>
        <v>0</v>
      </c>
      <c r="M686" s="369">
        <f t="shared" si="247"/>
        <v>0</v>
      </c>
      <c r="N686" s="369">
        <f t="shared" si="247"/>
        <v>0</v>
      </c>
      <c r="O686" s="369">
        <f t="shared" si="247"/>
        <v>0</v>
      </c>
      <c r="P686" s="369">
        <f t="shared" si="247"/>
        <v>0</v>
      </c>
      <c r="Q686" s="369">
        <f t="shared" si="247"/>
        <v>0</v>
      </c>
      <c r="R686" s="369">
        <f t="shared" si="247"/>
        <v>0</v>
      </c>
      <c r="S686" s="369">
        <f t="shared" si="247"/>
        <v>0</v>
      </c>
      <c r="T686" s="18"/>
      <c r="U686" s="97">
        <f t="shared" si="248"/>
        <v>0</v>
      </c>
      <c r="V686" s="64"/>
      <c r="W686" s="643">
        <f t="shared" si="249"/>
        <v>0</v>
      </c>
    </row>
    <row r="687" spans="1:23" ht="15" x14ac:dyDescent="0.2">
      <c r="A687" s="45"/>
      <c r="B687" s="16">
        <f t="shared" si="245"/>
        <v>10</v>
      </c>
      <c r="C687" s="1" t="s">
        <v>184</v>
      </c>
      <c r="D687" s="1" t="s">
        <v>185</v>
      </c>
      <c r="E687" s="18"/>
      <c r="F687" s="229">
        <f>' WP II-I-1.4'!I687</f>
        <v>0</v>
      </c>
      <c r="G687" s="401">
        <v>8</v>
      </c>
      <c r="H687" s="45" t="str">
        <f t="shared" si="246"/>
        <v>CUS W RTL</v>
      </c>
      <c r="I687" s="18"/>
      <c r="J687" s="369">
        <f t="shared" si="247"/>
        <v>0</v>
      </c>
      <c r="K687" s="369">
        <f t="shared" si="247"/>
        <v>0</v>
      </c>
      <c r="L687" s="369">
        <f t="shared" si="247"/>
        <v>0</v>
      </c>
      <c r="M687" s="369">
        <f t="shared" si="247"/>
        <v>0</v>
      </c>
      <c r="N687" s="369">
        <f t="shared" si="247"/>
        <v>0</v>
      </c>
      <c r="O687" s="369">
        <f t="shared" si="247"/>
        <v>0</v>
      </c>
      <c r="P687" s="369">
        <f t="shared" si="247"/>
        <v>0</v>
      </c>
      <c r="Q687" s="369">
        <f t="shared" si="247"/>
        <v>0</v>
      </c>
      <c r="R687" s="369">
        <f t="shared" si="247"/>
        <v>0</v>
      </c>
      <c r="S687" s="369">
        <f t="shared" si="247"/>
        <v>0</v>
      </c>
      <c r="T687" s="18"/>
      <c r="U687" s="97">
        <f t="shared" si="248"/>
        <v>0</v>
      </c>
      <c r="V687" s="64"/>
      <c r="W687" s="643">
        <f t="shared" si="249"/>
        <v>0</v>
      </c>
    </row>
    <row r="688" spans="1:23" ht="15" x14ac:dyDescent="0.2">
      <c r="A688" s="45"/>
      <c r="B688" s="16">
        <f t="shared" si="245"/>
        <v>11</v>
      </c>
      <c r="C688" s="1" t="s">
        <v>186</v>
      </c>
      <c r="D688" s="1" t="s">
        <v>187</v>
      </c>
      <c r="E688" s="18"/>
      <c r="F688" s="229">
        <f>' WP II-I-1.4'!I688</f>
        <v>125580.7</v>
      </c>
      <c r="G688" s="401">
        <v>71</v>
      </c>
      <c r="H688" s="45" t="str">
        <f t="shared" si="246"/>
        <v>DIST OPS</v>
      </c>
      <c r="I688" s="18"/>
      <c r="J688" s="369">
        <f t="shared" si="247"/>
        <v>0</v>
      </c>
      <c r="K688" s="369">
        <f t="shared" si="247"/>
        <v>0</v>
      </c>
      <c r="L688" s="369">
        <f t="shared" si="247"/>
        <v>0</v>
      </c>
      <c r="M688" s="369">
        <f t="shared" si="247"/>
        <v>0</v>
      </c>
      <c r="N688" s="369">
        <f t="shared" si="247"/>
        <v>0</v>
      </c>
      <c r="O688" s="369">
        <f t="shared" si="247"/>
        <v>0</v>
      </c>
      <c r="P688" s="369">
        <f t="shared" si="247"/>
        <v>0</v>
      </c>
      <c r="Q688" s="369">
        <f t="shared" si="247"/>
        <v>125580.7</v>
      </c>
      <c r="R688" s="369">
        <f t="shared" si="247"/>
        <v>0</v>
      </c>
      <c r="S688" s="369">
        <f t="shared" si="247"/>
        <v>0</v>
      </c>
      <c r="T688" s="18"/>
      <c r="U688" s="97">
        <f t="shared" si="248"/>
        <v>125580.7</v>
      </c>
      <c r="V688" s="64"/>
      <c r="W688" s="643">
        <f t="shared" si="249"/>
        <v>0</v>
      </c>
    </row>
    <row r="689" spans="1:27" ht="15" x14ac:dyDescent="0.2">
      <c r="A689" s="45"/>
      <c r="B689" s="16">
        <f t="shared" si="245"/>
        <v>12</v>
      </c>
      <c r="C689" s="1" t="s">
        <v>188</v>
      </c>
      <c r="D689" s="1" t="s">
        <v>189</v>
      </c>
      <c r="E689" s="18"/>
      <c r="F689" s="229">
        <f>' WP II-I-1.4'!I689</f>
        <v>0</v>
      </c>
      <c r="G689" s="401">
        <v>30</v>
      </c>
      <c r="H689" s="45" t="str">
        <f t="shared" si="246"/>
        <v>NCP XSS</v>
      </c>
      <c r="I689" s="18"/>
      <c r="J689" s="370">
        <f t="shared" si="247"/>
        <v>0</v>
      </c>
      <c r="K689" s="370">
        <f t="shared" si="247"/>
        <v>0</v>
      </c>
      <c r="L689" s="370">
        <f t="shared" si="247"/>
        <v>0</v>
      </c>
      <c r="M689" s="370">
        <f t="shared" si="247"/>
        <v>0</v>
      </c>
      <c r="N689" s="370">
        <f t="shared" si="247"/>
        <v>0</v>
      </c>
      <c r="O689" s="370">
        <f t="shared" si="247"/>
        <v>0</v>
      </c>
      <c r="P689" s="370">
        <f t="shared" si="247"/>
        <v>0</v>
      </c>
      <c r="Q689" s="370">
        <f t="shared" si="247"/>
        <v>0</v>
      </c>
      <c r="R689" s="370">
        <f t="shared" si="247"/>
        <v>0</v>
      </c>
      <c r="S689" s="370">
        <f t="shared" si="247"/>
        <v>0</v>
      </c>
      <c r="T689" s="18"/>
      <c r="U689" s="97">
        <f t="shared" si="248"/>
        <v>0</v>
      </c>
      <c r="V689" s="64"/>
      <c r="W689" s="643">
        <f t="shared" si="249"/>
        <v>0</v>
      </c>
    </row>
    <row r="690" spans="1:27" ht="15.75" x14ac:dyDescent="0.25">
      <c r="A690" s="45"/>
      <c r="B690" s="16">
        <f t="shared" si="245"/>
        <v>13</v>
      </c>
      <c r="C690" s="8"/>
      <c r="D690" s="233" t="s">
        <v>582</v>
      </c>
      <c r="E690" s="19"/>
      <c r="F690" s="805">
        <f>SUM(F680:F689)</f>
        <v>189627.28</v>
      </c>
      <c r="G690" s="19"/>
      <c r="H690" s="19"/>
      <c r="I690" s="913"/>
      <c r="J690" s="805">
        <f t="shared" ref="J690:Q690" si="250">SUM(J680:J689)</f>
        <v>0</v>
      </c>
      <c r="K690" s="805">
        <f t="shared" si="250"/>
        <v>0</v>
      </c>
      <c r="L690" s="805">
        <f t="shared" si="250"/>
        <v>0</v>
      </c>
      <c r="M690" s="805">
        <f t="shared" si="250"/>
        <v>0</v>
      </c>
      <c r="N690" s="805">
        <f t="shared" si="250"/>
        <v>0</v>
      </c>
      <c r="O690" s="805">
        <f>SUM(O680:O689)</f>
        <v>0</v>
      </c>
      <c r="P690" s="805">
        <f t="shared" si="250"/>
        <v>0</v>
      </c>
      <c r="Q690" s="805">
        <f t="shared" si="250"/>
        <v>189627.28</v>
      </c>
      <c r="R690" s="805">
        <f>SUM(R680:R689)</f>
        <v>0</v>
      </c>
      <c r="S690" s="805">
        <f>SUM(S680:S689)</f>
        <v>0</v>
      </c>
      <c r="T690" s="913"/>
      <c r="U690" s="235">
        <f t="shared" si="248"/>
        <v>189627.28</v>
      </c>
      <c r="V690" s="64"/>
      <c r="W690" s="643">
        <f t="shared" si="249"/>
        <v>0</v>
      </c>
    </row>
    <row r="691" spans="1:27" ht="15.75" x14ac:dyDescent="0.25">
      <c r="A691" s="45"/>
      <c r="B691" s="16">
        <f t="shared" si="245"/>
        <v>14</v>
      </c>
      <c r="C691" s="8"/>
      <c r="D691" s="233"/>
      <c r="E691" s="19"/>
      <c r="F691" s="805"/>
      <c r="G691" s="19"/>
      <c r="H691" s="19"/>
      <c r="I691" s="913"/>
      <c r="J691" s="805"/>
      <c r="K691" s="805"/>
      <c r="L691" s="805"/>
      <c r="M691" s="805"/>
      <c r="N691" s="805"/>
      <c r="O691" s="805"/>
      <c r="P691" s="805"/>
      <c r="Q691" s="805"/>
      <c r="R691" s="805"/>
      <c r="S691" s="805"/>
      <c r="T691" s="913"/>
      <c r="U691" s="235"/>
      <c r="V691" s="64"/>
      <c r="W691" s="643">
        <f t="shared" si="249"/>
        <v>0</v>
      </c>
    </row>
    <row r="692" spans="1:27" ht="15.75" x14ac:dyDescent="0.25">
      <c r="A692" s="45"/>
      <c r="B692" s="16">
        <f t="shared" si="245"/>
        <v>15</v>
      </c>
      <c r="C692" s="8"/>
      <c r="D692" s="233" t="s">
        <v>583</v>
      </c>
      <c r="E692" s="19"/>
      <c r="F692" s="805">
        <f>SUM(F681:F687)+F689</f>
        <v>0</v>
      </c>
      <c r="G692" s="19"/>
      <c r="H692" s="19"/>
      <c r="I692" s="19"/>
      <c r="J692" s="805">
        <f t="shared" ref="J692:Q692" si="251">SUM(J681:J687)+J689</f>
        <v>0</v>
      </c>
      <c r="K692" s="805">
        <f t="shared" si="251"/>
        <v>0</v>
      </c>
      <c r="L692" s="805">
        <f t="shared" si="251"/>
        <v>0</v>
      </c>
      <c r="M692" s="805">
        <f t="shared" si="251"/>
        <v>0</v>
      </c>
      <c r="N692" s="805">
        <f t="shared" si="251"/>
        <v>0</v>
      </c>
      <c r="O692" s="805">
        <f>SUM(O681:O687)+O689</f>
        <v>0</v>
      </c>
      <c r="P692" s="805">
        <f t="shared" si="251"/>
        <v>0</v>
      </c>
      <c r="Q692" s="805">
        <f t="shared" si="251"/>
        <v>0</v>
      </c>
      <c r="R692" s="805">
        <f>SUM(R681:R687)+R689</f>
        <v>0</v>
      </c>
      <c r="S692" s="805">
        <f>SUM(S681:S687)+S689</f>
        <v>0</v>
      </c>
      <c r="T692" s="913"/>
      <c r="U692" s="235">
        <f>SUM(I692:T692)</f>
        <v>0</v>
      </c>
      <c r="V692" s="64"/>
      <c r="W692" s="643">
        <f t="shared" si="249"/>
        <v>0</v>
      </c>
    </row>
    <row r="693" spans="1:27" ht="15" x14ac:dyDescent="0.2">
      <c r="A693" s="45"/>
      <c r="B693" s="16">
        <f t="shared" si="245"/>
        <v>16</v>
      </c>
      <c r="C693" s="1"/>
      <c r="D693" s="28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"/>
      <c r="V693" s="64"/>
      <c r="W693" s="643">
        <f t="shared" si="249"/>
        <v>0</v>
      </c>
    </row>
    <row r="694" spans="1:27" ht="15.75" x14ac:dyDescent="0.25">
      <c r="A694" s="45"/>
      <c r="B694" s="16">
        <f t="shared" si="245"/>
        <v>17</v>
      </c>
      <c r="C694" s="301"/>
      <c r="D694" s="8"/>
      <c r="E694" s="19"/>
      <c r="F694" s="21"/>
      <c r="G694" s="19"/>
      <c r="H694" s="19"/>
      <c r="I694" s="19"/>
      <c r="J694" s="961"/>
      <c r="K694" s="961"/>
      <c r="L694" s="961"/>
      <c r="M694" s="961"/>
      <c r="N694" s="961"/>
      <c r="O694" s="961"/>
      <c r="P694" s="961"/>
      <c r="Q694" s="961"/>
      <c r="R694" s="961"/>
      <c r="S694" s="961"/>
      <c r="T694" s="913"/>
      <c r="U694" s="8"/>
      <c r="V694" s="64"/>
      <c r="W694" s="643">
        <f t="shared" si="249"/>
        <v>0</v>
      </c>
    </row>
    <row r="695" spans="1:27" ht="15.75" x14ac:dyDescent="0.25">
      <c r="A695" s="45"/>
      <c r="B695" s="16">
        <f t="shared" si="245"/>
        <v>18</v>
      </c>
      <c r="C695" s="8"/>
      <c r="D695" s="301" t="s">
        <v>578</v>
      </c>
      <c r="E695" s="19" t="s">
        <v>143</v>
      </c>
      <c r="F695" s="21"/>
      <c r="G695" s="19"/>
      <c r="H695" s="19"/>
      <c r="I695" s="913"/>
      <c r="J695" s="961"/>
      <c r="K695" s="961"/>
      <c r="L695" s="961"/>
      <c r="M695" s="961"/>
      <c r="N695" s="961"/>
      <c r="O695" s="961"/>
      <c r="P695" s="961"/>
      <c r="Q695" s="961"/>
      <c r="R695" s="961"/>
      <c r="S695" s="961"/>
      <c r="T695" s="913"/>
      <c r="U695" s="8"/>
      <c r="V695" s="64"/>
      <c r="W695" s="643">
        <f t="shared" si="249"/>
        <v>0</v>
      </c>
    </row>
    <row r="696" spans="1:27" ht="15" x14ac:dyDescent="0.2">
      <c r="A696" s="45"/>
      <c r="B696" s="16">
        <f t="shared" si="245"/>
        <v>19</v>
      </c>
      <c r="C696" s="1" t="s">
        <v>191</v>
      </c>
      <c r="D696" s="1" t="s">
        <v>162</v>
      </c>
      <c r="E696" s="16"/>
      <c r="F696" s="97">
        <f>' WP II-I-1.4'!I696</f>
        <v>53.75</v>
      </c>
      <c r="G696" s="16">
        <v>28</v>
      </c>
      <c r="H696" s="45" t="str">
        <f t="shared" ref="H696:H704" si="252">VLOOKUP(G696,FactorTable,2)</f>
        <v>NCP XHV</v>
      </c>
      <c r="I696" s="16"/>
      <c r="J696" s="369">
        <f t="shared" ref="J696:S704" si="253">$F696*HLOOKUP(J$1354,FactorTable,$G696+1)</f>
        <v>27.561199718379211</v>
      </c>
      <c r="K696" s="369">
        <f t="shared" si="253"/>
        <v>0.52070457405819093</v>
      </c>
      <c r="L696" s="369">
        <f t="shared" si="253"/>
        <v>17.702674967076518</v>
      </c>
      <c r="M696" s="369">
        <f t="shared" si="253"/>
        <v>8.2838024879358495E-3</v>
      </c>
      <c r="N696" s="369">
        <f t="shared" si="253"/>
        <v>5.207091209131903</v>
      </c>
      <c r="O696" s="369">
        <f t="shared" si="253"/>
        <v>2.2381102943078912</v>
      </c>
      <c r="P696" s="369">
        <f t="shared" si="253"/>
        <v>0</v>
      </c>
      <c r="Q696" s="369">
        <f t="shared" si="253"/>
        <v>0.15743111237664389</v>
      </c>
      <c r="R696" s="369">
        <f t="shared" si="253"/>
        <v>0.15470692749697321</v>
      </c>
      <c r="S696" s="369">
        <f t="shared" si="253"/>
        <v>0.19979739468472471</v>
      </c>
      <c r="T696" s="16"/>
      <c r="U696" s="97">
        <f t="shared" ref="U696:U705" si="254">SUM(I696:T696)</f>
        <v>53.749999999999993</v>
      </c>
      <c r="V696" s="64"/>
      <c r="W696" s="643">
        <f t="shared" si="249"/>
        <v>0</v>
      </c>
    </row>
    <row r="697" spans="1:27" ht="15" x14ac:dyDescent="0.2">
      <c r="A697" s="45"/>
      <c r="B697" s="16">
        <f t="shared" si="245"/>
        <v>20</v>
      </c>
      <c r="C697" s="1" t="s">
        <v>192</v>
      </c>
      <c r="D697" s="29" t="s">
        <v>164</v>
      </c>
      <c r="E697" s="16"/>
      <c r="F697" s="97">
        <f>' WP II-I-1.4'!I697</f>
        <v>0</v>
      </c>
      <c r="G697" s="16">
        <v>43</v>
      </c>
      <c r="H697" s="45" t="str">
        <f t="shared" si="252"/>
        <v>PLT 361</v>
      </c>
      <c r="I697" s="16"/>
      <c r="J697" s="369">
        <f t="shared" ca="1" si="253"/>
        <v>0</v>
      </c>
      <c r="K697" s="369">
        <f t="shared" ca="1" si="253"/>
        <v>0</v>
      </c>
      <c r="L697" s="369">
        <f t="shared" ca="1" si="253"/>
        <v>0</v>
      </c>
      <c r="M697" s="369">
        <f t="shared" ca="1" si="253"/>
        <v>0</v>
      </c>
      <c r="N697" s="369">
        <f t="shared" ca="1" si="253"/>
        <v>0</v>
      </c>
      <c r="O697" s="369">
        <f t="shared" ca="1" si="253"/>
        <v>0</v>
      </c>
      <c r="P697" s="369">
        <f t="shared" ca="1" si="253"/>
        <v>0</v>
      </c>
      <c r="Q697" s="369">
        <f t="shared" ca="1" si="253"/>
        <v>0</v>
      </c>
      <c r="R697" s="369">
        <f t="shared" ca="1" si="253"/>
        <v>0</v>
      </c>
      <c r="S697" s="369">
        <f t="shared" ca="1" si="253"/>
        <v>0</v>
      </c>
      <c r="T697" s="16"/>
      <c r="U697" s="97">
        <f t="shared" ca="1" si="254"/>
        <v>0</v>
      </c>
      <c r="V697" s="64"/>
      <c r="W697" s="643">
        <f t="shared" ca="1" si="249"/>
        <v>0</v>
      </c>
    </row>
    <row r="698" spans="1:27" ht="15" x14ac:dyDescent="0.2">
      <c r="A698" s="45"/>
      <c r="B698" s="16">
        <f t="shared" si="245"/>
        <v>21</v>
      </c>
      <c r="C698" s="1" t="s">
        <v>193</v>
      </c>
      <c r="D698" s="1" t="s">
        <v>166</v>
      </c>
      <c r="E698" s="16"/>
      <c r="F698" s="97">
        <f>' WP II-I-1.4'!I698</f>
        <v>0</v>
      </c>
      <c r="G698" s="16">
        <v>44</v>
      </c>
      <c r="H698" s="45" t="str">
        <f t="shared" si="252"/>
        <v>PLT 362</v>
      </c>
      <c r="I698" s="16"/>
      <c r="J698" s="369">
        <f t="shared" si="253"/>
        <v>0</v>
      </c>
      <c r="K698" s="369">
        <f t="shared" si="253"/>
        <v>0</v>
      </c>
      <c r="L698" s="369">
        <f t="shared" si="253"/>
        <v>0</v>
      </c>
      <c r="M698" s="369">
        <f t="shared" si="253"/>
        <v>0</v>
      </c>
      <c r="N698" s="369">
        <f t="shared" si="253"/>
        <v>0</v>
      </c>
      <c r="O698" s="369">
        <f t="shared" si="253"/>
        <v>0</v>
      </c>
      <c r="P698" s="369">
        <f t="shared" si="253"/>
        <v>0</v>
      </c>
      <c r="Q698" s="369">
        <f t="shared" si="253"/>
        <v>0</v>
      </c>
      <c r="R698" s="369">
        <f t="shared" si="253"/>
        <v>0</v>
      </c>
      <c r="S698" s="369">
        <f t="shared" si="253"/>
        <v>0</v>
      </c>
      <c r="T698" s="16"/>
      <c r="U698" s="97">
        <f t="shared" si="254"/>
        <v>0</v>
      </c>
      <c r="V698" s="64"/>
      <c r="W698" s="643">
        <f t="shared" si="249"/>
        <v>0</v>
      </c>
    </row>
    <row r="699" spans="1:27" s="321" customFormat="1" ht="15" x14ac:dyDescent="0.2">
      <c r="A699" s="45"/>
      <c r="B699" s="16">
        <f t="shared" si="245"/>
        <v>22</v>
      </c>
      <c r="C699" s="1" t="s">
        <v>194</v>
      </c>
      <c r="D699" s="29" t="s">
        <v>168</v>
      </c>
      <c r="E699" s="16"/>
      <c r="F699" s="229">
        <f>' WP II-I-1.4'!I699</f>
        <v>0</v>
      </c>
      <c r="G699" s="16">
        <v>52</v>
      </c>
      <c r="H699" s="45" t="str">
        <f t="shared" si="252"/>
        <v>PLT OH</v>
      </c>
      <c r="I699" s="16"/>
      <c r="J699" s="369">
        <f t="shared" si="253"/>
        <v>0</v>
      </c>
      <c r="K699" s="369">
        <f t="shared" si="253"/>
        <v>0</v>
      </c>
      <c r="L699" s="369">
        <f t="shared" si="253"/>
        <v>0</v>
      </c>
      <c r="M699" s="369">
        <f t="shared" si="253"/>
        <v>0</v>
      </c>
      <c r="N699" s="369">
        <f t="shared" si="253"/>
        <v>0</v>
      </c>
      <c r="O699" s="369">
        <f t="shared" si="253"/>
        <v>0</v>
      </c>
      <c r="P699" s="369">
        <f t="shared" si="253"/>
        <v>0</v>
      </c>
      <c r="Q699" s="369">
        <f t="shared" si="253"/>
        <v>0</v>
      </c>
      <c r="R699" s="369">
        <f t="shared" si="253"/>
        <v>0</v>
      </c>
      <c r="S699" s="369">
        <f t="shared" si="253"/>
        <v>0</v>
      </c>
      <c r="T699" s="16"/>
      <c r="U699" s="229">
        <f t="shared" si="254"/>
        <v>0</v>
      </c>
      <c r="V699" s="45"/>
      <c r="W699" s="1122">
        <f t="shared" si="249"/>
        <v>0</v>
      </c>
      <c r="Y699"/>
      <c r="Z699"/>
      <c r="AA699"/>
    </row>
    <row r="700" spans="1:27" ht="15" x14ac:dyDescent="0.2">
      <c r="A700" s="45"/>
      <c r="B700" s="16">
        <f t="shared" si="245"/>
        <v>23</v>
      </c>
      <c r="C700" s="1" t="s">
        <v>195</v>
      </c>
      <c r="D700" s="1" t="s">
        <v>170</v>
      </c>
      <c r="E700" s="16"/>
      <c r="F700" s="97">
        <f>' WP II-I-1.4'!I700</f>
        <v>0</v>
      </c>
      <c r="G700" s="16">
        <v>53</v>
      </c>
      <c r="H700" s="45" t="str">
        <f t="shared" si="252"/>
        <v>PLT UG</v>
      </c>
      <c r="I700" s="16"/>
      <c r="J700" s="369">
        <f t="shared" si="253"/>
        <v>0</v>
      </c>
      <c r="K700" s="369">
        <f t="shared" si="253"/>
        <v>0</v>
      </c>
      <c r="L700" s="369">
        <f t="shared" si="253"/>
        <v>0</v>
      </c>
      <c r="M700" s="369">
        <f t="shared" si="253"/>
        <v>0</v>
      </c>
      <c r="N700" s="369">
        <f t="shared" si="253"/>
        <v>0</v>
      </c>
      <c r="O700" s="369">
        <f t="shared" si="253"/>
        <v>0</v>
      </c>
      <c r="P700" s="369">
        <f t="shared" si="253"/>
        <v>0</v>
      </c>
      <c r="Q700" s="369">
        <f t="shared" si="253"/>
        <v>0</v>
      </c>
      <c r="R700" s="369">
        <f t="shared" si="253"/>
        <v>0</v>
      </c>
      <c r="S700" s="369">
        <f t="shared" si="253"/>
        <v>0</v>
      </c>
      <c r="T700" s="16"/>
      <c r="U700" s="97">
        <f t="shared" si="254"/>
        <v>0</v>
      </c>
      <c r="V700" s="64"/>
      <c r="W700" s="643">
        <f t="shared" si="249"/>
        <v>0</v>
      </c>
    </row>
    <row r="701" spans="1:27" ht="15" x14ac:dyDescent="0.2">
      <c r="A701" s="45"/>
      <c r="B701" s="16">
        <f t="shared" si="245"/>
        <v>24</v>
      </c>
      <c r="C701" s="1" t="s">
        <v>196</v>
      </c>
      <c r="D701" s="1" t="s">
        <v>197</v>
      </c>
      <c r="E701" s="16"/>
      <c r="F701" s="97">
        <f>' WP II-I-1.4'!I701</f>
        <v>0</v>
      </c>
      <c r="G701" s="16">
        <v>49</v>
      </c>
      <c r="H701" s="45" t="str">
        <f t="shared" si="252"/>
        <v>PLT 368</v>
      </c>
      <c r="I701" s="16"/>
      <c r="J701" s="369">
        <f t="shared" si="253"/>
        <v>0</v>
      </c>
      <c r="K701" s="369">
        <f t="shared" si="253"/>
        <v>0</v>
      </c>
      <c r="L701" s="369">
        <f t="shared" si="253"/>
        <v>0</v>
      </c>
      <c r="M701" s="369">
        <f t="shared" si="253"/>
        <v>0</v>
      </c>
      <c r="N701" s="369">
        <f t="shared" si="253"/>
        <v>0</v>
      </c>
      <c r="O701" s="369">
        <f t="shared" si="253"/>
        <v>0</v>
      </c>
      <c r="P701" s="369">
        <f t="shared" si="253"/>
        <v>0</v>
      </c>
      <c r="Q701" s="369">
        <f t="shared" si="253"/>
        <v>0</v>
      </c>
      <c r="R701" s="369">
        <f t="shared" si="253"/>
        <v>0</v>
      </c>
      <c r="S701" s="369">
        <f t="shared" si="253"/>
        <v>0</v>
      </c>
      <c r="T701" s="16"/>
      <c r="U701" s="97">
        <f t="shared" si="254"/>
        <v>0</v>
      </c>
      <c r="V701" s="64"/>
      <c r="W701" s="643">
        <f t="shared" si="249"/>
        <v>0</v>
      </c>
    </row>
    <row r="702" spans="1:27" ht="15" x14ac:dyDescent="0.2">
      <c r="A702" s="45"/>
      <c r="B702" s="16">
        <f t="shared" si="245"/>
        <v>25</v>
      </c>
      <c r="C702" s="1" t="s">
        <v>198</v>
      </c>
      <c r="D702" s="1" t="s">
        <v>199</v>
      </c>
      <c r="E702" s="16"/>
      <c r="F702" s="97">
        <f>' WP II-I-1.4'!I702</f>
        <v>0</v>
      </c>
      <c r="G702" s="16">
        <v>33</v>
      </c>
      <c r="H702" s="45" t="str">
        <f t="shared" si="252"/>
        <v>NCP LGT</v>
      </c>
      <c r="I702" s="16"/>
      <c r="J702" s="369">
        <f t="shared" si="253"/>
        <v>0</v>
      </c>
      <c r="K702" s="369">
        <f t="shared" si="253"/>
        <v>0</v>
      </c>
      <c r="L702" s="369">
        <f t="shared" si="253"/>
        <v>0</v>
      </c>
      <c r="M702" s="369">
        <f t="shared" si="253"/>
        <v>0</v>
      </c>
      <c r="N702" s="369">
        <f t="shared" si="253"/>
        <v>0</v>
      </c>
      <c r="O702" s="369">
        <f t="shared" si="253"/>
        <v>0</v>
      </c>
      <c r="P702" s="369">
        <f t="shared" si="253"/>
        <v>0</v>
      </c>
      <c r="Q702" s="369">
        <f t="shared" si="253"/>
        <v>0</v>
      </c>
      <c r="R702" s="369">
        <f t="shared" si="253"/>
        <v>0</v>
      </c>
      <c r="S702" s="369">
        <f t="shared" si="253"/>
        <v>0</v>
      </c>
      <c r="T702" s="16"/>
      <c r="U702" s="97">
        <f t="shared" si="254"/>
        <v>0</v>
      </c>
      <c r="V702" s="64"/>
      <c r="W702" s="643">
        <f t="shared" si="249"/>
        <v>0</v>
      </c>
    </row>
    <row r="703" spans="1:27" ht="15" x14ac:dyDescent="0.2">
      <c r="A703" s="45"/>
      <c r="B703" s="16">
        <f t="shared" si="245"/>
        <v>26</v>
      </c>
      <c r="C703" s="1" t="s">
        <v>200</v>
      </c>
      <c r="D703" s="1" t="s">
        <v>201</v>
      </c>
      <c r="E703" s="16"/>
      <c r="F703" s="97">
        <f>' WP II-I-1.4'!I703</f>
        <v>0</v>
      </c>
      <c r="G703" s="16">
        <v>6</v>
      </c>
      <c r="H703" s="45" t="str">
        <f t="shared" si="252"/>
        <v>CUS W ALL</v>
      </c>
      <c r="I703" s="16"/>
      <c r="J703" s="369">
        <f t="shared" si="253"/>
        <v>0</v>
      </c>
      <c r="K703" s="369">
        <f t="shared" si="253"/>
        <v>0</v>
      </c>
      <c r="L703" s="369">
        <f t="shared" si="253"/>
        <v>0</v>
      </c>
      <c r="M703" s="369">
        <f t="shared" si="253"/>
        <v>0</v>
      </c>
      <c r="N703" s="369">
        <f t="shared" si="253"/>
        <v>0</v>
      </c>
      <c r="O703" s="369">
        <f t="shared" si="253"/>
        <v>0</v>
      </c>
      <c r="P703" s="369">
        <f t="shared" si="253"/>
        <v>0</v>
      </c>
      <c r="Q703" s="369">
        <f t="shared" si="253"/>
        <v>0</v>
      </c>
      <c r="R703" s="369">
        <f t="shared" si="253"/>
        <v>0</v>
      </c>
      <c r="S703" s="369">
        <f t="shared" si="253"/>
        <v>0</v>
      </c>
      <c r="T703" s="16"/>
      <c r="U703" s="97">
        <f t="shared" si="254"/>
        <v>0</v>
      </c>
      <c r="V703" s="64"/>
      <c r="W703" s="643">
        <f t="shared" si="249"/>
        <v>0</v>
      </c>
    </row>
    <row r="704" spans="1:27" ht="15" x14ac:dyDescent="0.2">
      <c r="A704" s="45"/>
      <c r="B704" s="16">
        <f t="shared" si="245"/>
        <v>27</v>
      </c>
      <c r="C704" s="1" t="s">
        <v>202</v>
      </c>
      <c r="D704" s="1" t="s">
        <v>203</v>
      </c>
      <c r="E704" s="16"/>
      <c r="F704" s="97">
        <f>' WP II-I-1.4'!I704</f>
        <v>0</v>
      </c>
      <c r="G704" s="16">
        <v>72</v>
      </c>
      <c r="H704" s="45" t="str">
        <f t="shared" si="252"/>
        <v>DIST MAINT</v>
      </c>
      <c r="I704" s="16"/>
      <c r="J704" s="370">
        <f t="shared" ca="1" si="253"/>
        <v>0</v>
      </c>
      <c r="K704" s="370">
        <f t="shared" ca="1" si="253"/>
        <v>0</v>
      </c>
      <c r="L704" s="370">
        <f t="shared" ca="1" si="253"/>
        <v>0</v>
      </c>
      <c r="M704" s="370">
        <f t="shared" ca="1" si="253"/>
        <v>0</v>
      </c>
      <c r="N704" s="370">
        <f t="shared" ca="1" si="253"/>
        <v>0</v>
      </c>
      <c r="O704" s="370">
        <f t="shared" ca="1" si="253"/>
        <v>0</v>
      </c>
      <c r="P704" s="370">
        <f t="shared" ca="1" si="253"/>
        <v>0</v>
      </c>
      <c r="Q704" s="370">
        <f t="shared" ca="1" si="253"/>
        <v>0</v>
      </c>
      <c r="R704" s="370">
        <f t="shared" ca="1" si="253"/>
        <v>0</v>
      </c>
      <c r="S704" s="370">
        <f t="shared" ca="1" si="253"/>
        <v>0</v>
      </c>
      <c r="T704" s="16"/>
      <c r="U704" s="97">
        <f t="shared" ca="1" si="254"/>
        <v>0</v>
      </c>
      <c r="V704" s="64"/>
      <c r="W704" s="643">
        <f t="shared" ca="1" si="249"/>
        <v>0</v>
      </c>
    </row>
    <row r="705" spans="1:23" ht="15.75" x14ac:dyDescent="0.25">
      <c r="A705" s="45"/>
      <c r="B705" s="16">
        <f t="shared" si="245"/>
        <v>28</v>
      </c>
      <c r="C705" s="8"/>
      <c r="D705" s="233" t="s">
        <v>584</v>
      </c>
      <c r="E705" s="19"/>
      <c r="F705" s="21">
        <f>SUM(F696:F704)</f>
        <v>53.75</v>
      </c>
      <c r="G705" s="19"/>
      <c r="H705" s="19"/>
      <c r="I705" s="913"/>
      <c r="J705" s="805">
        <f t="shared" ref="J705:Q705" ca="1" si="255">SUM(J696:J704)</f>
        <v>27.561199718379211</v>
      </c>
      <c r="K705" s="805">
        <f t="shared" ca="1" si="255"/>
        <v>0.52070457405819093</v>
      </c>
      <c r="L705" s="805">
        <f t="shared" ca="1" si="255"/>
        <v>17.702674967076518</v>
      </c>
      <c r="M705" s="805">
        <f t="shared" ca="1" si="255"/>
        <v>8.2838024879358495E-3</v>
      </c>
      <c r="N705" s="805">
        <f t="shared" ca="1" si="255"/>
        <v>5.207091209131903</v>
      </c>
      <c r="O705" s="805">
        <f ca="1">SUM(O696:O704)</f>
        <v>2.2381102943078912</v>
      </c>
      <c r="P705" s="805">
        <f t="shared" ca="1" si="255"/>
        <v>0</v>
      </c>
      <c r="Q705" s="805">
        <f t="shared" ca="1" si="255"/>
        <v>0.15743111237664389</v>
      </c>
      <c r="R705" s="805">
        <f ca="1">SUM(R696:R704)</f>
        <v>0.15470692749697321</v>
      </c>
      <c r="S705" s="805">
        <f ca="1">SUM(S696:S704)</f>
        <v>0.19979739468472471</v>
      </c>
      <c r="T705" s="19"/>
      <c r="U705" s="235">
        <f t="shared" ca="1" si="254"/>
        <v>53.749999999999993</v>
      </c>
      <c r="V705" s="64"/>
      <c r="W705" s="643">
        <f t="shared" ca="1" si="249"/>
        <v>0</v>
      </c>
    </row>
    <row r="706" spans="1:23" ht="15" x14ac:dyDescent="0.2">
      <c r="A706" s="45"/>
      <c r="B706" s="16">
        <f t="shared" si="245"/>
        <v>29</v>
      </c>
      <c r="C706" s="1"/>
      <c r="D706" s="1"/>
      <c r="E706" s="16"/>
      <c r="F706" s="18"/>
      <c r="G706" s="16"/>
      <c r="H706" s="16"/>
      <c r="I706" s="1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6"/>
      <c r="U706" s="1"/>
      <c r="V706" s="64"/>
      <c r="W706" s="643">
        <f t="shared" si="249"/>
        <v>0</v>
      </c>
    </row>
    <row r="707" spans="1:23" ht="15.75" x14ac:dyDescent="0.25">
      <c r="A707" s="45"/>
      <c r="B707" s="16">
        <f t="shared" si="245"/>
        <v>30</v>
      </c>
      <c r="C707" s="8"/>
      <c r="D707" s="233" t="s">
        <v>585</v>
      </c>
      <c r="E707" s="19"/>
      <c r="F707" s="21">
        <f>SUM(F697:F703)</f>
        <v>0</v>
      </c>
      <c r="G707" s="19"/>
      <c r="H707" s="19"/>
      <c r="I707" s="19"/>
      <c r="J707" s="21">
        <f t="shared" ref="J707:Q707" ca="1" si="256">SUM(J697:J703)</f>
        <v>0</v>
      </c>
      <c r="K707" s="21">
        <f t="shared" ca="1" si="256"/>
        <v>0</v>
      </c>
      <c r="L707" s="21">
        <f t="shared" ca="1" si="256"/>
        <v>0</v>
      </c>
      <c r="M707" s="21">
        <f t="shared" ca="1" si="256"/>
        <v>0</v>
      </c>
      <c r="N707" s="21">
        <f t="shared" ca="1" si="256"/>
        <v>0</v>
      </c>
      <c r="O707" s="21">
        <f ca="1">SUM(O697:O703)</f>
        <v>0</v>
      </c>
      <c r="P707" s="21">
        <f t="shared" ca="1" si="256"/>
        <v>0</v>
      </c>
      <c r="Q707" s="21">
        <f t="shared" ca="1" si="256"/>
        <v>0</v>
      </c>
      <c r="R707" s="21">
        <f ca="1">SUM(R697:R703)</f>
        <v>0</v>
      </c>
      <c r="S707" s="21">
        <f ca="1">SUM(S697:S703)</f>
        <v>0</v>
      </c>
      <c r="T707" s="19"/>
      <c r="U707" s="235">
        <f ca="1">SUM(I707:T707)</f>
        <v>0</v>
      </c>
      <c r="V707" s="64"/>
      <c r="W707" s="643">
        <f t="shared" ca="1" si="249"/>
        <v>0</v>
      </c>
    </row>
    <row r="708" spans="1:23" ht="15.75" thickBot="1" x14ac:dyDescent="0.25">
      <c r="A708" s="45"/>
      <c r="B708" s="16">
        <f t="shared" si="245"/>
        <v>31</v>
      </c>
      <c r="C708" s="1"/>
      <c r="D708" s="1"/>
      <c r="E708" s="16"/>
      <c r="F708" s="18"/>
      <c r="G708" s="16"/>
      <c r="H708" s="16"/>
      <c r="I708" s="1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6"/>
      <c r="U708" s="1"/>
      <c r="V708" s="64"/>
      <c r="W708" s="643">
        <f t="shared" si="249"/>
        <v>0</v>
      </c>
    </row>
    <row r="709" spans="1:23" ht="16.5" thickBot="1" x14ac:dyDescent="0.3">
      <c r="A709" s="45"/>
      <c r="B709" s="16">
        <f t="shared" si="245"/>
        <v>32</v>
      </c>
      <c r="C709" s="779" t="s">
        <v>586</v>
      </c>
      <c r="D709" s="920"/>
      <c r="E709" s="916" t="s">
        <v>143</v>
      </c>
      <c r="F709" s="917">
        <f>+F705+F690</f>
        <v>189681.03</v>
      </c>
      <c r="G709" s="916"/>
      <c r="H709" s="916"/>
      <c r="I709" s="919"/>
      <c r="J709" s="917">
        <f t="shared" ref="J709:Q709" ca="1" si="257">+J705+J690</f>
        <v>27.561199718379211</v>
      </c>
      <c r="K709" s="917">
        <f t="shared" ca="1" si="257"/>
        <v>0.52070457405819093</v>
      </c>
      <c r="L709" s="917">
        <f t="shared" ca="1" si="257"/>
        <v>17.702674967076518</v>
      </c>
      <c r="M709" s="917">
        <f t="shared" ca="1" si="257"/>
        <v>8.2838024879358495E-3</v>
      </c>
      <c r="N709" s="917">
        <f t="shared" ca="1" si="257"/>
        <v>5.207091209131903</v>
      </c>
      <c r="O709" s="917">
        <f ca="1">+O705+O690</f>
        <v>2.2381102943078912</v>
      </c>
      <c r="P709" s="917">
        <f t="shared" ca="1" si="257"/>
        <v>0</v>
      </c>
      <c r="Q709" s="917">
        <f t="shared" ca="1" si="257"/>
        <v>189627.43743111237</v>
      </c>
      <c r="R709" s="917">
        <f ca="1">+R705+R690</f>
        <v>0.15470692749697321</v>
      </c>
      <c r="S709" s="917">
        <f ca="1">+S705+S690</f>
        <v>0.19979739468472471</v>
      </c>
      <c r="T709" s="919"/>
      <c r="U709" s="918">
        <f ca="1">SUM(I709:T709)</f>
        <v>189681.03</v>
      </c>
      <c r="V709" s="64"/>
      <c r="W709" s="643">
        <f t="shared" ca="1" si="249"/>
        <v>0</v>
      </c>
    </row>
    <row r="710" spans="1:23" ht="15.75" x14ac:dyDescent="0.25">
      <c r="A710" s="45"/>
      <c r="B710" s="16"/>
      <c r="C710" s="1"/>
      <c r="D710" s="8"/>
      <c r="E710" s="19"/>
      <c r="F710" s="21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"/>
      <c r="V710" s="64"/>
      <c r="W710" s="138"/>
    </row>
    <row r="711" spans="1:23" ht="16.5" thickBot="1" x14ac:dyDescent="0.3">
      <c r="A711" s="45"/>
      <c r="B711" s="16"/>
      <c r="C711" s="1"/>
      <c r="D711" s="8"/>
      <c r="E711" s="19"/>
      <c r="F711" s="21"/>
      <c r="G711" s="19"/>
      <c r="H711" s="105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05"/>
      <c r="V711" s="105">
        <f>$H$2</f>
        <v>0</v>
      </c>
      <c r="W711" s="138"/>
    </row>
    <row r="712" spans="1:23" ht="15.75" x14ac:dyDescent="0.25">
      <c r="A712" s="45"/>
      <c r="B712" s="829" t="str">
        <f>+$B$4</f>
        <v>2025 RATE CASE</v>
      </c>
      <c r="C712" s="844"/>
      <c r="D712" s="872"/>
      <c r="F712" s="267"/>
      <c r="U712" s="105"/>
      <c r="W712" s="138"/>
    </row>
    <row r="713" spans="1:23" ht="15.75" x14ac:dyDescent="0.25">
      <c r="A713" s="45"/>
      <c r="B713" s="826" t="str">
        <f>+$B$5</f>
        <v>ONCOR ELECTRIC DELIVERY COMPANY LLC</v>
      </c>
      <c r="C713" s="8"/>
      <c r="D713" s="873"/>
      <c r="F713" s="267"/>
      <c r="U713" s="105"/>
      <c r="V713" s="64"/>
      <c r="W713" s="138"/>
    </row>
    <row r="714" spans="1:23" ht="15.75" x14ac:dyDescent="0.25">
      <c r="A714" s="45"/>
      <c r="B714" s="826" t="str">
        <f>+$B$6</f>
        <v>II-I-1-TBILLTDCS:  CLASS REVENUE REQUIREMENT</v>
      </c>
      <c r="C714" s="82"/>
      <c r="D714" s="873"/>
      <c r="F714" s="267"/>
      <c r="U714" s="267"/>
      <c r="V714" s="64"/>
      <c r="W714" s="138"/>
    </row>
    <row r="715" spans="1:23" ht="15.75" x14ac:dyDescent="0.25">
      <c r="A715" s="45"/>
      <c r="B715" s="341" t="str">
        <f>+$B$7</f>
        <v>TEST YEAR ENDING 12/31/2024</v>
      </c>
      <c r="C715" s="82"/>
      <c r="D715" s="873"/>
      <c r="F715" s="267"/>
      <c r="U715" s="267"/>
      <c r="V715" s="64"/>
      <c r="W715" s="138"/>
    </row>
    <row r="716" spans="1:23" ht="15.75" x14ac:dyDescent="0.25">
      <c r="A716" s="45"/>
      <c r="B716" s="341" t="str">
        <f>+$B$8</f>
        <v>SPONSOR:  MATTHEW A. TROXLE</v>
      </c>
      <c r="C716" s="82"/>
      <c r="D716" s="873"/>
      <c r="F716" s="267"/>
      <c r="U716" s="267"/>
      <c r="V716" s="64"/>
      <c r="W716" s="138"/>
    </row>
    <row r="717" spans="1:23" ht="16.5" thickBot="1" x14ac:dyDescent="0.3">
      <c r="A717" s="45"/>
      <c r="B717" s="345"/>
      <c r="C717" s="843"/>
      <c r="D717" s="845"/>
      <c r="F717" s="267"/>
      <c r="U717" s="267"/>
      <c r="V717" s="64"/>
      <c r="W717" s="138"/>
    </row>
    <row r="718" spans="1:23" ht="15.75" thickBot="1" x14ac:dyDescent="0.25">
      <c r="A718" s="45"/>
      <c r="B718" s="12"/>
      <c r="C718" s="13"/>
      <c r="D718" s="13"/>
      <c r="E718" s="13"/>
      <c r="F718" s="12"/>
      <c r="G718" s="13"/>
      <c r="H718" s="13"/>
      <c r="I718" s="13"/>
      <c r="J718" s="177"/>
      <c r="K718" s="177"/>
      <c r="L718" s="13"/>
      <c r="M718" s="177"/>
      <c r="N718" s="177"/>
      <c r="O718" s="177"/>
      <c r="P718" s="177"/>
      <c r="Q718" s="13"/>
      <c r="R718" s="328" t="str">
        <f>R$10</f>
        <v xml:space="preserve"> </v>
      </c>
      <c r="S718" s="329"/>
      <c r="T718" s="177"/>
      <c r="U718" s="12"/>
      <c r="V718" s="64"/>
      <c r="W718" s="138"/>
    </row>
    <row r="719" spans="1:23" ht="15.75" x14ac:dyDescent="0.25">
      <c r="A719" s="45"/>
      <c r="B719" s="14" t="s">
        <v>2</v>
      </c>
      <c r="C719" s="14" t="s">
        <v>349</v>
      </c>
      <c r="D719" s="226" t="s">
        <v>587</v>
      </c>
      <c r="E719" s="14" t="s">
        <v>350</v>
      </c>
      <c r="F719" s="226" t="str">
        <f>F$11</f>
        <v>TBILLTDCS</v>
      </c>
      <c r="G719" s="181" t="s">
        <v>688</v>
      </c>
      <c r="H719" s="181" t="s">
        <v>355</v>
      </c>
      <c r="I719" s="14"/>
      <c r="J719" s="181" t="s">
        <v>679</v>
      </c>
      <c r="K719" s="181" t="s">
        <v>388</v>
      </c>
      <c r="L719" s="14" t="s">
        <v>388</v>
      </c>
      <c r="M719" s="181" t="s">
        <v>389</v>
      </c>
      <c r="N719" s="181" t="s">
        <v>389</v>
      </c>
      <c r="O719" s="181" t="s">
        <v>389</v>
      </c>
      <c r="P719" s="181" t="s">
        <v>390</v>
      </c>
      <c r="Q719" s="14" t="s">
        <v>391</v>
      </c>
      <c r="R719" s="331" t="str">
        <f>R$11</f>
        <v>Wholesale</v>
      </c>
      <c r="S719" s="12" t="str">
        <f>S$11</f>
        <v>Wholesale</v>
      </c>
      <c r="T719" s="181"/>
      <c r="U719" s="14" t="s">
        <v>10</v>
      </c>
      <c r="V719" s="64"/>
      <c r="W719" s="138"/>
    </row>
    <row r="720" spans="1:23" ht="15" x14ac:dyDescent="0.2">
      <c r="A720" s="45"/>
      <c r="B720" s="14"/>
      <c r="C720" s="14"/>
      <c r="D720" s="14"/>
      <c r="E720" s="14"/>
      <c r="F720" s="14"/>
      <c r="G720" s="181" t="s">
        <v>689</v>
      </c>
      <c r="H720" s="181" t="s">
        <v>690</v>
      </c>
      <c r="I720" s="14"/>
      <c r="J720" s="181"/>
      <c r="K720" s="181" t="s">
        <v>680</v>
      </c>
      <c r="L720" s="14" t="s">
        <v>681</v>
      </c>
      <c r="M720" s="181" t="s">
        <v>680</v>
      </c>
      <c r="N720" s="181" t="s">
        <v>681</v>
      </c>
      <c r="O720" s="181" t="s">
        <v>393</v>
      </c>
      <c r="P720" s="181"/>
      <c r="Q720" s="14"/>
      <c r="R720" s="174" t="str">
        <f>R$12</f>
        <v>XFMR</v>
      </c>
      <c r="S720" s="14" t="str">
        <f>S$12</f>
        <v>DLS</v>
      </c>
      <c r="T720" s="181"/>
      <c r="U720" s="14"/>
      <c r="V720" s="64"/>
      <c r="W720" s="138"/>
    </row>
    <row r="721" spans="1:23" ht="15.75" thickBot="1" x14ac:dyDescent="0.25">
      <c r="A721" s="45"/>
      <c r="B721" s="15"/>
      <c r="C721" s="15"/>
      <c r="D721" s="15"/>
      <c r="E721" s="15"/>
      <c r="F721" s="15" t="s">
        <v>13</v>
      </c>
      <c r="G721" s="15" t="s">
        <v>14</v>
      </c>
      <c r="H721" s="15" t="s">
        <v>15</v>
      </c>
      <c r="I721" s="15"/>
      <c r="J721" s="182" t="str">
        <f t="shared" ref="J721:Q721" si="258">J$13</f>
        <v>(d)</v>
      </c>
      <c r="K721" s="182" t="str">
        <f t="shared" si="258"/>
        <v>(e)</v>
      </c>
      <c r="L721" s="15" t="str">
        <f t="shared" si="258"/>
        <v>(f)</v>
      </c>
      <c r="M721" s="182" t="str">
        <f t="shared" si="258"/>
        <v>(g)</v>
      </c>
      <c r="N721" s="182" t="str">
        <f t="shared" si="258"/>
        <v>(h)</v>
      </c>
      <c r="O721" s="182" t="str">
        <f>O$13</f>
        <v>(i)</v>
      </c>
      <c r="P721" s="182" t="str">
        <f t="shared" si="258"/>
        <v>(j)</v>
      </c>
      <c r="Q721" s="182" t="str">
        <f t="shared" si="258"/>
        <v>(k)</v>
      </c>
      <c r="R721" s="182" t="str">
        <f>R$13</f>
        <v>(l)</v>
      </c>
      <c r="S721" s="15" t="str">
        <f>S$13</f>
        <v>(m)</v>
      </c>
      <c r="T721" s="15"/>
      <c r="U721" s="15" t="s">
        <v>683</v>
      </c>
      <c r="V721" s="64"/>
      <c r="W721" s="138"/>
    </row>
    <row r="722" spans="1:23" ht="15" x14ac:dyDescent="0.2">
      <c r="A722" s="45"/>
      <c r="B722" s="45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41"/>
      <c r="V722" s="64"/>
      <c r="W722" s="138"/>
    </row>
    <row r="723" spans="1:23" ht="15.75" x14ac:dyDescent="0.25">
      <c r="A723" s="45"/>
      <c r="B723" s="16">
        <f>B710+1</f>
        <v>1</v>
      </c>
      <c r="C723" s="8"/>
      <c r="D723" s="301" t="s">
        <v>588</v>
      </c>
      <c r="E723" s="19" t="s">
        <v>143</v>
      </c>
      <c r="F723" s="8"/>
      <c r="G723" s="19"/>
      <c r="H723" s="19"/>
      <c r="I723" s="913"/>
      <c r="J723" s="961"/>
      <c r="K723" s="961"/>
      <c r="L723" s="961"/>
      <c r="M723" s="961"/>
      <c r="N723" s="961"/>
      <c r="O723" s="961"/>
      <c r="P723" s="961"/>
      <c r="Q723" s="961"/>
      <c r="R723" s="961"/>
      <c r="S723" s="961"/>
      <c r="T723" s="913"/>
      <c r="U723" s="8"/>
      <c r="V723" s="64"/>
      <c r="W723" s="138"/>
    </row>
    <row r="724" spans="1:23" ht="15" x14ac:dyDescent="0.2">
      <c r="A724" s="45"/>
      <c r="B724" s="16">
        <f t="shared" ref="B724:B754" si="259">B723+1</f>
        <v>2</v>
      </c>
      <c r="C724" s="1" t="s">
        <v>205</v>
      </c>
      <c r="D724" s="1" t="s">
        <v>206</v>
      </c>
      <c r="E724" s="16"/>
      <c r="F724" s="97">
        <f>' WP II-I-1.4'!I724</f>
        <v>1800</v>
      </c>
      <c r="G724" s="16">
        <v>73</v>
      </c>
      <c r="H724" s="45" t="str">
        <f>VLOOKUP(G724,FactorTable,2)</f>
        <v>CUS ACCT</v>
      </c>
      <c r="I724" s="16"/>
      <c r="J724" s="369">
        <f t="shared" ref="J724:S728" si="260">$F724*HLOOKUP(J$1354,FactorTable,$G724+1)</f>
        <v>939.6782522907223</v>
      </c>
      <c r="K724" s="369">
        <f t="shared" si="260"/>
        <v>131.82283839449565</v>
      </c>
      <c r="L724" s="369">
        <f t="shared" si="260"/>
        <v>518.41643258808244</v>
      </c>
      <c r="M724" s="369">
        <f t="shared" si="260"/>
        <v>21.83158075114811</v>
      </c>
      <c r="N724" s="369">
        <f t="shared" si="260"/>
        <v>168.11469666537454</v>
      </c>
      <c r="O724" s="369">
        <f t="shared" si="260"/>
        <v>5.5162127843758517</v>
      </c>
      <c r="P724" s="369">
        <f t="shared" si="260"/>
        <v>11.506210715876012</v>
      </c>
      <c r="Q724" s="369">
        <f t="shared" si="260"/>
        <v>0.95820344668231883</v>
      </c>
      <c r="R724" s="369">
        <f t="shared" si="260"/>
        <v>0.6091523320169655</v>
      </c>
      <c r="S724" s="369">
        <f t="shared" si="260"/>
        <v>1.5464200312259717</v>
      </c>
      <c r="T724" s="16"/>
      <c r="U724" s="97">
        <f t="shared" ref="U724:U729" si="261">SUM(I724:T724)</f>
        <v>1800.0000000000002</v>
      </c>
      <c r="V724" s="64"/>
      <c r="W724" s="643">
        <f t="shared" ref="W724:W754" si="262">F724-U724</f>
        <v>0</v>
      </c>
    </row>
    <row r="725" spans="1:23" ht="15" x14ac:dyDescent="0.2">
      <c r="A725" s="45"/>
      <c r="B725" s="16">
        <f t="shared" si="259"/>
        <v>3</v>
      </c>
      <c r="C725" s="1" t="s">
        <v>207</v>
      </c>
      <c r="D725" s="1" t="s">
        <v>208</v>
      </c>
      <c r="E725" s="16"/>
      <c r="F725" s="97">
        <f>' WP II-I-1.4'!I725</f>
        <v>0</v>
      </c>
      <c r="G725" s="16">
        <v>6</v>
      </c>
      <c r="H725" s="45" t="str">
        <f>VLOOKUP(G725,FactorTable,2)</f>
        <v>CUS W ALL</v>
      </c>
      <c r="I725" s="16"/>
      <c r="J725" s="369">
        <f t="shared" si="260"/>
        <v>0</v>
      </c>
      <c r="K725" s="369">
        <f t="shared" si="260"/>
        <v>0</v>
      </c>
      <c r="L725" s="369">
        <f t="shared" si="260"/>
        <v>0</v>
      </c>
      <c r="M725" s="369">
        <f t="shared" si="260"/>
        <v>0</v>
      </c>
      <c r="N725" s="369">
        <f t="shared" si="260"/>
        <v>0</v>
      </c>
      <c r="O725" s="369">
        <f t="shared" si="260"/>
        <v>0</v>
      </c>
      <c r="P725" s="369">
        <f t="shared" si="260"/>
        <v>0</v>
      </c>
      <c r="Q725" s="369">
        <f t="shared" si="260"/>
        <v>0</v>
      </c>
      <c r="R725" s="369">
        <f t="shared" si="260"/>
        <v>0</v>
      </c>
      <c r="S725" s="369">
        <f t="shared" si="260"/>
        <v>0</v>
      </c>
      <c r="T725" s="16"/>
      <c r="U725" s="97">
        <f t="shared" si="261"/>
        <v>0</v>
      </c>
      <c r="V725" s="64"/>
      <c r="W725" s="643">
        <f t="shared" si="262"/>
        <v>0</v>
      </c>
    </row>
    <row r="726" spans="1:23" ht="15" x14ac:dyDescent="0.2">
      <c r="A726" s="45"/>
      <c r="B726" s="16">
        <f t="shared" si="259"/>
        <v>4</v>
      </c>
      <c r="C726" s="1" t="s">
        <v>209</v>
      </c>
      <c r="D726" s="1" t="s">
        <v>210</v>
      </c>
      <c r="E726" s="16"/>
      <c r="F726" s="97">
        <f>' WP II-I-1.4'!I726</f>
        <v>14184772.5</v>
      </c>
      <c r="G726" s="16">
        <v>6</v>
      </c>
      <c r="H726" s="45" t="str">
        <f>VLOOKUP(G726,FactorTable,2)</f>
        <v>CUS W ALL</v>
      </c>
      <c r="I726" s="16"/>
      <c r="J726" s="369">
        <f t="shared" si="260"/>
        <v>7405067.906634165</v>
      </c>
      <c r="K726" s="369">
        <f t="shared" si="260"/>
        <v>1038820.5405167697</v>
      </c>
      <c r="L726" s="369">
        <f t="shared" si="260"/>
        <v>4085343.9758464079</v>
      </c>
      <c r="M726" s="369">
        <f t="shared" si="260"/>
        <v>172042.22570578611</v>
      </c>
      <c r="N726" s="369">
        <f t="shared" si="260"/>
        <v>1324815.9589471368</v>
      </c>
      <c r="O726" s="369">
        <f t="shared" si="260"/>
        <v>43470.124115535</v>
      </c>
      <c r="P726" s="369">
        <f t="shared" si="260"/>
        <v>90673.878523201871</v>
      </c>
      <c r="Q726" s="369">
        <f t="shared" si="260"/>
        <v>7551.0543888358734</v>
      </c>
      <c r="R726" s="369">
        <f t="shared" si="260"/>
        <v>4800.3818041695113</v>
      </c>
      <c r="S726" s="369">
        <f t="shared" si="260"/>
        <v>12186.453517990723</v>
      </c>
      <c r="T726" s="16"/>
      <c r="U726" s="97">
        <f t="shared" si="261"/>
        <v>14184772.499999998</v>
      </c>
      <c r="V726" s="64"/>
      <c r="W726" s="643">
        <f t="shared" si="262"/>
        <v>0</v>
      </c>
    </row>
    <row r="727" spans="1:23" ht="15" x14ac:dyDescent="0.2">
      <c r="A727" s="45"/>
      <c r="B727" s="16">
        <f t="shared" si="259"/>
        <v>5</v>
      </c>
      <c r="C727" s="1" t="s">
        <v>211</v>
      </c>
      <c r="D727" s="1" t="s">
        <v>212</v>
      </c>
      <c r="E727" s="16"/>
      <c r="F727" s="97">
        <f>' WP II-I-1.4'!I727</f>
        <v>2747328</v>
      </c>
      <c r="G727" s="16">
        <v>15</v>
      </c>
      <c r="H727" s="45" t="str">
        <f>VLOOKUP(G727,FactorTable,2)</f>
        <v>REVENUE RTL</v>
      </c>
      <c r="I727" s="16"/>
      <c r="J727" s="369">
        <f t="shared" si="260"/>
        <v>1365660.8827760022</v>
      </c>
      <c r="K727" s="369">
        <f t="shared" si="260"/>
        <v>49593.753792635296</v>
      </c>
      <c r="L727" s="369">
        <f t="shared" si="260"/>
        <v>937783.69732982933</v>
      </c>
      <c r="M727" s="369">
        <f t="shared" si="260"/>
        <v>929.29466126347893</v>
      </c>
      <c r="N727" s="369">
        <f t="shared" si="260"/>
        <v>205686.29816998594</v>
      </c>
      <c r="O727" s="369">
        <f t="shared" si="260"/>
        <v>41709.010368594623</v>
      </c>
      <c r="P727" s="369">
        <f t="shared" si="260"/>
        <v>111792.16108142605</v>
      </c>
      <c r="Q727" s="369">
        <f t="shared" si="260"/>
        <v>34172.901820262981</v>
      </c>
      <c r="R727" s="369">
        <f t="shared" si="260"/>
        <v>0</v>
      </c>
      <c r="S727" s="369">
        <f t="shared" si="260"/>
        <v>0</v>
      </c>
      <c r="T727" s="16"/>
      <c r="U727" s="97">
        <f t="shared" si="261"/>
        <v>2747327.9999999995</v>
      </c>
      <c r="V727" s="64"/>
      <c r="W727" s="643">
        <f t="shared" si="262"/>
        <v>0</v>
      </c>
    </row>
    <row r="728" spans="1:23" ht="15" x14ac:dyDescent="0.2">
      <c r="A728" s="45"/>
      <c r="B728" s="16">
        <f t="shared" si="259"/>
        <v>6</v>
      </c>
      <c r="C728" s="1" t="s">
        <v>213</v>
      </c>
      <c r="D728" s="29" t="s">
        <v>214</v>
      </c>
      <c r="E728" s="16"/>
      <c r="F728" s="97">
        <f>' WP II-I-1.4'!I728</f>
        <v>0</v>
      </c>
      <c r="G728" s="16">
        <v>73</v>
      </c>
      <c r="H728" s="45" t="str">
        <f>VLOOKUP(G728,FactorTable,2)</f>
        <v>CUS ACCT</v>
      </c>
      <c r="I728" s="16"/>
      <c r="J728" s="370">
        <f t="shared" si="260"/>
        <v>0</v>
      </c>
      <c r="K728" s="370">
        <f t="shared" si="260"/>
        <v>0</v>
      </c>
      <c r="L728" s="370">
        <f t="shared" si="260"/>
        <v>0</v>
      </c>
      <c r="M728" s="370">
        <f t="shared" si="260"/>
        <v>0</v>
      </c>
      <c r="N728" s="370">
        <f t="shared" si="260"/>
        <v>0</v>
      </c>
      <c r="O728" s="370">
        <f t="shared" si="260"/>
        <v>0</v>
      </c>
      <c r="P728" s="370">
        <f t="shared" si="260"/>
        <v>0</v>
      </c>
      <c r="Q728" s="370">
        <f t="shared" si="260"/>
        <v>0</v>
      </c>
      <c r="R728" s="370">
        <f t="shared" si="260"/>
        <v>0</v>
      </c>
      <c r="S728" s="370">
        <f t="shared" si="260"/>
        <v>0</v>
      </c>
      <c r="T728" s="16"/>
      <c r="U728" s="97">
        <f t="shared" si="261"/>
        <v>0</v>
      </c>
      <c r="V728" s="64"/>
      <c r="W728" s="643">
        <f t="shared" si="262"/>
        <v>0</v>
      </c>
    </row>
    <row r="729" spans="1:23" ht="15.75" x14ac:dyDescent="0.25">
      <c r="A729" s="45"/>
      <c r="B729" s="16">
        <f t="shared" si="259"/>
        <v>7</v>
      </c>
      <c r="C729" s="8"/>
      <c r="D729" s="233" t="s">
        <v>589</v>
      </c>
      <c r="E729" s="19"/>
      <c r="F729" s="21">
        <f>SUM(F724:F728)</f>
        <v>16933900.5</v>
      </c>
      <c r="G729" s="19"/>
      <c r="H729" s="19"/>
      <c r="I729" s="913"/>
      <c r="J729" s="805">
        <f t="shared" ref="J729:Q729" si="263">SUM(J724:J728)</f>
        <v>8771668.4676624574</v>
      </c>
      <c r="K729" s="805">
        <f t="shared" si="263"/>
        <v>1088546.1171477996</v>
      </c>
      <c r="L729" s="805">
        <f t="shared" si="263"/>
        <v>5023646.0896088248</v>
      </c>
      <c r="M729" s="805">
        <f t="shared" si="263"/>
        <v>172993.35194780072</v>
      </c>
      <c r="N729" s="805">
        <f t="shared" si="263"/>
        <v>1530670.3718137881</v>
      </c>
      <c r="O729" s="805">
        <f>SUM(O724:O728)</f>
        <v>85184.650696914003</v>
      </c>
      <c r="P729" s="805">
        <f t="shared" si="263"/>
        <v>202477.54581534379</v>
      </c>
      <c r="Q729" s="805">
        <f t="shared" si="263"/>
        <v>41724.914412545535</v>
      </c>
      <c r="R729" s="805">
        <f>SUM(R724:R728)</f>
        <v>4800.9909565015287</v>
      </c>
      <c r="S729" s="805">
        <f>SUM(S724:S728)</f>
        <v>12187.999938021949</v>
      </c>
      <c r="T729" s="913"/>
      <c r="U729" s="235">
        <f t="shared" si="261"/>
        <v>16933900.5</v>
      </c>
      <c r="V729" s="64"/>
      <c r="W729" s="643">
        <f t="shared" si="262"/>
        <v>0</v>
      </c>
    </row>
    <row r="730" spans="1:23" ht="15" x14ac:dyDescent="0.2">
      <c r="A730" s="45"/>
      <c r="B730" s="16">
        <f t="shared" si="259"/>
        <v>8</v>
      </c>
      <c r="C730" s="1"/>
      <c r="D730" s="1"/>
      <c r="E730" s="16"/>
      <c r="F730" s="18"/>
      <c r="G730" s="16"/>
      <c r="H730" s="16"/>
      <c r="I730" s="1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6"/>
      <c r="U730" s="1"/>
      <c r="V730" s="64"/>
      <c r="W730" s="643">
        <f t="shared" si="262"/>
        <v>0</v>
      </c>
    </row>
    <row r="731" spans="1:23" ht="15.75" x14ac:dyDescent="0.25">
      <c r="A731" s="45"/>
      <c r="B731" s="16">
        <f t="shared" si="259"/>
        <v>9</v>
      </c>
      <c r="C731" s="8"/>
      <c r="D731" s="233" t="s">
        <v>598</v>
      </c>
      <c r="E731" s="19"/>
      <c r="F731" s="21">
        <f>SUM(F725:F726)</f>
        <v>14184772.5</v>
      </c>
      <c r="G731" s="19"/>
      <c r="H731" s="19"/>
      <c r="I731" s="913"/>
      <c r="J731" s="805">
        <f t="shared" ref="J731:Q731" si="264">SUM(J725:J726)</f>
        <v>7405067.906634165</v>
      </c>
      <c r="K731" s="805">
        <f t="shared" si="264"/>
        <v>1038820.5405167697</v>
      </c>
      <c r="L731" s="805">
        <f t="shared" si="264"/>
        <v>4085343.9758464079</v>
      </c>
      <c r="M731" s="805">
        <f t="shared" si="264"/>
        <v>172042.22570578611</v>
      </c>
      <c r="N731" s="805">
        <f t="shared" si="264"/>
        <v>1324815.9589471368</v>
      </c>
      <c r="O731" s="805">
        <f>SUM(O725:O726)</f>
        <v>43470.124115535</v>
      </c>
      <c r="P731" s="805">
        <f t="shared" si="264"/>
        <v>90673.878523201871</v>
      </c>
      <c r="Q731" s="805">
        <f t="shared" si="264"/>
        <v>7551.0543888358734</v>
      </c>
      <c r="R731" s="805">
        <f>SUM(R725:R726)</f>
        <v>4800.3818041695113</v>
      </c>
      <c r="S731" s="805">
        <f>SUM(S725:S726)</f>
        <v>12186.453517990723</v>
      </c>
      <c r="T731" s="913"/>
      <c r="U731" s="235">
        <f>SUM(I731:T731)</f>
        <v>14184772.499999998</v>
      </c>
      <c r="V731" s="64"/>
      <c r="W731" s="643">
        <f t="shared" si="262"/>
        <v>0</v>
      </c>
    </row>
    <row r="732" spans="1:23" ht="15" x14ac:dyDescent="0.2">
      <c r="A732" s="45"/>
      <c r="B732" s="16">
        <f t="shared" si="259"/>
        <v>10</v>
      </c>
      <c r="C732" s="1"/>
      <c r="D732" s="1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"/>
      <c r="V732" s="64"/>
      <c r="W732" s="643">
        <f t="shared" si="262"/>
        <v>0</v>
      </c>
    </row>
    <row r="733" spans="1:23" ht="15.75" x14ac:dyDescent="0.25">
      <c r="A733" s="45"/>
      <c r="B733" s="16">
        <f t="shared" si="259"/>
        <v>11</v>
      </c>
      <c r="C733" s="8"/>
      <c r="D733" s="301" t="s">
        <v>599</v>
      </c>
      <c r="E733" s="19" t="s">
        <v>143</v>
      </c>
      <c r="F733" s="21"/>
      <c r="G733" s="19"/>
      <c r="H733" s="19"/>
      <c r="I733" s="913"/>
      <c r="J733" s="961"/>
      <c r="K733" s="961"/>
      <c r="L733" s="961"/>
      <c r="M733" s="961"/>
      <c r="N733" s="961"/>
      <c r="O733" s="961"/>
      <c r="P733" s="961"/>
      <c r="Q733" s="961"/>
      <c r="R733" s="961"/>
      <c r="S733" s="961"/>
      <c r="T733" s="913"/>
      <c r="U733" s="8"/>
      <c r="V733" s="64"/>
      <c r="W733" s="643">
        <f t="shared" si="262"/>
        <v>0</v>
      </c>
    </row>
    <row r="734" spans="1:23" ht="15" x14ac:dyDescent="0.2">
      <c r="A734" s="45"/>
      <c r="B734" s="16">
        <f t="shared" si="259"/>
        <v>12</v>
      </c>
      <c r="C734" s="1" t="s">
        <v>216</v>
      </c>
      <c r="D734" s="1" t="s">
        <v>217</v>
      </c>
      <c r="E734" s="16"/>
      <c r="F734" s="97">
        <f>' WP II-I-1.4'!I734</f>
        <v>0</v>
      </c>
      <c r="G734" s="16">
        <v>9</v>
      </c>
      <c r="H734" s="45" t="str">
        <f>VLOOKUP(G734,FactorTable,2)</f>
        <v>CUS U ALL</v>
      </c>
      <c r="I734" s="16"/>
      <c r="J734" s="369">
        <f t="shared" ref="J734:S738" si="265">$F734*HLOOKUP(J$1354,FactorTable,$G734+1)</f>
        <v>0</v>
      </c>
      <c r="K734" s="369">
        <f t="shared" si="265"/>
        <v>0</v>
      </c>
      <c r="L734" s="369">
        <f t="shared" si="265"/>
        <v>0</v>
      </c>
      <c r="M734" s="369">
        <f t="shared" si="265"/>
        <v>0</v>
      </c>
      <c r="N734" s="369">
        <f t="shared" si="265"/>
        <v>0</v>
      </c>
      <c r="O734" s="369">
        <f t="shared" si="265"/>
        <v>0</v>
      </c>
      <c r="P734" s="369">
        <f t="shared" si="265"/>
        <v>0</v>
      </c>
      <c r="Q734" s="369">
        <f t="shared" si="265"/>
        <v>0</v>
      </c>
      <c r="R734" s="369">
        <f t="shared" si="265"/>
        <v>0</v>
      </c>
      <c r="S734" s="369">
        <f t="shared" si="265"/>
        <v>0</v>
      </c>
      <c r="T734" s="16"/>
      <c r="U734" s="97">
        <f t="shared" ref="U734:U739" si="266">SUM(I734:T734)</f>
        <v>0</v>
      </c>
      <c r="V734" s="64"/>
      <c r="W734" s="643">
        <f t="shared" si="262"/>
        <v>0</v>
      </c>
    </row>
    <row r="735" spans="1:23" ht="15" x14ac:dyDescent="0.2">
      <c r="A735" s="45"/>
      <c r="B735" s="16">
        <f t="shared" si="259"/>
        <v>13</v>
      </c>
      <c r="C735" s="1" t="s">
        <v>218</v>
      </c>
      <c r="D735" s="1" t="s">
        <v>206</v>
      </c>
      <c r="E735" s="16"/>
      <c r="F735" s="97">
        <f>' WP II-I-1.4'!I735</f>
        <v>0</v>
      </c>
      <c r="G735" s="16">
        <v>74</v>
      </c>
      <c r="H735" s="45" t="str">
        <f>VLOOKUP(G735,FactorTable,2)</f>
        <v>CUS SVC INFO</v>
      </c>
      <c r="I735" s="16"/>
      <c r="J735" s="369">
        <f t="shared" si="265"/>
        <v>0</v>
      </c>
      <c r="K735" s="369">
        <f t="shared" si="265"/>
        <v>0</v>
      </c>
      <c r="L735" s="369">
        <f t="shared" si="265"/>
        <v>0</v>
      </c>
      <c r="M735" s="369">
        <f t="shared" si="265"/>
        <v>0</v>
      </c>
      <c r="N735" s="369">
        <f t="shared" si="265"/>
        <v>0</v>
      </c>
      <c r="O735" s="369">
        <f t="shared" si="265"/>
        <v>0</v>
      </c>
      <c r="P735" s="369">
        <f t="shared" si="265"/>
        <v>0</v>
      </c>
      <c r="Q735" s="369">
        <f t="shared" si="265"/>
        <v>0</v>
      </c>
      <c r="R735" s="369">
        <f t="shared" si="265"/>
        <v>0</v>
      </c>
      <c r="S735" s="369">
        <f t="shared" si="265"/>
        <v>0</v>
      </c>
      <c r="T735" s="16"/>
      <c r="U735" s="97">
        <f t="shared" si="266"/>
        <v>0</v>
      </c>
      <c r="V735" s="64"/>
      <c r="W735" s="643">
        <f t="shared" si="262"/>
        <v>0</v>
      </c>
    </row>
    <row r="736" spans="1:23" ht="15.75" x14ac:dyDescent="0.25">
      <c r="A736" s="45"/>
      <c r="B736" s="16">
        <f t="shared" si="259"/>
        <v>14</v>
      </c>
      <c r="C736" s="1" t="s">
        <v>219</v>
      </c>
      <c r="D736" s="1" t="s">
        <v>220</v>
      </c>
      <c r="E736" s="19"/>
      <c r="F736" s="97">
        <f>' WP II-I-1.4'!I736</f>
        <v>162992.94</v>
      </c>
      <c r="G736" s="16">
        <v>9</v>
      </c>
      <c r="H736" s="45" t="str">
        <f>VLOOKUP(G736,FactorTable,2)</f>
        <v>CUS U ALL</v>
      </c>
      <c r="I736" s="913"/>
      <c r="J736" s="369">
        <f t="shared" si="265"/>
        <v>139475.44311134488</v>
      </c>
      <c r="K736" s="369">
        <f t="shared" si="265"/>
        <v>11569.161387389762</v>
      </c>
      <c r="L736" s="369">
        <f t="shared" si="265"/>
        <v>9452.7236406351076</v>
      </c>
      <c r="M736" s="369">
        <f t="shared" si="265"/>
        <v>126.29737005950017</v>
      </c>
      <c r="N736" s="369">
        <f t="shared" si="265"/>
        <v>282.72884946653022</v>
      </c>
      <c r="O736" s="369">
        <f t="shared" si="265"/>
        <v>6.5666575182451439</v>
      </c>
      <c r="P736" s="369">
        <f t="shared" si="265"/>
        <v>13.697322430695392</v>
      </c>
      <c r="Q736" s="369">
        <f t="shared" si="265"/>
        <v>2063.5016241842609</v>
      </c>
      <c r="R736" s="369">
        <f t="shared" si="265"/>
        <v>0.72515236397799143</v>
      </c>
      <c r="S736" s="369">
        <f t="shared" si="265"/>
        <v>2.0948846070475309</v>
      </c>
      <c r="T736" s="913"/>
      <c r="U736" s="97">
        <f t="shared" si="266"/>
        <v>162992.94</v>
      </c>
      <c r="V736" s="64"/>
      <c r="W736" s="643">
        <f t="shared" si="262"/>
        <v>0</v>
      </c>
    </row>
    <row r="737" spans="1:23" ht="15" x14ac:dyDescent="0.2">
      <c r="A737" s="45"/>
      <c r="B737" s="16">
        <f t="shared" si="259"/>
        <v>15</v>
      </c>
      <c r="C737" s="1" t="s">
        <v>221</v>
      </c>
      <c r="D737" s="1" t="s">
        <v>222</v>
      </c>
      <c r="E737" s="16"/>
      <c r="F737" s="97">
        <f>' WP II-I-1.4'!I737</f>
        <v>0</v>
      </c>
      <c r="G737" s="16">
        <v>10</v>
      </c>
      <c r="H737" s="45" t="str">
        <f>VLOOKUP(G737,FactorTable,2)</f>
        <v>CUS U RTL</v>
      </c>
      <c r="I737" s="16"/>
      <c r="J737" s="369">
        <f t="shared" si="265"/>
        <v>0</v>
      </c>
      <c r="K737" s="369">
        <f t="shared" si="265"/>
        <v>0</v>
      </c>
      <c r="L737" s="369">
        <f t="shared" si="265"/>
        <v>0</v>
      </c>
      <c r="M737" s="369">
        <f t="shared" si="265"/>
        <v>0</v>
      </c>
      <c r="N737" s="369">
        <f t="shared" si="265"/>
        <v>0</v>
      </c>
      <c r="O737" s="369">
        <f t="shared" si="265"/>
        <v>0</v>
      </c>
      <c r="P737" s="369">
        <f t="shared" si="265"/>
        <v>0</v>
      </c>
      <c r="Q737" s="369">
        <f t="shared" si="265"/>
        <v>0</v>
      </c>
      <c r="R737" s="369">
        <f t="shared" si="265"/>
        <v>0</v>
      </c>
      <c r="S737" s="369">
        <f t="shared" si="265"/>
        <v>0</v>
      </c>
      <c r="T737" s="16"/>
      <c r="U737" s="97">
        <f t="shared" si="266"/>
        <v>0</v>
      </c>
      <c r="V737" s="64"/>
      <c r="W737" s="643">
        <f t="shared" si="262"/>
        <v>0</v>
      </c>
    </row>
    <row r="738" spans="1:23" ht="15" x14ac:dyDescent="0.2">
      <c r="A738" s="45"/>
      <c r="B738" s="16">
        <f t="shared" si="259"/>
        <v>16</v>
      </c>
      <c r="C738" s="1" t="s">
        <v>223</v>
      </c>
      <c r="D738" s="1" t="s">
        <v>224</v>
      </c>
      <c r="E738" s="16"/>
      <c r="F738" s="97">
        <f>' WP II-I-1.4'!I738</f>
        <v>232.86</v>
      </c>
      <c r="G738" s="16">
        <v>74</v>
      </c>
      <c r="H738" s="45" t="str">
        <f>VLOOKUP(G738,FactorTable,2)</f>
        <v>CUS SVC INFO</v>
      </c>
      <c r="I738" s="16"/>
      <c r="J738" s="370">
        <f t="shared" si="265"/>
        <v>199.26170840839961</v>
      </c>
      <c r="K738" s="370">
        <f t="shared" si="265"/>
        <v>16.528292088403216</v>
      </c>
      <c r="L738" s="370">
        <f t="shared" si="265"/>
        <v>13.5046415320706</v>
      </c>
      <c r="M738" s="370">
        <f t="shared" si="265"/>
        <v>0.18043484332545454</v>
      </c>
      <c r="N738" s="370">
        <f t="shared" si="265"/>
        <v>0.40392080716364909</v>
      </c>
      <c r="O738" s="370">
        <f t="shared" si="265"/>
        <v>9.3814607534446846E-3</v>
      </c>
      <c r="P738" s="370">
        <f t="shared" si="265"/>
        <v>1.9568691142154558E-2</v>
      </c>
      <c r="Q738" s="370">
        <f t="shared" si="265"/>
        <v>2.9480233205655844</v>
      </c>
      <c r="R738" s="370">
        <f t="shared" si="265"/>
        <v>1.0359895310552414E-3</v>
      </c>
      <c r="S738" s="370">
        <f t="shared" si="265"/>
        <v>2.9928586452706973E-3</v>
      </c>
      <c r="T738" s="16"/>
      <c r="U738" s="97">
        <f t="shared" si="266"/>
        <v>232.86000000000004</v>
      </c>
      <c r="V738" s="64"/>
      <c r="W738" s="643">
        <f t="shared" si="262"/>
        <v>0</v>
      </c>
    </row>
    <row r="739" spans="1:23" ht="15.75" x14ac:dyDescent="0.25">
      <c r="A739" s="45"/>
      <c r="B739" s="16">
        <f t="shared" si="259"/>
        <v>17</v>
      </c>
      <c r="C739" s="8"/>
      <c r="D739" s="233" t="s">
        <v>600</v>
      </c>
      <c r="E739" s="19"/>
      <c r="F739" s="21">
        <f>SUM(F734:F738)</f>
        <v>163225.79999999999</v>
      </c>
      <c r="G739" s="19"/>
      <c r="H739" s="19"/>
      <c r="I739" s="913"/>
      <c r="J739" s="805">
        <f t="shared" ref="J739:Q739" si="267">SUM(J734:J738)</f>
        <v>139674.70481975327</v>
      </c>
      <c r="K739" s="805">
        <f t="shared" si="267"/>
        <v>11585.689679478166</v>
      </c>
      <c r="L739" s="805">
        <f t="shared" si="267"/>
        <v>9466.2282821671779</v>
      </c>
      <c r="M739" s="805">
        <f t="shared" si="267"/>
        <v>126.47780490282562</v>
      </c>
      <c r="N739" s="805">
        <f t="shared" si="267"/>
        <v>283.13277027369389</v>
      </c>
      <c r="O739" s="805">
        <f>SUM(O734:O738)</f>
        <v>6.5760389789985885</v>
      </c>
      <c r="P739" s="805">
        <f t="shared" si="267"/>
        <v>13.716891121837547</v>
      </c>
      <c r="Q739" s="805">
        <f t="shared" si="267"/>
        <v>2066.4496475048263</v>
      </c>
      <c r="R739" s="805">
        <f>SUM(R734:R738)</f>
        <v>0.72618835350904665</v>
      </c>
      <c r="S739" s="805">
        <f>SUM(S734:S738)</f>
        <v>2.0978774656928016</v>
      </c>
      <c r="T739" s="913"/>
      <c r="U739" s="235">
        <f t="shared" si="266"/>
        <v>163225.79999999999</v>
      </c>
      <c r="V739" s="64"/>
      <c r="W739" s="643">
        <f t="shared" si="262"/>
        <v>0</v>
      </c>
    </row>
    <row r="740" spans="1:23" ht="15.75" x14ac:dyDescent="0.25">
      <c r="A740" s="45"/>
      <c r="B740" s="16">
        <f t="shared" si="259"/>
        <v>18</v>
      </c>
      <c r="C740" s="8"/>
      <c r="D740" s="233"/>
      <c r="E740" s="19"/>
      <c r="F740" s="21"/>
      <c r="G740" s="19"/>
      <c r="H740" s="19"/>
      <c r="I740" s="913"/>
      <c r="J740" s="805"/>
      <c r="K740" s="805"/>
      <c r="L740" s="805"/>
      <c r="M740" s="805"/>
      <c r="N740" s="805"/>
      <c r="O740" s="805"/>
      <c r="P740" s="805"/>
      <c r="Q740" s="805"/>
      <c r="R740" s="805"/>
      <c r="S740" s="805"/>
      <c r="T740" s="913"/>
      <c r="U740" s="235"/>
      <c r="V740" s="64"/>
      <c r="W740" s="643">
        <f t="shared" si="262"/>
        <v>0</v>
      </c>
    </row>
    <row r="741" spans="1:23" ht="15.75" x14ac:dyDescent="0.25">
      <c r="A741" s="45"/>
      <c r="B741" s="16">
        <f t="shared" si="259"/>
        <v>19</v>
      </c>
      <c r="C741" s="8"/>
      <c r="D741" s="233" t="s">
        <v>601</v>
      </c>
      <c r="E741" s="19"/>
      <c r="F741" s="21">
        <f>F734+F736+F737</f>
        <v>162992.94</v>
      </c>
      <c r="G741" s="19"/>
      <c r="H741" s="19"/>
      <c r="I741" s="19"/>
      <c r="J741" s="805">
        <f t="shared" ref="J741:Q741" si="268">J734+J736+J737</f>
        <v>139475.44311134488</v>
      </c>
      <c r="K741" s="805">
        <f t="shared" si="268"/>
        <v>11569.161387389762</v>
      </c>
      <c r="L741" s="805">
        <f t="shared" si="268"/>
        <v>9452.7236406351076</v>
      </c>
      <c r="M741" s="805">
        <f t="shared" si="268"/>
        <v>126.29737005950017</v>
      </c>
      <c r="N741" s="805">
        <f t="shared" si="268"/>
        <v>282.72884946653022</v>
      </c>
      <c r="O741" s="805">
        <f>O734+O736+O737</f>
        <v>6.5666575182451439</v>
      </c>
      <c r="P741" s="805">
        <f t="shared" si="268"/>
        <v>13.697322430695392</v>
      </c>
      <c r="Q741" s="805">
        <f t="shared" si="268"/>
        <v>2063.5016241842609</v>
      </c>
      <c r="R741" s="805">
        <f>R734+R736+R737</f>
        <v>0.72515236397799143</v>
      </c>
      <c r="S741" s="805">
        <f>S734+S736+S737</f>
        <v>2.0948846070475309</v>
      </c>
      <c r="T741" s="913"/>
      <c r="U741" s="235">
        <f>SUM(I741:T741)</f>
        <v>162992.94</v>
      </c>
      <c r="V741" s="64"/>
      <c r="W741" s="643">
        <f t="shared" si="262"/>
        <v>0</v>
      </c>
    </row>
    <row r="742" spans="1:23" ht="15" x14ac:dyDescent="0.2">
      <c r="A742" s="45"/>
      <c r="B742" s="16">
        <f t="shared" si="259"/>
        <v>20</v>
      </c>
      <c r="C742" s="1"/>
      <c r="D742" s="1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"/>
      <c r="V742" s="64"/>
      <c r="W742" s="643">
        <f t="shared" si="262"/>
        <v>0</v>
      </c>
    </row>
    <row r="743" spans="1:23" ht="15.75" x14ac:dyDescent="0.25">
      <c r="A743" s="45"/>
      <c r="B743" s="16">
        <f t="shared" si="259"/>
        <v>21</v>
      </c>
      <c r="C743" s="8"/>
      <c r="D743" s="303" t="s">
        <v>225</v>
      </c>
      <c r="E743" s="19" t="s">
        <v>143</v>
      </c>
      <c r="F743" s="21"/>
      <c r="G743" s="19"/>
      <c r="H743" s="19"/>
      <c r="I743" s="913"/>
      <c r="J743" s="961"/>
      <c r="K743" s="961"/>
      <c r="L743" s="961"/>
      <c r="M743" s="961"/>
      <c r="N743" s="961"/>
      <c r="O743" s="961"/>
      <c r="P743" s="961"/>
      <c r="Q743" s="961"/>
      <c r="R743" s="961"/>
      <c r="S743" s="961"/>
      <c r="T743" s="913"/>
      <c r="U743" s="8"/>
      <c r="V743" s="64"/>
      <c r="W743" s="643">
        <f t="shared" si="262"/>
        <v>0</v>
      </c>
    </row>
    <row r="744" spans="1:23" ht="15" x14ac:dyDescent="0.2">
      <c r="A744" s="45"/>
      <c r="B744" s="16">
        <f t="shared" si="259"/>
        <v>22</v>
      </c>
      <c r="C744" s="1" t="s">
        <v>226</v>
      </c>
      <c r="D744" s="49" t="s">
        <v>206</v>
      </c>
      <c r="E744" s="16"/>
      <c r="F744" s="97">
        <f>' WP II-I-1.4'!I744</f>
        <v>0</v>
      </c>
      <c r="G744" s="16">
        <v>10</v>
      </c>
      <c r="H744" s="45" t="str">
        <f>VLOOKUP(G744,FactorTable,2)</f>
        <v>CUS U RTL</v>
      </c>
      <c r="I744" s="16"/>
      <c r="J744" s="369">
        <f t="shared" ref="J744:S748" si="269">$F744*HLOOKUP(J$1354,FactorTable,$G744+1)</f>
        <v>0</v>
      </c>
      <c r="K744" s="369">
        <f t="shared" si="269"/>
        <v>0</v>
      </c>
      <c r="L744" s="369">
        <f t="shared" si="269"/>
        <v>0</v>
      </c>
      <c r="M744" s="369">
        <f t="shared" si="269"/>
        <v>0</v>
      </c>
      <c r="N744" s="369">
        <f t="shared" si="269"/>
        <v>0</v>
      </c>
      <c r="O744" s="369">
        <f t="shared" si="269"/>
        <v>0</v>
      </c>
      <c r="P744" s="369">
        <f t="shared" si="269"/>
        <v>0</v>
      </c>
      <c r="Q744" s="369">
        <f t="shared" si="269"/>
        <v>0</v>
      </c>
      <c r="R744" s="369">
        <f t="shared" si="269"/>
        <v>0</v>
      </c>
      <c r="S744" s="369">
        <f t="shared" si="269"/>
        <v>0</v>
      </c>
      <c r="T744" s="16"/>
      <c r="U744" s="97">
        <f t="shared" ref="U744:U749" si="270">SUM(I744:T744)</f>
        <v>0</v>
      </c>
      <c r="V744" s="64"/>
      <c r="W744" s="643">
        <f t="shared" si="262"/>
        <v>0</v>
      </c>
    </row>
    <row r="745" spans="1:23" ht="15" x14ac:dyDescent="0.2">
      <c r="A745" s="45"/>
      <c r="B745" s="16">
        <f t="shared" si="259"/>
        <v>23</v>
      </c>
      <c r="C745" s="1" t="s">
        <v>227</v>
      </c>
      <c r="D745" s="49" t="s">
        <v>228</v>
      </c>
      <c r="E745" s="16"/>
      <c r="F745" s="97">
        <f>' WP II-I-1.4'!I745</f>
        <v>0</v>
      </c>
      <c r="G745" s="16">
        <v>10</v>
      </c>
      <c r="H745" s="45" t="str">
        <f>VLOOKUP(G745,FactorTable,2)</f>
        <v>CUS U RTL</v>
      </c>
      <c r="I745" s="16"/>
      <c r="J745" s="369">
        <f t="shared" si="269"/>
        <v>0</v>
      </c>
      <c r="K745" s="369">
        <f t="shared" si="269"/>
        <v>0</v>
      </c>
      <c r="L745" s="369">
        <f t="shared" si="269"/>
        <v>0</v>
      </c>
      <c r="M745" s="369">
        <f t="shared" si="269"/>
        <v>0</v>
      </c>
      <c r="N745" s="369">
        <f t="shared" si="269"/>
        <v>0</v>
      </c>
      <c r="O745" s="369">
        <f t="shared" si="269"/>
        <v>0</v>
      </c>
      <c r="P745" s="369">
        <f t="shared" si="269"/>
        <v>0</v>
      </c>
      <c r="Q745" s="369">
        <f t="shared" si="269"/>
        <v>0</v>
      </c>
      <c r="R745" s="369">
        <f t="shared" si="269"/>
        <v>0</v>
      </c>
      <c r="S745" s="369">
        <f t="shared" si="269"/>
        <v>0</v>
      </c>
      <c r="T745" s="16"/>
      <c r="U745" s="97">
        <f t="shared" si="270"/>
        <v>0</v>
      </c>
      <c r="V745" s="64"/>
      <c r="W745" s="643">
        <f t="shared" si="262"/>
        <v>0</v>
      </c>
    </row>
    <row r="746" spans="1:23" ht="15" x14ac:dyDescent="0.2">
      <c r="A746" s="45"/>
      <c r="B746" s="16">
        <f t="shared" si="259"/>
        <v>24</v>
      </c>
      <c r="C746" s="1" t="s">
        <v>229</v>
      </c>
      <c r="D746" s="49" t="s">
        <v>230</v>
      </c>
      <c r="E746" s="16"/>
      <c r="F746" s="97">
        <f>' WP II-I-1.4'!I746</f>
        <v>0</v>
      </c>
      <c r="G746" s="16">
        <v>10</v>
      </c>
      <c r="H746" s="45" t="str">
        <f>VLOOKUP(G746,FactorTable,2)</f>
        <v>CUS U RTL</v>
      </c>
      <c r="I746" s="16"/>
      <c r="J746" s="369">
        <f t="shared" si="269"/>
        <v>0</v>
      </c>
      <c r="K746" s="369">
        <f t="shared" si="269"/>
        <v>0</v>
      </c>
      <c r="L746" s="369">
        <f t="shared" si="269"/>
        <v>0</v>
      </c>
      <c r="M746" s="369">
        <f t="shared" si="269"/>
        <v>0</v>
      </c>
      <c r="N746" s="369">
        <f t="shared" si="269"/>
        <v>0</v>
      </c>
      <c r="O746" s="369">
        <f t="shared" si="269"/>
        <v>0</v>
      </c>
      <c r="P746" s="369">
        <f t="shared" si="269"/>
        <v>0</v>
      </c>
      <c r="Q746" s="369">
        <f t="shared" si="269"/>
        <v>0</v>
      </c>
      <c r="R746" s="369">
        <f t="shared" si="269"/>
        <v>0</v>
      </c>
      <c r="S746" s="369">
        <f t="shared" si="269"/>
        <v>0</v>
      </c>
      <c r="T746" s="16"/>
      <c r="U746" s="97">
        <f t="shared" si="270"/>
        <v>0</v>
      </c>
      <c r="V746" s="64"/>
      <c r="W746" s="643">
        <f t="shared" si="262"/>
        <v>0</v>
      </c>
    </row>
    <row r="747" spans="1:23" ht="15" x14ac:dyDescent="0.2">
      <c r="A747" s="45"/>
      <c r="B747" s="16">
        <f t="shared" si="259"/>
        <v>25</v>
      </c>
      <c r="C747" s="1" t="s">
        <v>231</v>
      </c>
      <c r="D747" s="49" t="s">
        <v>232</v>
      </c>
      <c r="E747" s="16"/>
      <c r="F747" s="97">
        <f>' WP II-I-1.4'!I747</f>
        <v>0</v>
      </c>
      <c r="G747" s="16">
        <v>10</v>
      </c>
      <c r="H747" s="45" t="str">
        <f>VLOOKUP(G747,FactorTable,2)</f>
        <v>CUS U RTL</v>
      </c>
      <c r="I747" s="16"/>
      <c r="J747" s="369">
        <f t="shared" si="269"/>
        <v>0</v>
      </c>
      <c r="K747" s="369">
        <f t="shared" si="269"/>
        <v>0</v>
      </c>
      <c r="L747" s="369">
        <f t="shared" si="269"/>
        <v>0</v>
      </c>
      <c r="M747" s="369">
        <f t="shared" si="269"/>
        <v>0</v>
      </c>
      <c r="N747" s="369">
        <f t="shared" si="269"/>
        <v>0</v>
      </c>
      <c r="O747" s="369">
        <f t="shared" si="269"/>
        <v>0</v>
      </c>
      <c r="P747" s="369">
        <f t="shared" si="269"/>
        <v>0</v>
      </c>
      <c r="Q747" s="369">
        <f t="shared" si="269"/>
        <v>0</v>
      </c>
      <c r="R747" s="369">
        <f t="shared" si="269"/>
        <v>0</v>
      </c>
      <c r="S747" s="369">
        <f t="shared" si="269"/>
        <v>0</v>
      </c>
      <c r="T747" s="16"/>
      <c r="U747" s="97">
        <f t="shared" si="270"/>
        <v>0</v>
      </c>
      <c r="V747" s="64"/>
      <c r="W747" s="643">
        <f t="shared" si="262"/>
        <v>0</v>
      </c>
    </row>
    <row r="748" spans="1:23" ht="15" x14ac:dyDescent="0.2">
      <c r="A748" s="45"/>
      <c r="B748" s="16">
        <f t="shared" si="259"/>
        <v>26</v>
      </c>
      <c r="C748" s="1" t="s">
        <v>233</v>
      </c>
      <c r="D748" s="49" t="s">
        <v>234</v>
      </c>
      <c r="E748" s="16"/>
      <c r="F748" s="97">
        <f>' WP II-I-1.4'!I748</f>
        <v>0</v>
      </c>
      <c r="G748" s="16">
        <v>10</v>
      </c>
      <c r="H748" s="45" t="str">
        <f>VLOOKUP(G748,FactorTable,2)</f>
        <v>CUS U RTL</v>
      </c>
      <c r="I748" s="16"/>
      <c r="J748" s="370">
        <f t="shared" si="269"/>
        <v>0</v>
      </c>
      <c r="K748" s="370">
        <f t="shared" si="269"/>
        <v>0</v>
      </c>
      <c r="L748" s="370">
        <f t="shared" si="269"/>
        <v>0</v>
      </c>
      <c r="M748" s="370">
        <f t="shared" si="269"/>
        <v>0</v>
      </c>
      <c r="N748" s="370">
        <f t="shared" si="269"/>
        <v>0</v>
      </c>
      <c r="O748" s="370">
        <f t="shared" si="269"/>
        <v>0</v>
      </c>
      <c r="P748" s="370">
        <f t="shared" si="269"/>
        <v>0</v>
      </c>
      <c r="Q748" s="370">
        <f t="shared" si="269"/>
        <v>0</v>
      </c>
      <c r="R748" s="370">
        <f t="shared" si="269"/>
        <v>0</v>
      </c>
      <c r="S748" s="370">
        <f t="shared" si="269"/>
        <v>0</v>
      </c>
      <c r="T748" s="16"/>
      <c r="U748" s="97">
        <f t="shared" si="270"/>
        <v>0</v>
      </c>
      <c r="V748" s="64"/>
      <c r="W748" s="643">
        <f t="shared" si="262"/>
        <v>0</v>
      </c>
    </row>
    <row r="749" spans="1:23" ht="15.75" x14ac:dyDescent="0.25">
      <c r="A749" s="45"/>
      <c r="B749" s="16">
        <f t="shared" si="259"/>
        <v>27</v>
      </c>
      <c r="C749" s="8"/>
      <c r="D749" s="233" t="s">
        <v>602</v>
      </c>
      <c r="E749" s="19"/>
      <c r="F749" s="21">
        <f>SUM(F744:F748)</f>
        <v>0</v>
      </c>
      <c r="G749" s="19"/>
      <c r="H749" s="19"/>
      <c r="I749" s="913"/>
      <c r="J749" s="805">
        <f t="shared" ref="J749:Q749" si="271">SUM(J744:J748)</f>
        <v>0</v>
      </c>
      <c r="K749" s="805">
        <f t="shared" si="271"/>
        <v>0</v>
      </c>
      <c r="L749" s="805">
        <f t="shared" si="271"/>
        <v>0</v>
      </c>
      <c r="M749" s="805">
        <f t="shared" si="271"/>
        <v>0</v>
      </c>
      <c r="N749" s="805">
        <f t="shared" si="271"/>
        <v>0</v>
      </c>
      <c r="O749" s="805">
        <f>SUM(O744:O748)</f>
        <v>0</v>
      </c>
      <c r="P749" s="805">
        <f t="shared" si="271"/>
        <v>0</v>
      </c>
      <c r="Q749" s="805">
        <f t="shared" si="271"/>
        <v>0</v>
      </c>
      <c r="R749" s="805">
        <f>SUM(R744:R748)</f>
        <v>0</v>
      </c>
      <c r="S749" s="805">
        <f>SUM(S744:S748)</f>
        <v>0</v>
      </c>
      <c r="T749" s="19"/>
      <c r="U749" s="235">
        <f t="shared" si="270"/>
        <v>0</v>
      </c>
      <c r="V749" s="64"/>
      <c r="W749" s="643">
        <f t="shared" si="262"/>
        <v>0</v>
      </c>
    </row>
    <row r="750" spans="1:23" ht="15.75" x14ac:dyDescent="0.25">
      <c r="A750" s="45"/>
      <c r="B750" s="16">
        <f t="shared" si="259"/>
        <v>28</v>
      </c>
      <c r="C750" s="8"/>
      <c r="D750" s="304"/>
      <c r="E750" s="19"/>
      <c r="F750" s="21"/>
      <c r="G750" s="19"/>
      <c r="H750" s="19"/>
      <c r="I750" s="19"/>
      <c r="J750" s="805"/>
      <c r="K750" s="805"/>
      <c r="L750" s="805"/>
      <c r="M750" s="805"/>
      <c r="N750" s="805"/>
      <c r="O750" s="805"/>
      <c r="P750" s="805"/>
      <c r="Q750" s="805"/>
      <c r="R750" s="805"/>
      <c r="S750" s="805"/>
      <c r="T750" s="19"/>
      <c r="U750" s="8"/>
      <c r="V750" s="64"/>
      <c r="W750" s="643">
        <f t="shared" si="262"/>
        <v>0</v>
      </c>
    </row>
    <row r="751" spans="1:23" ht="15.75" x14ac:dyDescent="0.25">
      <c r="A751" s="45"/>
      <c r="B751" s="16">
        <f t="shared" si="259"/>
        <v>29</v>
      </c>
      <c r="C751" s="8"/>
      <c r="D751" s="233" t="s">
        <v>603</v>
      </c>
      <c r="E751" s="19"/>
      <c r="F751" s="21">
        <f>SUM(F745:F748)</f>
        <v>0</v>
      </c>
      <c r="G751" s="19"/>
      <c r="H751" s="19"/>
      <c r="I751" s="19"/>
      <c r="J751" s="21">
        <f t="shared" ref="J751:Q751" si="272">SUM(J745:J748)</f>
        <v>0</v>
      </c>
      <c r="K751" s="21">
        <f t="shared" si="272"/>
        <v>0</v>
      </c>
      <c r="L751" s="21">
        <f t="shared" si="272"/>
        <v>0</v>
      </c>
      <c r="M751" s="21">
        <f t="shared" si="272"/>
        <v>0</v>
      </c>
      <c r="N751" s="21">
        <f t="shared" si="272"/>
        <v>0</v>
      </c>
      <c r="O751" s="21">
        <f>SUM(O745:O748)</f>
        <v>0</v>
      </c>
      <c r="P751" s="21">
        <f t="shared" si="272"/>
        <v>0</v>
      </c>
      <c r="Q751" s="21">
        <f t="shared" si="272"/>
        <v>0</v>
      </c>
      <c r="R751" s="21">
        <f>SUM(R745:R748)</f>
        <v>0</v>
      </c>
      <c r="S751" s="21">
        <f>SUM(S745:S748)</f>
        <v>0</v>
      </c>
      <c r="T751" s="19"/>
      <c r="U751" s="235">
        <f>SUM(I751:T751)</f>
        <v>0</v>
      </c>
      <c r="V751" s="64"/>
      <c r="W751" s="643">
        <f t="shared" si="262"/>
        <v>0</v>
      </c>
    </row>
    <row r="752" spans="1:23" ht="16.5" thickBot="1" x14ac:dyDescent="0.3">
      <c r="A752" s="45"/>
      <c r="B752" s="16">
        <f t="shared" si="259"/>
        <v>30</v>
      </c>
      <c r="C752" s="8"/>
      <c r="D752" s="304"/>
      <c r="E752" s="19"/>
      <c r="F752" s="21"/>
      <c r="G752" s="19"/>
      <c r="H752" s="19"/>
      <c r="I752" s="19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19"/>
      <c r="U752" s="8"/>
      <c r="V752" s="64"/>
      <c r="W752" s="643">
        <f t="shared" si="262"/>
        <v>0</v>
      </c>
    </row>
    <row r="753" spans="1:23" ht="15.75" x14ac:dyDescent="0.25">
      <c r="A753" s="45"/>
      <c r="B753" s="16">
        <f t="shared" si="259"/>
        <v>31</v>
      </c>
      <c r="C753" s="255" t="s">
        <v>604</v>
      </c>
      <c r="D753" s="240"/>
      <c r="E753" s="241" t="s">
        <v>143</v>
      </c>
      <c r="F753" s="242">
        <f>+F749+F739+F729+F709+F661</f>
        <v>17286807.330000002</v>
      </c>
      <c r="G753" s="241"/>
      <c r="H753" s="372"/>
      <c r="I753" s="373"/>
      <c r="J753" s="374">
        <f t="shared" ref="J753:Q753" ca="1" si="273">+J749+J739+J729+J709+J661</f>
        <v>8911370.7336819302</v>
      </c>
      <c r="K753" s="817">
        <f t="shared" ca="1" si="273"/>
        <v>1100132.3275318516</v>
      </c>
      <c r="L753" s="817">
        <f t="shared" ca="1" si="273"/>
        <v>5033130.0205659596</v>
      </c>
      <c r="M753" s="817">
        <f t="shared" ca="1" si="273"/>
        <v>173119.83803650603</v>
      </c>
      <c r="N753" s="817">
        <f t="shared" ca="1" si="273"/>
        <v>1530958.7116752709</v>
      </c>
      <c r="O753" s="817">
        <f ca="1">+O749+O739+O729+O709+O661</f>
        <v>85193.4648461873</v>
      </c>
      <c r="P753" s="817">
        <f t="shared" ca="1" si="273"/>
        <v>202491.26270646564</v>
      </c>
      <c r="Q753" s="817">
        <f t="shared" ca="1" si="273"/>
        <v>233418.80149116274</v>
      </c>
      <c r="R753" s="817">
        <f ca="1">+R749+R739+R729+R709+R661</f>
        <v>4801.8718517825346</v>
      </c>
      <c r="S753" s="566">
        <f ca="1">+S749+S739+S729+S709+S661</f>
        <v>12190.297612882327</v>
      </c>
      <c r="T753" s="373"/>
      <c r="U753" s="243">
        <f ca="1">SUM(I753:T753)</f>
        <v>17286807.330000002</v>
      </c>
      <c r="V753" s="64"/>
      <c r="W753" s="643">
        <f t="shared" ca="1" si="262"/>
        <v>0</v>
      </c>
    </row>
    <row r="754" spans="1:23" ht="16.5" thickBot="1" x14ac:dyDescent="0.3">
      <c r="A754" s="45"/>
      <c r="B754" s="16">
        <f t="shared" si="259"/>
        <v>32</v>
      </c>
      <c r="C754" s="262" t="s">
        <v>605</v>
      </c>
      <c r="D754" s="246"/>
      <c r="E754" s="247" t="s">
        <v>143</v>
      </c>
      <c r="F754" s="248">
        <f>F753-F645</f>
        <v>17286807.330000002</v>
      </c>
      <c r="G754" s="247"/>
      <c r="H754" s="375"/>
      <c r="I754" s="376"/>
      <c r="J754" s="377">
        <f t="shared" ref="J754:Q754" ca="1" si="274">J753-J645</f>
        <v>8911370.7336819302</v>
      </c>
      <c r="K754" s="248">
        <f t="shared" ca="1" si="274"/>
        <v>1100132.3275318516</v>
      </c>
      <c r="L754" s="378">
        <f t="shared" ca="1" si="274"/>
        <v>5033130.0205659596</v>
      </c>
      <c r="M754" s="377">
        <f t="shared" ca="1" si="274"/>
        <v>173119.83803650603</v>
      </c>
      <c r="N754" s="248">
        <f t="shared" ca="1" si="274"/>
        <v>1530958.7116752709</v>
      </c>
      <c r="O754" s="248">
        <f ca="1">O753-O645</f>
        <v>85193.4648461873</v>
      </c>
      <c r="P754" s="248">
        <f t="shared" ca="1" si="274"/>
        <v>202491.26270646564</v>
      </c>
      <c r="Q754" s="248">
        <f t="shared" ca="1" si="274"/>
        <v>233418.80149116274</v>
      </c>
      <c r="R754" s="248">
        <f ca="1">R753-R645</f>
        <v>4801.8718517825346</v>
      </c>
      <c r="S754" s="378">
        <f ca="1">S753-S645</f>
        <v>12190.297612882327</v>
      </c>
      <c r="T754" s="376"/>
      <c r="U754" s="249">
        <f ca="1">SUM(I754:T754)</f>
        <v>17286807.330000002</v>
      </c>
      <c r="V754" s="64"/>
      <c r="W754" s="643">
        <f t="shared" ca="1" si="262"/>
        <v>0</v>
      </c>
    </row>
    <row r="755" spans="1:23" ht="15.75" x14ac:dyDescent="0.25">
      <c r="A755" s="45"/>
      <c r="B755" s="16"/>
      <c r="C755" s="8"/>
      <c r="D755" s="8"/>
      <c r="E755" s="19"/>
      <c r="F755" s="21"/>
      <c r="G755" s="19"/>
      <c r="H755" s="105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05"/>
      <c r="V755" s="105">
        <f>$H$2</f>
        <v>0</v>
      </c>
      <c r="W755" s="138"/>
    </row>
    <row r="756" spans="1:23" ht="16.5" thickBot="1" x14ac:dyDescent="0.3">
      <c r="A756" s="45"/>
      <c r="B756" s="16"/>
      <c r="C756" s="8"/>
      <c r="D756" s="8"/>
      <c r="E756" s="19"/>
      <c r="F756" s="21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1"/>
      <c r="V756" s="64"/>
      <c r="W756" s="138"/>
    </row>
    <row r="757" spans="1:23" ht="15.75" x14ac:dyDescent="0.25">
      <c r="A757" s="45"/>
      <c r="B757" s="829" t="str">
        <f>+$B$4</f>
        <v>2025 RATE CASE</v>
      </c>
      <c r="C757" s="844"/>
      <c r="D757" s="872"/>
      <c r="F757" s="267"/>
      <c r="U757" s="105"/>
      <c r="W757" s="138"/>
    </row>
    <row r="758" spans="1:23" ht="15.75" x14ac:dyDescent="0.25">
      <c r="A758" s="45"/>
      <c r="B758" s="826" t="str">
        <f>+$B$5</f>
        <v>ONCOR ELECTRIC DELIVERY COMPANY LLC</v>
      </c>
      <c r="C758" s="8"/>
      <c r="D758" s="873"/>
      <c r="F758" s="306"/>
      <c r="U758" s="105"/>
      <c r="V758" s="64"/>
      <c r="W758" s="138"/>
    </row>
    <row r="759" spans="1:23" ht="15.75" x14ac:dyDescent="0.25">
      <c r="A759" s="45"/>
      <c r="B759" s="826" t="str">
        <f>+$B$6</f>
        <v>II-I-1-TBILLTDCS:  CLASS REVENUE REQUIREMENT</v>
      </c>
      <c r="C759" s="82"/>
      <c r="D759" s="873"/>
      <c r="F759" s="306"/>
      <c r="U759" s="267"/>
      <c r="V759" s="64"/>
      <c r="W759" s="138"/>
    </row>
    <row r="760" spans="1:23" ht="15.75" x14ac:dyDescent="0.25">
      <c r="A760" s="45"/>
      <c r="B760" s="341" t="str">
        <f>+$B$7</f>
        <v>TEST YEAR ENDING 12/31/2024</v>
      </c>
      <c r="C760" s="82"/>
      <c r="D760" s="873"/>
      <c r="F760" s="306"/>
      <c r="U760" s="267"/>
      <c r="V760" s="64"/>
      <c r="W760" s="138"/>
    </row>
    <row r="761" spans="1:23" ht="15.75" x14ac:dyDescent="0.25">
      <c r="A761" s="45"/>
      <c r="B761" s="341" t="str">
        <f>+$B$8</f>
        <v>SPONSOR:  MATTHEW A. TROXLE</v>
      </c>
      <c r="C761" s="82"/>
      <c r="D761" s="873"/>
      <c r="F761" s="306"/>
      <c r="U761" s="267"/>
      <c r="V761" s="64"/>
      <c r="W761" s="138"/>
    </row>
    <row r="762" spans="1:23" ht="16.5" thickBot="1" x14ac:dyDescent="0.3">
      <c r="A762" s="45"/>
      <c r="B762" s="345"/>
      <c r="C762" s="843"/>
      <c r="D762" s="845"/>
      <c r="F762" s="306"/>
      <c r="U762" s="267"/>
      <c r="V762" s="64"/>
      <c r="W762" s="138"/>
    </row>
    <row r="763" spans="1:23" ht="15.75" thickBot="1" x14ac:dyDescent="0.25">
      <c r="A763" s="45"/>
      <c r="B763" s="12"/>
      <c r="C763" s="13"/>
      <c r="D763" s="13"/>
      <c r="E763" s="13"/>
      <c r="F763" s="12"/>
      <c r="G763" s="13"/>
      <c r="H763" s="13"/>
      <c r="I763" s="13"/>
      <c r="J763" s="177"/>
      <c r="K763" s="177"/>
      <c r="L763" s="13"/>
      <c r="M763" s="177"/>
      <c r="N763" s="177"/>
      <c r="O763" s="177"/>
      <c r="P763" s="177"/>
      <c r="Q763" s="13"/>
      <c r="R763" s="328" t="str">
        <f>R$10</f>
        <v xml:space="preserve"> </v>
      </c>
      <c r="S763" s="329"/>
      <c r="T763" s="177"/>
      <c r="U763" s="12"/>
      <c r="V763" s="64"/>
      <c r="W763" s="138"/>
    </row>
    <row r="764" spans="1:23" ht="15.75" x14ac:dyDescent="0.25">
      <c r="A764" s="45"/>
      <c r="B764" s="14" t="s">
        <v>2</v>
      </c>
      <c r="C764" s="14" t="s">
        <v>349</v>
      </c>
      <c r="D764" s="226" t="s">
        <v>235</v>
      </c>
      <c r="E764" s="14" t="s">
        <v>350</v>
      </c>
      <c r="F764" s="226" t="str">
        <f>F$11</f>
        <v>TBILLTDCS</v>
      </c>
      <c r="G764" s="181" t="s">
        <v>688</v>
      </c>
      <c r="H764" s="181" t="s">
        <v>355</v>
      </c>
      <c r="I764" s="14"/>
      <c r="J764" s="181" t="s">
        <v>679</v>
      </c>
      <c r="K764" s="181" t="s">
        <v>388</v>
      </c>
      <c r="L764" s="14" t="s">
        <v>388</v>
      </c>
      <c r="M764" s="181" t="s">
        <v>389</v>
      </c>
      <c r="N764" s="181" t="s">
        <v>389</v>
      </c>
      <c r="O764" s="181" t="s">
        <v>389</v>
      </c>
      <c r="P764" s="181" t="s">
        <v>390</v>
      </c>
      <c r="Q764" s="14" t="s">
        <v>391</v>
      </c>
      <c r="R764" s="331" t="str">
        <f>R$11</f>
        <v>Wholesale</v>
      </c>
      <c r="S764" s="12" t="str">
        <f>S$11</f>
        <v>Wholesale</v>
      </c>
      <c r="T764" s="181"/>
      <c r="U764" s="14" t="s">
        <v>10</v>
      </c>
      <c r="V764" s="64"/>
      <c r="W764" s="138"/>
    </row>
    <row r="765" spans="1:23" ht="15" x14ac:dyDescent="0.2">
      <c r="A765" s="45"/>
      <c r="B765" s="14"/>
      <c r="C765" s="14"/>
      <c r="D765" s="14"/>
      <c r="E765" s="14"/>
      <c r="F765" s="14"/>
      <c r="G765" s="181" t="s">
        <v>689</v>
      </c>
      <c r="H765" s="181" t="s">
        <v>690</v>
      </c>
      <c r="I765" s="14"/>
      <c r="J765" s="181"/>
      <c r="K765" s="181" t="s">
        <v>680</v>
      </c>
      <c r="L765" s="14" t="s">
        <v>681</v>
      </c>
      <c r="M765" s="181" t="s">
        <v>680</v>
      </c>
      <c r="N765" s="181" t="s">
        <v>681</v>
      </c>
      <c r="O765" s="181" t="s">
        <v>393</v>
      </c>
      <c r="P765" s="181"/>
      <c r="Q765" s="14"/>
      <c r="R765" s="174" t="str">
        <f>R$12</f>
        <v>XFMR</v>
      </c>
      <c r="S765" s="14" t="str">
        <f>S$12</f>
        <v>DLS</v>
      </c>
      <c r="T765" s="181"/>
      <c r="U765" s="14"/>
      <c r="V765" s="64"/>
      <c r="W765" s="138"/>
    </row>
    <row r="766" spans="1:23" ht="15.75" thickBot="1" x14ac:dyDescent="0.25">
      <c r="A766" s="45"/>
      <c r="B766" s="15"/>
      <c r="C766" s="15"/>
      <c r="D766" s="15"/>
      <c r="E766" s="15"/>
      <c r="F766" s="15" t="s">
        <v>13</v>
      </c>
      <c r="G766" s="15" t="s">
        <v>14</v>
      </c>
      <c r="H766" s="15" t="s">
        <v>15</v>
      </c>
      <c r="I766" s="15"/>
      <c r="J766" s="182" t="str">
        <f t="shared" ref="J766:Q766" si="275">J$13</f>
        <v>(d)</v>
      </c>
      <c r="K766" s="182" t="str">
        <f t="shared" si="275"/>
        <v>(e)</v>
      </c>
      <c r="L766" s="15" t="str">
        <f t="shared" si="275"/>
        <v>(f)</v>
      </c>
      <c r="M766" s="182" t="str">
        <f t="shared" si="275"/>
        <v>(g)</v>
      </c>
      <c r="N766" s="182" t="str">
        <f t="shared" si="275"/>
        <v>(h)</v>
      </c>
      <c r="O766" s="182" t="str">
        <f>O$13</f>
        <v>(i)</v>
      </c>
      <c r="P766" s="182" t="str">
        <f t="shared" si="275"/>
        <v>(j)</v>
      </c>
      <c r="Q766" s="182" t="str">
        <f t="shared" si="275"/>
        <v>(k)</v>
      </c>
      <c r="R766" s="182" t="str">
        <f>R$13</f>
        <v>(l)</v>
      </c>
      <c r="S766" s="15" t="str">
        <f>S$13</f>
        <v>(m)</v>
      </c>
      <c r="T766" s="15"/>
      <c r="U766" s="15" t="s">
        <v>683</v>
      </c>
      <c r="V766" s="64"/>
      <c r="W766" s="138"/>
    </row>
    <row r="767" spans="1:23" ht="15" x14ac:dyDescent="0.2">
      <c r="A767" s="45"/>
      <c r="B767" s="64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41"/>
      <c r="V767" s="64"/>
      <c r="W767" s="138"/>
    </row>
    <row r="768" spans="1:23" ht="15.75" x14ac:dyDescent="0.25">
      <c r="A768" s="45"/>
      <c r="B768" s="16">
        <f t="shared" ref="B768:B787" si="276">B767+1</f>
        <v>1</v>
      </c>
      <c r="C768" s="8" t="s">
        <v>235</v>
      </c>
      <c r="D768" s="8"/>
      <c r="E768" s="19" t="s">
        <v>236</v>
      </c>
      <c r="F768" s="8"/>
      <c r="G768" s="19"/>
      <c r="H768" s="19"/>
      <c r="I768" s="913"/>
      <c r="J768" s="961"/>
      <c r="K768" s="961"/>
      <c r="L768" s="961"/>
      <c r="M768" s="961"/>
      <c r="N768" s="961"/>
      <c r="O768" s="961"/>
      <c r="P768" s="961"/>
      <c r="Q768" s="961"/>
      <c r="R768" s="961"/>
      <c r="S768" s="961"/>
      <c r="T768" s="913"/>
      <c r="U768" s="8"/>
      <c r="V768" s="64"/>
      <c r="W768" s="138"/>
    </row>
    <row r="769" spans="1:23" ht="15" x14ac:dyDescent="0.2">
      <c r="A769" s="45"/>
      <c r="B769" s="16">
        <f t="shared" si="276"/>
        <v>2</v>
      </c>
      <c r="C769" s="1" t="s">
        <v>237</v>
      </c>
      <c r="D769" s="1" t="s">
        <v>238</v>
      </c>
      <c r="E769" s="16"/>
      <c r="F769" s="97">
        <f>' WP II-I-1.4'!I769</f>
        <v>20906425.129999999</v>
      </c>
      <c r="G769" s="16">
        <v>77</v>
      </c>
      <c r="H769" s="45" t="str">
        <f t="shared" ref="H769:H781" si="277">VLOOKUP(G769,FactorTable,2)</f>
        <v>O&amp;M x565</v>
      </c>
      <c r="I769" s="16"/>
      <c r="J769" s="369">
        <f t="shared" ref="J769:S781" ca="1" si="278">$F769*HLOOKUP(J$1354,FactorTable,$G769+1)</f>
        <v>10777288.222914116</v>
      </c>
      <c r="K769" s="369">
        <f t="shared" ca="1" si="278"/>
        <v>1330484.7852803187</v>
      </c>
      <c r="L769" s="369">
        <f t="shared" ca="1" si="278"/>
        <v>6086997.6702932091</v>
      </c>
      <c r="M769" s="369">
        <f t="shared" ca="1" si="278"/>
        <v>209368.73208200088</v>
      </c>
      <c r="N769" s="369">
        <f t="shared" ca="1" si="278"/>
        <v>1851520.2415205203</v>
      </c>
      <c r="O769" s="369">
        <f t="shared" ca="1" si="278"/>
        <v>103031.79530908218</v>
      </c>
      <c r="P769" s="369">
        <f t="shared" ca="1" si="278"/>
        <v>244890.12588838083</v>
      </c>
      <c r="Q769" s="369">
        <f t="shared" ca="1" si="278"/>
        <v>282293.46253200388</v>
      </c>
      <c r="R769" s="369">
        <f t="shared" ca="1" si="278"/>
        <v>5807.3172470041063</v>
      </c>
      <c r="S769" s="369">
        <f t="shared" ca="1" si="278"/>
        <v>14742.776933358813</v>
      </c>
      <c r="T769" s="16"/>
      <c r="U769" s="97">
        <f t="shared" ref="U769:U781" ca="1" si="279">SUM(I769:T769)</f>
        <v>20906425.129999992</v>
      </c>
      <c r="V769" s="64"/>
      <c r="W769" s="643">
        <f t="shared" ref="W769:W787" ca="1" si="280">F769-U769</f>
        <v>0</v>
      </c>
    </row>
    <row r="770" spans="1:23" ht="15" x14ac:dyDescent="0.2">
      <c r="A770" s="45"/>
      <c r="B770" s="16">
        <f t="shared" si="276"/>
        <v>3</v>
      </c>
      <c r="C770" s="1" t="s">
        <v>239</v>
      </c>
      <c r="D770" s="1" t="s">
        <v>240</v>
      </c>
      <c r="E770" s="16"/>
      <c r="F770" s="97">
        <f>' WP II-I-1.4'!I770</f>
        <v>1590894.35</v>
      </c>
      <c r="G770" s="16">
        <v>77</v>
      </c>
      <c r="H770" s="45" t="str">
        <f t="shared" si="277"/>
        <v>O&amp;M x565</v>
      </c>
      <c r="I770" s="16"/>
      <c r="J770" s="369">
        <f t="shared" ca="1" si="278"/>
        <v>820108.02112468146</v>
      </c>
      <c r="K770" s="369">
        <f t="shared" ca="1" si="278"/>
        <v>101244.50806398685</v>
      </c>
      <c r="L770" s="369">
        <f t="shared" ca="1" si="278"/>
        <v>463195.89035031886</v>
      </c>
      <c r="M770" s="369">
        <f t="shared" ca="1" si="278"/>
        <v>15932.113255362608</v>
      </c>
      <c r="N770" s="369">
        <f t="shared" ca="1" si="278"/>
        <v>140893.19780065294</v>
      </c>
      <c r="O770" s="369">
        <f t="shared" ca="1" si="278"/>
        <v>7840.3026824689541</v>
      </c>
      <c r="P770" s="369">
        <f t="shared" ca="1" si="278"/>
        <v>18635.147578988021</v>
      </c>
      <c r="Q770" s="369">
        <f t="shared" ca="1" si="278"/>
        <v>21481.39013683693</v>
      </c>
      <c r="R770" s="369">
        <f t="shared" ca="1" si="278"/>
        <v>441.91334192563545</v>
      </c>
      <c r="S770" s="369">
        <f t="shared" ca="1" si="278"/>
        <v>1121.865664777614</v>
      </c>
      <c r="T770" s="16"/>
      <c r="U770" s="97">
        <f t="shared" ca="1" si="279"/>
        <v>1590894.35</v>
      </c>
      <c r="V770" s="64"/>
      <c r="W770" s="643">
        <f t="shared" ca="1" si="280"/>
        <v>0</v>
      </c>
    </row>
    <row r="771" spans="1:23" ht="15" x14ac:dyDescent="0.2">
      <c r="A771" s="45"/>
      <c r="B771" s="16">
        <f t="shared" si="276"/>
        <v>4</v>
      </c>
      <c r="C771" s="1" t="s">
        <v>241</v>
      </c>
      <c r="D771" s="1" t="s">
        <v>242</v>
      </c>
      <c r="E771" s="16"/>
      <c r="F771" s="97">
        <f>' WP II-I-1.4'!I771</f>
        <v>0</v>
      </c>
      <c r="G771" s="16">
        <v>77</v>
      </c>
      <c r="H771" s="45" t="str">
        <f t="shared" si="277"/>
        <v>O&amp;M x565</v>
      </c>
      <c r="I771" s="16"/>
      <c r="J771" s="369">
        <f t="shared" ca="1" si="278"/>
        <v>0</v>
      </c>
      <c r="K771" s="369">
        <f t="shared" ca="1" si="278"/>
        <v>0</v>
      </c>
      <c r="L771" s="369">
        <f t="shared" ca="1" si="278"/>
        <v>0</v>
      </c>
      <c r="M771" s="369">
        <f t="shared" ca="1" si="278"/>
        <v>0</v>
      </c>
      <c r="N771" s="369">
        <f t="shared" ca="1" si="278"/>
        <v>0</v>
      </c>
      <c r="O771" s="369">
        <f t="shared" ca="1" si="278"/>
        <v>0</v>
      </c>
      <c r="P771" s="369">
        <f t="shared" ca="1" si="278"/>
        <v>0</v>
      </c>
      <c r="Q771" s="369">
        <f t="shared" ca="1" si="278"/>
        <v>0</v>
      </c>
      <c r="R771" s="369">
        <f t="shared" ca="1" si="278"/>
        <v>0</v>
      </c>
      <c r="S771" s="369">
        <f t="shared" ca="1" si="278"/>
        <v>0</v>
      </c>
      <c r="T771" s="16"/>
      <c r="U771" s="97">
        <f t="shared" ca="1" si="279"/>
        <v>0</v>
      </c>
      <c r="V771" s="64"/>
      <c r="W771" s="643">
        <f t="shared" ca="1" si="280"/>
        <v>0</v>
      </c>
    </row>
    <row r="772" spans="1:23" ht="15" x14ac:dyDescent="0.2">
      <c r="A772" s="45"/>
      <c r="B772" s="16">
        <f t="shared" si="276"/>
        <v>5</v>
      </c>
      <c r="C772" s="1" t="s">
        <v>243</v>
      </c>
      <c r="D772" s="29" t="s">
        <v>244</v>
      </c>
      <c r="E772" s="16"/>
      <c r="F772" s="97">
        <f>' WP II-I-1.4'!I772</f>
        <v>5889851.7199999997</v>
      </c>
      <c r="G772" s="16">
        <v>77</v>
      </c>
      <c r="H772" s="45" t="str">
        <f t="shared" si="277"/>
        <v>O&amp;M x565</v>
      </c>
      <c r="I772" s="16"/>
      <c r="J772" s="369">
        <f t="shared" ca="1" si="278"/>
        <v>3036225.90576615</v>
      </c>
      <c r="K772" s="369">
        <f t="shared" ca="1" si="278"/>
        <v>374830.13247311284</v>
      </c>
      <c r="L772" s="369">
        <f t="shared" ca="1" si="278"/>
        <v>1714856.2451533987</v>
      </c>
      <c r="M772" s="369">
        <f t="shared" ca="1" si="278"/>
        <v>58984.296889565456</v>
      </c>
      <c r="N772" s="369">
        <f t="shared" ca="1" si="278"/>
        <v>521618.57473595021</v>
      </c>
      <c r="O772" s="369">
        <f t="shared" ca="1" si="278"/>
        <v>29026.578816915393</v>
      </c>
      <c r="P772" s="369">
        <f t="shared" ca="1" si="278"/>
        <v>68991.54304027569</v>
      </c>
      <c r="Q772" s="369">
        <f t="shared" ca="1" si="278"/>
        <v>79528.978555640744</v>
      </c>
      <c r="R772" s="369">
        <f t="shared" ca="1" si="278"/>
        <v>1636.063423716133</v>
      </c>
      <c r="S772" s="369">
        <f t="shared" ca="1" si="278"/>
        <v>4153.4011452736459</v>
      </c>
      <c r="T772" s="16"/>
      <c r="U772" s="97">
        <f t="shared" ca="1" si="279"/>
        <v>5889851.7200000007</v>
      </c>
      <c r="V772" s="64"/>
      <c r="W772" s="643">
        <f t="shared" ca="1" si="280"/>
        <v>0</v>
      </c>
    </row>
    <row r="773" spans="1:23" ht="15" x14ac:dyDescent="0.2">
      <c r="A773" s="45"/>
      <c r="B773" s="16">
        <f t="shared" si="276"/>
        <v>6</v>
      </c>
      <c r="C773" s="1" t="s">
        <v>245</v>
      </c>
      <c r="D773" s="1" t="s">
        <v>246</v>
      </c>
      <c r="E773" s="16"/>
      <c r="F773" s="97">
        <f>' WP II-I-1.4'!I773</f>
        <v>0</v>
      </c>
      <c r="G773" s="16">
        <v>64</v>
      </c>
      <c r="H773" s="45" t="str">
        <f t="shared" si="277"/>
        <v>PLANT</v>
      </c>
      <c r="I773" s="16"/>
      <c r="J773" s="369">
        <f t="shared" ca="1" si="278"/>
        <v>0</v>
      </c>
      <c r="K773" s="369">
        <f t="shared" ca="1" si="278"/>
        <v>0</v>
      </c>
      <c r="L773" s="369">
        <f t="shared" ca="1" si="278"/>
        <v>0</v>
      </c>
      <c r="M773" s="369">
        <f t="shared" ca="1" si="278"/>
        <v>0</v>
      </c>
      <c r="N773" s="369">
        <f t="shared" ca="1" si="278"/>
        <v>0</v>
      </c>
      <c r="O773" s="369">
        <f t="shared" ca="1" si="278"/>
        <v>0</v>
      </c>
      <c r="P773" s="369">
        <f t="shared" ca="1" si="278"/>
        <v>0</v>
      </c>
      <c r="Q773" s="369">
        <f t="shared" ca="1" si="278"/>
        <v>0</v>
      </c>
      <c r="R773" s="369">
        <f t="shared" ca="1" si="278"/>
        <v>0</v>
      </c>
      <c r="S773" s="369">
        <f t="shared" ca="1" si="278"/>
        <v>0</v>
      </c>
      <c r="T773" s="16"/>
      <c r="U773" s="97">
        <f t="shared" ca="1" si="279"/>
        <v>0</v>
      </c>
      <c r="V773" s="64"/>
      <c r="W773" s="643">
        <f t="shared" ca="1" si="280"/>
        <v>0</v>
      </c>
    </row>
    <row r="774" spans="1:23" ht="15" x14ac:dyDescent="0.2">
      <c r="A774" s="45"/>
      <c r="B774" s="16">
        <f t="shared" si="276"/>
        <v>7</v>
      </c>
      <c r="C774" s="1" t="s">
        <v>247</v>
      </c>
      <c r="D774" s="1" t="s">
        <v>248</v>
      </c>
      <c r="E774" s="16"/>
      <c r="F774" s="97">
        <f>' WP II-I-1.4'!I774</f>
        <v>0</v>
      </c>
      <c r="G774" s="16">
        <v>77</v>
      </c>
      <c r="H774" s="45" t="str">
        <f t="shared" si="277"/>
        <v>O&amp;M x565</v>
      </c>
      <c r="I774" s="16"/>
      <c r="J774" s="369">
        <f t="shared" ca="1" si="278"/>
        <v>0</v>
      </c>
      <c r="K774" s="369">
        <f t="shared" ca="1" si="278"/>
        <v>0</v>
      </c>
      <c r="L774" s="369">
        <f t="shared" ca="1" si="278"/>
        <v>0</v>
      </c>
      <c r="M774" s="369">
        <f t="shared" ca="1" si="278"/>
        <v>0</v>
      </c>
      <c r="N774" s="369">
        <f t="shared" ca="1" si="278"/>
        <v>0</v>
      </c>
      <c r="O774" s="369">
        <f t="shared" ca="1" si="278"/>
        <v>0</v>
      </c>
      <c r="P774" s="369">
        <f t="shared" ca="1" si="278"/>
        <v>0</v>
      </c>
      <c r="Q774" s="369">
        <f t="shared" ca="1" si="278"/>
        <v>0</v>
      </c>
      <c r="R774" s="369">
        <f t="shared" ca="1" si="278"/>
        <v>0</v>
      </c>
      <c r="S774" s="369">
        <f t="shared" ca="1" si="278"/>
        <v>0</v>
      </c>
      <c r="T774" s="16"/>
      <c r="U774" s="97">
        <f t="shared" ca="1" si="279"/>
        <v>0</v>
      </c>
      <c r="V774" s="64"/>
      <c r="W774" s="643">
        <f t="shared" ca="1" si="280"/>
        <v>0</v>
      </c>
    </row>
    <row r="775" spans="1:23" ht="15" x14ac:dyDescent="0.2">
      <c r="A775" s="45"/>
      <c r="B775" s="16">
        <f t="shared" si="276"/>
        <v>8</v>
      </c>
      <c r="C775" s="1" t="s">
        <v>249</v>
      </c>
      <c r="D775" s="1" t="s">
        <v>250</v>
      </c>
      <c r="E775" s="16"/>
      <c r="F775" s="97">
        <f>' WP II-I-1.4'!I775</f>
        <v>5996187.7300000004</v>
      </c>
      <c r="G775" s="16">
        <v>88</v>
      </c>
      <c r="H775" s="45" t="str">
        <f t="shared" si="277"/>
        <v>PAYROLL</v>
      </c>
      <c r="I775" s="16"/>
      <c r="J775" s="369">
        <f t="shared" ca="1" si="278"/>
        <v>3081418.9659358892</v>
      </c>
      <c r="K775" s="369">
        <f t="shared" ca="1" si="278"/>
        <v>383787.80849145731</v>
      </c>
      <c r="L775" s="369">
        <f t="shared" ca="1" si="278"/>
        <v>1736294.2479924466</v>
      </c>
      <c r="M775" s="369">
        <f t="shared" ca="1" si="278"/>
        <v>60600.395675716369</v>
      </c>
      <c r="N775" s="369">
        <f t="shared" ca="1" si="278"/>
        <v>530388.54320034501</v>
      </c>
      <c r="O775" s="369">
        <f t="shared" ca="1" si="278"/>
        <v>28667.347318682532</v>
      </c>
      <c r="P775" s="369">
        <f t="shared" ca="1" si="278"/>
        <v>67783.528257207363</v>
      </c>
      <c r="Q775" s="369">
        <f t="shared" ca="1" si="278"/>
        <v>101296.18119746661</v>
      </c>
      <c r="R775" s="369">
        <f t="shared" ca="1" si="278"/>
        <v>1681.629901744154</v>
      </c>
      <c r="S775" s="369">
        <f t="shared" ca="1" si="278"/>
        <v>4269.0820290451957</v>
      </c>
      <c r="T775" s="16"/>
      <c r="U775" s="97">
        <f t="shared" ca="1" si="279"/>
        <v>5996187.7300000004</v>
      </c>
      <c r="V775" s="64"/>
      <c r="W775" s="643">
        <f t="shared" ca="1" si="280"/>
        <v>0</v>
      </c>
    </row>
    <row r="776" spans="1:23" ht="15" x14ac:dyDescent="0.2">
      <c r="A776" s="45"/>
      <c r="B776" s="16">
        <f t="shared" si="276"/>
        <v>9</v>
      </c>
      <c r="C776" s="1" t="s">
        <v>251</v>
      </c>
      <c r="D776" s="1" t="s">
        <v>252</v>
      </c>
      <c r="E776" s="16"/>
      <c r="F776" s="97">
        <f>' WP II-I-1.4'!I776</f>
        <v>0</v>
      </c>
      <c r="G776" s="16">
        <v>14</v>
      </c>
      <c r="H776" s="45" t="str">
        <f t="shared" si="277"/>
        <v>REVENUE</v>
      </c>
      <c r="I776" s="16"/>
      <c r="J776" s="369">
        <f t="shared" si="278"/>
        <v>0</v>
      </c>
      <c r="K776" s="369">
        <f t="shared" si="278"/>
        <v>0</v>
      </c>
      <c r="L776" s="369">
        <f t="shared" si="278"/>
        <v>0</v>
      </c>
      <c r="M776" s="369">
        <f t="shared" si="278"/>
        <v>0</v>
      </c>
      <c r="N776" s="369">
        <f t="shared" si="278"/>
        <v>0</v>
      </c>
      <c r="O776" s="369">
        <f t="shared" si="278"/>
        <v>0</v>
      </c>
      <c r="P776" s="369">
        <f t="shared" si="278"/>
        <v>0</v>
      </c>
      <c r="Q776" s="369">
        <f t="shared" si="278"/>
        <v>0</v>
      </c>
      <c r="R776" s="369">
        <f t="shared" si="278"/>
        <v>0</v>
      </c>
      <c r="S776" s="369">
        <f t="shared" si="278"/>
        <v>0</v>
      </c>
      <c r="T776" s="16"/>
      <c r="U776" s="97">
        <f t="shared" si="279"/>
        <v>0</v>
      </c>
      <c r="V776" s="64"/>
      <c r="W776" s="643">
        <f t="shared" si="280"/>
        <v>0</v>
      </c>
    </row>
    <row r="777" spans="1:23" ht="15" x14ac:dyDescent="0.2">
      <c r="A777" s="45"/>
      <c r="B777" s="16">
        <f t="shared" si="276"/>
        <v>10</v>
      </c>
      <c r="C777" s="26" t="s">
        <v>253</v>
      </c>
      <c r="D777" s="1" t="s">
        <v>254</v>
      </c>
      <c r="E777" s="16"/>
      <c r="F777" s="97">
        <f>' WP II-I-1.4'!I777</f>
        <v>510958.3</v>
      </c>
      <c r="G777" s="16">
        <v>10</v>
      </c>
      <c r="H777" s="45" t="str">
        <f t="shared" si="277"/>
        <v>CUS U RTL</v>
      </c>
      <c r="I777" s="16"/>
      <c r="J777" s="369">
        <f t="shared" si="278"/>
        <v>437242.05688102305</v>
      </c>
      <c r="K777" s="369">
        <f t="shared" si="278"/>
        <v>36268.204700181741</v>
      </c>
      <c r="L777" s="369">
        <f t="shared" si="278"/>
        <v>29633.376568372987</v>
      </c>
      <c r="M777" s="369">
        <f t="shared" si="278"/>
        <v>395.930069348443</v>
      </c>
      <c r="N777" s="369">
        <f t="shared" si="278"/>
        <v>886.32766401511094</v>
      </c>
      <c r="O777" s="369">
        <f t="shared" si="278"/>
        <v>20.585837736458121</v>
      </c>
      <c r="P777" s="369">
        <f t="shared" si="278"/>
        <v>42.939784235556814</v>
      </c>
      <c r="Q777" s="369">
        <f t="shared" si="278"/>
        <v>6468.8784950866338</v>
      </c>
      <c r="R777" s="369">
        <f t="shared" si="278"/>
        <v>0</v>
      </c>
      <c r="S777" s="369">
        <f t="shared" si="278"/>
        <v>0</v>
      </c>
      <c r="T777" s="16"/>
      <c r="U777" s="97">
        <f t="shared" si="279"/>
        <v>510958.29999999993</v>
      </c>
      <c r="V777" s="64"/>
      <c r="W777" s="643">
        <f t="shared" si="280"/>
        <v>0</v>
      </c>
    </row>
    <row r="778" spans="1:23" ht="15" x14ac:dyDescent="0.2">
      <c r="A778" s="45"/>
      <c r="B778" s="16">
        <f t="shared" si="276"/>
        <v>11</v>
      </c>
      <c r="C778" s="1" t="s">
        <v>255</v>
      </c>
      <c r="D778" s="1" t="s">
        <v>256</v>
      </c>
      <c r="E778" s="16"/>
      <c r="F778" s="97">
        <f>' WP II-I-1.4'!I778</f>
        <v>5812166.6600000001</v>
      </c>
      <c r="G778" s="16">
        <v>77</v>
      </c>
      <c r="H778" s="45" t="str">
        <f t="shared" si="277"/>
        <v>O&amp;M x565</v>
      </c>
      <c r="I778" s="16"/>
      <c r="J778" s="369">
        <f t="shared" ca="1" si="278"/>
        <v>2996179.1604699893</v>
      </c>
      <c r="K778" s="369">
        <f t="shared" ca="1" si="278"/>
        <v>369886.2556634295</v>
      </c>
      <c r="L778" s="369">
        <f t="shared" ca="1" si="278"/>
        <v>1692237.8980999831</v>
      </c>
      <c r="M778" s="369">
        <f t="shared" ca="1" si="278"/>
        <v>58206.314885814143</v>
      </c>
      <c r="N778" s="369">
        <f t="shared" ca="1" si="278"/>
        <v>514738.61031547468</v>
      </c>
      <c r="O778" s="369">
        <f t="shared" ca="1" si="278"/>
        <v>28643.728513684535</v>
      </c>
      <c r="P778" s="369">
        <f t="shared" ca="1" si="278"/>
        <v>68081.569000967211</v>
      </c>
      <c r="Q778" s="369">
        <f t="shared" ca="1" si="278"/>
        <v>78480.019470668456</v>
      </c>
      <c r="R778" s="369">
        <f t="shared" ca="1" si="278"/>
        <v>1614.4843260957955</v>
      </c>
      <c r="S778" s="369">
        <f t="shared" ca="1" si="278"/>
        <v>4098.6192538927453</v>
      </c>
      <c r="T778" s="16"/>
      <c r="U778" s="97">
        <f t="shared" ca="1" si="279"/>
        <v>5812166.6599999983</v>
      </c>
      <c r="V778" s="64"/>
      <c r="W778" s="643">
        <f t="shared" ca="1" si="280"/>
        <v>0</v>
      </c>
    </row>
    <row r="779" spans="1:23" ht="15" x14ac:dyDescent="0.2">
      <c r="A779" s="45"/>
      <c r="B779" s="16">
        <f t="shared" si="276"/>
        <v>12</v>
      </c>
      <c r="C779" s="1" t="s">
        <v>257</v>
      </c>
      <c r="D779" s="1" t="s">
        <v>189</v>
      </c>
      <c r="E779" s="16"/>
      <c r="F779" s="97">
        <f>' WP II-I-1.4'!I779</f>
        <v>122662.77</v>
      </c>
      <c r="G779" s="16">
        <v>77</v>
      </c>
      <c r="H779" s="45" t="str">
        <f t="shared" si="277"/>
        <v>O&amp;M x565</v>
      </c>
      <c r="I779" s="16"/>
      <c r="J779" s="369">
        <f t="shared" ca="1" si="278"/>
        <v>63232.810884250066</v>
      </c>
      <c r="K779" s="369">
        <f t="shared" ca="1" si="278"/>
        <v>7806.2580374466497</v>
      </c>
      <c r="L779" s="369">
        <f t="shared" ca="1" si="278"/>
        <v>35713.805233506791</v>
      </c>
      <c r="M779" s="369">
        <f t="shared" ca="1" si="278"/>
        <v>1228.4141582729833</v>
      </c>
      <c r="N779" s="369">
        <f t="shared" ca="1" si="278"/>
        <v>10863.292032174228</v>
      </c>
      <c r="O779" s="369">
        <f t="shared" ca="1" si="278"/>
        <v>604.51106930518199</v>
      </c>
      <c r="P779" s="369">
        <f t="shared" ca="1" si="278"/>
        <v>1436.8262866716852</v>
      </c>
      <c r="Q779" s="369">
        <f t="shared" ca="1" si="278"/>
        <v>1656.2802034183458</v>
      </c>
      <c r="R779" s="369">
        <f t="shared" ca="1" si="278"/>
        <v>34.072856327986571</v>
      </c>
      <c r="S779" s="369">
        <f t="shared" ca="1" si="278"/>
        <v>86.499238626068134</v>
      </c>
      <c r="T779" s="16"/>
      <c r="U779" s="97">
        <f t="shared" ca="1" si="279"/>
        <v>122662.76999999997</v>
      </c>
      <c r="V779" s="64"/>
      <c r="W779" s="643">
        <f t="shared" ca="1" si="280"/>
        <v>0</v>
      </c>
    </row>
    <row r="780" spans="1:23" ht="15" x14ac:dyDescent="0.2">
      <c r="A780" s="45"/>
      <c r="B780" s="16">
        <f t="shared" si="276"/>
        <v>13</v>
      </c>
      <c r="C780" s="1" t="s">
        <v>258</v>
      </c>
      <c r="D780" s="1" t="s">
        <v>259</v>
      </c>
      <c r="E780" s="16"/>
      <c r="F780" s="97">
        <f>' WP II-I-1.4'!I780</f>
        <v>1650.16</v>
      </c>
      <c r="G780" s="16">
        <v>62</v>
      </c>
      <c r="H780" s="45" t="str">
        <f t="shared" si="277"/>
        <v>PLTGEN</v>
      </c>
      <c r="I780" s="16"/>
      <c r="J780" s="369">
        <f t="shared" ca="1" si="278"/>
        <v>813.40335175989742</v>
      </c>
      <c r="K780" s="369">
        <f t="shared" ca="1" si="278"/>
        <v>113.49642921057226</v>
      </c>
      <c r="L780" s="369">
        <f t="shared" ca="1" si="278"/>
        <v>443.58653004008647</v>
      </c>
      <c r="M780" s="369">
        <f t="shared" ca="1" si="278"/>
        <v>18.659544160600785</v>
      </c>
      <c r="N780" s="369">
        <f t="shared" ca="1" si="278"/>
        <v>143.63555636040866</v>
      </c>
      <c r="O780" s="369">
        <f t="shared" ca="1" si="278"/>
        <v>4.7127909897038727</v>
      </c>
      <c r="P780" s="369">
        <f t="shared" ca="1" si="278"/>
        <v>9.8303615736154413</v>
      </c>
      <c r="Q780" s="369">
        <f t="shared" ca="1" si="278"/>
        <v>100.99379751823503</v>
      </c>
      <c r="R780" s="369">
        <f t="shared" ca="1" si="278"/>
        <v>0.52043090683846482</v>
      </c>
      <c r="S780" s="369">
        <f t="shared" ca="1" si="278"/>
        <v>1.3212074800417029</v>
      </c>
      <c r="T780" s="16"/>
      <c r="U780" s="97">
        <f t="shared" ca="1" si="279"/>
        <v>1650.1599999999999</v>
      </c>
      <c r="V780" s="64"/>
      <c r="W780" s="643">
        <f t="shared" ca="1" si="280"/>
        <v>0</v>
      </c>
    </row>
    <row r="781" spans="1:23" ht="15" x14ac:dyDescent="0.2">
      <c r="A781" s="45"/>
      <c r="B781" s="16">
        <f t="shared" si="276"/>
        <v>14</v>
      </c>
      <c r="C781" s="1" t="s">
        <v>260</v>
      </c>
      <c r="D781" s="1" t="s">
        <v>259</v>
      </c>
      <c r="E781" s="16"/>
      <c r="F781" s="97">
        <f>' WP II-I-1.4'!I781</f>
        <v>18734.88</v>
      </c>
      <c r="G781" s="16">
        <v>62</v>
      </c>
      <c r="H781" s="45" t="str">
        <f t="shared" si="277"/>
        <v>PLTGEN</v>
      </c>
      <c r="I781" s="16"/>
      <c r="J781" s="369">
        <f t="shared" ca="1" si="278"/>
        <v>9234.870671219438</v>
      </c>
      <c r="K781" s="369">
        <f t="shared" ca="1" si="278"/>
        <v>1288.5671581474317</v>
      </c>
      <c r="L781" s="369">
        <f t="shared" ca="1" si="278"/>
        <v>5036.202798466461</v>
      </c>
      <c r="M781" s="369">
        <f t="shared" ca="1" si="278"/>
        <v>211.84874236653201</v>
      </c>
      <c r="N781" s="369">
        <f t="shared" ca="1" si="278"/>
        <v>1630.7478742337066</v>
      </c>
      <c r="O781" s="369">
        <f t="shared" ca="1" si="278"/>
        <v>53.50606829470069</v>
      </c>
      <c r="P781" s="369">
        <f t="shared" ca="1" si="278"/>
        <v>111.6077498171671</v>
      </c>
      <c r="Q781" s="369">
        <f t="shared" ca="1" si="278"/>
        <v>1146.6201321377509</v>
      </c>
      <c r="R781" s="369">
        <f t="shared" ca="1" si="278"/>
        <v>5.908645578555908</v>
      </c>
      <c r="S781" s="369">
        <f t="shared" ca="1" si="278"/>
        <v>15.000159738257926</v>
      </c>
      <c r="T781" s="16"/>
      <c r="U781" s="97">
        <f t="shared" ca="1" si="279"/>
        <v>18734.88</v>
      </c>
      <c r="V781" s="64"/>
      <c r="W781" s="643">
        <f t="shared" ca="1" si="280"/>
        <v>0</v>
      </c>
    </row>
    <row r="782" spans="1:23" ht="15.75" thickBot="1" x14ac:dyDescent="0.25">
      <c r="A782" s="45"/>
      <c r="B782" s="16">
        <f t="shared" si="276"/>
        <v>15</v>
      </c>
      <c r="C782" s="1"/>
      <c r="D782" s="1"/>
      <c r="E782" s="16"/>
      <c r="F782" s="1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23"/>
      <c r="V782" s="64"/>
      <c r="W782" s="643">
        <f t="shared" si="280"/>
        <v>0</v>
      </c>
    </row>
    <row r="783" spans="1:23" ht="15.75" x14ac:dyDescent="0.25">
      <c r="A783" s="45"/>
      <c r="B783" s="16">
        <f t="shared" si="276"/>
        <v>16</v>
      </c>
      <c r="C783" s="255" t="s">
        <v>606</v>
      </c>
      <c r="D783" s="773"/>
      <c r="E783" s="241"/>
      <c r="F783" s="242">
        <f>SUM(F769:F781)</f>
        <v>40849531.700000003</v>
      </c>
      <c r="G783" s="241"/>
      <c r="H783" s="241"/>
      <c r="I783" s="769"/>
      <c r="J783" s="374">
        <f t="shared" ref="J783:Q783" ca="1" si="281">SUM(J769:J781)</f>
        <v>21221743.417999078</v>
      </c>
      <c r="K783" s="817">
        <f t="shared" ca="1" si="281"/>
        <v>2605710.016297291</v>
      </c>
      <c r="L783" s="817">
        <f t="shared" ca="1" si="281"/>
        <v>11764408.923019744</v>
      </c>
      <c r="M783" s="817">
        <f t="shared" ca="1" si="281"/>
        <v>404946.70530260797</v>
      </c>
      <c r="N783" s="817">
        <f t="shared" ca="1" si="281"/>
        <v>3572683.1706997268</v>
      </c>
      <c r="O783" s="817">
        <f ca="1">SUM(O769:O781)</f>
        <v>197893.06840715962</v>
      </c>
      <c r="P783" s="817">
        <f t="shared" ca="1" si="281"/>
        <v>469983.11794811714</v>
      </c>
      <c r="Q783" s="817">
        <f t="shared" ca="1" si="281"/>
        <v>572452.80452077754</v>
      </c>
      <c r="R783" s="817">
        <f ca="1">SUM(R769:R781)</f>
        <v>11221.910173299204</v>
      </c>
      <c r="S783" s="566">
        <f ca="1">SUM(S769:S781)</f>
        <v>28488.565632192382</v>
      </c>
      <c r="T783" s="372"/>
      <c r="U783" s="243">
        <f ca="1">SUM(I783:T783)</f>
        <v>40849531.699999996</v>
      </c>
      <c r="V783" s="64"/>
      <c r="W783" s="643">
        <f t="shared" ca="1" si="280"/>
        <v>0</v>
      </c>
    </row>
    <row r="784" spans="1:23" ht="15.75" x14ac:dyDescent="0.25">
      <c r="A784" s="45"/>
      <c r="B784" s="16">
        <f t="shared" si="276"/>
        <v>17</v>
      </c>
      <c r="C784" s="173" t="s">
        <v>1147</v>
      </c>
      <c r="D784" s="776"/>
      <c r="E784" s="777"/>
      <c r="F784" s="258">
        <f>F783-F776</f>
        <v>40849531.700000003</v>
      </c>
      <c r="G784" s="777"/>
      <c r="H784" s="777"/>
      <c r="I784" s="972"/>
      <c r="J784" s="567">
        <f t="shared" ref="J784:S784" ca="1" si="282">J783-J776</f>
        <v>21221743.417999078</v>
      </c>
      <c r="K784" s="258">
        <f t="shared" ca="1" si="282"/>
        <v>2605710.016297291</v>
      </c>
      <c r="L784" s="258">
        <f t="shared" ca="1" si="282"/>
        <v>11764408.923019744</v>
      </c>
      <c r="M784" s="258">
        <f t="shared" ca="1" si="282"/>
        <v>404946.70530260797</v>
      </c>
      <c r="N784" s="258">
        <f t="shared" ca="1" si="282"/>
        <v>3572683.1706997268</v>
      </c>
      <c r="O784" s="258">
        <f t="shared" ca="1" si="282"/>
        <v>197893.06840715962</v>
      </c>
      <c r="P784" s="258">
        <f t="shared" ca="1" si="282"/>
        <v>469983.11794811714</v>
      </c>
      <c r="Q784" s="258">
        <f t="shared" ca="1" si="282"/>
        <v>572452.80452077754</v>
      </c>
      <c r="R784" s="258">
        <f t="shared" ca="1" si="282"/>
        <v>11221.910173299204</v>
      </c>
      <c r="S784" s="259">
        <f t="shared" ca="1" si="282"/>
        <v>28488.565632192382</v>
      </c>
      <c r="T784" s="973"/>
      <c r="U784" s="261">
        <f ca="1">SUM(I784:T784)</f>
        <v>40849531.699999996</v>
      </c>
      <c r="V784" s="64"/>
      <c r="W784" s="643">
        <f t="shared" ca="1" si="280"/>
        <v>0</v>
      </c>
    </row>
    <row r="785" spans="1:23" ht="16.5" thickBot="1" x14ac:dyDescent="0.3">
      <c r="A785" s="45"/>
      <c r="B785" s="16">
        <f t="shared" si="276"/>
        <v>18</v>
      </c>
      <c r="C785" s="262" t="s">
        <v>607</v>
      </c>
      <c r="D785" s="774"/>
      <c r="E785" s="247"/>
      <c r="F785" s="248">
        <f>+F783+F753</f>
        <v>58136339.030000001</v>
      </c>
      <c r="G785" s="247"/>
      <c r="H785" s="247"/>
      <c r="I785" s="964"/>
      <c r="J785" s="377">
        <f t="shared" ref="J785:Q785" ca="1" si="283">+J783+J753</f>
        <v>30133114.151681006</v>
      </c>
      <c r="K785" s="248">
        <f t="shared" ca="1" si="283"/>
        <v>3705842.3438291429</v>
      </c>
      <c r="L785" s="248">
        <f t="shared" ca="1" si="283"/>
        <v>16797538.943585705</v>
      </c>
      <c r="M785" s="248">
        <f t="shared" ca="1" si="283"/>
        <v>578066.54333911394</v>
      </c>
      <c r="N785" s="248">
        <f t="shared" ca="1" si="283"/>
        <v>5103641.8823749982</v>
      </c>
      <c r="O785" s="248">
        <f ca="1">+O783+O753</f>
        <v>283086.53325334692</v>
      </c>
      <c r="P785" s="248">
        <f t="shared" ca="1" si="283"/>
        <v>672474.38065458275</v>
      </c>
      <c r="Q785" s="248">
        <f t="shared" ca="1" si="283"/>
        <v>805871.60601194028</v>
      </c>
      <c r="R785" s="248">
        <f ca="1">+R783+R753</f>
        <v>16023.782025081739</v>
      </c>
      <c r="S785" s="378">
        <f ca="1">+S783+S753</f>
        <v>40678.86324507471</v>
      </c>
      <c r="T785" s="375"/>
      <c r="U785" s="249">
        <f ca="1">SUM(I785:T785)</f>
        <v>58136339.029999994</v>
      </c>
      <c r="V785" s="64"/>
      <c r="W785" s="643">
        <f t="shared" ca="1" si="280"/>
        <v>0</v>
      </c>
    </row>
    <row r="786" spans="1:23" ht="16.5" thickBot="1" x14ac:dyDescent="0.3">
      <c r="A786" s="45"/>
      <c r="B786" s="16">
        <f t="shared" si="276"/>
        <v>19</v>
      </c>
      <c r="C786" s="8"/>
      <c r="D786" s="8"/>
      <c r="E786" s="19"/>
      <c r="F786" s="21"/>
      <c r="G786" s="19"/>
      <c r="H786" s="19"/>
      <c r="I786" s="19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19"/>
      <c r="U786" s="8"/>
      <c r="V786" s="64"/>
      <c r="W786" s="643">
        <f t="shared" si="280"/>
        <v>0</v>
      </c>
    </row>
    <row r="787" spans="1:23" ht="16.5" thickBot="1" x14ac:dyDescent="0.3">
      <c r="A787" s="45"/>
      <c r="B787" s="16">
        <f t="shared" si="276"/>
        <v>20</v>
      </c>
      <c r="C787" s="223" t="s">
        <v>1145</v>
      </c>
      <c r="D787" s="307"/>
      <c r="E787" s="252"/>
      <c r="F787" s="194">
        <f>F785-F645</f>
        <v>58136339.030000001</v>
      </c>
      <c r="G787" s="252"/>
      <c r="H787" s="379"/>
      <c r="I787" s="380"/>
      <c r="J787" s="194">
        <f ca="1">J785-J645</f>
        <v>30133114.151681006</v>
      </c>
      <c r="K787" s="194">
        <f ca="1">K785-K645</f>
        <v>3705842.3438291429</v>
      </c>
      <c r="L787" s="194">
        <f ca="1">L785-L645</f>
        <v>16797538.943585705</v>
      </c>
      <c r="M787" s="194">
        <f ca="1">M785-M645</f>
        <v>578066.54333911394</v>
      </c>
      <c r="N787" s="812">
        <f t="shared" ref="N787:S787" ca="1" si="284">N785-N645</f>
        <v>5103641.8823749982</v>
      </c>
      <c r="O787" s="812">
        <f t="shared" ca="1" si="284"/>
        <v>283086.53325334692</v>
      </c>
      <c r="P787" s="812">
        <f t="shared" ca="1" si="284"/>
        <v>672474.38065458275</v>
      </c>
      <c r="Q787" s="812">
        <f t="shared" ca="1" si="284"/>
        <v>805871.60601194028</v>
      </c>
      <c r="R787" s="812">
        <f t="shared" ca="1" si="284"/>
        <v>16023.782025081739</v>
      </c>
      <c r="S787" s="812">
        <f t="shared" ca="1" si="284"/>
        <v>40678.86324507471</v>
      </c>
      <c r="T787" s="380"/>
      <c r="U787" s="195">
        <f ca="1">SUM(I787:T787)</f>
        <v>58136339.029999994</v>
      </c>
      <c r="V787" s="64"/>
      <c r="W787" s="643">
        <f t="shared" ca="1" si="280"/>
        <v>0</v>
      </c>
    </row>
    <row r="788" spans="1:23" ht="15" x14ac:dyDescent="0.2">
      <c r="A788" s="45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138"/>
    </row>
    <row r="789" spans="1:23" ht="15" x14ac:dyDescent="0.2">
      <c r="A789" s="45"/>
      <c r="B789" s="64"/>
      <c r="C789" s="64"/>
      <c r="D789" s="64"/>
      <c r="E789" s="64"/>
      <c r="F789" s="64"/>
      <c r="G789" s="64"/>
      <c r="H789" s="105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105"/>
      <c r="V789" s="105">
        <f>$H$2</f>
        <v>0</v>
      </c>
      <c r="W789" s="138"/>
    </row>
    <row r="790" spans="1:23" ht="15.75" thickBot="1" x14ac:dyDescent="0.25">
      <c r="A790" s="45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138"/>
    </row>
    <row r="791" spans="1:23" ht="15.75" x14ac:dyDescent="0.25">
      <c r="A791" s="45"/>
      <c r="B791" s="829" t="str">
        <f>+$B$4</f>
        <v>2025 RATE CASE</v>
      </c>
      <c r="C791" s="844"/>
      <c r="D791" s="547"/>
      <c r="F791" s="11"/>
      <c r="U791" s="105"/>
      <c r="W791" s="138"/>
    </row>
    <row r="792" spans="1:23" ht="15.75" x14ac:dyDescent="0.25">
      <c r="A792" s="45"/>
      <c r="B792" s="826" t="str">
        <f>+$B$5</f>
        <v>ONCOR ELECTRIC DELIVERY COMPANY LLC</v>
      </c>
      <c r="C792" s="8"/>
      <c r="D792" s="548"/>
      <c r="F792" s="11"/>
      <c r="U792" s="105"/>
      <c r="V792" s="64"/>
      <c r="W792" s="138"/>
    </row>
    <row r="793" spans="1:23" ht="15.75" x14ac:dyDescent="0.25">
      <c r="A793" s="45"/>
      <c r="B793" s="826" t="str">
        <f>+$B$6</f>
        <v>II-I-1-TBILLTDCS:  CLASS REVENUE REQUIREMENT</v>
      </c>
      <c r="C793" s="82"/>
      <c r="D793" s="548"/>
      <c r="F793" s="11"/>
      <c r="U793" s="11"/>
      <c r="V793" s="64"/>
      <c r="W793" s="138"/>
    </row>
    <row r="794" spans="1:23" ht="15.75" x14ac:dyDescent="0.25">
      <c r="A794" s="45"/>
      <c r="B794" s="341" t="str">
        <f>+$B$7</f>
        <v>TEST YEAR ENDING 12/31/2024</v>
      </c>
      <c r="C794" s="82"/>
      <c r="D794" s="548"/>
      <c r="F794" s="11"/>
      <c r="U794" s="11"/>
      <c r="V794" s="64"/>
      <c r="W794" s="138"/>
    </row>
    <row r="795" spans="1:23" ht="15.75" x14ac:dyDescent="0.25">
      <c r="A795" s="45"/>
      <c r="B795" s="341" t="str">
        <f>+$B$8</f>
        <v>SPONSOR:  MATTHEW A. TROXLE</v>
      </c>
      <c r="C795" s="82"/>
      <c r="D795" s="548"/>
      <c r="F795" s="11"/>
      <c r="U795" s="11"/>
      <c r="V795" s="64"/>
      <c r="W795" s="138"/>
    </row>
    <row r="796" spans="1:23" ht="16.5" thickBot="1" x14ac:dyDescent="0.3">
      <c r="A796" s="45"/>
      <c r="B796" s="345"/>
      <c r="C796" s="843"/>
      <c r="D796" s="549"/>
      <c r="F796" s="11"/>
      <c r="U796" s="11"/>
      <c r="V796" s="64"/>
      <c r="W796" s="138"/>
    </row>
    <row r="797" spans="1:23" ht="15.75" thickBot="1" x14ac:dyDescent="0.25">
      <c r="A797" s="45"/>
      <c r="B797" s="12"/>
      <c r="C797" s="13"/>
      <c r="D797" s="13"/>
      <c r="E797" s="13"/>
      <c r="F797" s="12"/>
      <c r="G797" s="13"/>
      <c r="H797" s="13"/>
      <c r="I797" s="13"/>
      <c r="J797" s="177"/>
      <c r="K797" s="177"/>
      <c r="L797" s="13"/>
      <c r="M797" s="177"/>
      <c r="N797" s="177"/>
      <c r="O797" s="177"/>
      <c r="P797" s="177"/>
      <c r="Q797" s="13"/>
      <c r="R797" s="328" t="str">
        <f>R$10</f>
        <v xml:space="preserve"> </v>
      </c>
      <c r="S797" s="329"/>
      <c r="T797" s="177"/>
      <c r="U797" s="12"/>
      <c r="V797" s="64"/>
      <c r="W797" s="138"/>
    </row>
    <row r="798" spans="1:23" ht="15.75" x14ac:dyDescent="0.25">
      <c r="A798" s="45"/>
      <c r="B798" s="14" t="s">
        <v>2</v>
      </c>
      <c r="C798" s="14" t="s">
        <v>349</v>
      </c>
      <c r="D798" s="226" t="s">
        <v>608</v>
      </c>
      <c r="E798" s="14" t="s">
        <v>350</v>
      </c>
      <c r="F798" s="226" t="str">
        <f>F$11</f>
        <v>TBILLTDCS</v>
      </c>
      <c r="G798" s="181" t="s">
        <v>688</v>
      </c>
      <c r="H798" s="181" t="s">
        <v>355</v>
      </c>
      <c r="I798" s="14"/>
      <c r="J798" s="181" t="s">
        <v>679</v>
      </c>
      <c r="K798" s="181" t="s">
        <v>388</v>
      </c>
      <c r="L798" s="14" t="s">
        <v>388</v>
      </c>
      <c r="M798" s="181" t="s">
        <v>389</v>
      </c>
      <c r="N798" s="181" t="s">
        <v>389</v>
      </c>
      <c r="O798" s="181" t="s">
        <v>389</v>
      </c>
      <c r="P798" s="181" t="s">
        <v>390</v>
      </c>
      <c r="Q798" s="14" t="s">
        <v>391</v>
      </c>
      <c r="R798" s="331" t="str">
        <f>R$11</f>
        <v>Wholesale</v>
      </c>
      <c r="S798" s="12" t="str">
        <f>S$11</f>
        <v>Wholesale</v>
      </c>
      <c r="T798" s="181"/>
      <c r="U798" s="14" t="s">
        <v>10</v>
      </c>
      <c r="V798" s="64"/>
      <c r="W798" s="138"/>
    </row>
    <row r="799" spans="1:23" ht="15" x14ac:dyDescent="0.2">
      <c r="A799" s="45"/>
      <c r="B799" s="14"/>
      <c r="C799" s="14"/>
      <c r="D799" s="14"/>
      <c r="E799" s="14"/>
      <c r="F799" s="14"/>
      <c r="G799" s="181" t="s">
        <v>689</v>
      </c>
      <c r="H799" s="181" t="s">
        <v>690</v>
      </c>
      <c r="I799" s="14"/>
      <c r="J799" s="181"/>
      <c r="K799" s="181" t="s">
        <v>680</v>
      </c>
      <c r="L799" s="14" t="s">
        <v>681</v>
      </c>
      <c r="M799" s="181" t="s">
        <v>680</v>
      </c>
      <c r="N799" s="181" t="s">
        <v>681</v>
      </c>
      <c r="O799" s="181" t="s">
        <v>393</v>
      </c>
      <c r="P799" s="181"/>
      <c r="Q799" s="14"/>
      <c r="R799" s="174" t="str">
        <f>R$12</f>
        <v>XFMR</v>
      </c>
      <c r="S799" s="14" t="str">
        <f>S$12</f>
        <v>DLS</v>
      </c>
      <c r="T799" s="181"/>
      <c r="U799" s="14"/>
      <c r="V799" s="64"/>
      <c r="W799" s="138"/>
    </row>
    <row r="800" spans="1:23" ht="15.75" thickBot="1" x14ac:dyDescent="0.25">
      <c r="A800" s="45"/>
      <c r="B800" s="15"/>
      <c r="C800" s="15"/>
      <c r="D800" s="15"/>
      <c r="E800" s="15"/>
      <c r="F800" s="15" t="s">
        <v>13</v>
      </c>
      <c r="G800" s="15" t="s">
        <v>14</v>
      </c>
      <c r="H800" s="15" t="s">
        <v>15</v>
      </c>
      <c r="I800" s="15"/>
      <c r="J800" s="182" t="str">
        <f t="shared" ref="J800:Q800" si="285">J$13</f>
        <v>(d)</v>
      </c>
      <c r="K800" s="182" t="str">
        <f t="shared" si="285"/>
        <v>(e)</v>
      </c>
      <c r="L800" s="15" t="str">
        <f t="shared" si="285"/>
        <v>(f)</v>
      </c>
      <c r="M800" s="182" t="str">
        <f t="shared" si="285"/>
        <v>(g)</v>
      </c>
      <c r="N800" s="182" t="str">
        <f t="shared" si="285"/>
        <v>(h)</v>
      </c>
      <c r="O800" s="182" t="str">
        <f>O$13</f>
        <v>(i)</v>
      </c>
      <c r="P800" s="182" t="str">
        <f t="shared" si="285"/>
        <v>(j)</v>
      </c>
      <c r="Q800" s="182" t="str">
        <f t="shared" si="285"/>
        <v>(k)</v>
      </c>
      <c r="R800" s="182" t="str">
        <f>R$13</f>
        <v>(l)</v>
      </c>
      <c r="S800" s="15" t="str">
        <f>S$13</f>
        <v>(m)</v>
      </c>
      <c r="T800" s="15"/>
      <c r="U800" s="15" t="s">
        <v>683</v>
      </c>
      <c r="V800" s="64"/>
      <c r="W800" s="138"/>
    </row>
    <row r="801" spans="1:23" ht="15" x14ac:dyDescent="0.2">
      <c r="A801" s="45"/>
      <c r="B801" s="64"/>
      <c r="C801" s="96"/>
      <c r="D801" s="96"/>
      <c r="E801" s="251"/>
      <c r="F801" s="308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1"/>
      <c r="V801" s="64"/>
      <c r="W801" s="138"/>
    </row>
    <row r="802" spans="1:23" ht="15.75" x14ac:dyDescent="0.25">
      <c r="A802" s="45"/>
      <c r="B802" s="16">
        <f t="shared" ref="B802:B826" si="286">B801+1</f>
        <v>1</v>
      </c>
      <c r="C802" s="8" t="s">
        <v>608</v>
      </c>
      <c r="D802" s="1"/>
      <c r="E802" s="19"/>
      <c r="F802" s="18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913"/>
      <c r="U802" s="1"/>
      <c r="V802" s="64"/>
      <c r="W802" s="138"/>
    </row>
    <row r="803" spans="1:23" ht="15.75" x14ac:dyDescent="0.25">
      <c r="A803" s="45"/>
      <c r="B803" s="16">
        <f t="shared" si="286"/>
        <v>2</v>
      </c>
      <c r="C803" s="8"/>
      <c r="D803" s="301" t="s">
        <v>609</v>
      </c>
      <c r="E803" s="19" t="s">
        <v>262</v>
      </c>
      <c r="F803" s="21"/>
      <c r="G803" s="19"/>
      <c r="H803" s="19"/>
      <c r="I803" s="913"/>
      <c r="J803" s="961"/>
      <c r="K803" s="961"/>
      <c r="L803" s="961"/>
      <c r="M803" s="961"/>
      <c r="N803" s="961"/>
      <c r="O803" s="961"/>
      <c r="P803" s="961"/>
      <c r="Q803" s="961"/>
      <c r="R803" s="961"/>
      <c r="S803" s="961"/>
      <c r="T803" s="913"/>
      <c r="U803" s="8"/>
      <c r="V803" s="64"/>
      <c r="W803" s="138"/>
    </row>
    <row r="804" spans="1:23" ht="15" x14ac:dyDescent="0.2">
      <c r="A804" s="45"/>
      <c r="B804" s="16">
        <f t="shared" si="286"/>
        <v>3</v>
      </c>
      <c r="C804" s="1" t="s">
        <v>144</v>
      </c>
      <c r="D804" s="1" t="s">
        <v>145</v>
      </c>
      <c r="E804" s="16"/>
      <c r="F804" s="97">
        <f>' WP II-I-1.4'!I804</f>
        <v>0</v>
      </c>
      <c r="G804" s="16">
        <v>80</v>
      </c>
      <c r="H804" s="45" t="str">
        <f t="shared" ref="H804:H811" si="287">VLOOKUP(G804,FactorTable,2)</f>
        <v>PAY TR OPS</v>
      </c>
      <c r="I804" s="16"/>
      <c r="J804" s="369">
        <f t="shared" ref="J804:S811" si="288">$F804*HLOOKUP(J$1354,FactorTable,$G804+1)</f>
        <v>0</v>
      </c>
      <c r="K804" s="369">
        <f t="shared" si="288"/>
        <v>0</v>
      </c>
      <c r="L804" s="369">
        <f t="shared" si="288"/>
        <v>0</v>
      </c>
      <c r="M804" s="369">
        <f t="shared" si="288"/>
        <v>0</v>
      </c>
      <c r="N804" s="369">
        <f t="shared" si="288"/>
        <v>0</v>
      </c>
      <c r="O804" s="369">
        <f t="shared" si="288"/>
        <v>0</v>
      </c>
      <c r="P804" s="369">
        <f t="shared" si="288"/>
        <v>0</v>
      </c>
      <c r="Q804" s="369">
        <f t="shared" si="288"/>
        <v>0</v>
      </c>
      <c r="R804" s="369">
        <f t="shared" si="288"/>
        <v>0</v>
      </c>
      <c r="S804" s="369">
        <f t="shared" si="288"/>
        <v>0</v>
      </c>
      <c r="T804" s="16"/>
      <c r="U804" s="97">
        <f t="shared" ref="U804:U812" si="289">SUM(I804:T804)</f>
        <v>0</v>
      </c>
      <c r="V804" s="64"/>
      <c r="W804" s="643">
        <f t="shared" ref="W804:W827" si="290">F804-U804</f>
        <v>0</v>
      </c>
    </row>
    <row r="805" spans="1:23" ht="15" x14ac:dyDescent="0.2">
      <c r="A805" s="45"/>
      <c r="B805" s="16">
        <f t="shared" si="286"/>
        <v>4</v>
      </c>
      <c r="C805" s="1" t="s">
        <v>146</v>
      </c>
      <c r="D805" s="1" t="s">
        <v>147</v>
      </c>
      <c r="E805" s="16"/>
      <c r="F805" s="229">
        <f>' WP II-I-1.4'!I805</f>
        <v>0</v>
      </c>
      <c r="G805" s="16">
        <v>28</v>
      </c>
      <c r="H805" s="45" t="str">
        <f t="shared" si="287"/>
        <v>NCP XHV</v>
      </c>
      <c r="I805" s="16"/>
      <c r="J805" s="369">
        <f t="shared" si="288"/>
        <v>0</v>
      </c>
      <c r="K805" s="369">
        <f t="shared" si="288"/>
        <v>0</v>
      </c>
      <c r="L805" s="369">
        <f t="shared" si="288"/>
        <v>0</v>
      </c>
      <c r="M805" s="369">
        <f t="shared" si="288"/>
        <v>0</v>
      </c>
      <c r="N805" s="369">
        <f t="shared" si="288"/>
        <v>0</v>
      </c>
      <c r="O805" s="369">
        <f t="shared" si="288"/>
        <v>0</v>
      </c>
      <c r="P805" s="369">
        <f t="shared" si="288"/>
        <v>0</v>
      </c>
      <c r="Q805" s="369">
        <f t="shared" si="288"/>
        <v>0</v>
      </c>
      <c r="R805" s="369">
        <f t="shared" si="288"/>
        <v>0</v>
      </c>
      <c r="S805" s="369">
        <f t="shared" si="288"/>
        <v>0</v>
      </c>
      <c r="T805" s="16"/>
      <c r="U805" s="97">
        <f t="shared" si="289"/>
        <v>0</v>
      </c>
      <c r="V805" s="64"/>
      <c r="W805" s="643">
        <f t="shared" si="290"/>
        <v>0</v>
      </c>
    </row>
    <row r="806" spans="1:23" ht="15" x14ac:dyDescent="0.2">
      <c r="A806" s="45"/>
      <c r="B806" s="16">
        <f t="shared" si="286"/>
        <v>5</v>
      </c>
      <c r="C806" s="1" t="s">
        <v>148</v>
      </c>
      <c r="D806" s="1" t="s">
        <v>149</v>
      </c>
      <c r="E806" s="16"/>
      <c r="F806" s="229">
        <f>' WP II-I-1.4'!I806</f>
        <v>0</v>
      </c>
      <c r="G806" s="16">
        <v>28</v>
      </c>
      <c r="H806" s="45" t="str">
        <f t="shared" si="287"/>
        <v>NCP XHV</v>
      </c>
      <c r="I806" s="16"/>
      <c r="J806" s="369">
        <f t="shared" si="288"/>
        <v>0</v>
      </c>
      <c r="K806" s="369">
        <f t="shared" si="288"/>
        <v>0</v>
      </c>
      <c r="L806" s="369">
        <f t="shared" si="288"/>
        <v>0</v>
      </c>
      <c r="M806" s="369">
        <f t="shared" si="288"/>
        <v>0</v>
      </c>
      <c r="N806" s="369">
        <f t="shared" si="288"/>
        <v>0</v>
      </c>
      <c r="O806" s="369">
        <f t="shared" si="288"/>
        <v>0</v>
      </c>
      <c r="P806" s="369">
        <f t="shared" si="288"/>
        <v>0</v>
      </c>
      <c r="Q806" s="369">
        <f t="shared" si="288"/>
        <v>0</v>
      </c>
      <c r="R806" s="369">
        <f t="shared" si="288"/>
        <v>0</v>
      </c>
      <c r="S806" s="369">
        <f t="shared" si="288"/>
        <v>0</v>
      </c>
      <c r="T806" s="16"/>
      <c r="U806" s="97">
        <f t="shared" si="289"/>
        <v>0</v>
      </c>
      <c r="V806" s="64"/>
      <c r="W806" s="643">
        <f t="shared" si="290"/>
        <v>0</v>
      </c>
    </row>
    <row r="807" spans="1:23" ht="15" x14ac:dyDescent="0.2">
      <c r="A807" s="45"/>
      <c r="B807" s="16">
        <f t="shared" si="286"/>
        <v>6</v>
      </c>
      <c r="C807" s="1" t="s">
        <v>150</v>
      </c>
      <c r="D807" s="1" t="s">
        <v>151</v>
      </c>
      <c r="E807" s="16"/>
      <c r="F807" s="229">
        <f>' WP II-I-1.4'!I807</f>
        <v>0</v>
      </c>
      <c r="G807" s="16">
        <v>28</v>
      </c>
      <c r="H807" s="45" t="str">
        <f t="shared" si="287"/>
        <v>NCP XHV</v>
      </c>
      <c r="I807" s="16"/>
      <c r="J807" s="369">
        <f t="shared" si="288"/>
        <v>0</v>
      </c>
      <c r="K807" s="369">
        <f t="shared" si="288"/>
        <v>0</v>
      </c>
      <c r="L807" s="369">
        <f t="shared" si="288"/>
        <v>0</v>
      </c>
      <c r="M807" s="369">
        <f t="shared" si="288"/>
        <v>0</v>
      </c>
      <c r="N807" s="369">
        <f t="shared" si="288"/>
        <v>0</v>
      </c>
      <c r="O807" s="369">
        <f t="shared" si="288"/>
        <v>0</v>
      </c>
      <c r="P807" s="369">
        <f t="shared" si="288"/>
        <v>0</v>
      </c>
      <c r="Q807" s="369">
        <f t="shared" si="288"/>
        <v>0</v>
      </c>
      <c r="R807" s="369">
        <f t="shared" si="288"/>
        <v>0</v>
      </c>
      <c r="S807" s="369">
        <f t="shared" si="288"/>
        <v>0</v>
      </c>
      <c r="T807" s="16"/>
      <c r="U807" s="97">
        <f t="shared" si="289"/>
        <v>0</v>
      </c>
      <c r="V807" s="64"/>
      <c r="W807" s="643">
        <f t="shared" si="290"/>
        <v>0</v>
      </c>
    </row>
    <row r="808" spans="1:23" ht="15" x14ac:dyDescent="0.2">
      <c r="A808" s="45"/>
      <c r="B808" s="16">
        <f t="shared" si="286"/>
        <v>7</v>
      </c>
      <c r="C808" s="1" t="s">
        <v>152</v>
      </c>
      <c r="D808" s="1" t="s">
        <v>153</v>
      </c>
      <c r="E808" s="16"/>
      <c r="F808" s="229">
        <f>' WP II-I-1.4'!I808</f>
        <v>0</v>
      </c>
      <c r="G808" s="16">
        <v>28</v>
      </c>
      <c r="H808" s="45" t="str">
        <f t="shared" si="287"/>
        <v>NCP XHV</v>
      </c>
      <c r="I808" s="16"/>
      <c r="J808" s="369">
        <f t="shared" si="288"/>
        <v>0</v>
      </c>
      <c r="K808" s="369">
        <f t="shared" si="288"/>
        <v>0</v>
      </c>
      <c r="L808" s="369">
        <f t="shared" si="288"/>
        <v>0</v>
      </c>
      <c r="M808" s="369">
        <f t="shared" si="288"/>
        <v>0</v>
      </c>
      <c r="N808" s="369">
        <f t="shared" si="288"/>
        <v>0</v>
      </c>
      <c r="O808" s="369">
        <f t="shared" si="288"/>
        <v>0</v>
      </c>
      <c r="P808" s="369">
        <f t="shared" si="288"/>
        <v>0</v>
      </c>
      <c r="Q808" s="369">
        <f t="shared" si="288"/>
        <v>0</v>
      </c>
      <c r="R808" s="369">
        <f t="shared" si="288"/>
        <v>0</v>
      </c>
      <c r="S808" s="369">
        <f t="shared" si="288"/>
        <v>0</v>
      </c>
      <c r="T808" s="16"/>
      <c r="U808" s="97">
        <f t="shared" si="289"/>
        <v>0</v>
      </c>
      <c r="V808" s="64"/>
      <c r="W808" s="643">
        <f t="shared" si="290"/>
        <v>0</v>
      </c>
    </row>
    <row r="809" spans="1:23" ht="15.75" x14ac:dyDescent="0.25">
      <c r="A809" s="118"/>
      <c r="B809" s="16">
        <f t="shared" si="286"/>
        <v>8</v>
      </c>
      <c r="C809" s="1" t="s">
        <v>154</v>
      </c>
      <c r="D809" s="29" t="s">
        <v>155</v>
      </c>
      <c r="E809" s="19"/>
      <c r="F809" s="229">
        <f>' WP II-I-1.4'!I809</f>
        <v>0</v>
      </c>
      <c r="G809" s="16">
        <v>23</v>
      </c>
      <c r="H809" s="45" t="str">
        <f t="shared" si="287"/>
        <v>4CP RTL</v>
      </c>
      <c r="I809" s="913"/>
      <c r="J809" s="369">
        <f t="shared" si="288"/>
        <v>0</v>
      </c>
      <c r="K809" s="369">
        <f t="shared" si="288"/>
        <v>0</v>
      </c>
      <c r="L809" s="369">
        <f t="shared" si="288"/>
        <v>0</v>
      </c>
      <c r="M809" s="369">
        <f t="shared" si="288"/>
        <v>0</v>
      </c>
      <c r="N809" s="369">
        <f t="shared" si="288"/>
        <v>0</v>
      </c>
      <c r="O809" s="369">
        <f t="shared" si="288"/>
        <v>0</v>
      </c>
      <c r="P809" s="369">
        <f t="shared" si="288"/>
        <v>0</v>
      </c>
      <c r="Q809" s="369">
        <f t="shared" si="288"/>
        <v>0</v>
      </c>
      <c r="R809" s="369">
        <f t="shared" si="288"/>
        <v>0</v>
      </c>
      <c r="S809" s="369">
        <f t="shared" si="288"/>
        <v>0</v>
      </c>
      <c r="T809" s="913"/>
      <c r="U809" s="235">
        <f t="shared" si="289"/>
        <v>0</v>
      </c>
      <c r="V809" s="104"/>
      <c r="W809" s="643">
        <f t="shared" si="290"/>
        <v>0</v>
      </c>
    </row>
    <row r="810" spans="1:23" ht="15" x14ac:dyDescent="0.2">
      <c r="A810" s="45"/>
      <c r="B810" s="16">
        <f t="shared" si="286"/>
        <v>9</v>
      </c>
      <c r="C810" s="1" t="s">
        <v>156</v>
      </c>
      <c r="D810" s="29" t="s">
        <v>157</v>
      </c>
      <c r="E810" s="16"/>
      <c r="F810" s="229">
        <f>' WP II-I-1.4'!I810</f>
        <v>0</v>
      </c>
      <c r="G810" s="16">
        <v>28</v>
      </c>
      <c r="H810" s="45" t="str">
        <f t="shared" si="287"/>
        <v>NCP XHV</v>
      </c>
      <c r="I810" s="16"/>
      <c r="J810" s="369">
        <f t="shared" si="288"/>
        <v>0</v>
      </c>
      <c r="K810" s="369">
        <f t="shared" si="288"/>
        <v>0</v>
      </c>
      <c r="L810" s="369">
        <f t="shared" si="288"/>
        <v>0</v>
      </c>
      <c r="M810" s="369">
        <f t="shared" si="288"/>
        <v>0</v>
      </c>
      <c r="N810" s="369">
        <f t="shared" si="288"/>
        <v>0</v>
      </c>
      <c r="O810" s="369">
        <f t="shared" si="288"/>
        <v>0</v>
      </c>
      <c r="P810" s="369">
        <f t="shared" si="288"/>
        <v>0</v>
      </c>
      <c r="Q810" s="369">
        <f t="shared" si="288"/>
        <v>0</v>
      </c>
      <c r="R810" s="369">
        <f t="shared" si="288"/>
        <v>0</v>
      </c>
      <c r="S810" s="369">
        <f t="shared" si="288"/>
        <v>0</v>
      </c>
      <c r="T810" s="16"/>
      <c r="U810" s="97">
        <f t="shared" si="289"/>
        <v>0</v>
      </c>
      <c r="V810" s="64"/>
      <c r="W810" s="643">
        <f t="shared" si="290"/>
        <v>0</v>
      </c>
    </row>
    <row r="811" spans="1:23" ht="15" x14ac:dyDescent="0.2">
      <c r="A811" s="45"/>
      <c r="B811" s="16">
        <f t="shared" si="286"/>
        <v>10</v>
      </c>
      <c r="C811" s="1" t="s">
        <v>158</v>
      </c>
      <c r="D811" s="1" t="s">
        <v>159</v>
      </c>
      <c r="E811" s="16"/>
      <c r="F811" s="229">
        <f>' WP II-I-1.4'!I811</f>
        <v>0</v>
      </c>
      <c r="G811" s="16">
        <v>28</v>
      </c>
      <c r="H811" s="45" t="str">
        <f t="shared" si="287"/>
        <v>NCP XHV</v>
      </c>
      <c r="I811" s="16"/>
      <c r="J811" s="370">
        <f t="shared" si="288"/>
        <v>0</v>
      </c>
      <c r="K811" s="370">
        <f t="shared" si="288"/>
        <v>0</v>
      </c>
      <c r="L811" s="370">
        <f t="shared" si="288"/>
        <v>0</v>
      </c>
      <c r="M811" s="370">
        <f t="shared" si="288"/>
        <v>0</v>
      </c>
      <c r="N811" s="370">
        <f t="shared" si="288"/>
        <v>0</v>
      </c>
      <c r="O811" s="370">
        <f t="shared" si="288"/>
        <v>0</v>
      </c>
      <c r="P811" s="370">
        <f t="shared" si="288"/>
        <v>0</v>
      </c>
      <c r="Q811" s="370">
        <f t="shared" si="288"/>
        <v>0</v>
      </c>
      <c r="R811" s="370">
        <f t="shared" si="288"/>
        <v>0</v>
      </c>
      <c r="S811" s="370">
        <f t="shared" si="288"/>
        <v>0</v>
      </c>
      <c r="T811" s="16"/>
      <c r="U811" s="97">
        <f t="shared" si="289"/>
        <v>0</v>
      </c>
      <c r="V811" s="64"/>
      <c r="W811" s="643">
        <f t="shared" si="290"/>
        <v>0</v>
      </c>
    </row>
    <row r="812" spans="1:23" ht="15.75" x14ac:dyDescent="0.25">
      <c r="A812" s="45"/>
      <c r="B812" s="16">
        <f t="shared" si="286"/>
        <v>11</v>
      </c>
      <c r="C812" s="8"/>
      <c r="D812" s="24" t="s">
        <v>444</v>
      </c>
      <c r="E812" s="19"/>
      <c r="F812" s="21">
        <f>SUM(F804:F811)</f>
        <v>0</v>
      </c>
      <c r="G812" s="19"/>
      <c r="H812" s="19"/>
      <c r="I812" s="913"/>
      <c r="J812" s="805">
        <f t="shared" ref="J812:Q812" si="291">SUM(J804:J811)</f>
        <v>0</v>
      </c>
      <c r="K812" s="805">
        <f t="shared" si="291"/>
        <v>0</v>
      </c>
      <c r="L812" s="805">
        <f t="shared" si="291"/>
        <v>0</v>
      </c>
      <c r="M812" s="805">
        <f t="shared" si="291"/>
        <v>0</v>
      </c>
      <c r="N812" s="805">
        <f t="shared" si="291"/>
        <v>0</v>
      </c>
      <c r="O812" s="805">
        <f>SUM(O804:O811)</f>
        <v>0</v>
      </c>
      <c r="P812" s="805">
        <f t="shared" si="291"/>
        <v>0</v>
      </c>
      <c r="Q812" s="805">
        <f t="shared" si="291"/>
        <v>0</v>
      </c>
      <c r="R812" s="805">
        <f>SUM(R804:R811)</f>
        <v>0</v>
      </c>
      <c r="S812" s="805">
        <f>SUM(S804:S811)</f>
        <v>0</v>
      </c>
      <c r="T812" s="913"/>
      <c r="U812" s="235">
        <f t="shared" si="289"/>
        <v>0</v>
      </c>
      <c r="V812" s="64"/>
      <c r="W812" s="643">
        <f t="shared" si="290"/>
        <v>0</v>
      </c>
    </row>
    <row r="813" spans="1:23" ht="15" x14ac:dyDescent="0.2">
      <c r="A813" s="45"/>
      <c r="B813" s="16">
        <f t="shared" si="286"/>
        <v>12</v>
      </c>
      <c r="C813" s="1"/>
      <c r="D813" s="1"/>
      <c r="E813" s="16"/>
      <c r="F813" s="18"/>
      <c r="G813" s="16"/>
      <c r="H813" s="16"/>
      <c r="I813" s="1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6"/>
      <c r="U813" s="1"/>
      <c r="V813" s="64"/>
      <c r="W813" s="643">
        <f t="shared" si="290"/>
        <v>0</v>
      </c>
    </row>
    <row r="814" spans="1:23" ht="15.75" x14ac:dyDescent="0.25">
      <c r="A814" s="45"/>
      <c r="B814" s="16">
        <f t="shared" si="286"/>
        <v>13</v>
      </c>
      <c r="C814" s="8"/>
      <c r="D814" s="24" t="s">
        <v>610</v>
      </c>
      <c r="E814" s="19"/>
      <c r="F814" s="21">
        <f>SUM(F805:F811)</f>
        <v>0</v>
      </c>
      <c r="G814" s="19"/>
      <c r="H814" s="19"/>
      <c r="I814" s="913"/>
      <c r="J814" s="805">
        <f t="shared" ref="J814:Q814" si="292">SUM(J805:J811)</f>
        <v>0</v>
      </c>
      <c r="K814" s="805">
        <f t="shared" si="292"/>
        <v>0</v>
      </c>
      <c r="L814" s="805">
        <f t="shared" si="292"/>
        <v>0</v>
      </c>
      <c r="M814" s="805">
        <f t="shared" si="292"/>
        <v>0</v>
      </c>
      <c r="N814" s="805">
        <f t="shared" si="292"/>
        <v>0</v>
      </c>
      <c r="O814" s="805">
        <f>SUM(O805:O811)</f>
        <v>0</v>
      </c>
      <c r="P814" s="805">
        <f t="shared" si="292"/>
        <v>0</v>
      </c>
      <c r="Q814" s="805">
        <f t="shared" si="292"/>
        <v>0</v>
      </c>
      <c r="R814" s="805">
        <f>SUM(R805:R811)</f>
        <v>0</v>
      </c>
      <c r="S814" s="805">
        <f>SUM(S805:S811)</f>
        <v>0</v>
      </c>
      <c r="T814" s="913"/>
      <c r="U814" s="235">
        <f>SUM(I814:T814)</f>
        <v>0</v>
      </c>
      <c r="V814" s="64"/>
      <c r="W814" s="643">
        <f t="shared" si="290"/>
        <v>0</v>
      </c>
    </row>
    <row r="815" spans="1:23" ht="15" x14ac:dyDescent="0.2">
      <c r="A815" s="45"/>
      <c r="B815" s="16">
        <f t="shared" si="286"/>
        <v>14</v>
      </c>
      <c r="C815" s="1"/>
      <c r="D815" s="1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"/>
      <c r="V815" s="64"/>
      <c r="W815" s="643">
        <f t="shared" si="290"/>
        <v>0</v>
      </c>
    </row>
    <row r="816" spans="1:23" ht="15.75" x14ac:dyDescent="0.25">
      <c r="A816" s="45"/>
      <c r="B816" s="16">
        <f t="shared" si="286"/>
        <v>15</v>
      </c>
      <c r="C816" s="8"/>
      <c r="D816" s="301" t="s">
        <v>611</v>
      </c>
      <c r="E816" s="19" t="s">
        <v>262</v>
      </c>
      <c r="F816" s="21"/>
      <c r="G816" s="19"/>
      <c r="H816" s="19"/>
      <c r="I816" s="913"/>
      <c r="J816" s="961"/>
      <c r="K816" s="961"/>
      <c r="L816" s="961"/>
      <c r="M816" s="961"/>
      <c r="N816" s="961"/>
      <c r="O816" s="961"/>
      <c r="P816" s="961"/>
      <c r="Q816" s="961"/>
      <c r="R816" s="961"/>
      <c r="S816" s="961"/>
      <c r="T816" s="913"/>
      <c r="U816" s="8"/>
      <c r="V816" s="64"/>
      <c r="W816" s="643">
        <f t="shared" si="290"/>
        <v>0</v>
      </c>
    </row>
    <row r="817" spans="1:23" ht="15" x14ac:dyDescent="0.2">
      <c r="A817" s="45"/>
      <c r="B817" s="16">
        <f t="shared" si="286"/>
        <v>16</v>
      </c>
      <c r="C817" s="1" t="s">
        <v>161</v>
      </c>
      <c r="D817" s="1" t="s">
        <v>162</v>
      </c>
      <c r="E817" s="16"/>
      <c r="F817" s="229">
        <f>' WP II-I-1.4'!I817</f>
        <v>0</v>
      </c>
      <c r="G817" s="16">
        <v>81</v>
      </c>
      <c r="H817" s="45" t="str">
        <f t="shared" ref="H817:H822" si="293">VLOOKUP(G817,FactorTable,2)</f>
        <v>PAY TR MNT</v>
      </c>
      <c r="I817" s="16"/>
      <c r="J817" s="369">
        <f t="shared" ref="J817:S822" si="294">$F817*HLOOKUP(J$1354,FactorTable,$G817+1)</f>
        <v>0</v>
      </c>
      <c r="K817" s="369">
        <f t="shared" si="294"/>
        <v>0</v>
      </c>
      <c r="L817" s="369">
        <f t="shared" si="294"/>
        <v>0</v>
      </c>
      <c r="M817" s="369">
        <f t="shared" si="294"/>
        <v>0</v>
      </c>
      <c r="N817" s="369">
        <f t="shared" si="294"/>
        <v>0</v>
      </c>
      <c r="O817" s="369">
        <f t="shared" si="294"/>
        <v>0</v>
      </c>
      <c r="P817" s="369">
        <f t="shared" si="294"/>
        <v>0</v>
      </c>
      <c r="Q817" s="369">
        <f t="shared" si="294"/>
        <v>0</v>
      </c>
      <c r="R817" s="369">
        <f t="shared" si="294"/>
        <v>0</v>
      </c>
      <c r="S817" s="369">
        <f t="shared" si="294"/>
        <v>0</v>
      </c>
      <c r="T817" s="16"/>
      <c r="U817" s="97">
        <f t="shared" ref="U817:U823" si="295">SUM(I817:T817)</f>
        <v>0</v>
      </c>
      <c r="V817" s="64"/>
      <c r="W817" s="643">
        <f t="shared" si="290"/>
        <v>0</v>
      </c>
    </row>
    <row r="818" spans="1:23" ht="15" x14ac:dyDescent="0.2">
      <c r="A818" s="45"/>
      <c r="B818" s="16">
        <f t="shared" si="286"/>
        <v>17</v>
      </c>
      <c r="C818" s="1" t="s">
        <v>163</v>
      </c>
      <c r="D818" s="29" t="s">
        <v>164</v>
      </c>
      <c r="E818" s="16"/>
      <c r="F818" s="229">
        <f>' WP II-I-1.4'!I818</f>
        <v>0</v>
      </c>
      <c r="G818" s="16">
        <v>28</v>
      </c>
      <c r="H818" s="45" t="str">
        <f t="shared" si="293"/>
        <v>NCP XHV</v>
      </c>
      <c r="I818" s="16"/>
      <c r="J818" s="369">
        <f t="shared" si="294"/>
        <v>0</v>
      </c>
      <c r="K818" s="369">
        <f t="shared" si="294"/>
        <v>0</v>
      </c>
      <c r="L818" s="369">
        <f t="shared" si="294"/>
        <v>0</v>
      </c>
      <c r="M818" s="369">
        <f t="shared" si="294"/>
        <v>0</v>
      </c>
      <c r="N818" s="369">
        <f t="shared" si="294"/>
        <v>0</v>
      </c>
      <c r="O818" s="369">
        <f t="shared" si="294"/>
        <v>0</v>
      </c>
      <c r="P818" s="369">
        <f t="shared" si="294"/>
        <v>0</v>
      </c>
      <c r="Q818" s="369">
        <f t="shared" si="294"/>
        <v>0</v>
      </c>
      <c r="R818" s="369">
        <f t="shared" si="294"/>
        <v>0</v>
      </c>
      <c r="S818" s="369">
        <f t="shared" si="294"/>
        <v>0</v>
      </c>
      <c r="T818" s="16"/>
      <c r="U818" s="97">
        <f t="shared" si="295"/>
        <v>0</v>
      </c>
      <c r="V818" s="64"/>
      <c r="W818" s="643">
        <f t="shared" si="290"/>
        <v>0</v>
      </c>
    </row>
    <row r="819" spans="1:23" ht="15" x14ac:dyDescent="0.2">
      <c r="A819" s="45"/>
      <c r="B819" s="16">
        <f t="shared" si="286"/>
        <v>18</v>
      </c>
      <c r="C819" s="1" t="s">
        <v>165</v>
      </c>
      <c r="D819" s="1" t="s">
        <v>166</v>
      </c>
      <c r="E819" s="16"/>
      <c r="F819" s="229">
        <f>' WP II-I-1.4'!I819</f>
        <v>0</v>
      </c>
      <c r="G819" s="16">
        <v>28</v>
      </c>
      <c r="H819" s="45" t="str">
        <f t="shared" si="293"/>
        <v>NCP XHV</v>
      </c>
      <c r="I819" s="16"/>
      <c r="J819" s="369">
        <f t="shared" si="294"/>
        <v>0</v>
      </c>
      <c r="K819" s="369">
        <f t="shared" si="294"/>
        <v>0</v>
      </c>
      <c r="L819" s="369">
        <f t="shared" si="294"/>
        <v>0</v>
      </c>
      <c r="M819" s="369">
        <f t="shared" si="294"/>
        <v>0</v>
      </c>
      <c r="N819" s="369">
        <f t="shared" si="294"/>
        <v>0</v>
      </c>
      <c r="O819" s="369">
        <f t="shared" si="294"/>
        <v>0</v>
      </c>
      <c r="P819" s="369">
        <f t="shared" si="294"/>
        <v>0</v>
      </c>
      <c r="Q819" s="369">
        <f t="shared" si="294"/>
        <v>0</v>
      </c>
      <c r="R819" s="369">
        <f t="shared" si="294"/>
        <v>0</v>
      </c>
      <c r="S819" s="369">
        <f t="shared" si="294"/>
        <v>0</v>
      </c>
      <c r="T819" s="16"/>
      <c r="U819" s="97">
        <f t="shared" si="295"/>
        <v>0</v>
      </c>
      <c r="V819" s="64"/>
      <c r="W819" s="643">
        <f t="shared" si="290"/>
        <v>0</v>
      </c>
    </row>
    <row r="820" spans="1:23" ht="15" x14ac:dyDescent="0.2">
      <c r="A820" s="45"/>
      <c r="B820" s="16">
        <f t="shared" si="286"/>
        <v>19</v>
      </c>
      <c r="C820" s="1" t="s">
        <v>167</v>
      </c>
      <c r="D820" s="1" t="s">
        <v>168</v>
      </c>
      <c r="E820" s="16"/>
      <c r="F820" s="229">
        <f>' WP II-I-1.4'!I820</f>
        <v>0</v>
      </c>
      <c r="G820" s="16">
        <v>28</v>
      </c>
      <c r="H820" s="45" t="str">
        <f t="shared" si="293"/>
        <v>NCP XHV</v>
      </c>
      <c r="I820" s="16"/>
      <c r="J820" s="369">
        <f t="shared" si="294"/>
        <v>0</v>
      </c>
      <c r="K820" s="369">
        <f t="shared" si="294"/>
        <v>0</v>
      </c>
      <c r="L820" s="369">
        <f t="shared" si="294"/>
        <v>0</v>
      </c>
      <c r="M820" s="369">
        <f t="shared" si="294"/>
        <v>0</v>
      </c>
      <c r="N820" s="369">
        <f t="shared" si="294"/>
        <v>0</v>
      </c>
      <c r="O820" s="369">
        <f t="shared" si="294"/>
        <v>0</v>
      </c>
      <c r="P820" s="369">
        <f t="shared" si="294"/>
        <v>0</v>
      </c>
      <c r="Q820" s="369">
        <f t="shared" si="294"/>
        <v>0</v>
      </c>
      <c r="R820" s="369">
        <f t="shared" si="294"/>
        <v>0</v>
      </c>
      <c r="S820" s="369">
        <f t="shared" si="294"/>
        <v>0</v>
      </c>
      <c r="T820" s="16"/>
      <c r="U820" s="97">
        <f t="shared" si="295"/>
        <v>0</v>
      </c>
      <c r="V820" s="64"/>
      <c r="W820" s="643">
        <f t="shared" si="290"/>
        <v>0</v>
      </c>
    </row>
    <row r="821" spans="1:23" ht="15" x14ac:dyDescent="0.2">
      <c r="A821" s="45"/>
      <c r="B821" s="16">
        <f t="shared" si="286"/>
        <v>20</v>
      </c>
      <c r="C821" s="1" t="s">
        <v>169</v>
      </c>
      <c r="D821" s="29" t="s">
        <v>170</v>
      </c>
      <c r="E821" s="16"/>
      <c r="F821" s="229">
        <f>' WP II-I-1.4'!I821</f>
        <v>0</v>
      </c>
      <c r="G821" s="16">
        <v>28</v>
      </c>
      <c r="H821" s="45" t="str">
        <f t="shared" si="293"/>
        <v>NCP XHV</v>
      </c>
      <c r="I821" s="16"/>
      <c r="J821" s="369">
        <f t="shared" si="294"/>
        <v>0</v>
      </c>
      <c r="K821" s="369">
        <f t="shared" si="294"/>
        <v>0</v>
      </c>
      <c r="L821" s="369">
        <f t="shared" si="294"/>
        <v>0</v>
      </c>
      <c r="M821" s="369">
        <f t="shared" si="294"/>
        <v>0</v>
      </c>
      <c r="N821" s="369">
        <f t="shared" si="294"/>
        <v>0</v>
      </c>
      <c r="O821" s="369">
        <f t="shared" si="294"/>
        <v>0</v>
      </c>
      <c r="P821" s="369">
        <f t="shared" si="294"/>
        <v>0</v>
      </c>
      <c r="Q821" s="369">
        <f t="shared" si="294"/>
        <v>0</v>
      </c>
      <c r="R821" s="369">
        <f t="shared" si="294"/>
        <v>0</v>
      </c>
      <c r="S821" s="369">
        <f t="shared" si="294"/>
        <v>0</v>
      </c>
      <c r="T821" s="16"/>
      <c r="U821" s="97">
        <f t="shared" si="295"/>
        <v>0</v>
      </c>
      <c r="V821" s="64"/>
      <c r="W821" s="643">
        <f t="shared" si="290"/>
        <v>0</v>
      </c>
    </row>
    <row r="822" spans="1:23" ht="15" x14ac:dyDescent="0.2">
      <c r="A822" s="45"/>
      <c r="B822" s="16">
        <f t="shared" si="286"/>
        <v>21</v>
      </c>
      <c r="C822" s="1" t="s">
        <v>171</v>
      </c>
      <c r="D822" s="29" t="s">
        <v>172</v>
      </c>
      <c r="E822" s="16"/>
      <c r="F822" s="229">
        <f>' WP II-I-1.4'!I822</f>
        <v>0</v>
      </c>
      <c r="G822" s="16">
        <v>28</v>
      </c>
      <c r="H822" s="45" t="str">
        <f t="shared" si="293"/>
        <v>NCP XHV</v>
      </c>
      <c r="I822" s="16"/>
      <c r="J822" s="370">
        <f t="shared" si="294"/>
        <v>0</v>
      </c>
      <c r="K822" s="370">
        <f t="shared" si="294"/>
        <v>0</v>
      </c>
      <c r="L822" s="370">
        <f t="shared" si="294"/>
        <v>0</v>
      </c>
      <c r="M822" s="370">
        <f t="shared" si="294"/>
        <v>0</v>
      </c>
      <c r="N822" s="370">
        <f t="shared" si="294"/>
        <v>0</v>
      </c>
      <c r="O822" s="370">
        <f t="shared" si="294"/>
        <v>0</v>
      </c>
      <c r="P822" s="370">
        <f t="shared" si="294"/>
        <v>0</v>
      </c>
      <c r="Q822" s="370">
        <f t="shared" si="294"/>
        <v>0</v>
      </c>
      <c r="R822" s="370">
        <f t="shared" si="294"/>
        <v>0</v>
      </c>
      <c r="S822" s="370">
        <f t="shared" si="294"/>
        <v>0</v>
      </c>
      <c r="T822" s="16"/>
      <c r="U822" s="97">
        <f t="shared" si="295"/>
        <v>0</v>
      </c>
      <c r="V822" s="64"/>
      <c r="W822" s="643">
        <f t="shared" si="290"/>
        <v>0</v>
      </c>
    </row>
    <row r="823" spans="1:23" ht="15.75" x14ac:dyDescent="0.25">
      <c r="A823" s="45"/>
      <c r="B823" s="16">
        <f t="shared" si="286"/>
        <v>22</v>
      </c>
      <c r="C823" s="8"/>
      <c r="D823" s="24" t="s">
        <v>444</v>
      </c>
      <c r="E823" s="19"/>
      <c r="F823" s="21">
        <f>SUM(F817:F822)</f>
        <v>0</v>
      </c>
      <c r="G823" s="19"/>
      <c r="H823" s="19"/>
      <c r="I823" s="913"/>
      <c r="J823" s="805">
        <f t="shared" ref="J823:Q823" si="296">SUM(J817:J822)</f>
        <v>0</v>
      </c>
      <c r="K823" s="805">
        <f t="shared" si="296"/>
        <v>0</v>
      </c>
      <c r="L823" s="805">
        <f t="shared" si="296"/>
        <v>0</v>
      </c>
      <c r="M823" s="805">
        <f t="shared" si="296"/>
        <v>0</v>
      </c>
      <c r="N823" s="805">
        <f t="shared" si="296"/>
        <v>0</v>
      </c>
      <c r="O823" s="805">
        <f>SUM(O817:O822)</f>
        <v>0</v>
      </c>
      <c r="P823" s="805">
        <f t="shared" si="296"/>
        <v>0</v>
      </c>
      <c r="Q823" s="805">
        <f t="shared" si="296"/>
        <v>0</v>
      </c>
      <c r="R823" s="805">
        <f>SUM(R817:R822)</f>
        <v>0</v>
      </c>
      <c r="S823" s="805">
        <f>SUM(S817:S822)</f>
        <v>0</v>
      </c>
      <c r="T823" s="913"/>
      <c r="U823" s="235">
        <f t="shared" si="295"/>
        <v>0</v>
      </c>
      <c r="V823" s="64"/>
      <c r="W823" s="643">
        <f t="shared" si="290"/>
        <v>0</v>
      </c>
    </row>
    <row r="824" spans="1:23" ht="15" x14ac:dyDescent="0.2">
      <c r="A824" s="45"/>
      <c r="B824" s="16">
        <f t="shared" si="286"/>
        <v>23</v>
      </c>
      <c r="C824" s="1"/>
      <c r="D824" s="1"/>
      <c r="E824" s="16"/>
      <c r="F824" s="18"/>
      <c r="G824" s="16"/>
      <c r="H824" s="16"/>
      <c r="I824" s="1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6"/>
      <c r="U824" s="1"/>
      <c r="V824" s="64"/>
      <c r="W824" s="643">
        <f t="shared" si="290"/>
        <v>0</v>
      </c>
    </row>
    <row r="825" spans="1:23" ht="15.75" x14ac:dyDescent="0.25">
      <c r="A825" s="45"/>
      <c r="B825" s="16">
        <f t="shared" si="286"/>
        <v>24</v>
      </c>
      <c r="C825" s="8"/>
      <c r="D825" s="24" t="s">
        <v>612</v>
      </c>
      <c r="E825" s="19"/>
      <c r="F825" s="21">
        <f>SUM(F818:F822)</f>
        <v>0</v>
      </c>
      <c r="G825" s="19"/>
      <c r="H825" s="19"/>
      <c r="I825" s="19"/>
      <c r="J825" s="21">
        <f t="shared" ref="J825:Q825" si="297">SUM(J818:J822)</f>
        <v>0</v>
      </c>
      <c r="K825" s="21">
        <f t="shared" si="297"/>
        <v>0</v>
      </c>
      <c r="L825" s="21">
        <f t="shared" si="297"/>
        <v>0</v>
      </c>
      <c r="M825" s="21">
        <f t="shared" si="297"/>
        <v>0</v>
      </c>
      <c r="N825" s="21">
        <f t="shared" si="297"/>
        <v>0</v>
      </c>
      <c r="O825" s="21">
        <f>SUM(O818:O822)</f>
        <v>0</v>
      </c>
      <c r="P825" s="21">
        <f t="shared" si="297"/>
        <v>0</v>
      </c>
      <c r="Q825" s="21">
        <f t="shared" si="297"/>
        <v>0</v>
      </c>
      <c r="R825" s="21">
        <f>SUM(R818:R822)</f>
        <v>0</v>
      </c>
      <c r="S825" s="21">
        <f>SUM(S818:S822)</f>
        <v>0</v>
      </c>
      <c r="T825" s="19"/>
      <c r="U825" s="235">
        <f>SUM(I825:T825)</f>
        <v>0</v>
      </c>
      <c r="V825" s="64"/>
      <c r="W825" s="643">
        <f t="shared" si="290"/>
        <v>0</v>
      </c>
    </row>
    <row r="826" spans="1:23" ht="15.75" thickBot="1" x14ac:dyDescent="0.25">
      <c r="A826" s="45"/>
      <c r="B826" s="16">
        <f t="shared" si="286"/>
        <v>25</v>
      </c>
      <c r="C826" s="1"/>
      <c r="D826" s="1"/>
      <c r="E826" s="16"/>
      <c r="F826" s="18"/>
      <c r="G826" s="16"/>
      <c r="H826" s="16"/>
      <c r="I826" s="1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6"/>
      <c r="U826" s="1"/>
      <c r="V826" s="64"/>
      <c r="W826" s="643">
        <f t="shared" si="290"/>
        <v>0</v>
      </c>
    </row>
    <row r="827" spans="1:23" ht="16.5" thickBot="1" x14ac:dyDescent="0.3">
      <c r="A827" s="45"/>
      <c r="B827" s="16">
        <f>B824+1</f>
        <v>24</v>
      </c>
      <c r="C827" s="779" t="s">
        <v>613</v>
      </c>
      <c r="D827" s="920"/>
      <c r="E827" s="916"/>
      <c r="F827" s="917">
        <f>+F823+F812</f>
        <v>0</v>
      </c>
      <c r="G827" s="916"/>
      <c r="H827" s="916"/>
      <c r="I827" s="919"/>
      <c r="J827" s="917">
        <f t="shared" ref="J827:Q827" si="298">+J823+J812</f>
        <v>0</v>
      </c>
      <c r="K827" s="917">
        <f t="shared" si="298"/>
        <v>0</v>
      </c>
      <c r="L827" s="917">
        <f t="shared" si="298"/>
        <v>0</v>
      </c>
      <c r="M827" s="917">
        <f t="shared" si="298"/>
        <v>0</v>
      </c>
      <c r="N827" s="917">
        <f t="shared" si="298"/>
        <v>0</v>
      </c>
      <c r="O827" s="917">
        <f>+O823+O812</f>
        <v>0</v>
      </c>
      <c r="P827" s="917">
        <f t="shared" si="298"/>
        <v>0</v>
      </c>
      <c r="Q827" s="917">
        <f t="shared" si="298"/>
        <v>0</v>
      </c>
      <c r="R827" s="917">
        <f>+R823+R812</f>
        <v>0</v>
      </c>
      <c r="S827" s="917">
        <f>+S823+S812</f>
        <v>0</v>
      </c>
      <c r="T827" s="919"/>
      <c r="U827" s="918">
        <f>SUM(I827:T827)</f>
        <v>0</v>
      </c>
      <c r="V827" s="64"/>
      <c r="W827" s="643">
        <f t="shared" si="290"/>
        <v>0</v>
      </c>
    </row>
    <row r="828" spans="1:23" ht="15" x14ac:dyDescent="0.2">
      <c r="A828" s="45"/>
      <c r="B828" s="16"/>
      <c r="C828" s="1"/>
      <c r="D828" s="1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"/>
      <c r="V828" s="64"/>
      <c r="W828" s="138"/>
    </row>
    <row r="829" spans="1:23" ht="15" x14ac:dyDescent="0.2">
      <c r="A829" s="45"/>
      <c r="B829" s="16"/>
      <c r="C829" s="1"/>
      <c r="D829" s="1"/>
      <c r="E829" s="16"/>
      <c r="F829" s="18"/>
      <c r="G829" s="16"/>
      <c r="H829" s="105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05"/>
      <c r="V829" s="105">
        <f>$H$2</f>
        <v>0</v>
      </c>
      <c r="W829" s="138"/>
    </row>
    <row r="830" spans="1:23" ht="15.75" thickBot="1" x14ac:dyDescent="0.25">
      <c r="A830" s="45"/>
      <c r="B830" s="16"/>
      <c r="C830" s="1"/>
      <c r="D830" s="1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"/>
      <c r="V830" s="64"/>
      <c r="W830" s="138"/>
    </row>
    <row r="831" spans="1:23" ht="15.75" x14ac:dyDescent="0.25">
      <c r="A831" s="45"/>
      <c r="B831" s="829" t="str">
        <f>+$B$4</f>
        <v>2025 RATE CASE</v>
      </c>
      <c r="C831" s="844"/>
      <c r="D831" s="547"/>
      <c r="F831" s="11"/>
      <c r="U831" s="105"/>
      <c r="W831" s="138"/>
    </row>
    <row r="832" spans="1:23" ht="15.75" x14ac:dyDescent="0.25">
      <c r="A832" s="45"/>
      <c r="B832" s="826" t="str">
        <f>+$B$5</f>
        <v>ONCOR ELECTRIC DELIVERY COMPANY LLC</v>
      </c>
      <c r="C832" s="8"/>
      <c r="D832" s="548"/>
      <c r="F832" s="11"/>
      <c r="U832" s="105"/>
      <c r="V832" s="64"/>
      <c r="W832" s="138"/>
    </row>
    <row r="833" spans="1:23" ht="15.75" x14ac:dyDescent="0.25">
      <c r="A833" s="45"/>
      <c r="B833" s="826" t="str">
        <f>+$B$6</f>
        <v>II-I-1-TBILLTDCS:  CLASS REVENUE REQUIREMENT</v>
      </c>
      <c r="C833" s="82"/>
      <c r="D833" s="548"/>
      <c r="F833" s="11"/>
      <c r="U833" s="11"/>
      <c r="V833" s="64"/>
      <c r="W833" s="138"/>
    </row>
    <row r="834" spans="1:23" ht="15.75" x14ac:dyDescent="0.25">
      <c r="A834" s="45"/>
      <c r="B834" s="341" t="str">
        <f>+$B$7</f>
        <v>TEST YEAR ENDING 12/31/2024</v>
      </c>
      <c r="C834" s="82"/>
      <c r="D834" s="548"/>
      <c r="F834" s="11"/>
      <c r="U834" s="11"/>
      <c r="V834" s="64"/>
      <c r="W834" s="138"/>
    </row>
    <row r="835" spans="1:23" ht="15.75" x14ac:dyDescent="0.25">
      <c r="A835" s="45"/>
      <c r="B835" s="341" t="str">
        <f>+$B$8</f>
        <v>SPONSOR:  MATTHEW A. TROXLE</v>
      </c>
      <c r="C835" s="82"/>
      <c r="D835" s="548"/>
      <c r="F835" s="11"/>
      <c r="U835" s="11"/>
      <c r="V835" s="64"/>
      <c r="W835" s="138"/>
    </row>
    <row r="836" spans="1:23" ht="16.5" thickBot="1" x14ac:dyDescent="0.3">
      <c r="A836" s="45"/>
      <c r="B836" s="345"/>
      <c r="C836" s="843"/>
      <c r="D836" s="549"/>
      <c r="F836" s="11"/>
      <c r="U836" s="11"/>
      <c r="V836" s="64"/>
      <c r="W836" s="138"/>
    </row>
    <row r="837" spans="1:23" ht="15.75" thickBot="1" x14ac:dyDescent="0.25">
      <c r="A837" s="45"/>
      <c r="B837" s="12"/>
      <c r="C837" s="13"/>
      <c r="D837" s="13"/>
      <c r="E837" s="13"/>
      <c r="F837" s="12"/>
      <c r="G837" s="13"/>
      <c r="H837" s="13"/>
      <c r="I837" s="13"/>
      <c r="J837" s="177"/>
      <c r="K837" s="177"/>
      <c r="L837" s="13"/>
      <c r="M837" s="177"/>
      <c r="N837" s="177"/>
      <c r="O837" s="177"/>
      <c r="P837" s="177"/>
      <c r="Q837" s="13"/>
      <c r="R837" s="328" t="str">
        <f>R$10</f>
        <v xml:space="preserve"> </v>
      </c>
      <c r="S837" s="329"/>
      <c r="T837" s="177"/>
      <c r="U837" s="12"/>
      <c r="V837" s="64"/>
      <c r="W837" s="138"/>
    </row>
    <row r="838" spans="1:23" ht="15.75" x14ac:dyDescent="0.25">
      <c r="A838" s="45"/>
      <c r="B838" s="14" t="s">
        <v>2</v>
      </c>
      <c r="C838" s="14" t="s">
        <v>349</v>
      </c>
      <c r="D838" s="226" t="s">
        <v>614</v>
      </c>
      <c r="E838" s="14" t="s">
        <v>350</v>
      </c>
      <c r="F838" s="226" t="str">
        <f>F$11</f>
        <v>TBILLTDCS</v>
      </c>
      <c r="G838" s="181" t="s">
        <v>688</v>
      </c>
      <c r="H838" s="181" t="s">
        <v>355</v>
      </c>
      <c r="I838" s="14"/>
      <c r="J838" s="181" t="s">
        <v>679</v>
      </c>
      <c r="K838" s="181" t="s">
        <v>388</v>
      </c>
      <c r="L838" s="14" t="s">
        <v>388</v>
      </c>
      <c r="M838" s="181" t="s">
        <v>389</v>
      </c>
      <c r="N838" s="181" t="s">
        <v>389</v>
      </c>
      <c r="O838" s="181" t="s">
        <v>389</v>
      </c>
      <c r="P838" s="181" t="s">
        <v>390</v>
      </c>
      <c r="Q838" s="14" t="s">
        <v>391</v>
      </c>
      <c r="R838" s="331" t="str">
        <f>R$11</f>
        <v>Wholesale</v>
      </c>
      <c r="S838" s="12" t="str">
        <f>S$11</f>
        <v>Wholesale</v>
      </c>
      <c r="T838" s="181"/>
      <c r="U838" s="14" t="s">
        <v>10</v>
      </c>
      <c r="V838" s="64"/>
      <c r="W838" s="138"/>
    </row>
    <row r="839" spans="1:23" ht="15" x14ac:dyDescent="0.2">
      <c r="A839" s="45"/>
      <c r="B839" s="14"/>
      <c r="C839" s="14"/>
      <c r="D839" s="14"/>
      <c r="E839" s="14"/>
      <c r="F839" s="14"/>
      <c r="G839" s="181" t="s">
        <v>689</v>
      </c>
      <c r="H839" s="181" t="s">
        <v>690</v>
      </c>
      <c r="I839" s="14"/>
      <c r="J839" s="181"/>
      <c r="K839" s="181" t="s">
        <v>680</v>
      </c>
      <c r="L839" s="14" t="s">
        <v>681</v>
      </c>
      <c r="M839" s="181" t="s">
        <v>680</v>
      </c>
      <c r="N839" s="181" t="s">
        <v>681</v>
      </c>
      <c r="O839" s="181" t="s">
        <v>393</v>
      </c>
      <c r="P839" s="181"/>
      <c r="Q839" s="14"/>
      <c r="R839" s="174" t="str">
        <f>R$12</f>
        <v>XFMR</v>
      </c>
      <c r="S839" s="14" t="str">
        <f>S$12</f>
        <v>DLS</v>
      </c>
      <c r="T839" s="181"/>
      <c r="U839" s="14"/>
      <c r="V839" s="64"/>
      <c r="W839" s="138"/>
    </row>
    <row r="840" spans="1:23" ht="15.75" thickBot="1" x14ac:dyDescent="0.25">
      <c r="A840" s="45"/>
      <c r="B840" s="15"/>
      <c r="C840" s="15"/>
      <c r="D840" s="15"/>
      <c r="E840" s="15"/>
      <c r="F840" s="15" t="s">
        <v>13</v>
      </c>
      <c r="G840" s="15" t="s">
        <v>14</v>
      </c>
      <c r="H840" s="15" t="s">
        <v>15</v>
      </c>
      <c r="I840" s="15"/>
      <c r="J840" s="182" t="str">
        <f t="shared" ref="J840:Q840" si="299">J$13</f>
        <v>(d)</v>
      </c>
      <c r="K840" s="182" t="str">
        <f t="shared" si="299"/>
        <v>(e)</v>
      </c>
      <c r="L840" s="15" t="str">
        <f t="shared" si="299"/>
        <v>(f)</v>
      </c>
      <c r="M840" s="182" t="str">
        <f t="shared" si="299"/>
        <v>(g)</v>
      </c>
      <c r="N840" s="182" t="str">
        <f t="shared" si="299"/>
        <v>(h)</v>
      </c>
      <c r="O840" s="182" t="str">
        <f>O$13</f>
        <v>(i)</v>
      </c>
      <c r="P840" s="182" t="str">
        <f t="shared" si="299"/>
        <v>(j)</v>
      </c>
      <c r="Q840" s="182" t="str">
        <f t="shared" si="299"/>
        <v>(k)</v>
      </c>
      <c r="R840" s="182" t="str">
        <f>R$13</f>
        <v>(l)</v>
      </c>
      <c r="S840" s="15" t="str">
        <f>S$13</f>
        <v>(m)</v>
      </c>
      <c r="T840" s="15"/>
      <c r="U840" s="15" t="s">
        <v>683</v>
      </c>
      <c r="V840" s="64"/>
      <c r="W840" s="138"/>
    </row>
    <row r="841" spans="1:23" ht="15" x14ac:dyDescent="0.2">
      <c r="A841" s="45"/>
      <c r="B841" s="64"/>
      <c r="C841" s="96"/>
      <c r="D841" s="96"/>
      <c r="E841" s="251"/>
      <c r="F841" s="308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1"/>
      <c r="V841" s="64"/>
      <c r="W841" s="138"/>
    </row>
    <row r="842" spans="1:23" ht="15.75" x14ac:dyDescent="0.25">
      <c r="A842" s="45"/>
      <c r="B842" s="16">
        <f>B828+1</f>
        <v>1</v>
      </c>
      <c r="C842" s="8" t="s">
        <v>614</v>
      </c>
      <c r="D842" s="8"/>
      <c r="E842" s="19"/>
      <c r="F842" s="21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8"/>
      <c r="V842" s="64"/>
      <c r="W842" s="138"/>
    </row>
    <row r="843" spans="1:23" ht="15.75" x14ac:dyDescent="0.25">
      <c r="A843" s="45"/>
      <c r="B843" s="16">
        <f t="shared" ref="B843:B874" si="300">B842+1</f>
        <v>2</v>
      </c>
      <c r="C843" s="8"/>
      <c r="D843" s="301" t="s">
        <v>609</v>
      </c>
      <c r="E843" s="19" t="s">
        <v>262</v>
      </c>
      <c r="F843" s="21"/>
      <c r="G843" s="19"/>
      <c r="H843" s="19"/>
      <c r="I843" s="913"/>
      <c r="J843" s="961"/>
      <c r="K843" s="961"/>
      <c r="L843" s="961"/>
      <c r="M843" s="961"/>
      <c r="N843" s="961"/>
      <c r="O843" s="961"/>
      <c r="P843" s="961"/>
      <c r="Q843" s="961"/>
      <c r="R843" s="961"/>
      <c r="S843" s="961"/>
      <c r="T843" s="913"/>
      <c r="U843" s="8"/>
      <c r="V843" s="64"/>
      <c r="W843" s="138"/>
    </row>
    <row r="844" spans="1:23" ht="15" x14ac:dyDescent="0.2">
      <c r="A844" s="45"/>
      <c r="B844" s="16">
        <f t="shared" si="300"/>
        <v>3</v>
      </c>
      <c r="C844" s="1" t="s">
        <v>175</v>
      </c>
      <c r="D844" s="1" t="s">
        <v>176</v>
      </c>
      <c r="E844" s="16"/>
      <c r="F844" s="229">
        <f>' WP II-I-1.4'!I844</f>
        <v>0</v>
      </c>
      <c r="G844" s="16">
        <v>28</v>
      </c>
      <c r="H844" s="45" t="str">
        <f t="shared" ref="H844:H852" si="301">VLOOKUP(G844,FactorTable,2)</f>
        <v>NCP XHV</v>
      </c>
      <c r="I844" s="16"/>
      <c r="J844" s="369">
        <f t="shared" ref="J844:S852" si="302">$F844*HLOOKUP(J$1354,FactorTable,$G844+1)</f>
        <v>0</v>
      </c>
      <c r="K844" s="369">
        <f t="shared" si="302"/>
        <v>0</v>
      </c>
      <c r="L844" s="369">
        <f t="shared" si="302"/>
        <v>0</v>
      </c>
      <c r="M844" s="369">
        <f t="shared" si="302"/>
        <v>0</v>
      </c>
      <c r="N844" s="369">
        <f t="shared" si="302"/>
        <v>0</v>
      </c>
      <c r="O844" s="369">
        <f t="shared" si="302"/>
        <v>0</v>
      </c>
      <c r="P844" s="369">
        <f t="shared" si="302"/>
        <v>0</v>
      </c>
      <c r="Q844" s="369">
        <f t="shared" si="302"/>
        <v>0</v>
      </c>
      <c r="R844" s="369">
        <f t="shared" si="302"/>
        <v>0</v>
      </c>
      <c r="S844" s="369">
        <f t="shared" si="302"/>
        <v>0</v>
      </c>
      <c r="T844" s="16"/>
      <c r="U844" s="97">
        <f t="shared" ref="U844:U853" si="303">SUM(I844:T844)</f>
        <v>0</v>
      </c>
      <c r="V844" s="64"/>
      <c r="W844" s="643">
        <f t="shared" ref="W844:W874" si="304">F844-U844</f>
        <v>0</v>
      </c>
    </row>
    <row r="845" spans="1:23" ht="15" x14ac:dyDescent="0.2">
      <c r="A845" s="45"/>
      <c r="B845" s="16">
        <f t="shared" si="300"/>
        <v>4</v>
      </c>
      <c r="C845" s="1" t="s">
        <v>177</v>
      </c>
      <c r="D845" s="1" t="s">
        <v>149</v>
      </c>
      <c r="E845" s="16"/>
      <c r="F845" s="97">
        <f>' WP II-I-1.4'!I845</f>
        <v>0</v>
      </c>
      <c r="G845" s="16">
        <v>44</v>
      </c>
      <c r="H845" s="45" t="str">
        <f t="shared" si="301"/>
        <v>PLT 362</v>
      </c>
      <c r="I845" s="16"/>
      <c r="J845" s="369">
        <f t="shared" si="302"/>
        <v>0</v>
      </c>
      <c r="K845" s="369">
        <f t="shared" si="302"/>
        <v>0</v>
      </c>
      <c r="L845" s="369">
        <f t="shared" si="302"/>
        <v>0</v>
      </c>
      <c r="M845" s="369">
        <f t="shared" si="302"/>
        <v>0</v>
      </c>
      <c r="N845" s="369">
        <f t="shared" si="302"/>
        <v>0</v>
      </c>
      <c r="O845" s="369">
        <f t="shared" si="302"/>
        <v>0</v>
      </c>
      <c r="P845" s="369">
        <f t="shared" si="302"/>
        <v>0</v>
      </c>
      <c r="Q845" s="369">
        <f t="shared" si="302"/>
        <v>0</v>
      </c>
      <c r="R845" s="369">
        <f t="shared" si="302"/>
        <v>0</v>
      </c>
      <c r="S845" s="369">
        <f t="shared" si="302"/>
        <v>0</v>
      </c>
      <c r="T845" s="16"/>
      <c r="U845" s="97">
        <f t="shared" si="303"/>
        <v>0</v>
      </c>
      <c r="V845" s="64"/>
      <c r="W845" s="643">
        <f t="shared" si="304"/>
        <v>0</v>
      </c>
    </row>
    <row r="846" spans="1:23" ht="15" x14ac:dyDescent="0.2">
      <c r="A846" s="45"/>
      <c r="B846" s="16">
        <f t="shared" si="300"/>
        <v>5</v>
      </c>
      <c r="C846" s="1" t="s">
        <v>178</v>
      </c>
      <c r="D846" s="1" t="s">
        <v>151</v>
      </c>
      <c r="E846" s="16"/>
      <c r="F846" s="97">
        <f>' WP II-I-1.4'!I846</f>
        <v>0</v>
      </c>
      <c r="G846" s="16">
        <v>46</v>
      </c>
      <c r="H846" s="45" t="str">
        <f t="shared" si="301"/>
        <v>PLT 365</v>
      </c>
      <c r="I846" s="16"/>
      <c r="J846" s="369">
        <f t="shared" si="302"/>
        <v>0</v>
      </c>
      <c r="K846" s="369">
        <f t="shared" si="302"/>
        <v>0</v>
      </c>
      <c r="L846" s="369">
        <f t="shared" si="302"/>
        <v>0</v>
      </c>
      <c r="M846" s="369">
        <f t="shared" si="302"/>
        <v>0</v>
      </c>
      <c r="N846" s="369">
        <f t="shared" si="302"/>
        <v>0</v>
      </c>
      <c r="O846" s="369">
        <f t="shared" si="302"/>
        <v>0</v>
      </c>
      <c r="P846" s="369">
        <f t="shared" si="302"/>
        <v>0</v>
      </c>
      <c r="Q846" s="369">
        <f t="shared" si="302"/>
        <v>0</v>
      </c>
      <c r="R846" s="369">
        <f t="shared" si="302"/>
        <v>0</v>
      </c>
      <c r="S846" s="369">
        <f t="shared" si="302"/>
        <v>0</v>
      </c>
      <c r="T846" s="16"/>
      <c r="U846" s="97">
        <f t="shared" si="303"/>
        <v>0</v>
      </c>
      <c r="V846" s="64"/>
      <c r="W846" s="643">
        <f t="shared" si="304"/>
        <v>0</v>
      </c>
    </row>
    <row r="847" spans="1:23" ht="15" x14ac:dyDescent="0.2">
      <c r="A847" s="45"/>
      <c r="B847" s="16">
        <f t="shared" si="300"/>
        <v>6</v>
      </c>
      <c r="C847" s="1" t="s">
        <v>179</v>
      </c>
      <c r="D847" s="1" t="s">
        <v>153</v>
      </c>
      <c r="E847" s="16"/>
      <c r="F847" s="97">
        <f>' WP II-I-1.4'!I847</f>
        <v>0</v>
      </c>
      <c r="G847" s="16">
        <v>48</v>
      </c>
      <c r="H847" s="45" t="str">
        <f t="shared" si="301"/>
        <v>PLT 367</v>
      </c>
      <c r="I847" s="16"/>
      <c r="J847" s="369">
        <f t="shared" si="302"/>
        <v>0</v>
      </c>
      <c r="K847" s="369">
        <f t="shared" si="302"/>
        <v>0</v>
      </c>
      <c r="L847" s="369">
        <f t="shared" si="302"/>
        <v>0</v>
      </c>
      <c r="M847" s="369">
        <f t="shared" si="302"/>
        <v>0</v>
      </c>
      <c r="N847" s="369">
        <f t="shared" si="302"/>
        <v>0</v>
      </c>
      <c r="O847" s="369">
        <f t="shared" si="302"/>
        <v>0</v>
      </c>
      <c r="P847" s="369">
        <f t="shared" si="302"/>
        <v>0</v>
      </c>
      <c r="Q847" s="369">
        <f t="shared" si="302"/>
        <v>0</v>
      </c>
      <c r="R847" s="369">
        <f t="shared" si="302"/>
        <v>0</v>
      </c>
      <c r="S847" s="369">
        <f t="shared" si="302"/>
        <v>0</v>
      </c>
      <c r="T847" s="16"/>
      <c r="U847" s="97">
        <f t="shared" si="303"/>
        <v>0</v>
      </c>
      <c r="V847" s="64"/>
      <c r="W847" s="643">
        <f t="shared" si="304"/>
        <v>0</v>
      </c>
    </row>
    <row r="848" spans="1:23" ht="15" x14ac:dyDescent="0.2">
      <c r="A848" s="45"/>
      <c r="B848" s="16">
        <f t="shared" si="300"/>
        <v>7</v>
      </c>
      <c r="C848" s="1" t="s">
        <v>180</v>
      </c>
      <c r="D848" s="1" t="s">
        <v>181</v>
      </c>
      <c r="E848" s="16"/>
      <c r="F848" s="97">
        <f>' WP II-I-1.4'!I848</f>
        <v>0</v>
      </c>
      <c r="G848" s="16">
        <v>33</v>
      </c>
      <c r="H848" s="45" t="str">
        <f t="shared" si="301"/>
        <v>NCP LGT</v>
      </c>
      <c r="I848" s="16"/>
      <c r="J848" s="369">
        <f t="shared" si="302"/>
        <v>0</v>
      </c>
      <c r="K848" s="369">
        <f t="shared" si="302"/>
        <v>0</v>
      </c>
      <c r="L848" s="369">
        <f t="shared" si="302"/>
        <v>0</v>
      </c>
      <c r="M848" s="369">
        <f t="shared" si="302"/>
        <v>0</v>
      </c>
      <c r="N848" s="369">
        <f t="shared" si="302"/>
        <v>0</v>
      </c>
      <c r="O848" s="369">
        <f t="shared" si="302"/>
        <v>0</v>
      </c>
      <c r="P848" s="369">
        <f t="shared" si="302"/>
        <v>0</v>
      </c>
      <c r="Q848" s="369">
        <f t="shared" si="302"/>
        <v>0</v>
      </c>
      <c r="R848" s="369">
        <f t="shared" si="302"/>
        <v>0</v>
      </c>
      <c r="S848" s="369">
        <f t="shared" si="302"/>
        <v>0</v>
      </c>
      <c r="T848" s="16"/>
      <c r="U848" s="97">
        <f t="shared" si="303"/>
        <v>0</v>
      </c>
      <c r="V848" s="64"/>
      <c r="W848" s="643">
        <f t="shared" si="304"/>
        <v>0</v>
      </c>
    </row>
    <row r="849" spans="1:23" ht="15" x14ac:dyDescent="0.2">
      <c r="A849" s="45"/>
      <c r="B849" s="16">
        <f t="shared" si="300"/>
        <v>8</v>
      </c>
      <c r="C849" s="1" t="s">
        <v>182</v>
      </c>
      <c r="D849" s="1" t="s">
        <v>183</v>
      </c>
      <c r="E849" s="16"/>
      <c r="F849" s="97">
        <f>' WP II-I-1.4'!I849</f>
        <v>0</v>
      </c>
      <c r="G849" s="16">
        <v>6</v>
      </c>
      <c r="H849" s="45" t="str">
        <f t="shared" si="301"/>
        <v>CUS W ALL</v>
      </c>
      <c r="I849" s="16"/>
      <c r="J849" s="369">
        <f t="shared" si="302"/>
        <v>0</v>
      </c>
      <c r="K849" s="369">
        <f t="shared" si="302"/>
        <v>0</v>
      </c>
      <c r="L849" s="369">
        <f t="shared" si="302"/>
        <v>0</v>
      </c>
      <c r="M849" s="369">
        <f t="shared" si="302"/>
        <v>0</v>
      </c>
      <c r="N849" s="369">
        <f t="shared" si="302"/>
        <v>0</v>
      </c>
      <c r="O849" s="369">
        <f t="shared" si="302"/>
        <v>0</v>
      </c>
      <c r="P849" s="369">
        <f t="shared" si="302"/>
        <v>0</v>
      </c>
      <c r="Q849" s="369">
        <f t="shared" si="302"/>
        <v>0</v>
      </c>
      <c r="R849" s="369">
        <f t="shared" si="302"/>
        <v>0</v>
      </c>
      <c r="S849" s="369">
        <f t="shared" si="302"/>
        <v>0</v>
      </c>
      <c r="T849" s="16"/>
      <c r="U849" s="97">
        <f t="shared" si="303"/>
        <v>0</v>
      </c>
      <c r="V849" s="64"/>
      <c r="W849" s="643">
        <f t="shared" si="304"/>
        <v>0</v>
      </c>
    </row>
    <row r="850" spans="1:23" ht="15" x14ac:dyDescent="0.2">
      <c r="A850" s="45"/>
      <c r="B850" s="16">
        <f t="shared" si="300"/>
        <v>9</v>
      </c>
      <c r="C850" s="1" t="s">
        <v>184</v>
      </c>
      <c r="D850" s="1" t="s">
        <v>185</v>
      </c>
      <c r="E850" s="16"/>
      <c r="F850" s="97">
        <f>' WP II-I-1.4'!I850</f>
        <v>0</v>
      </c>
      <c r="G850" s="16">
        <v>8</v>
      </c>
      <c r="H850" s="45" t="str">
        <f t="shared" si="301"/>
        <v>CUS W RTL</v>
      </c>
      <c r="I850" s="16"/>
      <c r="J850" s="369">
        <f t="shared" si="302"/>
        <v>0</v>
      </c>
      <c r="K850" s="369">
        <f t="shared" si="302"/>
        <v>0</v>
      </c>
      <c r="L850" s="369">
        <f t="shared" si="302"/>
        <v>0</v>
      </c>
      <c r="M850" s="369">
        <f t="shared" si="302"/>
        <v>0</v>
      </c>
      <c r="N850" s="369">
        <f t="shared" si="302"/>
        <v>0</v>
      </c>
      <c r="O850" s="369">
        <f t="shared" si="302"/>
        <v>0</v>
      </c>
      <c r="P850" s="369">
        <f t="shared" si="302"/>
        <v>0</v>
      </c>
      <c r="Q850" s="369">
        <f t="shared" si="302"/>
        <v>0</v>
      </c>
      <c r="R850" s="369">
        <f t="shared" si="302"/>
        <v>0</v>
      </c>
      <c r="S850" s="369">
        <f t="shared" si="302"/>
        <v>0</v>
      </c>
      <c r="T850" s="16"/>
      <c r="U850" s="97">
        <f t="shared" si="303"/>
        <v>0</v>
      </c>
      <c r="V850" s="64"/>
      <c r="W850" s="643">
        <f t="shared" si="304"/>
        <v>0</v>
      </c>
    </row>
    <row r="851" spans="1:23" ht="15" x14ac:dyDescent="0.2">
      <c r="A851" s="45"/>
      <c r="B851" s="16">
        <f t="shared" si="300"/>
        <v>10</v>
      </c>
      <c r="C851" s="1" t="s">
        <v>186</v>
      </c>
      <c r="D851" s="1" t="s">
        <v>187</v>
      </c>
      <c r="E851" s="16"/>
      <c r="F851" s="97">
        <f>' WP II-I-1.4'!I851</f>
        <v>56400.22</v>
      </c>
      <c r="G851" s="16">
        <v>71</v>
      </c>
      <c r="H851" s="45" t="str">
        <f t="shared" si="301"/>
        <v>DIST OPS</v>
      </c>
      <c r="I851" s="16"/>
      <c r="J851" s="369">
        <f t="shared" si="302"/>
        <v>0</v>
      </c>
      <c r="K851" s="369">
        <f t="shared" si="302"/>
        <v>0</v>
      </c>
      <c r="L851" s="369">
        <f t="shared" si="302"/>
        <v>0</v>
      </c>
      <c r="M851" s="369">
        <f t="shared" si="302"/>
        <v>0</v>
      </c>
      <c r="N851" s="369">
        <f t="shared" si="302"/>
        <v>0</v>
      </c>
      <c r="O851" s="369">
        <f t="shared" si="302"/>
        <v>0</v>
      </c>
      <c r="P851" s="369">
        <f t="shared" si="302"/>
        <v>0</v>
      </c>
      <c r="Q851" s="369">
        <f t="shared" si="302"/>
        <v>56400.22</v>
      </c>
      <c r="R851" s="369">
        <f t="shared" si="302"/>
        <v>0</v>
      </c>
      <c r="S851" s="369">
        <f t="shared" si="302"/>
        <v>0</v>
      </c>
      <c r="T851" s="16"/>
      <c r="U851" s="97">
        <f t="shared" si="303"/>
        <v>56400.22</v>
      </c>
      <c r="V851" s="64"/>
      <c r="W851" s="643">
        <f t="shared" si="304"/>
        <v>0</v>
      </c>
    </row>
    <row r="852" spans="1:23" ht="15" x14ac:dyDescent="0.2">
      <c r="A852" s="45"/>
      <c r="B852" s="16">
        <f t="shared" si="300"/>
        <v>11</v>
      </c>
      <c r="C852" s="1" t="s">
        <v>188</v>
      </c>
      <c r="D852" s="1" t="s">
        <v>189</v>
      </c>
      <c r="E852" s="16"/>
      <c r="F852" s="97">
        <f>' WP II-I-1.4'!I852</f>
        <v>0</v>
      </c>
      <c r="G852" s="16">
        <v>28</v>
      </c>
      <c r="H852" s="45" t="str">
        <f t="shared" si="301"/>
        <v>NCP XHV</v>
      </c>
      <c r="I852" s="16"/>
      <c r="J852" s="370">
        <f t="shared" si="302"/>
        <v>0</v>
      </c>
      <c r="K852" s="370">
        <f t="shared" si="302"/>
        <v>0</v>
      </c>
      <c r="L852" s="370">
        <f t="shared" si="302"/>
        <v>0</v>
      </c>
      <c r="M852" s="370">
        <f t="shared" si="302"/>
        <v>0</v>
      </c>
      <c r="N852" s="370">
        <f t="shared" si="302"/>
        <v>0</v>
      </c>
      <c r="O852" s="370">
        <f t="shared" si="302"/>
        <v>0</v>
      </c>
      <c r="P852" s="370">
        <f t="shared" si="302"/>
        <v>0</v>
      </c>
      <c r="Q852" s="370">
        <f t="shared" si="302"/>
        <v>0</v>
      </c>
      <c r="R852" s="370">
        <f t="shared" si="302"/>
        <v>0</v>
      </c>
      <c r="S852" s="370">
        <f t="shared" si="302"/>
        <v>0</v>
      </c>
      <c r="T852" s="16"/>
      <c r="U852" s="97">
        <f t="shared" si="303"/>
        <v>0</v>
      </c>
      <c r="V852" s="64"/>
      <c r="W852" s="643">
        <f t="shared" si="304"/>
        <v>0</v>
      </c>
    </row>
    <row r="853" spans="1:23" ht="15.75" x14ac:dyDescent="0.25">
      <c r="A853" s="45"/>
      <c r="B853" s="16">
        <f t="shared" si="300"/>
        <v>12</v>
      </c>
      <c r="C853" s="8"/>
      <c r="D853" s="24" t="s">
        <v>615</v>
      </c>
      <c r="E853" s="19"/>
      <c r="F853" s="21">
        <f>SUM(F844:F852)</f>
        <v>56400.22</v>
      </c>
      <c r="G853" s="19"/>
      <c r="H853" s="19"/>
      <c r="I853" s="913"/>
      <c r="J853" s="805">
        <f t="shared" ref="J853:Q853" si="305">SUM(J844:J852)</f>
        <v>0</v>
      </c>
      <c r="K853" s="805">
        <f t="shared" si="305"/>
        <v>0</v>
      </c>
      <c r="L853" s="805">
        <f t="shared" si="305"/>
        <v>0</v>
      </c>
      <c r="M853" s="805">
        <f t="shared" si="305"/>
        <v>0</v>
      </c>
      <c r="N853" s="805">
        <f t="shared" si="305"/>
        <v>0</v>
      </c>
      <c r="O853" s="805">
        <f>SUM(O844:O852)</f>
        <v>0</v>
      </c>
      <c r="P853" s="805">
        <f t="shared" si="305"/>
        <v>0</v>
      </c>
      <c r="Q853" s="805">
        <f t="shared" si="305"/>
        <v>56400.22</v>
      </c>
      <c r="R853" s="805">
        <f>SUM(R844:R852)</f>
        <v>0</v>
      </c>
      <c r="S853" s="805">
        <f>SUM(S844:S852)</f>
        <v>0</v>
      </c>
      <c r="T853" s="913"/>
      <c r="U853" s="235">
        <f t="shared" si="303"/>
        <v>56400.22</v>
      </c>
      <c r="V853" s="64"/>
      <c r="W853" s="643">
        <f t="shared" si="304"/>
        <v>0</v>
      </c>
    </row>
    <row r="854" spans="1:23" ht="15.75" x14ac:dyDescent="0.25">
      <c r="A854" s="45"/>
      <c r="B854" s="16">
        <f t="shared" si="300"/>
        <v>13</v>
      </c>
      <c r="C854" s="1"/>
      <c r="D854" s="301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"/>
      <c r="V854" s="64"/>
      <c r="W854" s="643">
        <f t="shared" si="304"/>
        <v>0</v>
      </c>
    </row>
    <row r="855" spans="1:23" ht="15" x14ac:dyDescent="0.2">
      <c r="A855" s="45"/>
      <c r="B855" s="16">
        <f t="shared" si="300"/>
        <v>14</v>
      </c>
      <c r="C855" s="1" t="s">
        <v>174</v>
      </c>
      <c r="D855" s="29" t="s">
        <v>145</v>
      </c>
      <c r="E855" s="16"/>
      <c r="F855" s="97">
        <f>' WP II-I-1.4'!$I$855</f>
        <v>39833.15</v>
      </c>
      <c r="G855" s="16">
        <v>82</v>
      </c>
      <c r="H855" s="45" t="str">
        <f>VLOOKUP(G855,FactorTable,2)</f>
        <v>PAY DISTR OPS</v>
      </c>
      <c r="I855" s="16"/>
      <c r="J855" s="369">
        <f t="shared" ref="J855:S855" si="306">$F855*HLOOKUP(J$1354,FactorTable,$G855+1)</f>
        <v>0</v>
      </c>
      <c r="K855" s="369">
        <f t="shared" si="306"/>
        <v>0</v>
      </c>
      <c r="L855" s="369">
        <f t="shared" si="306"/>
        <v>0</v>
      </c>
      <c r="M855" s="369">
        <f t="shared" si="306"/>
        <v>0</v>
      </c>
      <c r="N855" s="369">
        <f t="shared" si="306"/>
        <v>0</v>
      </c>
      <c r="O855" s="369">
        <f t="shared" si="306"/>
        <v>0</v>
      </c>
      <c r="P855" s="369">
        <f t="shared" si="306"/>
        <v>0</v>
      </c>
      <c r="Q855" s="369">
        <f t="shared" si="306"/>
        <v>39833.15</v>
      </c>
      <c r="R855" s="369">
        <f t="shared" si="306"/>
        <v>0</v>
      </c>
      <c r="S855" s="369">
        <f t="shared" si="306"/>
        <v>0</v>
      </c>
      <c r="T855" s="16"/>
      <c r="U855" s="97">
        <f>SUM(I855:T855)</f>
        <v>39833.15</v>
      </c>
      <c r="V855" s="64"/>
      <c r="W855" s="643">
        <f t="shared" si="304"/>
        <v>0</v>
      </c>
    </row>
    <row r="856" spans="1:23" ht="6.95" customHeight="1" x14ac:dyDescent="0.25">
      <c r="A856" s="45"/>
      <c r="B856" s="16">
        <f t="shared" si="300"/>
        <v>15</v>
      </c>
      <c r="C856" s="1"/>
      <c r="D856" s="301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"/>
      <c r="V856" s="64"/>
      <c r="W856" s="643">
        <f t="shared" si="304"/>
        <v>0</v>
      </c>
    </row>
    <row r="857" spans="1:23" ht="15.75" x14ac:dyDescent="0.25">
      <c r="A857" s="45"/>
      <c r="B857" s="16">
        <f t="shared" si="300"/>
        <v>16</v>
      </c>
      <c r="C857" s="1"/>
      <c r="D857" s="301" t="s">
        <v>616</v>
      </c>
      <c r="E857" s="19" t="s">
        <v>262</v>
      </c>
      <c r="F857" s="21">
        <f>F853+F855</f>
        <v>96233.37</v>
      </c>
      <c r="G857" s="19"/>
      <c r="H857" s="19"/>
      <c r="I857" s="913"/>
      <c r="J857" s="805">
        <f t="shared" ref="J857:Q857" si="307">J853+J855</f>
        <v>0</v>
      </c>
      <c r="K857" s="805">
        <f t="shared" si="307"/>
        <v>0</v>
      </c>
      <c r="L857" s="805">
        <f t="shared" si="307"/>
        <v>0</v>
      </c>
      <c r="M857" s="805">
        <f t="shared" si="307"/>
        <v>0</v>
      </c>
      <c r="N857" s="805">
        <f t="shared" si="307"/>
        <v>0</v>
      </c>
      <c r="O857" s="805">
        <f>O853+O855</f>
        <v>0</v>
      </c>
      <c r="P857" s="805">
        <f t="shared" si="307"/>
        <v>0</v>
      </c>
      <c r="Q857" s="805">
        <f t="shared" si="307"/>
        <v>96233.37</v>
      </c>
      <c r="R857" s="805">
        <f>R853+R855</f>
        <v>0</v>
      </c>
      <c r="S857" s="805">
        <f>S853+S855</f>
        <v>0</v>
      </c>
      <c r="T857" s="913"/>
      <c r="U857" s="235">
        <f>SUM(I857:T857)</f>
        <v>96233.37</v>
      </c>
      <c r="V857" s="64"/>
      <c r="W857" s="643">
        <f t="shared" si="304"/>
        <v>0</v>
      </c>
    </row>
    <row r="858" spans="1:23" ht="9.9499999999999993" customHeight="1" x14ac:dyDescent="0.25">
      <c r="A858" s="45"/>
      <c r="B858" s="16">
        <f t="shared" si="300"/>
        <v>17</v>
      </c>
      <c r="C858" s="1"/>
      <c r="D858" s="301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"/>
      <c r="V858" s="64"/>
      <c r="W858" s="643">
        <f t="shared" si="304"/>
        <v>0</v>
      </c>
    </row>
    <row r="859" spans="1:23" ht="15.75" x14ac:dyDescent="0.25">
      <c r="A859" s="45"/>
      <c r="B859" s="16">
        <f t="shared" si="300"/>
        <v>18</v>
      </c>
      <c r="C859" s="8"/>
      <c r="D859" s="301" t="s">
        <v>611</v>
      </c>
      <c r="E859" s="19" t="s">
        <v>262</v>
      </c>
      <c r="F859" s="21"/>
      <c r="G859" s="19"/>
      <c r="H859" s="19"/>
      <c r="I859" s="913"/>
      <c r="J859" s="961"/>
      <c r="K859" s="961"/>
      <c r="L859" s="961"/>
      <c r="M859" s="961"/>
      <c r="N859" s="961"/>
      <c r="O859" s="961"/>
      <c r="P859" s="961"/>
      <c r="Q859" s="961"/>
      <c r="R859" s="961"/>
      <c r="S859" s="961"/>
      <c r="T859" s="913"/>
      <c r="U859" s="8"/>
      <c r="V859" s="64"/>
      <c r="W859" s="643">
        <f t="shared" si="304"/>
        <v>0</v>
      </c>
    </row>
    <row r="860" spans="1:23" ht="15" x14ac:dyDescent="0.2">
      <c r="A860" s="45"/>
      <c r="B860" s="16">
        <f t="shared" si="300"/>
        <v>19</v>
      </c>
      <c r="C860" s="1" t="s">
        <v>192</v>
      </c>
      <c r="D860" s="1" t="s">
        <v>164</v>
      </c>
      <c r="E860" s="16"/>
      <c r="F860" s="97">
        <f>' WP II-I-1.4'!I860</f>
        <v>0</v>
      </c>
      <c r="G860" s="16">
        <v>43</v>
      </c>
      <c r="H860" s="45" t="str">
        <f t="shared" ref="H860:H867" si="308">VLOOKUP(G860,FactorTable,2)</f>
        <v>PLT 361</v>
      </c>
      <c r="I860" s="16"/>
      <c r="J860" s="369">
        <f t="shared" ref="J860:S867" ca="1" si="309">$F860*HLOOKUP(J$1354,FactorTable,$G860+1)</f>
        <v>0</v>
      </c>
      <c r="K860" s="369">
        <f t="shared" ca="1" si="309"/>
        <v>0</v>
      </c>
      <c r="L860" s="369">
        <f t="shared" ca="1" si="309"/>
        <v>0</v>
      </c>
      <c r="M860" s="369">
        <f t="shared" ca="1" si="309"/>
        <v>0</v>
      </c>
      <c r="N860" s="369">
        <f t="shared" ca="1" si="309"/>
        <v>0</v>
      </c>
      <c r="O860" s="369">
        <f t="shared" ca="1" si="309"/>
        <v>0</v>
      </c>
      <c r="P860" s="369">
        <f t="shared" ca="1" si="309"/>
        <v>0</v>
      </c>
      <c r="Q860" s="369">
        <f t="shared" ca="1" si="309"/>
        <v>0</v>
      </c>
      <c r="R860" s="369">
        <f t="shared" ca="1" si="309"/>
        <v>0</v>
      </c>
      <c r="S860" s="369">
        <f t="shared" ca="1" si="309"/>
        <v>0</v>
      </c>
      <c r="T860" s="16"/>
      <c r="U860" s="97">
        <f t="shared" ref="U860:U868" ca="1" si="310">SUM(I860:T860)</f>
        <v>0</v>
      </c>
      <c r="V860" s="64"/>
      <c r="W860" s="643">
        <f t="shared" ca="1" si="304"/>
        <v>0</v>
      </c>
    </row>
    <row r="861" spans="1:23" ht="15" x14ac:dyDescent="0.2">
      <c r="A861" s="45"/>
      <c r="B861" s="16">
        <f t="shared" si="300"/>
        <v>20</v>
      </c>
      <c r="C861" s="1" t="s">
        <v>193</v>
      </c>
      <c r="D861" s="29" t="s">
        <v>166</v>
      </c>
      <c r="E861" s="16"/>
      <c r="F861" s="97">
        <f>' WP II-I-1.4'!I861</f>
        <v>0</v>
      </c>
      <c r="G861" s="16">
        <v>44</v>
      </c>
      <c r="H861" s="45" t="str">
        <f t="shared" si="308"/>
        <v>PLT 362</v>
      </c>
      <c r="I861" s="16"/>
      <c r="J861" s="369">
        <f t="shared" si="309"/>
        <v>0</v>
      </c>
      <c r="K861" s="369">
        <f t="shared" si="309"/>
        <v>0</v>
      </c>
      <c r="L861" s="369">
        <f t="shared" si="309"/>
        <v>0</v>
      </c>
      <c r="M861" s="369">
        <f t="shared" si="309"/>
        <v>0</v>
      </c>
      <c r="N861" s="369">
        <f t="shared" si="309"/>
        <v>0</v>
      </c>
      <c r="O861" s="369">
        <f t="shared" si="309"/>
        <v>0</v>
      </c>
      <c r="P861" s="369">
        <f t="shared" si="309"/>
        <v>0</v>
      </c>
      <c r="Q861" s="369">
        <f t="shared" si="309"/>
        <v>0</v>
      </c>
      <c r="R861" s="369">
        <f t="shared" si="309"/>
        <v>0</v>
      </c>
      <c r="S861" s="369">
        <f t="shared" si="309"/>
        <v>0</v>
      </c>
      <c r="T861" s="16"/>
      <c r="U861" s="97">
        <f t="shared" si="310"/>
        <v>0</v>
      </c>
      <c r="V861" s="64"/>
      <c r="W861" s="643">
        <f t="shared" si="304"/>
        <v>0</v>
      </c>
    </row>
    <row r="862" spans="1:23" ht="15" x14ac:dyDescent="0.2">
      <c r="A862" s="45"/>
      <c r="B862" s="16">
        <f t="shared" si="300"/>
        <v>21</v>
      </c>
      <c r="C862" s="1" t="s">
        <v>194</v>
      </c>
      <c r="D862" s="1" t="s">
        <v>168</v>
      </c>
      <c r="E862" s="16"/>
      <c r="F862" s="97">
        <f>' WP II-I-1.4'!I862</f>
        <v>0</v>
      </c>
      <c r="G862" s="16">
        <v>52</v>
      </c>
      <c r="H862" s="45" t="str">
        <f t="shared" si="308"/>
        <v>PLT OH</v>
      </c>
      <c r="I862" s="16"/>
      <c r="J862" s="369">
        <f t="shared" si="309"/>
        <v>0</v>
      </c>
      <c r="K862" s="369">
        <f t="shared" si="309"/>
        <v>0</v>
      </c>
      <c r="L862" s="369">
        <f t="shared" si="309"/>
        <v>0</v>
      </c>
      <c r="M862" s="369">
        <f t="shared" si="309"/>
        <v>0</v>
      </c>
      <c r="N862" s="369">
        <f t="shared" si="309"/>
        <v>0</v>
      </c>
      <c r="O862" s="369">
        <f t="shared" si="309"/>
        <v>0</v>
      </c>
      <c r="P862" s="369">
        <f t="shared" si="309"/>
        <v>0</v>
      </c>
      <c r="Q862" s="369">
        <f t="shared" si="309"/>
        <v>0</v>
      </c>
      <c r="R862" s="369">
        <f t="shared" si="309"/>
        <v>0</v>
      </c>
      <c r="S862" s="369">
        <f t="shared" si="309"/>
        <v>0</v>
      </c>
      <c r="T862" s="16"/>
      <c r="U862" s="97">
        <f t="shared" si="310"/>
        <v>0</v>
      </c>
      <c r="V862" s="64"/>
      <c r="W862" s="643">
        <f t="shared" si="304"/>
        <v>0</v>
      </c>
    </row>
    <row r="863" spans="1:23" ht="15" x14ac:dyDescent="0.2">
      <c r="A863" s="45"/>
      <c r="B863" s="16">
        <f t="shared" si="300"/>
        <v>22</v>
      </c>
      <c r="C863" s="1" t="s">
        <v>195</v>
      </c>
      <c r="D863" s="1" t="s">
        <v>170</v>
      </c>
      <c r="E863" s="16"/>
      <c r="F863" s="97">
        <f>' WP II-I-1.4'!I863</f>
        <v>0</v>
      </c>
      <c r="G863" s="16">
        <v>53</v>
      </c>
      <c r="H863" s="45" t="str">
        <f t="shared" si="308"/>
        <v>PLT UG</v>
      </c>
      <c r="I863" s="16"/>
      <c r="J863" s="369">
        <f t="shared" si="309"/>
        <v>0</v>
      </c>
      <c r="K863" s="369">
        <f t="shared" si="309"/>
        <v>0</v>
      </c>
      <c r="L863" s="369">
        <f t="shared" si="309"/>
        <v>0</v>
      </c>
      <c r="M863" s="369">
        <f t="shared" si="309"/>
        <v>0</v>
      </c>
      <c r="N863" s="369">
        <f t="shared" si="309"/>
        <v>0</v>
      </c>
      <c r="O863" s="369">
        <f t="shared" si="309"/>
        <v>0</v>
      </c>
      <c r="P863" s="369">
        <f t="shared" si="309"/>
        <v>0</v>
      </c>
      <c r="Q863" s="369">
        <f t="shared" si="309"/>
        <v>0</v>
      </c>
      <c r="R863" s="369">
        <f t="shared" si="309"/>
        <v>0</v>
      </c>
      <c r="S863" s="369">
        <f t="shared" si="309"/>
        <v>0</v>
      </c>
      <c r="T863" s="16"/>
      <c r="U863" s="97">
        <f t="shared" si="310"/>
        <v>0</v>
      </c>
      <c r="V863" s="64"/>
      <c r="W863" s="643">
        <f t="shared" si="304"/>
        <v>0</v>
      </c>
    </row>
    <row r="864" spans="1:23" ht="15" x14ac:dyDescent="0.2">
      <c r="A864" s="45"/>
      <c r="B864" s="16">
        <f t="shared" si="300"/>
        <v>23</v>
      </c>
      <c r="C864" s="1" t="s">
        <v>196</v>
      </c>
      <c r="D864" s="1" t="s">
        <v>197</v>
      </c>
      <c r="E864" s="16"/>
      <c r="F864" s="97">
        <f>' WP II-I-1.4'!I864</f>
        <v>0</v>
      </c>
      <c r="G864" s="16">
        <v>49</v>
      </c>
      <c r="H864" s="45" t="str">
        <f t="shared" si="308"/>
        <v>PLT 368</v>
      </c>
      <c r="I864" s="16"/>
      <c r="J864" s="369">
        <f t="shared" si="309"/>
        <v>0</v>
      </c>
      <c r="K864" s="369">
        <f t="shared" si="309"/>
        <v>0</v>
      </c>
      <c r="L864" s="369">
        <f t="shared" si="309"/>
        <v>0</v>
      </c>
      <c r="M864" s="369">
        <f t="shared" si="309"/>
        <v>0</v>
      </c>
      <c r="N864" s="369">
        <f t="shared" si="309"/>
        <v>0</v>
      </c>
      <c r="O864" s="369">
        <f t="shared" si="309"/>
        <v>0</v>
      </c>
      <c r="P864" s="369">
        <f t="shared" si="309"/>
        <v>0</v>
      </c>
      <c r="Q864" s="369">
        <f t="shared" si="309"/>
        <v>0</v>
      </c>
      <c r="R864" s="369">
        <f t="shared" si="309"/>
        <v>0</v>
      </c>
      <c r="S864" s="369">
        <f t="shared" si="309"/>
        <v>0</v>
      </c>
      <c r="T864" s="16"/>
      <c r="U864" s="97">
        <f t="shared" si="310"/>
        <v>0</v>
      </c>
      <c r="V864" s="64"/>
      <c r="W864" s="643">
        <f t="shared" si="304"/>
        <v>0</v>
      </c>
    </row>
    <row r="865" spans="1:23" ht="15" x14ac:dyDescent="0.2">
      <c r="A865" s="45"/>
      <c r="B865" s="16">
        <f t="shared" si="300"/>
        <v>24</v>
      </c>
      <c r="C865" s="1" t="s">
        <v>198</v>
      </c>
      <c r="D865" s="1" t="s">
        <v>199</v>
      </c>
      <c r="E865" s="16"/>
      <c r="F865" s="97">
        <f>' WP II-I-1.4'!I865</f>
        <v>0</v>
      </c>
      <c r="G865" s="16">
        <v>33</v>
      </c>
      <c r="H865" s="45" t="str">
        <f t="shared" si="308"/>
        <v>NCP LGT</v>
      </c>
      <c r="I865" s="16"/>
      <c r="J865" s="369">
        <f t="shared" si="309"/>
        <v>0</v>
      </c>
      <c r="K865" s="369">
        <f t="shared" si="309"/>
        <v>0</v>
      </c>
      <c r="L865" s="369">
        <f t="shared" si="309"/>
        <v>0</v>
      </c>
      <c r="M865" s="369">
        <f t="shared" si="309"/>
        <v>0</v>
      </c>
      <c r="N865" s="369">
        <f t="shared" si="309"/>
        <v>0</v>
      </c>
      <c r="O865" s="369">
        <f t="shared" si="309"/>
        <v>0</v>
      </c>
      <c r="P865" s="369">
        <f t="shared" si="309"/>
        <v>0</v>
      </c>
      <c r="Q865" s="369">
        <f t="shared" si="309"/>
        <v>0</v>
      </c>
      <c r="R865" s="369">
        <f t="shared" si="309"/>
        <v>0</v>
      </c>
      <c r="S865" s="369">
        <f t="shared" si="309"/>
        <v>0</v>
      </c>
      <c r="T865" s="16"/>
      <c r="U865" s="97">
        <f t="shared" si="310"/>
        <v>0</v>
      </c>
      <c r="V865" s="64"/>
      <c r="W865" s="643">
        <f t="shared" si="304"/>
        <v>0</v>
      </c>
    </row>
    <row r="866" spans="1:23" ht="15" x14ac:dyDescent="0.2">
      <c r="A866" s="45"/>
      <c r="B866" s="16">
        <f t="shared" si="300"/>
        <v>25</v>
      </c>
      <c r="C866" s="1" t="s">
        <v>200</v>
      </c>
      <c r="D866" s="1" t="s">
        <v>201</v>
      </c>
      <c r="E866" s="16"/>
      <c r="F866" s="97">
        <f>' WP II-I-1.4'!I866</f>
        <v>0</v>
      </c>
      <c r="G866" s="16">
        <v>6</v>
      </c>
      <c r="H866" s="45" t="str">
        <f t="shared" si="308"/>
        <v>CUS W ALL</v>
      </c>
      <c r="I866" s="16"/>
      <c r="J866" s="369">
        <f t="shared" si="309"/>
        <v>0</v>
      </c>
      <c r="K866" s="369">
        <f t="shared" si="309"/>
        <v>0</v>
      </c>
      <c r="L866" s="369">
        <f t="shared" si="309"/>
        <v>0</v>
      </c>
      <c r="M866" s="369">
        <f t="shared" si="309"/>
        <v>0</v>
      </c>
      <c r="N866" s="369">
        <f t="shared" si="309"/>
        <v>0</v>
      </c>
      <c r="O866" s="369">
        <f t="shared" si="309"/>
        <v>0</v>
      </c>
      <c r="P866" s="369">
        <f t="shared" si="309"/>
        <v>0</v>
      </c>
      <c r="Q866" s="369">
        <f t="shared" si="309"/>
        <v>0</v>
      </c>
      <c r="R866" s="369">
        <f t="shared" si="309"/>
        <v>0</v>
      </c>
      <c r="S866" s="369">
        <f t="shared" si="309"/>
        <v>0</v>
      </c>
      <c r="T866" s="16"/>
      <c r="U866" s="97">
        <f t="shared" si="310"/>
        <v>0</v>
      </c>
      <c r="V866" s="64"/>
      <c r="W866" s="643">
        <f t="shared" si="304"/>
        <v>0</v>
      </c>
    </row>
    <row r="867" spans="1:23" ht="15" x14ac:dyDescent="0.2">
      <c r="A867" s="45"/>
      <c r="B867" s="16">
        <f t="shared" si="300"/>
        <v>26</v>
      </c>
      <c r="C867" s="1" t="s">
        <v>202</v>
      </c>
      <c r="D867" s="1" t="s">
        <v>203</v>
      </c>
      <c r="E867" s="16"/>
      <c r="F867" s="97">
        <f>' WP II-I-1.4'!I867</f>
        <v>0</v>
      </c>
      <c r="G867" s="16">
        <v>72</v>
      </c>
      <c r="H867" s="45" t="str">
        <f t="shared" si="308"/>
        <v>DIST MAINT</v>
      </c>
      <c r="I867" s="16"/>
      <c r="J867" s="370">
        <f t="shared" ca="1" si="309"/>
        <v>0</v>
      </c>
      <c r="K867" s="370">
        <f t="shared" ca="1" si="309"/>
        <v>0</v>
      </c>
      <c r="L867" s="370">
        <f t="shared" ca="1" si="309"/>
        <v>0</v>
      </c>
      <c r="M867" s="370">
        <f t="shared" ca="1" si="309"/>
        <v>0</v>
      </c>
      <c r="N867" s="370">
        <f t="shared" ca="1" si="309"/>
        <v>0</v>
      </c>
      <c r="O867" s="370">
        <f t="shared" ca="1" si="309"/>
        <v>0</v>
      </c>
      <c r="P867" s="370">
        <f t="shared" ca="1" si="309"/>
        <v>0</v>
      </c>
      <c r="Q867" s="370">
        <f t="shared" ca="1" si="309"/>
        <v>0</v>
      </c>
      <c r="R867" s="370">
        <f t="shared" ca="1" si="309"/>
        <v>0</v>
      </c>
      <c r="S867" s="370">
        <f t="shared" ca="1" si="309"/>
        <v>0</v>
      </c>
      <c r="T867" s="16"/>
      <c r="U867" s="97">
        <f t="shared" ca="1" si="310"/>
        <v>0</v>
      </c>
      <c r="V867" s="64"/>
      <c r="W867" s="643">
        <f t="shared" ca="1" si="304"/>
        <v>0</v>
      </c>
    </row>
    <row r="868" spans="1:23" ht="15.75" x14ac:dyDescent="0.25">
      <c r="A868" s="45"/>
      <c r="B868" s="16">
        <f t="shared" si="300"/>
        <v>27</v>
      </c>
      <c r="C868" s="8"/>
      <c r="D868" s="24" t="s">
        <v>617</v>
      </c>
      <c r="E868" s="19"/>
      <c r="F868" s="21">
        <f>SUM(F860:F867)</f>
        <v>0</v>
      </c>
      <c r="G868" s="19"/>
      <c r="H868" s="19"/>
      <c r="I868" s="913"/>
      <c r="J868" s="805">
        <f t="shared" ref="J868:Q868" ca="1" si="311">SUM(J860:J867)</f>
        <v>0</v>
      </c>
      <c r="K868" s="805">
        <f t="shared" ca="1" si="311"/>
        <v>0</v>
      </c>
      <c r="L868" s="805">
        <f t="shared" ca="1" si="311"/>
        <v>0</v>
      </c>
      <c r="M868" s="805">
        <f t="shared" ca="1" si="311"/>
        <v>0</v>
      </c>
      <c r="N868" s="805">
        <f t="shared" ca="1" si="311"/>
        <v>0</v>
      </c>
      <c r="O868" s="805">
        <f ca="1">SUM(O860:O867)</f>
        <v>0</v>
      </c>
      <c r="P868" s="805">
        <f t="shared" ca="1" si="311"/>
        <v>0</v>
      </c>
      <c r="Q868" s="805">
        <f t="shared" ca="1" si="311"/>
        <v>0</v>
      </c>
      <c r="R868" s="805">
        <f ca="1">SUM(R860:R867)</f>
        <v>0</v>
      </c>
      <c r="S868" s="805">
        <f ca="1">SUM(S860:S867)</f>
        <v>0</v>
      </c>
      <c r="T868" s="913"/>
      <c r="U868" s="235">
        <f t="shared" ca="1" si="310"/>
        <v>0</v>
      </c>
      <c r="V868" s="64"/>
      <c r="W868" s="643">
        <f t="shared" ca="1" si="304"/>
        <v>0</v>
      </c>
    </row>
    <row r="869" spans="1:23" ht="15.75" x14ac:dyDescent="0.25">
      <c r="A869" s="45"/>
      <c r="B869" s="16">
        <f t="shared" si="300"/>
        <v>28</v>
      </c>
      <c r="C869" s="1"/>
      <c r="D869" s="301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"/>
      <c r="V869" s="64"/>
      <c r="W869" s="643">
        <f t="shared" si="304"/>
        <v>0</v>
      </c>
    </row>
    <row r="870" spans="1:23" ht="15" x14ac:dyDescent="0.2">
      <c r="A870" s="45"/>
      <c r="B870" s="16">
        <f t="shared" si="300"/>
        <v>29</v>
      </c>
      <c r="C870" s="1" t="s">
        <v>191</v>
      </c>
      <c r="D870" s="29" t="s">
        <v>162</v>
      </c>
      <c r="E870" s="16"/>
      <c r="F870" s="97">
        <f>' WP II-I-1.4'!$I$870</f>
        <v>0</v>
      </c>
      <c r="G870" s="16">
        <v>83</v>
      </c>
      <c r="H870" s="45" t="str">
        <f>VLOOKUP(G870,FactorTable,2)</f>
        <v>PAY DISTR MNT</v>
      </c>
      <c r="I870" s="16"/>
      <c r="J870" s="369">
        <f t="shared" ref="J870:S870" ca="1" si="312">$F870*HLOOKUP(J$1354,FactorTable,$G870+1)</f>
        <v>0</v>
      </c>
      <c r="K870" s="369">
        <f t="shared" ca="1" si="312"/>
        <v>0</v>
      </c>
      <c r="L870" s="369">
        <f t="shared" ca="1" si="312"/>
        <v>0</v>
      </c>
      <c r="M870" s="369">
        <f t="shared" ca="1" si="312"/>
        <v>0</v>
      </c>
      <c r="N870" s="369">
        <f t="shared" ca="1" si="312"/>
        <v>0</v>
      </c>
      <c r="O870" s="369">
        <f t="shared" ca="1" si="312"/>
        <v>0</v>
      </c>
      <c r="P870" s="369">
        <f t="shared" ca="1" si="312"/>
        <v>0</v>
      </c>
      <c r="Q870" s="369">
        <f t="shared" ca="1" si="312"/>
        <v>0</v>
      </c>
      <c r="R870" s="369">
        <f t="shared" ca="1" si="312"/>
        <v>0</v>
      </c>
      <c r="S870" s="369">
        <f t="shared" ca="1" si="312"/>
        <v>0</v>
      </c>
      <c r="T870" s="16"/>
      <c r="U870" s="97">
        <f ca="1">SUM(I870:T870)</f>
        <v>0</v>
      </c>
      <c r="V870" s="64"/>
      <c r="W870" s="643">
        <f t="shared" ca="1" si="304"/>
        <v>0</v>
      </c>
    </row>
    <row r="871" spans="1:23" ht="15.75" x14ac:dyDescent="0.25">
      <c r="A871" s="45"/>
      <c r="B871" s="16">
        <f t="shared" si="300"/>
        <v>30</v>
      </c>
      <c r="C871" s="1"/>
      <c r="D871" s="301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"/>
      <c r="V871" s="64"/>
      <c r="W871" s="643">
        <f t="shared" si="304"/>
        <v>0</v>
      </c>
    </row>
    <row r="872" spans="1:23" ht="15.75" x14ac:dyDescent="0.25">
      <c r="A872" s="45"/>
      <c r="B872" s="16">
        <f t="shared" si="300"/>
        <v>31</v>
      </c>
      <c r="C872" s="1"/>
      <c r="D872" s="301" t="s">
        <v>618</v>
      </c>
      <c r="E872" s="19" t="s">
        <v>262</v>
      </c>
      <c r="F872" s="21">
        <f>F868+F870</f>
        <v>0</v>
      </c>
      <c r="G872" s="19"/>
      <c r="H872" s="19"/>
      <c r="I872" s="19"/>
      <c r="J872" s="21">
        <f t="shared" ref="J872:Q872" ca="1" si="313">J868+J870</f>
        <v>0</v>
      </c>
      <c r="K872" s="21">
        <f t="shared" ca="1" si="313"/>
        <v>0</v>
      </c>
      <c r="L872" s="21">
        <f t="shared" ca="1" si="313"/>
        <v>0</v>
      </c>
      <c r="M872" s="21">
        <f t="shared" ca="1" si="313"/>
        <v>0</v>
      </c>
      <c r="N872" s="21">
        <f t="shared" ca="1" si="313"/>
        <v>0</v>
      </c>
      <c r="O872" s="21">
        <f ca="1">O868+O870</f>
        <v>0</v>
      </c>
      <c r="P872" s="21">
        <f t="shared" ca="1" si="313"/>
        <v>0</v>
      </c>
      <c r="Q872" s="21">
        <f t="shared" ca="1" si="313"/>
        <v>0</v>
      </c>
      <c r="R872" s="21">
        <f ca="1">R868+R870</f>
        <v>0</v>
      </c>
      <c r="S872" s="21">
        <f ca="1">S868+S870</f>
        <v>0</v>
      </c>
      <c r="T872" s="19"/>
      <c r="U872" s="235">
        <f ca="1">SUM(I872:T872)</f>
        <v>0</v>
      </c>
      <c r="V872" s="64"/>
      <c r="W872" s="643">
        <f t="shared" ca="1" si="304"/>
        <v>0</v>
      </c>
    </row>
    <row r="873" spans="1:23" ht="16.5" thickBot="1" x14ac:dyDescent="0.3">
      <c r="A873" s="45"/>
      <c r="B873" s="16">
        <f t="shared" si="300"/>
        <v>32</v>
      </c>
      <c r="C873" s="1"/>
      <c r="D873" s="301"/>
      <c r="E873" s="16"/>
      <c r="F873" s="18"/>
      <c r="G873" s="16"/>
      <c r="H873" s="16"/>
      <c r="I873" s="1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6"/>
      <c r="U873" s="1"/>
      <c r="V873" s="64"/>
      <c r="W873" s="643">
        <f t="shared" si="304"/>
        <v>0</v>
      </c>
    </row>
    <row r="874" spans="1:23" ht="16.5" thickBot="1" x14ac:dyDescent="0.3">
      <c r="A874" s="45"/>
      <c r="B874" s="16">
        <f t="shared" si="300"/>
        <v>33</v>
      </c>
      <c r="C874" s="779" t="s">
        <v>619</v>
      </c>
      <c r="D874" s="920"/>
      <c r="E874" s="916" t="s">
        <v>262</v>
      </c>
      <c r="F874" s="917">
        <f>F857+F872</f>
        <v>96233.37</v>
      </c>
      <c r="G874" s="916"/>
      <c r="H874" s="916"/>
      <c r="I874" s="919"/>
      <c r="J874" s="917">
        <f t="shared" ref="J874:Q874" ca="1" si="314">J857+J872</f>
        <v>0</v>
      </c>
      <c r="K874" s="917">
        <f t="shared" ca="1" si="314"/>
        <v>0</v>
      </c>
      <c r="L874" s="917">
        <f t="shared" ca="1" si="314"/>
        <v>0</v>
      </c>
      <c r="M874" s="917">
        <f t="shared" ca="1" si="314"/>
        <v>0</v>
      </c>
      <c r="N874" s="917">
        <f t="shared" ca="1" si="314"/>
        <v>0</v>
      </c>
      <c r="O874" s="917">
        <f ca="1">O857+O872</f>
        <v>0</v>
      </c>
      <c r="P874" s="917">
        <f t="shared" ca="1" si="314"/>
        <v>0</v>
      </c>
      <c r="Q874" s="917">
        <f t="shared" ca="1" si="314"/>
        <v>96233.37</v>
      </c>
      <c r="R874" s="917">
        <f ca="1">R857+R872</f>
        <v>0</v>
      </c>
      <c r="S874" s="917">
        <f ca="1">S857+S872</f>
        <v>0</v>
      </c>
      <c r="T874" s="919"/>
      <c r="U874" s="918">
        <f ca="1">SUM(I874:T874)</f>
        <v>96233.37</v>
      </c>
      <c r="V874" s="64"/>
      <c r="W874" s="643">
        <f t="shared" ca="1" si="304"/>
        <v>0</v>
      </c>
    </row>
    <row r="875" spans="1:23" ht="15.75" thickBot="1" x14ac:dyDescent="0.25">
      <c r="A875" s="45"/>
      <c r="B875" s="16"/>
      <c r="C875" s="1"/>
      <c r="D875" s="1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"/>
      <c r="V875" s="64"/>
      <c r="W875" s="138"/>
    </row>
    <row r="876" spans="1:23" ht="15.75" x14ac:dyDescent="0.25">
      <c r="A876" s="45"/>
      <c r="B876" s="829" t="str">
        <f>+$B$4</f>
        <v>2025 RATE CASE</v>
      </c>
      <c r="C876" s="844"/>
      <c r="D876" s="547"/>
      <c r="F876" s="11"/>
      <c r="H876" s="105"/>
      <c r="U876" s="105"/>
      <c r="V876" s="105">
        <f>$H$2</f>
        <v>0</v>
      </c>
      <c r="W876" s="138"/>
    </row>
    <row r="877" spans="1:23" ht="15.75" x14ac:dyDescent="0.25">
      <c r="A877" s="45"/>
      <c r="B877" s="826" t="str">
        <f>+$B$5</f>
        <v>ONCOR ELECTRIC DELIVERY COMPANY LLC</v>
      </c>
      <c r="C877" s="8"/>
      <c r="D877" s="548"/>
      <c r="F877" s="11"/>
      <c r="U877" s="105"/>
      <c r="V877" s="64"/>
      <c r="W877" s="138"/>
    </row>
    <row r="878" spans="1:23" ht="15.75" x14ac:dyDescent="0.25">
      <c r="A878" s="45"/>
      <c r="B878" s="826" t="str">
        <f>+$B$6</f>
        <v>II-I-1-TBILLTDCS:  CLASS REVENUE REQUIREMENT</v>
      </c>
      <c r="C878" s="82"/>
      <c r="D878" s="548"/>
      <c r="F878" s="11"/>
      <c r="U878" s="11"/>
      <c r="V878" s="64"/>
      <c r="W878" s="138"/>
    </row>
    <row r="879" spans="1:23" ht="15.75" x14ac:dyDescent="0.25">
      <c r="A879" s="45"/>
      <c r="B879" s="341" t="str">
        <f>+$B$7</f>
        <v>TEST YEAR ENDING 12/31/2024</v>
      </c>
      <c r="C879" s="82"/>
      <c r="D879" s="548"/>
      <c r="F879" s="11"/>
      <c r="U879" s="11"/>
      <c r="V879" s="64"/>
      <c r="W879" s="138"/>
    </row>
    <row r="880" spans="1:23" ht="15.75" x14ac:dyDescent="0.25">
      <c r="A880" s="45"/>
      <c r="B880" s="341" t="str">
        <f>+$B$8</f>
        <v>SPONSOR:  MATTHEW A. TROXLE</v>
      </c>
      <c r="C880" s="82"/>
      <c r="D880" s="548"/>
      <c r="F880" s="11"/>
      <c r="U880" s="11"/>
      <c r="V880" s="64"/>
      <c r="W880" s="138"/>
    </row>
    <row r="881" spans="1:23" ht="16.5" thickBot="1" x14ac:dyDescent="0.3">
      <c r="A881" s="45"/>
      <c r="B881" s="345"/>
      <c r="C881" s="843"/>
      <c r="D881" s="549"/>
      <c r="F881" s="11"/>
      <c r="U881" s="11"/>
      <c r="V881" s="64"/>
      <c r="W881" s="138"/>
    </row>
    <row r="882" spans="1:23" ht="15.75" thickBot="1" x14ac:dyDescent="0.25">
      <c r="A882" s="45"/>
      <c r="B882" s="12"/>
      <c r="C882" s="13"/>
      <c r="D882" s="13"/>
      <c r="E882" s="13"/>
      <c r="F882" s="12"/>
      <c r="G882" s="13"/>
      <c r="H882" s="13"/>
      <c r="I882" s="13"/>
      <c r="J882" s="177"/>
      <c r="K882" s="177"/>
      <c r="L882" s="13"/>
      <c r="M882" s="177"/>
      <c r="N882" s="177"/>
      <c r="O882" s="177"/>
      <c r="P882" s="177"/>
      <c r="Q882" s="13"/>
      <c r="R882" s="328" t="str">
        <f>R$10</f>
        <v xml:space="preserve"> </v>
      </c>
      <c r="S882" s="329"/>
      <c r="T882" s="177"/>
      <c r="U882" s="12"/>
      <c r="V882" s="64"/>
      <c r="W882" s="138"/>
    </row>
    <row r="883" spans="1:23" ht="15.75" x14ac:dyDescent="0.25">
      <c r="A883" s="45"/>
      <c r="B883" s="14" t="s">
        <v>2</v>
      </c>
      <c r="C883" s="14" t="s">
        <v>349</v>
      </c>
      <c r="D883" s="226" t="s">
        <v>620</v>
      </c>
      <c r="E883" s="14" t="s">
        <v>350</v>
      </c>
      <c r="F883" s="226" t="str">
        <f>F$11</f>
        <v>TBILLTDCS</v>
      </c>
      <c r="G883" s="181" t="s">
        <v>688</v>
      </c>
      <c r="H883" s="181" t="s">
        <v>355</v>
      </c>
      <c r="I883" s="14"/>
      <c r="J883" s="181" t="s">
        <v>679</v>
      </c>
      <c r="K883" s="181" t="s">
        <v>388</v>
      </c>
      <c r="L883" s="14" t="s">
        <v>388</v>
      </c>
      <c r="M883" s="181" t="s">
        <v>389</v>
      </c>
      <c r="N883" s="181" t="s">
        <v>389</v>
      </c>
      <c r="O883" s="181" t="s">
        <v>389</v>
      </c>
      <c r="P883" s="181" t="s">
        <v>390</v>
      </c>
      <c r="Q883" s="14" t="s">
        <v>391</v>
      </c>
      <c r="R883" s="331" t="str">
        <f>R$11</f>
        <v>Wholesale</v>
      </c>
      <c r="S883" s="12" t="str">
        <f>S$11</f>
        <v>Wholesale</v>
      </c>
      <c r="T883" s="181"/>
      <c r="U883" s="14" t="s">
        <v>10</v>
      </c>
      <c r="V883" s="64"/>
      <c r="W883" s="138"/>
    </row>
    <row r="884" spans="1:23" ht="15" x14ac:dyDescent="0.2">
      <c r="A884" s="45"/>
      <c r="B884" s="14"/>
      <c r="C884" s="14"/>
      <c r="D884" s="14"/>
      <c r="E884" s="14"/>
      <c r="F884" s="14"/>
      <c r="G884" s="181" t="s">
        <v>689</v>
      </c>
      <c r="H884" s="181" t="s">
        <v>690</v>
      </c>
      <c r="I884" s="14"/>
      <c r="J884" s="181"/>
      <c r="K884" s="181" t="s">
        <v>680</v>
      </c>
      <c r="L884" s="14" t="s">
        <v>681</v>
      </c>
      <c r="M884" s="181" t="s">
        <v>680</v>
      </c>
      <c r="N884" s="181" t="s">
        <v>681</v>
      </c>
      <c r="O884" s="181" t="s">
        <v>393</v>
      </c>
      <c r="P884" s="181"/>
      <c r="Q884" s="14"/>
      <c r="R884" s="174" t="str">
        <f>R$12</f>
        <v>XFMR</v>
      </c>
      <c r="S884" s="14" t="str">
        <f>S$12</f>
        <v>DLS</v>
      </c>
      <c r="T884" s="181"/>
      <c r="U884" s="14"/>
      <c r="V884" s="64"/>
      <c r="W884" s="138"/>
    </row>
    <row r="885" spans="1:23" ht="15.75" thickBot="1" x14ac:dyDescent="0.25">
      <c r="A885" s="45"/>
      <c r="B885" s="15"/>
      <c r="C885" s="15"/>
      <c r="D885" s="15"/>
      <c r="E885" s="15"/>
      <c r="F885" s="15" t="s">
        <v>13</v>
      </c>
      <c r="G885" s="15" t="s">
        <v>14</v>
      </c>
      <c r="H885" s="15" t="s">
        <v>15</v>
      </c>
      <c r="I885" s="15"/>
      <c r="J885" s="182" t="str">
        <f t="shared" ref="J885:Q885" si="315">J$13</f>
        <v>(d)</v>
      </c>
      <c r="K885" s="182" t="str">
        <f t="shared" si="315"/>
        <v>(e)</v>
      </c>
      <c r="L885" s="15" t="str">
        <f t="shared" si="315"/>
        <v>(f)</v>
      </c>
      <c r="M885" s="182" t="str">
        <f t="shared" si="315"/>
        <v>(g)</v>
      </c>
      <c r="N885" s="182" t="str">
        <f t="shared" si="315"/>
        <v>(h)</v>
      </c>
      <c r="O885" s="182" t="str">
        <f>O$13</f>
        <v>(i)</v>
      </c>
      <c r="P885" s="182" t="str">
        <f t="shared" si="315"/>
        <v>(j)</v>
      </c>
      <c r="Q885" s="182" t="str">
        <f t="shared" si="315"/>
        <v>(k)</v>
      </c>
      <c r="R885" s="182" t="str">
        <f>R$13</f>
        <v>(l)</v>
      </c>
      <c r="S885" s="15" t="str">
        <f>S$13</f>
        <v>(m)</v>
      </c>
      <c r="T885" s="15"/>
      <c r="U885" s="15" t="s">
        <v>683</v>
      </c>
      <c r="V885" s="64"/>
      <c r="W885" s="138"/>
    </row>
    <row r="886" spans="1:23" ht="15" x14ac:dyDescent="0.2">
      <c r="A886" s="45"/>
      <c r="B886" s="64"/>
      <c r="C886" s="96"/>
      <c r="D886" s="96"/>
      <c r="E886" s="251"/>
      <c r="F886" s="308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1"/>
      <c r="V886" s="64"/>
      <c r="W886" s="138"/>
    </row>
    <row r="887" spans="1:23" ht="15.75" x14ac:dyDescent="0.25">
      <c r="A887" s="45"/>
      <c r="B887" s="16">
        <f t="shared" ref="B887:B925" si="316">B886+1</f>
        <v>1</v>
      </c>
      <c r="C887" s="8"/>
      <c r="D887" s="301" t="s">
        <v>266</v>
      </c>
      <c r="E887" s="19" t="s">
        <v>262</v>
      </c>
      <c r="F887" s="21"/>
      <c r="G887" s="19"/>
      <c r="H887" s="19"/>
      <c r="I887" s="913"/>
      <c r="J887" s="961"/>
      <c r="K887" s="961"/>
      <c r="L887" s="961"/>
      <c r="M887" s="961"/>
      <c r="N887" s="961"/>
      <c r="O887" s="961"/>
      <c r="P887" s="961"/>
      <c r="Q887" s="961"/>
      <c r="R887" s="961"/>
      <c r="S887" s="961"/>
      <c r="T887" s="19"/>
      <c r="U887" s="8"/>
      <c r="V887" s="64"/>
      <c r="W887" s="138"/>
    </row>
    <row r="888" spans="1:23" ht="15" x14ac:dyDescent="0.2">
      <c r="A888" s="45"/>
      <c r="B888" s="16">
        <f t="shared" si="316"/>
        <v>2</v>
      </c>
      <c r="C888" s="1" t="s">
        <v>207</v>
      </c>
      <c r="D888" s="1" t="s">
        <v>208</v>
      </c>
      <c r="E888" s="16"/>
      <c r="F888" s="97">
        <f>' WP II-I-1.4'!I888</f>
        <v>0</v>
      </c>
      <c r="G888" s="16">
        <v>6</v>
      </c>
      <c r="H888" s="45" t="str">
        <f>VLOOKUP(G888,FactorTable,2)</f>
        <v>CUS W ALL</v>
      </c>
      <c r="I888" s="16"/>
      <c r="J888" s="369">
        <f t="shared" ref="J888:S889" si="317">$F888*HLOOKUP(J$1354,FactorTable,$G888+1)</f>
        <v>0</v>
      </c>
      <c r="K888" s="369">
        <f t="shared" si="317"/>
        <v>0</v>
      </c>
      <c r="L888" s="369">
        <f t="shared" si="317"/>
        <v>0</v>
      </c>
      <c r="M888" s="369">
        <f t="shared" si="317"/>
        <v>0</v>
      </c>
      <c r="N888" s="369">
        <f t="shared" si="317"/>
        <v>0</v>
      </c>
      <c r="O888" s="369">
        <f t="shared" si="317"/>
        <v>0</v>
      </c>
      <c r="P888" s="369">
        <f t="shared" si="317"/>
        <v>0</v>
      </c>
      <c r="Q888" s="369">
        <f t="shared" si="317"/>
        <v>0</v>
      </c>
      <c r="R888" s="369">
        <f t="shared" si="317"/>
        <v>0</v>
      </c>
      <c r="S888" s="369">
        <f t="shared" si="317"/>
        <v>0</v>
      </c>
      <c r="T888" s="16"/>
      <c r="U888" s="97">
        <f>SUM(I888:T888)</f>
        <v>0</v>
      </c>
      <c r="V888" s="64"/>
      <c r="W888" s="643">
        <f t="shared" ref="W888:W925" si="318">F888-U888</f>
        <v>0</v>
      </c>
    </row>
    <row r="889" spans="1:23" ht="15" x14ac:dyDescent="0.2">
      <c r="A889" s="45"/>
      <c r="B889" s="16">
        <f t="shared" si="316"/>
        <v>3</v>
      </c>
      <c r="C889" s="1" t="s">
        <v>209</v>
      </c>
      <c r="D889" s="1" t="s">
        <v>210</v>
      </c>
      <c r="E889" s="16"/>
      <c r="F889" s="97">
        <f>' WP II-I-1.4'!I889</f>
        <v>1479495.79</v>
      </c>
      <c r="G889" s="16">
        <v>6</v>
      </c>
      <c r="H889" s="45" t="str">
        <f>VLOOKUP(G889,FactorTable,2)</f>
        <v>CUS W ALL</v>
      </c>
      <c r="I889" s="16"/>
      <c r="J889" s="370">
        <f t="shared" si="317"/>
        <v>772361.12123260065</v>
      </c>
      <c r="K889" s="370">
        <f t="shared" si="317"/>
        <v>108350.74135028146</v>
      </c>
      <c r="L889" s="370">
        <f t="shared" si="317"/>
        <v>426108.2941560481</v>
      </c>
      <c r="M889" s="370">
        <f t="shared" si="317"/>
        <v>17944.295450204812</v>
      </c>
      <c r="N889" s="370">
        <f t="shared" si="317"/>
        <v>138180.54775197146</v>
      </c>
      <c r="O889" s="370">
        <f t="shared" si="317"/>
        <v>4534.0075506823605</v>
      </c>
      <c r="P889" s="370">
        <f t="shared" si="317"/>
        <v>9457.4390627730245</v>
      </c>
      <c r="Q889" s="370">
        <f t="shared" si="317"/>
        <v>787.58775851665564</v>
      </c>
      <c r="R889" s="370">
        <f t="shared" si="317"/>
        <v>500.68795038210141</v>
      </c>
      <c r="S889" s="370">
        <f t="shared" si="317"/>
        <v>1271.067736539163</v>
      </c>
      <c r="T889" s="16"/>
      <c r="U889" s="97">
        <f>SUM(I889:T889)</f>
        <v>1479495.7899999998</v>
      </c>
      <c r="V889" s="64"/>
      <c r="W889" s="643">
        <f t="shared" si="318"/>
        <v>0</v>
      </c>
    </row>
    <row r="890" spans="1:23" ht="15.75" x14ac:dyDescent="0.25">
      <c r="A890" s="45"/>
      <c r="B890" s="16">
        <f t="shared" si="316"/>
        <v>4</v>
      </c>
      <c r="C890" s="8"/>
      <c r="D890" s="24" t="s">
        <v>598</v>
      </c>
      <c r="E890" s="19"/>
      <c r="F890" s="21">
        <f>+F888+F889</f>
        <v>1479495.79</v>
      </c>
      <c r="G890" s="19"/>
      <c r="H890" s="19"/>
      <c r="I890" s="913"/>
      <c r="J890" s="805">
        <f t="shared" ref="J890:Q890" si="319">+J888+J889</f>
        <v>772361.12123260065</v>
      </c>
      <c r="K890" s="805">
        <f t="shared" si="319"/>
        <v>108350.74135028146</v>
      </c>
      <c r="L890" s="805">
        <f t="shared" si="319"/>
        <v>426108.2941560481</v>
      </c>
      <c r="M890" s="805">
        <f t="shared" si="319"/>
        <v>17944.295450204812</v>
      </c>
      <c r="N890" s="805">
        <f t="shared" si="319"/>
        <v>138180.54775197146</v>
      </c>
      <c r="O890" s="805">
        <f>+O888+O889</f>
        <v>4534.0075506823605</v>
      </c>
      <c r="P890" s="805">
        <f t="shared" si="319"/>
        <v>9457.4390627730245</v>
      </c>
      <c r="Q890" s="805">
        <f t="shared" si="319"/>
        <v>787.58775851665564</v>
      </c>
      <c r="R890" s="805">
        <f>+R888+R889</f>
        <v>500.68795038210141</v>
      </c>
      <c r="S890" s="805">
        <f>+S888+S889</f>
        <v>1271.067736539163</v>
      </c>
      <c r="T890" s="913"/>
      <c r="U890" s="235">
        <f>SUM(I890:T890)</f>
        <v>1479495.7899999998</v>
      </c>
      <c r="V890" s="64"/>
      <c r="W890" s="643">
        <f t="shared" si="318"/>
        <v>0</v>
      </c>
    </row>
    <row r="891" spans="1:23" ht="15.75" x14ac:dyDescent="0.25">
      <c r="A891" s="45"/>
      <c r="B891" s="16">
        <f t="shared" si="316"/>
        <v>5</v>
      </c>
      <c r="C891" s="1"/>
      <c r="D891" s="24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"/>
      <c r="V891" s="64"/>
      <c r="W891" s="643">
        <f t="shared" si="318"/>
        <v>0</v>
      </c>
    </row>
    <row r="892" spans="1:23" ht="15" x14ac:dyDescent="0.2">
      <c r="A892" s="45"/>
      <c r="B892" s="16">
        <f t="shared" si="316"/>
        <v>6</v>
      </c>
      <c r="C892" s="1" t="s">
        <v>205</v>
      </c>
      <c r="D892" s="1" t="s">
        <v>206</v>
      </c>
      <c r="E892" s="16"/>
      <c r="F892" s="97">
        <f>' WP II-I-1.4'!I892</f>
        <v>0</v>
      </c>
      <c r="G892" s="16">
        <v>84</v>
      </c>
      <c r="H892" s="45" t="str">
        <f>VLOOKUP(G892,FactorTable,2)</f>
        <v>PAY CUS ACCT</v>
      </c>
      <c r="I892" s="16"/>
      <c r="J892" s="369">
        <f t="shared" ref="J892:S894" si="320">$F892*HLOOKUP(J$1354,FactorTable,$G892+1)</f>
        <v>0</v>
      </c>
      <c r="K892" s="369">
        <f t="shared" si="320"/>
        <v>0</v>
      </c>
      <c r="L892" s="369">
        <f t="shared" si="320"/>
        <v>0</v>
      </c>
      <c r="M892" s="369">
        <f t="shared" si="320"/>
        <v>0</v>
      </c>
      <c r="N892" s="369">
        <f t="shared" si="320"/>
        <v>0</v>
      </c>
      <c r="O892" s="369">
        <f t="shared" si="320"/>
        <v>0</v>
      </c>
      <c r="P892" s="369">
        <f t="shared" si="320"/>
        <v>0</v>
      </c>
      <c r="Q892" s="369">
        <f t="shared" si="320"/>
        <v>0</v>
      </c>
      <c r="R892" s="369">
        <f t="shared" si="320"/>
        <v>0</v>
      </c>
      <c r="S892" s="369">
        <f t="shared" si="320"/>
        <v>0</v>
      </c>
      <c r="T892" s="16"/>
      <c r="U892" s="97">
        <f>SUM(I892:T892)</f>
        <v>0</v>
      </c>
      <c r="V892" s="64"/>
      <c r="W892" s="643">
        <f t="shared" si="318"/>
        <v>0</v>
      </c>
    </row>
    <row r="893" spans="1:23" ht="15" x14ac:dyDescent="0.2">
      <c r="A893" s="45"/>
      <c r="B893" s="16">
        <f t="shared" si="316"/>
        <v>7</v>
      </c>
      <c r="C893" s="1" t="s">
        <v>211</v>
      </c>
      <c r="D893" s="1" t="s">
        <v>212</v>
      </c>
      <c r="E893" s="16"/>
      <c r="F893" s="97">
        <f>' WP II-I-1.4'!I893</f>
        <v>0</v>
      </c>
      <c r="G893" s="16">
        <v>14</v>
      </c>
      <c r="H893" s="45" t="str">
        <f>VLOOKUP(G893,FactorTable,2)</f>
        <v>REVENUE</v>
      </c>
      <c r="I893" s="16"/>
      <c r="J893" s="369">
        <f t="shared" si="320"/>
        <v>0</v>
      </c>
      <c r="K893" s="369">
        <f t="shared" si="320"/>
        <v>0</v>
      </c>
      <c r="L893" s="369">
        <f t="shared" si="320"/>
        <v>0</v>
      </c>
      <c r="M893" s="369">
        <f t="shared" si="320"/>
        <v>0</v>
      </c>
      <c r="N893" s="369">
        <f t="shared" si="320"/>
        <v>0</v>
      </c>
      <c r="O893" s="369">
        <f t="shared" si="320"/>
        <v>0</v>
      </c>
      <c r="P893" s="369">
        <f t="shared" si="320"/>
        <v>0</v>
      </c>
      <c r="Q893" s="369">
        <f t="shared" si="320"/>
        <v>0</v>
      </c>
      <c r="R893" s="369">
        <f t="shared" si="320"/>
        <v>0</v>
      </c>
      <c r="S893" s="369">
        <f t="shared" si="320"/>
        <v>0</v>
      </c>
      <c r="T893" s="16"/>
      <c r="U893" s="97">
        <f>SUM(I893:T893)</f>
        <v>0</v>
      </c>
      <c r="V893" s="64"/>
      <c r="W893" s="643">
        <f t="shared" si="318"/>
        <v>0</v>
      </c>
    </row>
    <row r="894" spans="1:23" ht="15" x14ac:dyDescent="0.2">
      <c r="A894" s="45"/>
      <c r="B894" s="16">
        <f t="shared" si="316"/>
        <v>8</v>
      </c>
      <c r="C894" s="1" t="s">
        <v>213</v>
      </c>
      <c r="D894" s="29" t="s">
        <v>214</v>
      </c>
      <c r="E894" s="16"/>
      <c r="F894" s="97">
        <f>' WP II-I-1.4'!I894</f>
        <v>0</v>
      </c>
      <c r="G894" s="16">
        <v>84</v>
      </c>
      <c r="H894" s="45" t="str">
        <f>VLOOKUP(G894,FactorTable,2)</f>
        <v>PAY CUS ACCT</v>
      </c>
      <c r="I894" s="16"/>
      <c r="J894" s="370">
        <f t="shared" si="320"/>
        <v>0</v>
      </c>
      <c r="K894" s="370">
        <f t="shared" si="320"/>
        <v>0</v>
      </c>
      <c r="L894" s="370">
        <f t="shared" si="320"/>
        <v>0</v>
      </c>
      <c r="M894" s="370">
        <f t="shared" si="320"/>
        <v>0</v>
      </c>
      <c r="N894" s="370">
        <f t="shared" si="320"/>
        <v>0</v>
      </c>
      <c r="O894" s="370">
        <f t="shared" si="320"/>
        <v>0</v>
      </c>
      <c r="P894" s="370">
        <f t="shared" si="320"/>
        <v>0</v>
      </c>
      <c r="Q894" s="370">
        <f t="shared" si="320"/>
        <v>0</v>
      </c>
      <c r="R894" s="370">
        <f t="shared" si="320"/>
        <v>0</v>
      </c>
      <c r="S894" s="370">
        <f t="shared" si="320"/>
        <v>0</v>
      </c>
      <c r="T894" s="16"/>
      <c r="U894" s="97">
        <f>SUM(I894:T894)</f>
        <v>0</v>
      </c>
      <c r="V894" s="64"/>
      <c r="W894" s="643">
        <f t="shared" si="318"/>
        <v>0</v>
      </c>
    </row>
    <row r="895" spans="1:23" ht="15.75" x14ac:dyDescent="0.25">
      <c r="A895" s="45"/>
      <c r="B895" s="16">
        <f t="shared" si="316"/>
        <v>9</v>
      </c>
      <c r="C895" s="8"/>
      <c r="D895" s="24" t="s">
        <v>621</v>
      </c>
      <c r="E895" s="19"/>
      <c r="F895" s="21">
        <f>SUM(F892:F894)</f>
        <v>0</v>
      </c>
      <c r="G895" s="19"/>
      <c r="H895" s="19"/>
      <c r="I895" s="913"/>
      <c r="J895" s="805">
        <f t="shared" ref="J895:Q895" si="321">SUM(J892:J894)</f>
        <v>0</v>
      </c>
      <c r="K895" s="805">
        <f t="shared" si="321"/>
        <v>0</v>
      </c>
      <c r="L895" s="805">
        <f t="shared" si="321"/>
        <v>0</v>
      </c>
      <c r="M895" s="805">
        <f t="shared" si="321"/>
        <v>0</v>
      </c>
      <c r="N895" s="805">
        <f t="shared" si="321"/>
        <v>0</v>
      </c>
      <c r="O895" s="805">
        <f>SUM(O892:O894)</f>
        <v>0</v>
      </c>
      <c r="P895" s="805">
        <f t="shared" si="321"/>
        <v>0</v>
      </c>
      <c r="Q895" s="805">
        <f t="shared" si="321"/>
        <v>0</v>
      </c>
      <c r="R895" s="805">
        <f>SUM(R892:R894)</f>
        <v>0</v>
      </c>
      <c r="S895" s="805">
        <f>SUM(S892:S894)</f>
        <v>0</v>
      </c>
      <c r="T895" s="913"/>
      <c r="U895" s="235">
        <f>SUM(I895:T895)</f>
        <v>0</v>
      </c>
      <c r="V895" s="64"/>
      <c r="W895" s="643">
        <f t="shared" si="318"/>
        <v>0</v>
      </c>
    </row>
    <row r="896" spans="1:23" ht="15.75" x14ac:dyDescent="0.25">
      <c r="A896" s="45"/>
      <c r="B896" s="16">
        <f t="shared" si="316"/>
        <v>10</v>
      </c>
      <c r="C896" s="1"/>
      <c r="D896" s="24"/>
      <c r="E896" s="16"/>
      <c r="F896" s="18"/>
      <c r="G896" s="16"/>
      <c r="H896" s="16"/>
      <c r="I896" s="1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6"/>
      <c r="U896" s="1"/>
      <c r="V896" s="64"/>
      <c r="W896" s="643">
        <f t="shared" si="318"/>
        <v>0</v>
      </c>
    </row>
    <row r="897" spans="1:23" ht="15.75" x14ac:dyDescent="0.25">
      <c r="A897" s="45"/>
      <c r="B897" s="16">
        <f t="shared" si="316"/>
        <v>11</v>
      </c>
      <c r="C897" s="8"/>
      <c r="D897" s="233" t="s">
        <v>622</v>
      </c>
      <c r="E897" s="19"/>
      <c r="F897" s="21">
        <f>+F890+F895</f>
        <v>1479495.79</v>
      </c>
      <c r="G897" s="19"/>
      <c r="H897" s="19"/>
      <c r="I897" s="913"/>
      <c r="J897" s="805">
        <f t="shared" ref="J897:Q897" si="322">+J890+J895</f>
        <v>772361.12123260065</v>
      </c>
      <c r="K897" s="805">
        <f t="shared" si="322"/>
        <v>108350.74135028146</v>
      </c>
      <c r="L897" s="805">
        <f t="shared" si="322"/>
        <v>426108.2941560481</v>
      </c>
      <c r="M897" s="805">
        <f t="shared" si="322"/>
        <v>17944.295450204812</v>
      </c>
      <c r="N897" s="805">
        <f t="shared" si="322"/>
        <v>138180.54775197146</v>
      </c>
      <c r="O897" s="805">
        <f>+O890+O895</f>
        <v>4534.0075506823605</v>
      </c>
      <c r="P897" s="805">
        <f t="shared" si="322"/>
        <v>9457.4390627730245</v>
      </c>
      <c r="Q897" s="805">
        <f t="shared" si="322"/>
        <v>787.58775851665564</v>
      </c>
      <c r="R897" s="805">
        <f>+R890+R895</f>
        <v>500.68795038210141</v>
      </c>
      <c r="S897" s="805">
        <f>+S890+S895</f>
        <v>1271.067736539163</v>
      </c>
      <c r="T897" s="913"/>
      <c r="U897" s="235">
        <f>SUM(I897:T897)</f>
        <v>1479495.7899999998</v>
      </c>
      <c r="V897" s="64"/>
      <c r="W897" s="643">
        <f t="shared" si="318"/>
        <v>0</v>
      </c>
    </row>
    <row r="898" spans="1:23" ht="6.95" customHeight="1" x14ac:dyDescent="0.2">
      <c r="A898" s="45"/>
      <c r="B898" s="16">
        <f t="shared" si="316"/>
        <v>12</v>
      </c>
      <c r="C898" s="1"/>
      <c r="D898" s="1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"/>
      <c r="V898" s="64"/>
      <c r="W898" s="643">
        <f t="shared" si="318"/>
        <v>0</v>
      </c>
    </row>
    <row r="899" spans="1:23" ht="15.75" x14ac:dyDescent="0.25">
      <c r="A899" s="45"/>
      <c r="B899" s="16">
        <f t="shared" si="316"/>
        <v>13</v>
      </c>
      <c r="C899" s="8"/>
      <c r="D899" s="301" t="s">
        <v>623</v>
      </c>
      <c r="E899" s="19" t="s">
        <v>262</v>
      </c>
      <c r="F899" s="21"/>
      <c r="G899" s="19"/>
      <c r="H899" s="19"/>
      <c r="I899" s="913"/>
      <c r="J899" s="961"/>
      <c r="K899" s="961"/>
      <c r="L899" s="961"/>
      <c r="M899" s="961"/>
      <c r="N899" s="961"/>
      <c r="O899" s="961"/>
      <c r="P899" s="961"/>
      <c r="Q899" s="961"/>
      <c r="R899" s="961"/>
      <c r="S899" s="961"/>
      <c r="T899" s="913"/>
      <c r="U899" s="8"/>
      <c r="V899" s="64"/>
      <c r="W899" s="643">
        <f t="shared" si="318"/>
        <v>0</v>
      </c>
    </row>
    <row r="900" spans="1:23" ht="15" x14ac:dyDescent="0.2">
      <c r="A900" s="45"/>
      <c r="B900" s="16">
        <f t="shared" si="316"/>
        <v>14</v>
      </c>
      <c r="C900" s="1" t="s">
        <v>216</v>
      </c>
      <c r="D900" s="1" t="s">
        <v>217</v>
      </c>
      <c r="E900" s="16"/>
      <c r="F900" s="97">
        <f>' WP II-I-1.4'!I900</f>
        <v>0</v>
      </c>
      <c r="G900" s="16">
        <v>9</v>
      </c>
      <c r="H900" s="45" t="str">
        <f>VLOOKUP(G900,FactorTable,2)</f>
        <v>CUS U ALL</v>
      </c>
      <c r="I900" s="16"/>
      <c r="J900" s="369">
        <f t="shared" ref="J900:S902" si="323">$F900*HLOOKUP(J$1354,FactorTable,$G900+1)</f>
        <v>0</v>
      </c>
      <c r="K900" s="369">
        <f t="shared" si="323"/>
        <v>0</v>
      </c>
      <c r="L900" s="369">
        <f t="shared" si="323"/>
        <v>0</v>
      </c>
      <c r="M900" s="369">
        <f t="shared" si="323"/>
        <v>0</v>
      </c>
      <c r="N900" s="369">
        <f t="shared" si="323"/>
        <v>0</v>
      </c>
      <c r="O900" s="369">
        <f t="shared" si="323"/>
        <v>0</v>
      </c>
      <c r="P900" s="369">
        <f t="shared" si="323"/>
        <v>0</v>
      </c>
      <c r="Q900" s="369">
        <f t="shared" si="323"/>
        <v>0</v>
      </c>
      <c r="R900" s="369">
        <f t="shared" si="323"/>
        <v>0</v>
      </c>
      <c r="S900" s="369">
        <f t="shared" si="323"/>
        <v>0</v>
      </c>
      <c r="T900" s="16"/>
      <c r="U900" s="97">
        <f>SUM(I900:T900)</f>
        <v>0</v>
      </c>
      <c r="V900" s="64"/>
      <c r="W900" s="643">
        <f t="shared" si="318"/>
        <v>0</v>
      </c>
    </row>
    <row r="901" spans="1:23" ht="15" x14ac:dyDescent="0.2">
      <c r="A901" s="45"/>
      <c r="B901" s="16">
        <f t="shared" si="316"/>
        <v>15</v>
      </c>
      <c r="C901" s="1" t="s">
        <v>219</v>
      </c>
      <c r="D901" s="29" t="s">
        <v>220</v>
      </c>
      <c r="E901" s="16"/>
      <c r="F901" s="97">
        <f>' WP II-I-1.4'!I901</f>
        <v>12000</v>
      </c>
      <c r="G901" s="16">
        <v>9</v>
      </c>
      <c r="H901" s="45" t="str">
        <f>VLOOKUP(G901,FactorTable,2)</f>
        <v>CUS U ALL</v>
      </c>
      <c r="I901" s="16"/>
      <c r="J901" s="369">
        <f t="shared" si="323"/>
        <v>10268.57554281884</v>
      </c>
      <c r="K901" s="369">
        <f t="shared" si="323"/>
        <v>851.75429468710206</v>
      </c>
      <c r="L901" s="369">
        <f t="shared" si="323"/>
        <v>695.93617789593395</v>
      </c>
      <c r="M901" s="369">
        <f t="shared" si="323"/>
        <v>9.29836863310768</v>
      </c>
      <c r="N901" s="369">
        <f t="shared" si="323"/>
        <v>20.815295396219998</v>
      </c>
      <c r="O901" s="369">
        <f t="shared" si="323"/>
        <v>0.48345584918550294</v>
      </c>
      <c r="P901" s="369">
        <f t="shared" si="323"/>
        <v>1.0084355136384724</v>
      </c>
      <c r="Q901" s="369">
        <f t="shared" si="323"/>
        <v>151.92081012963587</v>
      </c>
      <c r="R901" s="369">
        <f t="shared" si="323"/>
        <v>5.3387762486742658E-2</v>
      </c>
      <c r="S901" s="369">
        <f t="shared" si="323"/>
        <v>0.15423131385058991</v>
      </c>
      <c r="T901" s="16"/>
      <c r="U901" s="97">
        <f>SUM(I901:T901)</f>
        <v>12000.000000000002</v>
      </c>
      <c r="V901" s="64"/>
      <c r="W901" s="643">
        <f t="shared" si="318"/>
        <v>0</v>
      </c>
    </row>
    <row r="902" spans="1:23" ht="15" x14ac:dyDescent="0.2">
      <c r="A902" s="45"/>
      <c r="B902" s="16">
        <f t="shared" si="316"/>
        <v>16</v>
      </c>
      <c r="C902" s="1" t="s">
        <v>221</v>
      </c>
      <c r="D902" s="1" t="s">
        <v>222</v>
      </c>
      <c r="E902" s="16"/>
      <c r="F902" s="97">
        <f>' WP II-I-1.4'!I902</f>
        <v>0</v>
      </c>
      <c r="G902" s="16">
        <v>9</v>
      </c>
      <c r="H902" s="45" t="str">
        <f>VLOOKUP(G902,FactorTable,2)</f>
        <v>CUS U ALL</v>
      </c>
      <c r="I902" s="16"/>
      <c r="J902" s="370">
        <f t="shared" si="323"/>
        <v>0</v>
      </c>
      <c r="K902" s="370">
        <f t="shared" si="323"/>
        <v>0</v>
      </c>
      <c r="L902" s="370">
        <f t="shared" si="323"/>
        <v>0</v>
      </c>
      <c r="M902" s="370">
        <f t="shared" si="323"/>
        <v>0</v>
      </c>
      <c r="N902" s="370">
        <f t="shared" si="323"/>
        <v>0</v>
      </c>
      <c r="O902" s="370">
        <f t="shared" si="323"/>
        <v>0</v>
      </c>
      <c r="P902" s="370">
        <f t="shared" si="323"/>
        <v>0</v>
      </c>
      <c r="Q902" s="370">
        <f t="shared" si="323"/>
        <v>0</v>
      </c>
      <c r="R902" s="370">
        <f t="shared" si="323"/>
        <v>0</v>
      </c>
      <c r="S902" s="370">
        <f t="shared" si="323"/>
        <v>0</v>
      </c>
      <c r="T902" s="16"/>
      <c r="U902" s="97">
        <f>SUM(I902:T902)</f>
        <v>0</v>
      </c>
      <c r="V902" s="64"/>
      <c r="W902" s="643">
        <f t="shared" si="318"/>
        <v>0</v>
      </c>
    </row>
    <row r="903" spans="1:23" ht="15.75" x14ac:dyDescent="0.25">
      <c r="A903" s="45"/>
      <c r="B903" s="16">
        <f t="shared" si="316"/>
        <v>17</v>
      </c>
      <c r="C903" s="8"/>
      <c r="D903" s="24" t="s">
        <v>624</v>
      </c>
      <c r="E903" s="19"/>
      <c r="F903" s="21">
        <f>SUM(F900:F902)</f>
        <v>12000</v>
      </c>
      <c r="G903" s="19"/>
      <c r="H903" s="19"/>
      <c r="I903" s="913"/>
      <c r="J903" s="805">
        <f t="shared" ref="J903:Q903" si="324">SUM(J900:J902)</f>
        <v>10268.57554281884</v>
      </c>
      <c r="K903" s="805">
        <f t="shared" si="324"/>
        <v>851.75429468710206</v>
      </c>
      <c r="L903" s="805">
        <f t="shared" si="324"/>
        <v>695.93617789593395</v>
      </c>
      <c r="M903" s="805">
        <f t="shared" si="324"/>
        <v>9.29836863310768</v>
      </c>
      <c r="N903" s="805">
        <f t="shared" si="324"/>
        <v>20.815295396219998</v>
      </c>
      <c r="O903" s="805">
        <f>SUM(O900:O902)</f>
        <v>0.48345584918550294</v>
      </c>
      <c r="P903" s="805">
        <f t="shared" si="324"/>
        <v>1.0084355136384724</v>
      </c>
      <c r="Q903" s="805">
        <f t="shared" si="324"/>
        <v>151.92081012963587</v>
      </c>
      <c r="R903" s="805">
        <f>SUM(R900:R902)</f>
        <v>5.3387762486742658E-2</v>
      </c>
      <c r="S903" s="805">
        <f>SUM(S900:S902)</f>
        <v>0.15423131385058991</v>
      </c>
      <c r="T903" s="913"/>
      <c r="U903" s="235">
        <f>SUM(I903:T903)</f>
        <v>12000.000000000002</v>
      </c>
      <c r="V903" s="64"/>
      <c r="W903" s="643">
        <f t="shared" si="318"/>
        <v>0</v>
      </c>
    </row>
    <row r="904" spans="1:23" ht="15" x14ac:dyDescent="0.2">
      <c r="A904" s="45"/>
      <c r="B904" s="16">
        <f t="shared" si="316"/>
        <v>18</v>
      </c>
      <c r="C904" s="1"/>
      <c r="D904" s="1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"/>
      <c r="V904" s="64"/>
      <c r="W904" s="643">
        <f t="shared" si="318"/>
        <v>0</v>
      </c>
    </row>
    <row r="905" spans="1:23" ht="15" x14ac:dyDescent="0.2">
      <c r="A905" s="45"/>
      <c r="B905" s="16">
        <f t="shared" si="316"/>
        <v>19</v>
      </c>
      <c r="C905" s="1" t="s">
        <v>218</v>
      </c>
      <c r="D905" s="1" t="s">
        <v>206</v>
      </c>
      <c r="E905" s="16"/>
      <c r="F905" s="97">
        <f>' WP II-I-1.4'!I905</f>
        <v>0</v>
      </c>
      <c r="G905" s="16">
        <v>85</v>
      </c>
      <c r="H905" s="45" t="str">
        <f>VLOOKUP(G905,FactorTable,2)</f>
        <v>PAY CUS SV INF</v>
      </c>
      <c r="I905" s="16"/>
      <c r="J905" s="369">
        <f t="shared" ref="J905:S906" si="325">$F905*HLOOKUP(J$1354,FactorTable,$G905+1)</f>
        <v>0</v>
      </c>
      <c r="K905" s="369">
        <f t="shared" si="325"/>
        <v>0</v>
      </c>
      <c r="L905" s="369">
        <f t="shared" si="325"/>
        <v>0</v>
      </c>
      <c r="M905" s="369">
        <f t="shared" si="325"/>
        <v>0</v>
      </c>
      <c r="N905" s="369">
        <f t="shared" si="325"/>
        <v>0</v>
      </c>
      <c r="O905" s="369">
        <f t="shared" si="325"/>
        <v>0</v>
      </c>
      <c r="P905" s="369">
        <f t="shared" si="325"/>
        <v>0</v>
      </c>
      <c r="Q905" s="369">
        <f t="shared" si="325"/>
        <v>0</v>
      </c>
      <c r="R905" s="369">
        <f t="shared" si="325"/>
        <v>0</v>
      </c>
      <c r="S905" s="369">
        <f t="shared" si="325"/>
        <v>0</v>
      </c>
      <c r="T905" s="16"/>
      <c r="U905" s="97">
        <f>SUM(I905:T905)</f>
        <v>0</v>
      </c>
      <c r="V905" s="64"/>
      <c r="W905" s="643">
        <f t="shared" si="318"/>
        <v>0</v>
      </c>
    </row>
    <row r="906" spans="1:23" ht="15" x14ac:dyDescent="0.2">
      <c r="A906" s="45"/>
      <c r="B906" s="16">
        <f t="shared" si="316"/>
        <v>20</v>
      </c>
      <c r="C906" s="1" t="s">
        <v>223</v>
      </c>
      <c r="D906" s="1" t="s">
        <v>625</v>
      </c>
      <c r="E906" s="16"/>
      <c r="F906" s="97">
        <f>' WP II-I-1.4'!I906</f>
        <v>0</v>
      </c>
      <c r="G906" s="16">
        <v>85</v>
      </c>
      <c r="H906" s="45" t="str">
        <f>VLOOKUP(G906,FactorTable,2)</f>
        <v>PAY CUS SV INF</v>
      </c>
      <c r="I906" s="16"/>
      <c r="J906" s="370">
        <f t="shared" si="325"/>
        <v>0</v>
      </c>
      <c r="K906" s="370">
        <f t="shared" si="325"/>
        <v>0</v>
      </c>
      <c r="L906" s="370">
        <f t="shared" si="325"/>
        <v>0</v>
      </c>
      <c r="M906" s="370">
        <f t="shared" si="325"/>
        <v>0</v>
      </c>
      <c r="N906" s="370">
        <f t="shared" si="325"/>
        <v>0</v>
      </c>
      <c r="O906" s="370">
        <f t="shared" si="325"/>
        <v>0</v>
      </c>
      <c r="P906" s="370">
        <f t="shared" si="325"/>
        <v>0</v>
      </c>
      <c r="Q906" s="370">
        <f t="shared" si="325"/>
        <v>0</v>
      </c>
      <c r="R906" s="370">
        <f t="shared" si="325"/>
        <v>0</v>
      </c>
      <c r="S906" s="370">
        <f t="shared" si="325"/>
        <v>0</v>
      </c>
      <c r="T906" s="16"/>
      <c r="U906" s="97">
        <f>SUM(I906:T906)</f>
        <v>0</v>
      </c>
      <c r="V906" s="64"/>
      <c r="W906" s="643">
        <f t="shared" si="318"/>
        <v>0</v>
      </c>
    </row>
    <row r="907" spans="1:23" ht="15.75" x14ac:dyDescent="0.25">
      <c r="A907" s="45"/>
      <c r="B907" s="16">
        <f t="shared" si="316"/>
        <v>21</v>
      </c>
      <c r="C907" s="8"/>
      <c r="D907" s="24" t="s">
        <v>626</v>
      </c>
      <c r="E907" s="19"/>
      <c r="F907" s="21">
        <f>SUM(F905:F906)</f>
        <v>0</v>
      </c>
      <c r="G907" s="19"/>
      <c r="H907" s="19"/>
      <c r="I907" s="913"/>
      <c r="J907" s="805">
        <f t="shared" ref="J907:Q907" si="326">SUM(J905:J906)</f>
        <v>0</v>
      </c>
      <c r="K907" s="805">
        <f t="shared" si="326"/>
        <v>0</v>
      </c>
      <c r="L907" s="805">
        <f t="shared" si="326"/>
        <v>0</v>
      </c>
      <c r="M907" s="805">
        <f t="shared" si="326"/>
        <v>0</v>
      </c>
      <c r="N907" s="805">
        <f t="shared" si="326"/>
        <v>0</v>
      </c>
      <c r="O907" s="805">
        <f>SUM(O905:O906)</f>
        <v>0</v>
      </c>
      <c r="P907" s="805">
        <f t="shared" si="326"/>
        <v>0</v>
      </c>
      <c r="Q907" s="805">
        <f t="shared" si="326"/>
        <v>0</v>
      </c>
      <c r="R907" s="805">
        <f>SUM(R905:R906)</f>
        <v>0</v>
      </c>
      <c r="S907" s="805">
        <f>SUM(S905:S906)</f>
        <v>0</v>
      </c>
      <c r="T907" s="913"/>
      <c r="U907" s="235">
        <f>SUM(I907:T907)</f>
        <v>0</v>
      </c>
      <c r="V907" s="64"/>
      <c r="W907" s="643">
        <f t="shared" si="318"/>
        <v>0</v>
      </c>
    </row>
    <row r="908" spans="1:23" ht="9.9499999999999993" customHeight="1" x14ac:dyDescent="0.2">
      <c r="A908" s="45"/>
      <c r="B908" s="16">
        <f t="shared" si="316"/>
        <v>22</v>
      </c>
      <c r="C908" s="1"/>
      <c r="D908" s="1"/>
      <c r="E908" s="16"/>
      <c r="F908" s="18"/>
      <c r="G908" s="16"/>
      <c r="H908" s="16"/>
      <c r="I908" s="1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6"/>
      <c r="U908" s="1"/>
      <c r="V908" s="64"/>
      <c r="W908" s="643">
        <f t="shared" si="318"/>
        <v>0</v>
      </c>
    </row>
    <row r="909" spans="1:23" ht="15.75" x14ac:dyDescent="0.25">
      <c r="A909" s="45"/>
      <c r="B909" s="16">
        <f t="shared" si="316"/>
        <v>23</v>
      </c>
      <c r="C909" s="8"/>
      <c r="D909" s="233" t="s">
        <v>627</v>
      </c>
      <c r="E909" s="19"/>
      <c r="F909" s="21">
        <f>+F907+F903</f>
        <v>12000</v>
      </c>
      <c r="G909" s="19"/>
      <c r="H909" s="19"/>
      <c r="I909" s="913"/>
      <c r="J909" s="805">
        <f t="shared" ref="J909:Q909" si="327">+J907+J903</f>
        <v>10268.57554281884</v>
      </c>
      <c r="K909" s="805">
        <f t="shared" si="327"/>
        <v>851.75429468710206</v>
      </c>
      <c r="L909" s="805">
        <f t="shared" si="327"/>
        <v>695.93617789593395</v>
      </c>
      <c r="M909" s="805">
        <f t="shared" si="327"/>
        <v>9.29836863310768</v>
      </c>
      <c r="N909" s="805">
        <f t="shared" si="327"/>
        <v>20.815295396219998</v>
      </c>
      <c r="O909" s="805">
        <f>+O907+O903</f>
        <v>0.48345584918550294</v>
      </c>
      <c r="P909" s="805">
        <f t="shared" si="327"/>
        <v>1.0084355136384724</v>
      </c>
      <c r="Q909" s="805">
        <f t="shared" si="327"/>
        <v>151.92081012963587</v>
      </c>
      <c r="R909" s="805">
        <f>+R907+R903</f>
        <v>5.3387762486742658E-2</v>
      </c>
      <c r="S909" s="805">
        <f>+S907+S903</f>
        <v>0.15423131385058991</v>
      </c>
      <c r="T909" s="913"/>
      <c r="U909" s="235">
        <f>SUM(I909:T909)</f>
        <v>12000.000000000002</v>
      </c>
      <c r="V909" s="64"/>
      <c r="W909" s="643">
        <f t="shared" si="318"/>
        <v>0</v>
      </c>
    </row>
    <row r="910" spans="1:23" ht="15" x14ac:dyDescent="0.2">
      <c r="A910" s="45"/>
      <c r="B910" s="16">
        <f t="shared" si="316"/>
        <v>24</v>
      </c>
      <c r="C910" s="1"/>
      <c r="D910" s="1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"/>
      <c r="V910" s="64"/>
      <c r="W910" s="643">
        <f t="shared" si="318"/>
        <v>0</v>
      </c>
    </row>
    <row r="911" spans="1:23" ht="15.75" x14ac:dyDescent="0.25">
      <c r="A911" s="45"/>
      <c r="B911" s="16">
        <f t="shared" si="316"/>
        <v>25</v>
      </c>
      <c r="C911" s="8"/>
      <c r="D911" s="303" t="s">
        <v>268</v>
      </c>
      <c r="E911" s="19" t="s">
        <v>262</v>
      </c>
      <c r="F911" s="21"/>
      <c r="G911" s="19"/>
      <c r="H911" s="19"/>
      <c r="I911" s="913"/>
      <c r="J911" s="961"/>
      <c r="K911" s="961"/>
      <c r="L911" s="961"/>
      <c r="M911" s="961"/>
      <c r="N911" s="961"/>
      <c r="O911" s="961"/>
      <c r="P911" s="961"/>
      <c r="Q911" s="961"/>
      <c r="R911" s="961"/>
      <c r="S911" s="961"/>
      <c r="T911" s="913"/>
      <c r="U911" s="8"/>
      <c r="V911" s="64"/>
      <c r="W911" s="643">
        <f t="shared" si="318"/>
        <v>0</v>
      </c>
    </row>
    <row r="912" spans="1:23" ht="15" x14ac:dyDescent="0.2">
      <c r="A912" s="45"/>
      <c r="B912" s="16">
        <f t="shared" si="316"/>
        <v>26</v>
      </c>
      <c r="C912" s="1" t="s">
        <v>227</v>
      </c>
      <c r="D912" s="49" t="s">
        <v>628</v>
      </c>
      <c r="E912" s="16"/>
      <c r="F912" s="97">
        <f>' WP II-I-1.4'!I912</f>
        <v>0</v>
      </c>
      <c r="G912" s="16">
        <v>9</v>
      </c>
      <c r="H912" s="45" t="str">
        <f>VLOOKUP(G912,FactorTable,2)</f>
        <v>CUS U ALL</v>
      </c>
      <c r="I912" s="16"/>
      <c r="J912" s="369">
        <f t="shared" ref="J912:S914" si="328">$F912*HLOOKUP(J$1354,FactorTable,$G912+1)</f>
        <v>0</v>
      </c>
      <c r="K912" s="369">
        <f t="shared" si="328"/>
        <v>0</v>
      </c>
      <c r="L912" s="369">
        <f t="shared" si="328"/>
        <v>0</v>
      </c>
      <c r="M912" s="369">
        <f t="shared" si="328"/>
        <v>0</v>
      </c>
      <c r="N912" s="369">
        <f t="shared" si="328"/>
        <v>0</v>
      </c>
      <c r="O912" s="369">
        <f t="shared" si="328"/>
        <v>0</v>
      </c>
      <c r="P912" s="369">
        <f t="shared" si="328"/>
        <v>0</v>
      </c>
      <c r="Q912" s="369">
        <f t="shared" si="328"/>
        <v>0</v>
      </c>
      <c r="R912" s="369">
        <f t="shared" si="328"/>
        <v>0</v>
      </c>
      <c r="S912" s="369">
        <f t="shared" si="328"/>
        <v>0</v>
      </c>
      <c r="T912" s="16"/>
      <c r="U912" s="97">
        <f>SUM(I912:T912)</f>
        <v>0</v>
      </c>
      <c r="V912" s="64"/>
      <c r="W912" s="643">
        <f t="shared" si="318"/>
        <v>0</v>
      </c>
    </row>
    <row r="913" spans="1:23" ht="15" x14ac:dyDescent="0.2">
      <c r="A913" s="45"/>
      <c r="B913" s="16">
        <f t="shared" si="316"/>
        <v>27</v>
      </c>
      <c r="C913" s="1" t="s">
        <v>229</v>
      </c>
      <c r="D913" s="49" t="s">
        <v>629</v>
      </c>
      <c r="E913" s="16"/>
      <c r="F913" s="97">
        <f>' WP II-I-1.4'!I913</f>
        <v>0</v>
      </c>
      <c r="G913" s="16">
        <v>9</v>
      </c>
      <c r="H913" s="45" t="str">
        <f>VLOOKUP(G913,FactorTable,2)</f>
        <v>CUS U ALL</v>
      </c>
      <c r="I913" s="16"/>
      <c r="J913" s="369">
        <f t="shared" si="328"/>
        <v>0</v>
      </c>
      <c r="K913" s="369">
        <f t="shared" si="328"/>
        <v>0</v>
      </c>
      <c r="L913" s="369">
        <f t="shared" si="328"/>
        <v>0</v>
      </c>
      <c r="M913" s="369">
        <f t="shared" si="328"/>
        <v>0</v>
      </c>
      <c r="N913" s="369">
        <f t="shared" si="328"/>
        <v>0</v>
      </c>
      <c r="O913" s="369">
        <f t="shared" si="328"/>
        <v>0</v>
      </c>
      <c r="P913" s="369">
        <f t="shared" si="328"/>
        <v>0</v>
      </c>
      <c r="Q913" s="369">
        <f t="shared" si="328"/>
        <v>0</v>
      </c>
      <c r="R913" s="369">
        <f t="shared" si="328"/>
        <v>0</v>
      </c>
      <c r="S913" s="369">
        <f t="shared" si="328"/>
        <v>0</v>
      </c>
      <c r="T913" s="16"/>
      <c r="U913" s="97">
        <f>SUM(I913:T913)</f>
        <v>0</v>
      </c>
      <c r="V913" s="64"/>
      <c r="W913" s="643">
        <f t="shared" si="318"/>
        <v>0</v>
      </c>
    </row>
    <row r="914" spans="1:23" ht="15" x14ac:dyDescent="0.2">
      <c r="A914" s="45"/>
      <c r="B914" s="16">
        <f t="shared" si="316"/>
        <v>28</v>
      </c>
      <c r="C914" s="1" t="s">
        <v>233</v>
      </c>
      <c r="D914" s="49" t="s">
        <v>225</v>
      </c>
      <c r="E914" s="16"/>
      <c r="F914" s="97">
        <f>' WP II-I-1.4'!I914</f>
        <v>0</v>
      </c>
      <c r="G914" s="16">
        <v>9</v>
      </c>
      <c r="H914" s="45" t="str">
        <f>VLOOKUP(G914,FactorTable,2)</f>
        <v>CUS U ALL</v>
      </c>
      <c r="I914" s="16"/>
      <c r="J914" s="370">
        <f t="shared" si="328"/>
        <v>0</v>
      </c>
      <c r="K914" s="370">
        <f t="shared" si="328"/>
        <v>0</v>
      </c>
      <c r="L914" s="370">
        <f t="shared" si="328"/>
        <v>0</v>
      </c>
      <c r="M914" s="370">
        <f t="shared" si="328"/>
        <v>0</v>
      </c>
      <c r="N914" s="370">
        <f t="shared" si="328"/>
        <v>0</v>
      </c>
      <c r="O914" s="370">
        <f t="shared" si="328"/>
        <v>0</v>
      </c>
      <c r="P914" s="370">
        <f t="shared" si="328"/>
        <v>0</v>
      </c>
      <c r="Q914" s="370">
        <f t="shared" si="328"/>
        <v>0</v>
      </c>
      <c r="R914" s="370">
        <f t="shared" si="328"/>
        <v>0</v>
      </c>
      <c r="S914" s="370">
        <f t="shared" si="328"/>
        <v>0</v>
      </c>
      <c r="T914" s="16"/>
      <c r="U914" s="97">
        <f>SUM(I914:T914)</f>
        <v>0</v>
      </c>
      <c r="V914" s="64"/>
      <c r="W914" s="643">
        <f t="shared" si="318"/>
        <v>0</v>
      </c>
    </row>
    <row r="915" spans="1:23" ht="15.75" x14ac:dyDescent="0.25">
      <c r="A915" s="45"/>
      <c r="B915" s="16">
        <f t="shared" si="316"/>
        <v>29</v>
      </c>
      <c r="C915" s="8"/>
      <c r="D915" s="233" t="s">
        <v>630</v>
      </c>
      <c r="E915" s="19"/>
      <c r="F915" s="21">
        <f>+F912+F913+F914</f>
        <v>0</v>
      </c>
      <c r="G915" s="19"/>
      <c r="H915" s="19"/>
      <c r="I915" s="913"/>
      <c r="J915" s="805">
        <f t="shared" ref="J915:Q915" si="329">+J912+J913+J914</f>
        <v>0</v>
      </c>
      <c r="K915" s="805">
        <f t="shared" si="329"/>
        <v>0</v>
      </c>
      <c r="L915" s="805">
        <f t="shared" si="329"/>
        <v>0</v>
      </c>
      <c r="M915" s="805">
        <f t="shared" si="329"/>
        <v>0</v>
      </c>
      <c r="N915" s="805">
        <f t="shared" si="329"/>
        <v>0</v>
      </c>
      <c r="O915" s="805">
        <f>+O912+O913+O914</f>
        <v>0</v>
      </c>
      <c r="P915" s="805">
        <f t="shared" si="329"/>
        <v>0</v>
      </c>
      <c r="Q915" s="805">
        <f t="shared" si="329"/>
        <v>0</v>
      </c>
      <c r="R915" s="805">
        <f>+R912+R913+R914</f>
        <v>0</v>
      </c>
      <c r="S915" s="805">
        <f>+S912+S913+S914</f>
        <v>0</v>
      </c>
      <c r="T915" s="913"/>
      <c r="U915" s="235">
        <f>SUM(I915:T915)</f>
        <v>0</v>
      </c>
      <c r="V915" s="64"/>
      <c r="W915" s="643">
        <f t="shared" si="318"/>
        <v>0</v>
      </c>
    </row>
    <row r="916" spans="1:23" ht="15.75" x14ac:dyDescent="0.25">
      <c r="A916" s="45"/>
      <c r="B916" s="16">
        <f t="shared" si="316"/>
        <v>30</v>
      </c>
      <c r="C916" s="1"/>
      <c r="D916" s="233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"/>
      <c r="V916" s="64"/>
      <c r="W916" s="643">
        <f t="shared" si="318"/>
        <v>0</v>
      </c>
    </row>
    <row r="917" spans="1:23" ht="15" x14ac:dyDescent="0.2">
      <c r="A917" s="45"/>
      <c r="B917" s="16">
        <f t="shared" si="316"/>
        <v>31</v>
      </c>
      <c r="C917" s="1" t="s">
        <v>226</v>
      </c>
      <c r="D917" s="49" t="s">
        <v>206</v>
      </c>
      <c r="E917" s="16"/>
      <c r="F917" s="97">
        <f>' WP II-I-1.4'!I917</f>
        <v>0</v>
      </c>
      <c r="G917" s="16">
        <v>9</v>
      </c>
      <c r="H917" s="45" t="str">
        <f>VLOOKUP(G917,FactorTable,2)</f>
        <v>CUS U ALL</v>
      </c>
      <c r="I917" s="16"/>
      <c r="J917" s="369">
        <f t="shared" ref="J917:S918" si="330">$F917*HLOOKUP(J$1354,FactorTable,$G917+1)</f>
        <v>0</v>
      </c>
      <c r="K917" s="369">
        <f t="shared" si="330"/>
        <v>0</v>
      </c>
      <c r="L917" s="369">
        <f t="shared" si="330"/>
        <v>0</v>
      </c>
      <c r="M917" s="369">
        <f t="shared" si="330"/>
        <v>0</v>
      </c>
      <c r="N917" s="369">
        <f t="shared" si="330"/>
        <v>0</v>
      </c>
      <c r="O917" s="369">
        <f t="shared" si="330"/>
        <v>0</v>
      </c>
      <c r="P917" s="369">
        <f t="shared" si="330"/>
        <v>0</v>
      </c>
      <c r="Q917" s="369">
        <f t="shared" si="330"/>
        <v>0</v>
      </c>
      <c r="R917" s="369">
        <f t="shared" si="330"/>
        <v>0</v>
      </c>
      <c r="S917" s="369">
        <f t="shared" si="330"/>
        <v>0</v>
      </c>
      <c r="T917" s="16"/>
      <c r="U917" s="97">
        <f>SUM(I917:T917)</f>
        <v>0</v>
      </c>
      <c r="V917" s="64"/>
      <c r="W917" s="643">
        <f t="shared" si="318"/>
        <v>0</v>
      </c>
    </row>
    <row r="918" spans="1:23" ht="15" x14ac:dyDescent="0.2">
      <c r="A918" s="45"/>
      <c r="B918" s="16">
        <f t="shared" si="316"/>
        <v>32</v>
      </c>
      <c r="C918" s="1" t="s">
        <v>231</v>
      </c>
      <c r="D918" s="49" t="s">
        <v>631</v>
      </c>
      <c r="E918" s="16"/>
      <c r="F918" s="97">
        <f>' WP II-I-1.4'!I918</f>
        <v>0</v>
      </c>
      <c r="G918" s="16">
        <v>9</v>
      </c>
      <c r="H918" s="45" t="str">
        <f>VLOOKUP(G918,FactorTable,2)</f>
        <v>CUS U ALL</v>
      </c>
      <c r="I918" s="16"/>
      <c r="J918" s="370">
        <f t="shared" si="330"/>
        <v>0</v>
      </c>
      <c r="K918" s="370">
        <f t="shared" si="330"/>
        <v>0</v>
      </c>
      <c r="L918" s="370">
        <f t="shared" si="330"/>
        <v>0</v>
      </c>
      <c r="M918" s="370">
        <f t="shared" si="330"/>
        <v>0</v>
      </c>
      <c r="N918" s="370">
        <f t="shared" si="330"/>
        <v>0</v>
      </c>
      <c r="O918" s="370">
        <f t="shared" si="330"/>
        <v>0</v>
      </c>
      <c r="P918" s="370">
        <f t="shared" si="330"/>
        <v>0</v>
      </c>
      <c r="Q918" s="370">
        <f t="shared" si="330"/>
        <v>0</v>
      </c>
      <c r="R918" s="370">
        <f t="shared" si="330"/>
        <v>0</v>
      </c>
      <c r="S918" s="370">
        <f t="shared" si="330"/>
        <v>0</v>
      </c>
      <c r="T918" s="16"/>
      <c r="U918" s="97">
        <f>SUM(I918:T918)</f>
        <v>0</v>
      </c>
      <c r="V918" s="64"/>
      <c r="W918" s="643">
        <f t="shared" si="318"/>
        <v>0</v>
      </c>
    </row>
    <row r="919" spans="1:23" ht="15.75" x14ac:dyDescent="0.25">
      <c r="A919" s="45"/>
      <c r="B919" s="16">
        <f t="shared" si="316"/>
        <v>33</v>
      </c>
      <c r="C919" s="8"/>
      <c r="D919" s="24" t="s">
        <v>632</v>
      </c>
      <c r="E919" s="19"/>
      <c r="F919" s="21">
        <f>SUM(F917:F918)</f>
        <v>0</v>
      </c>
      <c r="G919" s="19"/>
      <c r="H919" s="19"/>
      <c r="I919" s="913"/>
      <c r="J919" s="805">
        <f t="shared" ref="J919:Q919" si="331">SUM(J917:J918)</f>
        <v>0</v>
      </c>
      <c r="K919" s="805">
        <f t="shared" si="331"/>
        <v>0</v>
      </c>
      <c r="L919" s="805">
        <f t="shared" si="331"/>
        <v>0</v>
      </c>
      <c r="M919" s="805">
        <f t="shared" si="331"/>
        <v>0</v>
      </c>
      <c r="N919" s="805">
        <f t="shared" si="331"/>
        <v>0</v>
      </c>
      <c r="O919" s="805">
        <f>SUM(O917:O918)</f>
        <v>0</v>
      </c>
      <c r="P919" s="805">
        <f t="shared" si="331"/>
        <v>0</v>
      </c>
      <c r="Q919" s="805">
        <f t="shared" si="331"/>
        <v>0</v>
      </c>
      <c r="R919" s="805">
        <f>SUM(R917:R918)</f>
        <v>0</v>
      </c>
      <c r="S919" s="805">
        <f>SUM(S917:S918)</f>
        <v>0</v>
      </c>
      <c r="T919" s="19"/>
      <c r="U919" s="235">
        <f>SUM(I919:T919)</f>
        <v>0</v>
      </c>
      <c r="V919" s="64"/>
      <c r="W919" s="643">
        <f t="shared" si="318"/>
        <v>0</v>
      </c>
    </row>
    <row r="920" spans="1:23" ht="6.95" customHeight="1" x14ac:dyDescent="0.2">
      <c r="A920" s="45"/>
      <c r="B920" s="16">
        <f t="shared" si="316"/>
        <v>34</v>
      </c>
      <c r="C920" s="1"/>
      <c r="D920" s="1"/>
      <c r="E920" s="16"/>
      <c r="F920" s="18"/>
      <c r="G920" s="16"/>
      <c r="H920" s="16"/>
      <c r="I920" s="1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6"/>
      <c r="U920" s="1"/>
      <c r="V920" s="64"/>
      <c r="W920" s="643">
        <f t="shared" si="318"/>
        <v>0</v>
      </c>
    </row>
    <row r="921" spans="1:23" ht="15.75" x14ac:dyDescent="0.25">
      <c r="A921" s="45"/>
      <c r="B921" s="16">
        <f t="shared" si="316"/>
        <v>35</v>
      </c>
      <c r="C921" s="8"/>
      <c r="D921" s="233" t="s">
        <v>633</v>
      </c>
      <c r="E921" s="19"/>
      <c r="F921" s="21">
        <f>+F915+F919</f>
        <v>0</v>
      </c>
      <c r="G921" s="19"/>
      <c r="H921" s="19"/>
      <c r="I921" s="19"/>
      <c r="J921" s="805">
        <f t="shared" ref="J921:Q921" si="332">+J915+J919</f>
        <v>0</v>
      </c>
      <c r="K921" s="805">
        <f t="shared" si="332"/>
        <v>0</v>
      </c>
      <c r="L921" s="805">
        <f t="shared" si="332"/>
        <v>0</v>
      </c>
      <c r="M921" s="805">
        <f t="shared" si="332"/>
        <v>0</v>
      </c>
      <c r="N921" s="805">
        <f t="shared" si="332"/>
        <v>0</v>
      </c>
      <c r="O921" s="805">
        <f>+O915+O919</f>
        <v>0</v>
      </c>
      <c r="P921" s="805">
        <f t="shared" si="332"/>
        <v>0</v>
      </c>
      <c r="Q921" s="805">
        <f t="shared" si="332"/>
        <v>0</v>
      </c>
      <c r="R921" s="805">
        <f>+R915+R919</f>
        <v>0</v>
      </c>
      <c r="S921" s="805">
        <f>+S915+S919</f>
        <v>0</v>
      </c>
      <c r="T921" s="19"/>
      <c r="U921" s="97">
        <f>SUM(I921:T921)</f>
        <v>0</v>
      </c>
      <c r="V921" s="64"/>
      <c r="W921" s="643">
        <f t="shared" si="318"/>
        <v>0</v>
      </c>
    </row>
    <row r="922" spans="1:23" ht="15.75" thickBot="1" x14ac:dyDescent="0.25">
      <c r="A922" s="45"/>
      <c r="B922" s="16">
        <f t="shared" si="316"/>
        <v>36</v>
      </c>
      <c r="C922" s="1"/>
      <c r="D922" s="49"/>
      <c r="E922" s="16"/>
      <c r="F922" s="18"/>
      <c r="G922" s="16"/>
      <c r="H922" s="16"/>
      <c r="I922" s="1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6"/>
      <c r="U922" s="1"/>
      <c r="V922" s="64"/>
      <c r="W922" s="643">
        <f t="shared" si="318"/>
        <v>0</v>
      </c>
    </row>
    <row r="923" spans="1:23" ht="16.5" thickBot="1" x14ac:dyDescent="0.3">
      <c r="A923" s="45"/>
      <c r="B923" s="16">
        <f t="shared" si="316"/>
        <v>37</v>
      </c>
      <c r="C923" s="779" t="s">
        <v>634</v>
      </c>
      <c r="D923" s="920"/>
      <c r="E923" s="916"/>
      <c r="F923" s="917">
        <f>+F921+F909+F897</f>
        <v>1491495.79</v>
      </c>
      <c r="G923" s="916"/>
      <c r="H923" s="916"/>
      <c r="I923" s="974"/>
      <c r="J923" s="971">
        <f t="shared" ref="J923:Q923" si="333">+J921+J909+J897</f>
        <v>782629.69677541952</v>
      </c>
      <c r="K923" s="917">
        <f t="shared" si="333"/>
        <v>109202.49564496856</v>
      </c>
      <c r="L923" s="917">
        <f t="shared" si="333"/>
        <v>426804.23033394403</v>
      </c>
      <c r="M923" s="917">
        <f t="shared" si="333"/>
        <v>17953.593818837919</v>
      </c>
      <c r="N923" s="917">
        <f t="shared" si="333"/>
        <v>138201.36304736769</v>
      </c>
      <c r="O923" s="917">
        <f>+O921+O909+O897</f>
        <v>4534.4910065315462</v>
      </c>
      <c r="P923" s="917">
        <f t="shared" si="333"/>
        <v>9458.4474982866632</v>
      </c>
      <c r="Q923" s="917">
        <f t="shared" si="333"/>
        <v>939.50856864629145</v>
      </c>
      <c r="R923" s="917">
        <f>+R921+R909+R897</f>
        <v>500.74133814458816</v>
      </c>
      <c r="S923" s="955">
        <f>+S921+S909+S897</f>
        <v>1271.2219678530137</v>
      </c>
      <c r="T923" s="975"/>
      <c r="U923" s="918">
        <f>SUM(I923:T923)</f>
        <v>1491495.7899999998</v>
      </c>
      <c r="V923" s="64"/>
      <c r="W923" s="643">
        <f t="shared" si="318"/>
        <v>0</v>
      </c>
    </row>
    <row r="924" spans="1:23" ht="16.5" thickBot="1" x14ac:dyDescent="0.3">
      <c r="A924" s="45"/>
      <c r="B924" s="16">
        <f t="shared" si="316"/>
        <v>38</v>
      </c>
      <c r="C924" s="1"/>
      <c r="D924" s="8"/>
      <c r="E924" s="16"/>
      <c r="F924" s="18"/>
      <c r="G924" s="16"/>
      <c r="H924" s="16"/>
      <c r="I924" s="1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6"/>
      <c r="U924" s="1"/>
      <c r="V924" s="64"/>
      <c r="W924" s="643">
        <f t="shared" si="318"/>
        <v>0</v>
      </c>
    </row>
    <row r="925" spans="1:23" ht="16.5" thickBot="1" x14ac:dyDescent="0.3">
      <c r="A925" s="45"/>
      <c r="B925" s="16">
        <f t="shared" si="316"/>
        <v>39</v>
      </c>
      <c r="C925" s="223" t="s">
        <v>1115</v>
      </c>
      <c r="D925" s="224"/>
      <c r="E925" s="309" t="s">
        <v>262</v>
      </c>
      <c r="F925" s="194">
        <f>+F923+F874+F827</f>
        <v>1587729.1600000001</v>
      </c>
      <c r="G925" s="309"/>
      <c r="H925" s="402"/>
      <c r="I925" s="968"/>
      <c r="J925" s="381">
        <f t="shared" ref="J925:Q925" ca="1" si="334">+J923+J874+J827</f>
        <v>782629.69677541952</v>
      </c>
      <c r="K925" s="812">
        <f t="shared" ca="1" si="334"/>
        <v>109202.49564496856</v>
      </c>
      <c r="L925" s="812">
        <f t="shared" ca="1" si="334"/>
        <v>426804.23033394403</v>
      </c>
      <c r="M925" s="812">
        <f t="shared" ca="1" si="334"/>
        <v>17953.593818837919</v>
      </c>
      <c r="N925" s="812">
        <f t="shared" ca="1" si="334"/>
        <v>138201.36304736769</v>
      </c>
      <c r="O925" s="812">
        <f ca="1">+O923+O874+O827</f>
        <v>4534.4910065315462</v>
      </c>
      <c r="P925" s="812">
        <f t="shared" ca="1" si="334"/>
        <v>9458.4474982866632</v>
      </c>
      <c r="Q925" s="812">
        <f t="shared" ca="1" si="334"/>
        <v>97172.87856864628</v>
      </c>
      <c r="R925" s="812">
        <f ca="1">+R923+R874+R827</f>
        <v>500.74133814458816</v>
      </c>
      <c r="S925" s="315">
        <f ca="1">+S923+S874+S827</f>
        <v>1271.2219678530137</v>
      </c>
      <c r="T925" s="402"/>
      <c r="U925" s="195">
        <f ca="1">SUM(I925:T925)</f>
        <v>1587729.1599999997</v>
      </c>
      <c r="V925" s="64"/>
      <c r="W925" s="643">
        <f t="shared" ca="1" si="318"/>
        <v>0</v>
      </c>
    </row>
    <row r="926" spans="1:23" ht="12.6" customHeight="1" x14ac:dyDescent="0.2">
      <c r="A926" s="45"/>
      <c r="B926" s="16"/>
      <c r="C926" s="16"/>
      <c r="D926" s="16"/>
      <c r="E926" s="16"/>
      <c r="F926" s="16"/>
      <c r="G926" s="16"/>
      <c r="H926" s="105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05"/>
      <c r="V926" s="105">
        <f>$H$2</f>
        <v>0</v>
      </c>
      <c r="W926" s="138"/>
    </row>
    <row r="927" spans="1:23" ht="15.75" thickBot="1" x14ac:dyDescent="0.25">
      <c r="A927" s="4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64"/>
      <c r="W927" s="138"/>
    </row>
    <row r="928" spans="1:23" ht="15.75" x14ac:dyDescent="0.25">
      <c r="A928" s="45"/>
      <c r="B928" s="829" t="str">
        <f>+$B$4</f>
        <v>2025 RATE CASE</v>
      </c>
      <c r="C928" s="844"/>
      <c r="D928" s="547"/>
      <c r="F928" s="11"/>
      <c r="U928" s="105"/>
      <c r="W928" s="138"/>
    </row>
    <row r="929" spans="1:23" ht="15.75" x14ac:dyDescent="0.25">
      <c r="A929" s="45"/>
      <c r="B929" s="826" t="str">
        <f>+$B$5</f>
        <v>ONCOR ELECTRIC DELIVERY COMPANY LLC</v>
      </c>
      <c r="C929" s="8"/>
      <c r="D929" s="548"/>
      <c r="F929" s="11"/>
      <c r="U929" s="105"/>
      <c r="V929" s="64"/>
      <c r="W929" s="138"/>
    </row>
    <row r="930" spans="1:23" ht="15.75" x14ac:dyDescent="0.25">
      <c r="A930" s="45"/>
      <c r="B930" s="826" t="str">
        <f>+$B$6</f>
        <v>II-I-1-TBILLTDCS:  CLASS REVENUE REQUIREMENT</v>
      </c>
      <c r="C930" s="82"/>
      <c r="D930" s="548"/>
      <c r="F930" s="11"/>
      <c r="U930" s="11"/>
      <c r="V930" s="64"/>
      <c r="W930" s="138"/>
    </row>
    <row r="931" spans="1:23" ht="15.75" x14ac:dyDescent="0.25">
      <c r="A931" s="45"/>
      <c r="B931" s="341" t="str">
        <f>+$B$7</f>
        <v>TEST YEAR ENDING 12/31/2024</v>
      </c>
      <c r="C931" s="82"/>
      <c r="D931" s="548"/>
      <c r="F931" s="11"/>
      <c r="U931" s="11"/>
      <c r="V931" s="64"/>
      <c r="W931" s="138"/>
    </row>
    <row r="932" spans="1:23" ht="15.75" x14ac:dyDescent="0.25">
      <c r="A932" s="45"/>
      <c r="B932" s="341" t="str">
        <f>+$B$8</f>
        <v>SPONSOR:  MATTHEW A. TROXLE</v>
      </c>
      <c r="C932" s="82"/>
      <c r="D932" s="548"/>
      <c r="F932" s="11"/>
      <c r="U932" s="11"/>
      <c r="V932" s="64"/>
      <c r="W932" s="138"/>
    </row>
    <row r="933" spans="1:23" ht="16.5" thickBot="1" x14ac:dyDescent="0.3">
      <c r="A933" s="45"/>
      <c r="B933" s="345"/>
      <c r="C933" s="843"/>
      <c r="D933" s="549"/>
      <c r="F933" s="11"/>
      <c r="U933" s="11"/>
      <c r="V933" s="64"/>
      <c r="W933" s="138"/>
    </row>
    <row r="934" spans="1:23" ht="15.75" thickBot="1" x14ac:dyDescent="0.25">
      <c r="A934" s="45"/>
      <c r="B934" s="12"/>
      <c r="C934" s="13"/>
      <c r="D934" s="13"/>
      <c r="E934" s="13"/>
      <c r="F934" s="12"/>
      <c r="G934" s="13"/>
      <c r="H934" s="13"/>
      <c r="I934" s="13"/>
      <c r="J934" s="177"/>
      <c r="K934" s="177"/>
      <c r="L934" s="13"/>
      <c r="M934" s="177"/>
      <c r="N934" s="177"/>
      <c r="O934" s="177"/>
      <c r="P934" s="177"/>
      <c r="Q934" s="13"/>
      <c r="R934" s="328" t="str">
        <f>R$10</f>
        <v xml:space="preserve"> </v>
      </c>
      <c r="S934" s="329"/>
      <c r="T934" s="177"/>
      <c r="U934" s="12"/>
      <c r="V934" s="64"/>
      <c r="W934" s="138"/>
    </row>
    <row r="935" spans="1:23" ht="15.75" x14ac:dyDescent="0.25">
      <c r="A935" s="45"/>
      <c r="B935" s="14" t="s">
        <v>2</v>
      </c>
      <c r="C935" s="14" t="s">
        <v>349</v>
      </c>
      <c r="D935" s="226" t="s">
        <v>635</v>
      </c>
      <c r="E935" s="14" t="s">
        <v>350</v>
      </c>
      <c r="F935" s="226" t="str">
        <f>F$11</f>
        <v>TBILLTDCS</v>
      </c>
      <c r="G935" s="181" t="s">
        <v>688</v>
      </c>
      <c r="H935" s="181" t="s">
        <v>355</v>
      </c>
      <c r="I935" s="14"/>
      <c r="J935" s="181" t="s">
        <v>679</v>
      </c>
      <c r="K935" s="181" t="s">
        <v>388</v>
      </c>
      <c r="L935" s="14" t="s">
        <v>388</v>
      </c>
      <c r="M935" s="181" t="s">
        <v>389</v>
      </c>
      <c r="N935" s="181" t="s">
        <v>389</v>
      </c>
      <c r="O935" s="181" t="s">
        <v>389</v>
      </c>
      <c r="P935" s="181" t="s">
        <v>390</v>
      </c>
      <c r="Q935" s="14" t="s">
        <v>391</v>
      </c>
      <c r="R935" s="331" t="str">
        <f>R$11</f>
        <v>Wholesale</v>
      </c>
      <c r="S935" s="12" t="str">
        <f>S$11</f>
        <v>Wholesale</v>
      </c>
      <c r="T935" s="181"/>
      <c r="U935" s="14" t="s">
        <v>10</v>
      </c>
      <c r="V935" s="64"/>
      <c r="W935" s="138"/>
    </row>
    <row r="936" spans="1:23" ht="15" x14ac:dyDescent="0.2">
      <c r="A936" s="45"/>
      <c r="B936" s="14"/>
      <c r="C936" s="14"/>
      <c r="D936" s="14"/>
      <c r="E936" s="14"/>
      <c r="F936" s="14"/>
      <c r="G936" s="181" t="s">
        <v>689</v>
      </c>
      <c r="H936" s="181" t="s">
        <v>690</v>
      </c>
      <c r="I936" s="14"/>
      <c r="J936" s="181"/>
      <c r="K936" s="181" t="s">
        <v>680</v>
      </c>
      <c r="L936" s="14" t="s">
        <v>681</v>
      </c>
      <c r="M936" s="181" t="s">
        <v>680</v>
      </c>
      <c r="N936" s="181" t="s">
        <v>681</v>
      </c>
      <c r="O936" s="181" t="s">
        <v>393</v>
      </c>
      <c r="P936" s="181"/>
      <c r="Q936" s="14"/>
      <c r="R936" s="174" t="str">
        <f>R$12</f>
        <v>XFMR</v>
      </c>
      <c r="S936" s="14" t="str">
        <f>S$12</f>
        <v>DLS</v>
      </c>
      <c r="T936" s="181"/>
      <c r="U936" s="14"/>
      <c r="V936" s="64"/>
      <c r="W936" s="138"/>
    </row>
    <row r="937" spans="1:23" ht="15.75" thickBot="1" x14ac:dyDescent="0.25">
      <c r="A937" s="45"/>
      <c r="B937" s="15"/>
      <c r="C937" s="15"/>
      <c r="D937" s="15"/>
      <c r="E937" s="15"/>
      <c r="F937" s="15" t="s">
        <v>13</v>
      </c>
      <c r="G937" s="15" t="s">
        <v>14</v>
      </c>
      <c r="H937" s="15" t="s">
        <v>15</v>
      </c>
      <c r="I937" s="15"/>
      <c r="J937" s="182" t="str">
        <f t="shared" ref="J937:Q937" si="335">J$13</f>
        <v>(d)</v>
      </c>
      <c r="K937" s="182" t="str">
        <f t="shared" si="335"/>
        <v>(e)</v>
      </c>
      <c r="L937" s="15" t="str">
        <f t="shared" si="335"/>
        <v>(f)</v>
      </c>
      <c r="M937" s="182" t="str">
        <f t="shared" si="335"/>
        <v>(g)</v>
      </c>
      <c r="N937" s="182" t="str">
        <f t="shared" si="335"/>
        <v>(h)</v>
      </c>
      <c r="O937" s="182" t="str">
        <f>O$13</f>
        <v>(i)</v>
      </c>
      <c r="P937" s="182" t="str">
        <f t="shared" si="335"/>
        <v>(j)</v>
      </c>
      <c r="Q937" s="182" t="str">
        <f t="shared" si="335"/>
        <v>(k)</v>
      </c>
      <c r="R937" s="182" t="str">
        <f>R$13</f>
        <v>(l)</v>
      </c>
      <c r="S937" s="15" t="str">
        <f>S$13</f>
        <v>(m)</v>
      </c>
      <c r="T937" s="15"/>
      <c r="U937" s="15" t="s">
        <v>683</v>
      </c>
      <c r="V937" s="64"/>
      <c r="W937" s="138"/>
    </row>
    <row r="938" spans="1:23" ht="15.75" x14ac:dyDescent="0.25">
      <c r="A938" s="45"/>
      <c r="B938" s="16"/>
      <c r="C938" s="1"/>
      <c r="D938" s="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"/>
      <c r="V938" s="64"/>
      <c r="W938" s="138"/>
    </row>
    <row r="939" spans="1:23" ht="15.75" x14ac:dyDescent="0.25">
      <c r="A939" s="45"/>
      <c r="B939" s="16">
        <f t="shared" ref="B939:B957" si="336">B938+1</f>
        <v>1</v>
      </c>
      <c r="C939" s="8" t="s">
        <v>635</v>
      </c>
      <c r="D939" s="8"/>
      <c r="E939" s="19" t="s">
        <v>262</v>
      </c>
      <c r="F939" s="21"/>
      <c r="G939" s="19"/>
      <c r="H939" s="19"/>
      <c r="I939" s="913"/>
      <c r="J939" s="961"/>
      <c r="K939" s="961"/>
      <c r="L939" s="961"/>
      <c r="M939" s="961"/>
      <c r="N939" s="961"/>
      <c r="O939" s="961"/>
      <c r="P939" s="961"/>
      <c r="Q939" s="961"/>
      <c r="R939" s="961"/>
      <c r="S939" s="961"/>
      <c r="T939" s="19"/>
      <c r="U939" s="8"/>
      <c r="V939" s="64"/>
      <c r="W939" s="643">
        <f t="shared" ref="W939:W957" si="337">F939-U939</f>
        <v>0</v>
      </c>
    </row>
    <row r="940" spans="1:23" ht="15.75" x14ac:dyDescent="0.25">
      <c r="A940" s="45"/>
      <c r="B940" s="16">
        <f t="shared" si="336"/>
        <v>2</v>
      </c>
      <c r="C940" s="1" t="s">
        <v>237</v>
      </c>
      <c r="D940" s="1" t="s">
        <v>238</v>
      </c>
      <c r="E940" s="18"/>
      <c r="F940" s="97">
        <f>' WP II-I-1.4'!I940</f>
        <v>20904714.86999999</v>
      </c>
      <c r="G940" s="16">
        <v>77</v>
      </c>
      <c r="H940" s="45" t="str">
        <f t="shared" ref="H940:H952" si="338">VLOOKUP(G940,FactorTable,2)</f>
        <v>O&amp;M x565</v>
      </c>
      <c r="I940" s="18"/>
      <c r="J940" s="369">
        <f t="shared" ref="J940:S952" ca="1" si="339">$F940*HLOOKUP(J$1354,FactorTable,$G940+1)</f>
        <v>10776406.581751574</v>
      </c>
      <c r="K940" s="369">
        <f t="shared" ca="1" si="339"/>
        <v>1330375.9443429161</v>
      </c>
      <c r="L940" s="369">
        <f t="shared" ca="1" si="339"/>
        <v>6086499.7205686197</v>
      </c>
      <c r="M940" s="369">
        <f t="shared" ca="1" si="339"/>
        <v>209351.60457380634</v>
      </c>
      <c r="N940" s="369">
        <f t="shared" ca="1" si="339"/>
        <v>1851368.7770310829</v>
      </c>
      <c r="O940" s="369">
        <f t="shared" ca="1" si="339"/>
        <v>103023.36674431559</v>
      </c>
      <c r="P940" s="369">
        <f t="shared" ca="1" si="339"/>
        <v>244870.09253575839</v>
      </c>
      <c r="Q940" s="369">
        <f t="shared" ca="1" si="339"/>
        <v>282270.36938172928</v>
      </c>
      <c r="R940" s="369">
        <f t="shared" ca="1" si="339"/>
        <v>5806.8421766688789</v>
      </c>
      <c r="S940" s="369">
        <f t="shared" ca="1" si="339"/>
        <v>14741.570893515971</v>
      </c>
      <c r="T940" s="18"/>
      <c r="U940" s="235">
        <f t="shared" ref="U940:U953" ca="1" si="340">SUM(I940:T940)</f>
        <v>20904714.869999982</v>
      </c>
      <c r="V940" s="64"/>
      <c r="W940" s="643">
        <f t="shared" ca="1" si="337"/>
        <v>0</v>
      </c>
    </row>
    <row r="941" spans="1:23" ht="15" x14ac:dyDescent="0.2">
      <c r="A941" s="45"/>
      <c r="B941" s="16">
        <f t="shared" si="336"/>
        <v>3</v>
      </c>
      <c r="C941" s="1" t="s">
        <v>239</v>
      </c>
      <c r="D941" s="1" t="s">
        <v>240</v>
      </c>
      <c r="E941" s="18"/>
      <c r="F941" s="97">
        <f>' WP II-I-1.4'!I941</f>
        <v>0</v>
      </c>
      <c r="G941" s="16">
        <v>77</v>
      </c>
      <c r="H941" s="45" t="str">
        <f t="shared" si="338"/>
        <v>O&amp;M x565</v>
      </c>
      <c r="I941" s="18"/>
      <c r="J941" s="369">
        <f t="shared" ca="1" si="339"/>
        <v>0</v>
      </c>
      <c r="K941" s="369">
        <f t="shared" ca="1" si="339"/>
        <v>0</v>
      </c>
      <c r="L941" s="369">
        <f t="shared" ca="1" si="339"/>
        <v>0</v>
      </c>
      <c r="M941" s="369">
        <f t="shared" ca="1" si="339"/>
        <v>0</v>
      </c>
      <c r="N941" s="369">
        <f t="shared" ca="1" si="339"/>
        <v>0</v>
      </c>
      <c r="O941" s="369">
        <f t="shared" ca="1" si="339"/>
        <v>0</v>
      </c>
      <c r="P941" s="369">
        <f t="shared" ca="1" si="339"/>
        <v>0</v>
      </c>
      <c r="Q941" s="369">
        <f t="shared" ca="1" si="339"/>
        <v>0</v>
      </c>
      <c r="R941" s="369">
        <f t="shared" ca="1" si="339"/>
        <v>0</v>
      </c>
      <c r="S941" s="369">
        <f t="shared" ca="1" si="339"/>
        <v>0</v>
      </c>
      <c r="T941" s="18"/>
      <c r="U941" s="97">
        <f t="shared" ca="1" si="340"/>
        <v>0</v>
      </c>
      <c r="V941" s="64"/>
      <c r="W941" s="643">
        <f t="shared" ca="1" si="337"/>
        <v>0</v>
      </c>
    </row>
    <row r="942" spans="1:23" ht="15" x14ac:dyDescent="0.2">
      <c r="A942" s="45"/>
      <c r="B942" s="16">
        <f t="shared" si="336"/>
        <v>4</v>
      </c>
      <c r="C942" s="1" t="s">
        <v>241</v>
      </c>
      <c r="D942" s="1" t="s">
        <v>242</v>
      </c>
      <c r="E942" s="18"/>
      <c r="F942" s="97">
        <f>' WP II-I-1.4'!I942</f>
        <v>0</v>
      </c>
      <c r="G942" s="16">
        <v>77</v>
      </c>
      <c r="H942" s="45" t="str">
        <f t="shared" si="338"/>
        <v>O&amp;M x565</v>
      </c>
      <c r="I942" s="18"/>
      <c r="J942" s="369">
        <f t="shared" ca="1" si="339"/>
        <v>0</v>
      </c>
      <c r="K942" s="369">
        <f t="shared" ca="1" si="339"/>
        <v>0</v>
      </c>
      <c r="L942" s="369">
        <f t="shared" ca="1" si="339"/>
        <v>0</v>
      </c>
      <c r="M942" s="369">
        <f t="shared" ca="1" si="339"/>
        <v>0</v>
      </c>
      <c r="N942" s="369">
        <f t="shared" ca="1" si="339"/>
        <v>0</v>
      </c>
      <c r="O942" s="369">
        <f t="shared" ca="1" si="339"/>
        <v>0</v>
      </c>
      <c r="P942" s="369">
        <f t="shared" ca="1" si="339"/>
        <v>0</v>
      </c>
      <c r="Q942" s="369">
        <f t="shared" ca="1" si="339"/>
        <v>0</v>
      </c>
      <c r="R942" s="369">
        <f t="shared" ca="1" si="339"/>
        <v>0</v>
      </c>
      <c r="S942" s="369">
        <f t="shared" ca="1" si="339"/>
        <v>0</v>
      </c>
      <c r="T942" s="18"/>
      <c r="U942" s="97">
        <f t="shared" ca="1" si="340"/>
        <v>0</v>
      </c>
      <c r="V942" s="64"/>
      <c r="W942" s="643">
        <f t="shared" ca="1" si="337"/>
        <v>0</v>
      </c>
    </row>
    <row r="943" spans="1:23" ht="15" x14ac:dyDescent="0.2">
      <c r="A943" s="45"/>
      <c r="B943" s="16">
        <f t="shared" si="336"/>
        <v>5</v>
      </c>
      <c r="C943" s="1" t="s">
        <v>243</v>
      </c>
      <c r="D943" s="1" t="s">
        <v>244</v>
      </c>
      <c r="E943" s="18"/>
      <c r="F943" s="97">
        <f>' WP II-I-1.4'!I943</f>
        <v>0</v>
      </c>
      <c r="G943" s="16">
        <v>77</v>
      </c>
      <c r="H943" s="45" t="str">
        <f t="shared" si="338"/>
        <v>O&amp;M x565</v>
      </c>
      <c r="I943" s="18"/>
      <c r="J943" s="369">
        <f t="shared" ca="1" si="339"/>
        <v>0</v>
      </c>
      <c r="K943" s="369">
        <f t="shared" ca="1" si="339"/>
        <v>0</v>
      </c>
      <c r="L943" s="369">
        <f t="shared" ca="1" si="339"/>
        <v>0</v>
      </c>
      <c r="M943" s="369">
        <f t="shared" ca="1" si="339"/>
        <v>0</v>
      </c>
      <c r="N943" s="369">
        <f t="shared" ca="1" si="339"/>
        <v>0</v>
      </c>
      <c r="O943" s="369">
        <f t="shared" ca="1" si="339"/>
        <v>0</v>
      </c>
      <c r="P943" s="369">
        <f t="shared" ca="1" si="339"/>
        <v>0</v>
      </c>
      <c r="Q943" s="369">
        <f t="shared" ca="1" si="339"/>
        <v>0</v>
      </c>
      <c r="R943" s="369">
        <f t="shared" ca="1" si="339"/>
        <v>0</v>
      </c>
      <c r="S943" s="369">
        <f t="shared" ca="1" si="339"/>
        <v>0</v>
      </c>
      <c r="T943" s="18"/>
      <c r="U943" s="97">
        <f t="shared" ca="1" si="340"/>
        <v>0</v>
      </c>
      <c r="V943" s="64"/>
      <c r="W943" s="643">
        <f t="shared" ca="1" si="337"/>
        <v>0</v>
      </c>
    </row>
    <row r="944" spans="1:23" ht="15" x14ac:dyDescent="0.2">
      <c r="A944" s="45"/>
      <c r="B944" s="16">
        <f t="shared" si="336"/>
        <v>6</v>
      </c>
      <c r="C944" s="29" t="s">
        <v>245</v>
      </c>
      <c r="D944" s="1" t="s">
        <v>246</v>
      </c>
      <c r="E944" s="18"/>
      <c r="F944" s="97">
        <f>' WP II-I-1.4'!I944</f>
        <v>0</v>
      </c>
      <c r="G944" s="16">
        <v>64</v>
      </c>
      <c r="H944" s="45" t="str">
        <f t="shared" si="338"/>
        <v>PLANT</v>
      </c>
      <c r="I944" s="18"/>
      <c r="J944" s="369">
        <f t="shared" ca="1" si="339"/>
        <v>0</v>
      </c>
      <c r="K944" s="369">
        <f t="shared" ca="1" si="339"/>
        <v>0</v>
      </c>
      <c r="L944" s="369">
        <f t="shared" ca="1" si="339"/>
        <v>0</v>
      </c>
      <c r="M944" s="369">
        <f t="shared" ca="1" si="339"/>
        <v>0</v>
      </c>
      <c r="N944" s="369">
        <f t="shared" ca="1" si="339"/>
        <v>0</v>
      </c>
      <c r="O944" s="369">
        <f t="shared" ca="1" si="339"/>
        <v>0</v>
      </c>
      <c r="P944" s="369">
        <f t="shared" ca="1" si="339"/>
        <v>0</v>
      </c>
      <c r="Q944" s="369">
        <f t="shared" ca="1" si="339"/>
        <v>0</v>
      </c>
      <c r="R944" s="369">
        <f t="shared" ca="1" si="339"/>
        <v>0</v>
      </c>
      <c r="S944" s="369">
        <f t="shared" ca="1" si="339"/>
        <v>0</v>
      </c>
      <c r="T944" s="18"/>
      <c r="U944" s="97">
        <f t="shared" ca="1" si="340"/>
        <v>0</v>
      </c>
      <c r="V944" s="64"/>
      <c r="W944" s="643">
        <f t="shared" ca="1" si="337"/>
        <v>0</v>
      </c>
    </row>
    <row r="945" spans="1:23" ht="15" x14ac:dyDescent="0.2">
      <c r="A945" s="45"/>
      <c r="B945" s="16">
        <f t="shared" si="336"/>
        <v>7</v>
      </c>
      <c r="C945" s="29" t="s">
        <v>247</v>
      </c>
      <c r="D945" s="1" t="s">
        <v>248</v>
      </c>
      <c r="E945" s="18"/>
      <c r="F945" s="97">
        <f>' WP II-I-1.4'!I945</f>
        <v>0</v>
      </c>
      <c r="G945" s="16">
        <v>77</v>
      </c>
      <c r="H945" s="45" t="str">
        <f t="shared" si="338"/>
        <v>O&amp;M x565</v>
      </c>
      <c r="I945" s="18"/>
      <c r="J945" s="369">
        <f t="shared" ca="1" si="339"/>
        <v>0</v>
      </c>
      <c r="K945" s="369">
        <f t="shared" ca="1" si="339"/>
        <v>0</v>
      </c>
      <c r="L945" s="369">
        <f t="shared" ca="1" si="339"/>
        <v>0</v>
      </c>
      <c r="M945" s="369">
        <f t="shared" ca="1" si="339"/>
        <v>0</v>
      </c>
      <c r="N945" s="369">
        <f t="shared" ca="1" si="339"/>
        <v>0</v>
      </c>
      <c r="O945" s="369">
        <f t="shared" ca="1" si="339"/>
        <v>0</v>
      </c>
      <c r="P945" s="369">
        <f t="shared" ca="1" si="339"/>
        <v>0</v>
      </c>
      <c r="Q945" s="369">
        <f t="shared" ca="1" si="339"/>
        <v>0</v>
      </c>
      <c r="R945" s="369">
        <f t="shared" ca="1" si="339"/>
        <v>0</v>
      </c>
      <c r="S945" s="369">
        <f t="shared" ca="1" si="339"/>
        <v>0</v>
      </c>
      <c r="T945" s="18"/>
      <c r="U945" s="97">
        <f t="shared" ca="1" si="340"/>
        <v>0</v>
      </c>
      <c r="V945" s="64"/>
      <c r="W945" s="643">
        <f t="shared" ca="1" si="337"/>
        <v>0</v>
      </c>
    </row>
    <row r="946" spans="1:23" ht="15" x14ac:dyDescent="0.2">
      <c r="A946" s="45"/>
      <c r="B946" s="16">
        <f t="shared" si="336"/>
        <v>8</v>
      </c>
      <c r="C946" s="1" t="s">
        <v>249</v>
      </c>
      <c r="D946" s="1" t="s">
        <v>250</v>
      </c>
      <c r="E946" s="18"/>
      <c r="F946" s="97">
        <f>' WP II-I-1.4'!I946</f>
        <v>0</v>
      </c>
      <c r="G946" s="16">
        <v>77</v>
      </c>
      <c r="H946" s="45" t="str">
        <f t="shared" si="338"/>
        <v>O&amp;M x565</v>
      </c>
      <c r="I946" s="18"/>
      <c r="J946" s="369">
        <f t="shared" ca="1" si="339"/>
        <v>0</v>
      </c>
      <c r="K946" s="369">
        <f t="shared" ca="1" si="339"/>
        <v>0</v>
      </c>
      <c r="L946" s="369">
        <f t="shared" ca="1" si="339"/>
        <v>0</v>
      </c>
      <c r="M946" s="369">
        <f t="shared" ca="1" si="339"/>
        <v>0</v>
      </c>
      <c r="N946" s="369">
        <f t="shared" ca="1" si="339"/>
        <v>0</v>
      </c>
      <c r="O946" s="369">
        <f t="shared" ca="1" si="339"/>
        <v>0</v>
      </c>
      <c r="P946" s="369">
        <f t="shared" ca="1" si="339"/>
        <v>0</v>
      </c>
      <c r="Q946" s="369">
        <f t="shared" ca="1" si="339"/>
        <v>0</v>
      </c>
      <c r="R946" s="369">
        <f t="shared" ca="1" si="339"/>
        <v>0</v>
      </c>
      <c r="S946" s="369">
        <f t="shared" ca="1" si="339"/>
        <v>0</v>
      </c>
      <c r="T946" s="18"/>
      <c r="U946" s="97">
        <f t="shared" ca="1" si="340"/>
        <v>0</v>
      </c>
      <c r="V946" s="64"/>
      <c r="W946" s="643">
        <f t="shared" ca="1" si="337"/>
        <v>0</v>
      </c>
    </row>
    <row r="947" spans="1:23" ht="15" x14ac:dyDescent="0.2">
      <c r="A947" s="45"/>
      <c r="B947" s="16">
        <f t="shared" si="336"/>
        <v>9</v>
      </c>
      <c r="C947" s="1" t="s">
        <v>251</v>
      </c>
      <c r="D947" s="1" t="s">
        <v>252</v>
      </c>
      <c r="E947" s="18"/>
      <c r="F947" s="97">
        <f>' WP II-I-1.4'!I947</f>
        <v>0</v>
      </c>
      <c r="G947" s="16">
        <v>14</v>
      </c>
      <c r="H947" s="45" t="str">
        <f t="shared" si="338"/>
        <v>REVENUE</v>
      </c>
      <c r="I947" s="18"/>
      <c r="J947" s="369">
        <f t="shared" si="339"/>
        <v>0</v>
      </c>
      <c r="K947" s="369">
        <f t="shared" si="339"/>
        <v>0</v>
      </c>
      <c r="L947" s="369">
        <f t="shared" si="339"/>
        <v>0</v>
      </c>
      <c r="M947" s="369">
        <f t="shared" si="339"/>
        <v>0</v>
      </c>
      <c r="N947" s="369">
        <f t="shared" si="339"/>
        <v>0</v>
      </c>
      <c r="O947" s="369">
        <f t="shared" si="339"/>
        <v>0</v>
      </c>
      <c r="P947" s="369">
        <f t="shared" si="339"/>
        <v>0</v>
      </c>
      <c r="Q947" s="369">
        <f t="shared" si="339"/>
        <v>0</v>
      </c>
      <c r="R947" s="369">
        <f t="shared" si="339"/>
        <v>0</v>
      </c>
      <c r="S947" s="369">
        <f t="shared" si="339"/>
        <v>0</v>
      </c>
      <c r="T947" s="18"/>
      <c r="U947" s="97">
        <f t="shared" si="340"/>
        <v>0</v>
      </c>
      <c r="V947" s="64"/>
      <c r="W947" s="643">
        <f t="shared" si="337"/>
        <v>0</v>
      </c>
    </row>
    <row r="948" spans="1:23" ht="15" x14ac:dyDescent="0.2">
      <c r="A948" s="45"/>
      <c r="B948" s="16">
        <f t="shared" si="336"/>
        <v>10</v>
      </c>
      <c r="C948" s="1" t="s">
        <v>253</v>
      </c>
      <c r="D948" s="1" t="s">
        <v>254</v>
      </c>
      <c r="E948" s="18"/>
      <c r="F948" s="97">
        <f>' WP II-I-1.4'!I948</f>
        <v>0</v>
      </c>
      <c r="G948" s="16">
        <v>77</v>
      </c>
      <c r="H948" s="45" t="str">
        <f t="shared" si="338"/>
        <v>O&amp;M x565</v>
      </c>
      <c r="I948" s="18"/>
      <c r="J948" s="369">
        <f t="shared" ca="1" si="339"/>
        <v>0</v>
      </c>
      <c r="K948" s="369">
        <f t="shared" ca="1" si="339"/>
        <v>0</v>
      </c>
      <c r="L948" s="369">
        <f t="shared" ca="1" si="339"/>
        <v>0</v>
      </c>
      <c r="M948" s="369">
        <f t="shared" ca="1" si="339"/>
        <v>0</v>
      </c>
      <c r="N948" s="369">
        <f t="shared" ca="1" si="339"/>
        <v>0</v>
      </c>
      <c r="O948" s="369">
        <f t="shared" ca="1" si="339"/>
        <v>0</v>
      </c>
      <c r="P948" s="369">
        <f t="shared" ca="1" si="339"/>
        <v>0</v>
      </c>
      <c r="Q948" s="369">
        <f t="shared" ca="1" si="339"/>
        <v>0</v>
      </c>
      <c r="R948" s="369">
        <f t="shared" ca="1" si="339"/>
        <v>0</v>
      </c>
      <c r="S948" s="369">
        <f t="shared" ca="1" si="339"/>
        <v>0</v>
      </c>
      <c r="T948" s="18"/>
      <c r="U948" s="97">
        <f t="shared" ca="1" si="340"/>
        <v>0</v>
      </c>
      <c r="V948" s="64"/>
      <c r="W948" s="643">
        <f t="shared" ca="1" si="337"/>
        <v>0</v>
      </c>
    </row>
    <row r="949" spans="1:23" ht="15" x14ac:dyDescent="0.2">
      <c r="A949" s="45"/>
      <c r="B949" s="16">
        <f t="shared" si="336"/>
        <v>11</v>
      </c>
      <c r="C949" s="1" t="s">
        <v>255</v>
      </c>
      <c r="D949" s="1" t="s">
        <v>256</v>
      </c>
      <c r="E949" s="18"/>
      <c r="F949" s="97">
        <f>' WP II-I-1.4'!I949</f>
        <v>27.090000000000146</v>
      </c>
      <c r="G949" s="16">
        <v>77</v>
      </c>
      <c r="H949" s="45" t="str">
        <f t="shared" si="338"/>
        <v>O&amp;M x565</v>
      </c>
      <c r="I949" s="18"/>
      <c r="J949" s="369">
        <f t="shared" ca="1" si="339"/>
        <v>13.964928778751235</v>
      </c>
      <c r="K949" s="369">
        <f t="shared" ca="1" si="339"/>
        <v>1.7240074574741047</v>
      </c>
      <c r="L949" s="369">
        <f t="shared" ca="1" si="339"/>
        <v>7.8873727030272027</v>
      </c>
      <c r="M949" s="369">
        <f t="shared" ca="1" si="339"/>
        <v>0.27129453824999467</v>
      </c>
      <c r="N949" s="369">
        <f t="shared" ca="1" si="339"/>
        <v>2.3991516020028034</v>
      </c>
      <c r="O949" s="369">
        <f t="shared" ca="1" si="339"/>
        <v>0.13350591110470983</v>
      </c>
      <c r="P949" s="369">
        <f t="shared" ca="1" si="339"/>
        <v>0.31732223319215896</v>
      </c>
      <c r="Q949" s="369">
        <f t="shared" ca="1" si="339"/>
        <v>0.36578850054179624</v>
      </c>
      <c r="R949" s="369">
        <f t="shared" ca="1" si="339"/>
        <v>7.5249701105328136E-3</v>
      </c>
      <c r="S949" s="369">
        <f t="shared" ca="1" si="339"/>
        <v>1.910330554560441E-2</v>
      </c>
      <c r="T949" s="18"/>
      <c r="U949" s="97">
        <f t="shared" ca="1" si="340"/>
        <v>27.090000000000142</v>
      </c>
      <c r="V949" s="64"/>
      <c r="W949" s="643">
        <f t="shared" ca="1" si="337"/>
        <v>0</v>
      </c>
    </row>
    <row r="950" spans="1:23" ht="15" x14ac:dyDescent="0.2">
      <c r="A950" s="45"/>
      <c r="B950" s="16">
        <f t="shared" si="336"/>
        <v>12</v>
      </c>
      <c r="C950" s="29" t="s">
        <v>257</v>
      </c>
      <c r="D950" s="1" t="s">
        <v>189</v>
      </c>
      <c r="E950" s="18"/>
      <c r="F950" s="97">
        <f>' WP II-I-1.4'!I950</f>
        <v>0</v>
      </c>
      <c r="G950" s="16">
        <v>77</v>
      </c>
      <c r="H950" s="45" t="str">
        <f t="shared" si="338"/>
        <v>O&amp;M x565</v>
      </c>
      <c r="I950" s="18"/>
      <c r="J950" s="369">
        <f t="shared" ca="1" si="339"/>
        <v>0</v>
      </c>
      <c r="K950" s="369">
        <f t="shared" ca="1" si="339"/>
        <v>0</v>
      </c>
      <c r="L950" s="369">
        <f t="shared" ca="1" si="339"/>
        <v>0</v>
      </c>
      <c r="M950" s="369">
        <f t="shared" ca="1" si="339"/>
        <v>0</v>
      </c>
      <c r="N950" s="369">
        <f t="shared" ca="1" si="339"/>
        <v>0</v>
      </c>
      <c r="O950" s="369">
        <f t="shared" ca="1" si="339"/>
        <v>0</v>
      </c>
      <c r="P950" s="369">
        <f t="shared" ca="1" si="339"/>
        <v>0</v>
      </c>
      <c r="Q950" s="369">
        <f t="shared" ca="1" si="339"/>
        <v>0</v>
      </c>
      <c r="R950" s="369">
        <f t="shared" ca="1" si="339"/>
        <v>0</v>
      </c>
      <c r="S950" s="369">
        <f t="shared" ca="1" si="339"/>
        <v>0</v>
      </c>
      <c r="T950" s="18"/>
      <c r="U950" s="97">
        <f t="shared" ca="1" si="340"/>
        <v>0</v>
      </c>
      <c r="V950" s="64"/>
      <c r="W950" s="643">
        <f t="shared" ca="1" si="337"/>
        <v>0</v>
      </c>
    </row>
    <row r="951" spans="1:23" ht="15" x14ac:dyDescent="0.2">
      <c r="A951" s="45"/>
      <c r="B951" s="16">
        <f t="shared" si="336"/>
        <v>13</v>
      </c>
      <c r="C951" s="29" t="s">
        <v>258</v>
      </c>
      <c r="D951" s="1" t="s">
        <v>259</v>
      </c>
      <c r="E951" s="18"/>
      <c r="F951" s="97">
        <f>' WP II-I-1.4'!I951</f>
        <v>0</v>
      </c>
      <c r="G951" s="16">
        <v>62</v>
      </c>
      <c r="H951" s="45" t="str">
        <f t="shared" si="338"/>
        <v>PLTGEN</v>
      </c>
      <c r="I951" s="18"/>
      <c r="J951" s="369">
        <f t="shared" ca="1" si="339"/>
        <v>0</v>
      </c>
      <c r="K951" s="369">
        <f t="shared" ca="1" si="339"/>
        <v>0</v>
      </c>
      <c r="L951" s="369">
        <f t="shared" ca="1" si="339"/>
        <v>0</v>
      </c>
      <c r="M951" s="369">
        <f t="shared" ca="1" si="339"/>
        <v>0</v>
      </c>
      <c r="N951" s="369">
        <f t="shared" ca="1" si="339"/>
        <v>0</v>
      </c>
      <c r="O951" s="369">
        <f t="shared" ca="1" si="339"/>
        <v>0</v>
      </c>
      <c r="P951" s="369">
        <f t="shared" ca="1" si="339"/>
        <v>0</v>
      </c>
      <c r="Q951" s="369">
        <f t="shared" ca="1" si="339"/>
        <v>0</v>
      </c>
      <c r="R951" s="369">
        <f t="shared" ca="1" si="339"/>
        <v>0</v>
      </c>
      <c r="S951" s="369">
        <f t="shared" ca="1" si="339"/>
        <v>0</v>
      </c>
      <c r="T951" s="18"/>
      <c r="U951" s="97">
        <f t="shared" ca="1" si="340"/>
        <v>0</v>
      </c>
      <c r="V951" s="64"/>
      <c r="W951" s="643">
        <f t="shared" ca="1" si="337"/>
        <v>0</v>
      </c>
    </row>
    <row r="952" spans="1:23" ht="15" x14ac:dyDescent="0.2">
      <c r="A952" s="45"/>
      <c r="B952" s="16">
        <f t="shared" si="336"/>
        <v>14</v>
      </c>
      <c r="C952" s="26" t="s">
        <v>260</v>
      </c>
      <c r="D952" s="1" t="s">
        <v>259</v>
      </c>
      <c r="E952" s="18"/>
      <c r="F952" s="97">
        <f>' WP II-I-1.4'!I952</f>
        <v>11992.730000000074</v>
      </c>
      <c r="G952" s="16">
        <v>62</v>
      </c>
      <c r="H952" s="45" t="str">
        <f t="shared" si="338"/>
        <v>PLTGEN</v>
      </c>
      <c r="I952" s="18"/>
      <c r="J952" s="370">
        <f t="shared" ca="1" si="339"/>
        <v>5911.50359889437</v>
      </c>
      <c r="K952" s="370">
        <f t="shared" ca="1" si="339"/>
        <v>824.8485186203244</v>
      </c>
      <c r="L952" s="370">
        <f t="shared" ca="1" si="339"/>
        <v>3223.8167731660437</v>
      </c>
      <c r="M952" s="370">
        <f t="shared" ca="1" si="339"/>
        <v>135.61041053059293</v>
      </c>
      <c r="N952" s="370">
        <f t="shared" ca="1" si="339"/>
        <v>1043.888135593018</v>
      </c>
      <c r="O952" s="370">
        <f t="shared" ca="1" si="339"/>
        <v>34.250757433189307</v>
      </c>
      <c r="P952" s="370">
        <f t="shared" ca="1" si="339"/>
        <v>71.443297713401023</v>
      </c>
      <c r="Q952" s="370">
        <f t="shared" ca="1" si="339"/>
        <v>733.98418657031448</v>
      </c>
      <c r="R952" s="370">
        <f t="shared" ca="1" si="339"/>
        <v>3.7822922318859384</v>
      </c>
      <c r="S952" s="370">
        <f t="shared" ca="1" si="339"/>
        <v>9.6020292469340109</v>
      </c>
      <c r="T952" s="18"/>
      <c r="U952" s="97">
        <f t="shared" ca="1" si="340"/>
        <v>11992.730000000074</v>
      </c>
      <c r="V952" s="64"/>
      <c r="W952" s="643">
        <f t="shared" ca="1" si="337"/>
        <v>0</v>
      </c>
    </row>
    <row r="953" spans="1:23" ht="15.75" x14ac:dyDescent="0.25">
      <c r="A953" s="45"/>
      <c r="B953" s="16">
        <f t="shared" si="336"/>
        <v>15</v>
      </c>
      <c r="C953" s="8" t="s">
        <v>636</v>
      </c>
      <c r="D953" s="32"/>
      <c r="E953" s="21"/>
      <c r="F953" s="21">
        <f>SUM(F940:F952)</f>
        <v>20916734.68999999</v>
      </c>
      <c r="G953" s="21"/>
      <c r="H953" s="21"/>
      <c r="I953" s="805"/>
      <c r="J953" s="805">
        <f t="shared" ref="J953:Q953" ca="1" si="341">SUM(J940:J952)</f>
        <v>10782332.050279247</v>
      </c>
      <c r="K953" s="805">
        <f t="shared" ca="1" si="341"/>
        <v>1331202.5168689939</v>
      </c>
      <c r="L953" s="805">
        <f t="shared" ca="1" si="341"/>
        <v>6089731.4247144889</v>
      </c>
      <c r="M953" s="805">
        <f t="shared" ca="1" si="341"/>
        <v>209487.48627887518</v>
      </c>
      <c r="N953" s="805">
        <f t="shared" ca="1" si="341"/>
        <v>1852415.0643182779</v>
      </c>
      <c r="O953" s="805">
        <f ca="1">SUM(O940:O952)</f>
        <v>103057.75100765987</v>
      </c>
      <c r="P953" s="805">
        <f t="shared" ca="1" si="341"/>
        <v>244941.853155705</v>
      </c>
      <c r="Q953" s="805">
        <f t="shared" ca="1" si="341"/>
        <v>283004.71935680014</v>
      </c>
      <c r="R953" s="805">
        <f ca="1">SUM(R940:R952)</f>
        <v>5810.6319938708748</v>
      </c>
      <c r="S953" s="805">
        <f ca="1">SUM(S940:S952)</f>
        <v>14751.192026068451</v>
      </c>
      <c r="T953" s="21"/>
      <c r="U953" s="235">
        <f t="shared" ca="1" si="340"/>
        <v>20916734.68999999</v>
      </c>
      <c r="V953" s="64"/>
      <c r="W953" s="643">
        <f t="shared" ca="1" si="337"/>
        <v>0</v>
      </c>
    </row>
    <row r="954" spans="1:23" ht="15" x14ac:dyDescent="0.2">
      <c r="A954" s="45"/>
      <c r="B954" s="16">
        <f t="shared" si="336"/>
        <v>16</v>
      </c>
      <c r="C954" s="1"/>
      <c r="D954" s="1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"/>
      <c r="V954" s="64"/>
      <c r="W954" s="643">
        <f t="shared" si="337"/>
        <v>0</v>
      </c>
    </row>
    <row r="955" spans="1:23" ht="15.75" x14ac:dyDescent="0.25">
      <c r="A955" s="45"/>
      <c r="B955" s="16">
        <f t="shared" si="336"/>
        <v>17</v>
      </c>
      <c r="C955" s="8"/>
      <c r="D955" s="233" t="s">
        <v>637</v>
      </c>
      <c r="E955" s="19"/>
      <c r="F955" s="21">
        <f>SUM(F941:F952)</f>
        <v>12019.820000000074</v>
      </c>
      <c r="G955" s="19"/>
      <c r="H955" s="19"/>
      <c r="I955" s="19"/>
      <c r="J955" s="805">
        <f t="shared" ref="J955:Q955" ca="1" si="342">SUM(J941:J952)</f>
        <v>5925.4685276731216</v>
      </c>
      <c r="K955" s="805">
        <f t="shared" ca="1" si="342"/>
        <v>826.57252607779856</v>
      </c>
      <c r="L955" s="805">
        <f t="shared" ca="1" si="342"/>
        <v>3231.704145869071</v>
      </c>
      <c r="M955" s="805">
        <f t="shared" ca="1" si="342"/>
        <v>135.88170506884293</v>
      </c>
      <c r="N955" s="805">
        <f t="shared" ca="1" si="342"/>
        <v>1046.2872871950208</v>
      </c>
      <c r="O955" s="805">
        <f ca="1">SUM(O941:O952)</f>
        <v>34.38426334429402</v>
      </c>
      <c r="P955" s="805">
        <f t="shared" ca="1" si="342"/>
        <v>71.760619946593181</v>
      </c>
      <c r="Q955" s="805">
        <f t="shared" ca="1" si="342"/>
        <v>734.34997507085632</v>
      </c>
      <c r="R955" s="805">
        <f ca="1">SUM(R941:R952)</f>
        <v>3.7898172019964713</v>
      </c>
      <c r="S955" s="805">
        <f ca="1">SUM(S941:S952)</f>
        <v>9.6211325524796152</v>
      </c>
      <c r="T955" s="19"/>
      <c r="U955" s="235">
        <f ca="1">SUM(I955:T955)</f>
        <v>12019.820000000074</v>
      </c>
      <c r="V955" s="64"/>
      <c r="W955" s="643">
        <f t="shared" ca="1" si="337"/>
        <v>0</v>
      </c>
    </row>
    <row r="956" spans="1:23" ht="15.75" thickBot="1" x14ac:dyDescent="0.25">
      <c r="A956" s="45"/>
      <c r="B956" s="16">
        <f t="shared" si="336"/>
        <v>18</v>
      </c>
      <c r="C956" s="1"/>
      <c r="D956" s="49"/>
      <c r="E956" s="16"/>
      <c r="F956" s="18"/>
      <c r="G956" s="16"/>
      <c r="H956" s="16"/>
      <c r="I956" s="1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6"/>
      <c r="U956" s="1"/>
      <c r="V956" s="64"/>
      <c r="W956" s="643">
        <f t="shared" si="337"/>
        <v>0</v>
      </c>
    </row>
    <row r="957" spans="1:23" ht="16.5" thickBot="1" x14ac:dyDescent="0.3">
      <c r="A957" s="45"/>
      <c r="B957" s="16">
        <f t="shared" si="336"/>
        <v>19</v>
      </c>
      <c r="C957" s="223" t="s">
        <v>638</v>
      </c>
      <c r="D957" s="224"/>
      <c r="E957" s="309" t="s">
        <v>262</v>
      </c>
      <c r="F957" s="194">
        <f>+F925+F953</f>
        <v>22504463.84999999</v>
      </c>
      <c r="G957" s="309"/>
      <c r="H957" s="402"/>
      <c r="I957" s="968"/>
      <c r="J957" s="381">
        <f t="shared" ref="J957:Q957" ca="1" si="343">+J925+J953</f>
        <v>11564961.747054666</v>
      </c>
      <c r="K957" s="812">
        <f t="shared" ca="1" si="343"/>
        <v>1440405.0125139623</v>
      </c>
      <c r="L957" s="812">
        <f t="shared" ca="1" si="343"/>
        <v>6516535.6550484328</v>
      </c>
      <c r="M957" s="812">
        <f t="shared" ca="1" si="343"/>
        <v>227441.0800977131</v>
      </c>
      <c r="N957" s="812">
        <f t="shared" ca="1" si="343"/>
        <v>1990616.4273656455</v>
      </c>
      <c r="O957" s="812">
        <f ca="1">+O925+O953</f>
        <v>107592.24201419142</v>
      </c>
      <c r="P957" s="812">
        <f t="shared" ca="1" si="343"/>
        <v>254400.30065399167</v>
      </c>
      <c r="Q957" s="812">
        <f t="shared" ca="1" si="343"/>
        <v>380177.5979254464</v>
      </c>
      <c r="R957" s="812">
        <f ca="1">+R925+R953</f>
        <v>6311.3733320154633</v>
      </c>
      <c r="S957" s="315">
        <f ca="1">+S925+S953</f>
        <v>16022.413993921466</v>
      </c>
      <c r="T957" s="402"/>
      <c r="U957" s="195">
        <f ca="1">SUM(I957:T957)</f>
        <v>22504463.849999987</v>
      </c>
      <c r="V957" s="64"/>
      <c r="W957" s="643">
        <f t="shared" ca="1" si="337"/>
        <v>0</v>
      </c>
    </row>
    <row r="958" spans="1:23" ht="15" x14ac:dyDescent="0.2">
      <c r="A958" s="45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138"/>
    </row>
    <row r="959" spans="1:23" ht="15" x14ac:dyDescent="0.2">
      <c r="A959" s="45"/>
      <c r="B959" s="64"/>
      <c r="C959" s="64"/>
      <c r="D959" s="64"/>
      <c r="E959" s="64"/>
      <c r="F959" s="64"/>
      <c r="G959" s="64"/>
      <c r="H959" s="105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105"/>
      <c r="V959" s="105">
        <f>$H$2</f>
        <v>0</v>
      </c>
      <c r="W959" s="138"/>
    </row>
    <row r="960" spans="1:23" ht="15.75" thickBot="1" x14ac:dyDescent="0.25">
      <c r="A960" s="45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138"/>
    </row>
    <row r="961" spans="1:23" ht="15.75" x14ac:dyDescent="0.25">
      <c r="A961" s="45"/>
      <c r="B961" s="829" t="str">
        <f>+$B$4</f>
        <v>2025 RATE CASE</v>
      </c>
      <c r="C961" s="844"/>
      <c r="D961" s="872"/>
      <c r="F961" s="267"/>
      <c r="U961" s="105"/>
      <c r="W961" s="138"/>
    </row>
    <row r="962" spans="1:23" ht="15.75" x14ac:dyDescent="0.25">
      <c r="A962" s="45"/>
      <c r="B962" s="826" t="str">
        <f>+$B$5</f>
        <v>ONCOR ELECTRIC DELIVERY COMPANY LLC</v>
      </c>
      <c r="C962" s="8"/>
      <c r="D962" s="873"/>
      <c r="F962" s="267"/>
      <c r="U962" s="105"/>
      <c r="V962" s="64"/>
      <c r="W962" s="138"/>
    </row>
    <row r="963" spans="1:23" ht="15.75" x14ac:dyDescent="0.25">
      <c r="A963" s="45"/>
      <c r="B963" s="826" t="str">
        <f>+$B$6</f>
        <v>II-I-1-TBILLTDCS:  CLASS REVENUE REQUIREMENT</v>
      </c>
      <c r="C963" s="82"/>
      <c r="D963" s="873"/>
      <c r="F963" s="267"/>
      <c r="U963" s="267"/>
      <c r="V963" s="64"/>
      <c r="W963" s="138"/>
    </row>
    <row r="964" spans="1:23" ht="15.75" x14ac:dyDescent="0.25">
      <c r="A964" s="45"/>
      <c r="B964" s="341" t="str">
        <f>+$B$7</f>
        <v>TEST YEAR ENDING 12/31/2024</v>
      </c>
      <c r="C964" s="82"/>
      <c r="D964" s="873"/>
      <c r="F964" s="267"/>
      <c r="U964" s="267"/>
      <c r="V964" s="64"/>
      <c r="W964" s="138"/>
    </row>
    <row r="965" spans="1:23" ht="15.75" x14ac:dyDescent="0.25">
      <c r="A965" s="45"/>
      <c r="B965" s="341" t="str">
        <f>+$B$8</f>
        <v>SPONSOR:  MATTHEW A. TROXLE</v>
      </c>
      <c r="C965" s="82"/>
      <c r="D965" s="873"/>
      <c r="F965" s="267"/>
      <c r="U965" s="267"/>
      <c r="V965" s="64"/>
      <c r="W965" s="138"/>
    </row>
    <row r="966" spans="1:23" ht="16.5" thickBot="1" x14ac:dyDescent="0.3">
      <c r="A966" s="45"/>
      <c r="B966" s="345"/>
      <c r="C966" s="843"/>
      <c r="D966" s="845"/>
      <c r="F966" s="267"/>
      <c r="U966" s="267"/>
      <c r="V966" s="64"/>
      <c r="W966" s="138"/>
    </row>
    <row r="967" spans="1:23" ht="15.75" thickBot="1" x14ac:dyDescent="0.25">
      <c r="A967" s="45"/>
      <c r="B967" s="12"/>
      <c r="C967" s="13"/>
      <c r="D967" s="13"/>
      <c r="E967" s="13"/>
      <c r="F967" s="12"/>
      <c r="G967" s="13"/>
      <c r="H967" s="13"/>
      <c r="I967" s="13"/>
      <c r="J967" s="13"/>
      <c r="K967" s="177"/>
      <c r="L967" s="13"/>
      <c r="M967" s="177"/>
      <c r="N967" s="177"/>
      <c r="O967" s="177"/>
      <c r="P967" s="177"/>
      <c r="Q967" s="13"/>
      <c r="R967" s="328" t="str">
        <f>R$10</f>
        <v xml:space="preserve"> </v>
      </c>
      <c r="S967" s="329"/>
      <c r="T967" s="177"/>
      <c r="U967" s="12"/>
      <c r="V967" s="64"/>
      <c r="W967" s="138"/>
    </row>
    <row r="968" spans="1:23" ht="15.75" x14ac:dyDescent="0.25">
      <c r="A968" s="45"/>
      <c r="B968" s="14" t="s">
        <v>2</v>
      </c>
      <c r="C968" s="14" t="s">
        <v>349</v>
      </c>
      <c r="D968" s="226" t="s">
        <v>639</v>
      </c>
      <c r="E968" s="14" t="s">
        <v>350</v>
      </c>
      <c r="F968" s="226" t="str">
        <f>F$11</f>
        <v>TBILLTDCS</v>
      </c>
      <c r="G968" s="181" t="s">
        <v>688</v>
      </c>
      <c r="H968" s="181" t="s">
        <v>355</v>
      </c>
      <c r="I968" s="14"/>
      <c r="J968" s="14" t="s">
        <v>679</v>
      </c>
      <c r="K968" s="181" t="s">
        <v>388</v>
      </c>
      <c r="L968" s="14" t="s">
        <v>388</v>
      </c>
      <c r="M968" s="181" t="s">
        <v>389</v>
      </c>
      <c r="N968" s="181" t="s">
        <v>389</v>
      </c>
      <c r="O968" s="181" t="s">
        <v>389</v>
      </c>
      <c r="P968" s="181" t="s">
        <v>390</v>
      </c>
      <c r="Q968" s="14" t="s">
        <v>391</v>
      </c>
      <c r="R968" s="331" t="str">
        <f>R$11</f>
        <v>Wholesale</v>
      </c>
      <c r="S968" s="12" t="str">
        <f>S$11</f>
        <v>Wholesale</v>
      </c>
      <c r="T968" s="181"/>
      <c r="U968" s="14" t="s">
        <v>10</v>
      </c>
      <c r="V968" s="64"/>
      <c r="W968" s="138"/>
    </row>
    <row r="969" spans="1:23" ht="15" x14ac:dyDescent="0.2">
      <c r="A969" s="45"/>
      <c r="B969" s="14"/>
      <c r="C969" s="14"/>
      <c r="D969" s="14"/>
      <c r="E969" s="14"/>
      <c r="F969" s="14"/>
      <c r="G969" s="181" t="s">
        <v>689</v>
      </c>
      <c r="H969" s="181" t="s">
        <v>690</v>
      </c>
      <c r="I969" s="14"/>
      <c r="J969" s="14"/>
      <c r="K969" s="181" t="s">
        <v>680</v>
      </c>
      <c r="L969" s="14" t="s">
        <v>681</v>
      </c>
      <c r="M969" s="181" t="s">
        <v>680</v>
      </c>
      <c r="N969" s="181" t="s">
        <v>681</v>
      </c>
      <c r="O969" s="181" t="s">
        <v>393</v>
      </c>
      <c r="P969" s="181"/>
      <c r="Q969" s="14"/>
      <c r="R969" s="174" t="str">
        <f>R$12</f>
        <v>XFMR</v>
      </c>
      <c r="S969" s="14" t="str">
        <f>S$12</f>
        <v>DLS</v>
      </c>
      <c r="T969" s="181"/>
      <c r="U969" s="14"/>
      <c r="V969" s="64"/>
      <c r="W969" s="138"/>
    </row>
    <row r="970" spans="1:23" ht="15.75" thickBot="1" x14ac:dyDescent="0.25">
      <c r="A970" s="45"/>
      <c r="B970" s="15"/>
      <c r="C970" s="15"/>
      <c r="D970" s="15"/>
      <c r="E970" s="15"/>
      <c r="F970" s="15" t="s">
        <v>13</v>
      </c>
      <c r="G970" s="15" t="s">
        <v>14</v>
      </c>
      <c r="H970" s="15" t="s">
        <v>15</v>
      </c>
      <c r="I970" s="15"/>
      <c r="J970" s="182" t="str">
        <f t="shared" ref="J970:Q970" si="344">J$13</f>
        <v>(d)</v>
      </c>
      <c r="K970" s="182" t="str">
        <f t="shared" si="344"/>
        <v>(e)</v>
      </c>
      <c r="L970" s="15" t="str">
        <f t="shared" si="344"/>
        <v>(f)</v>
      </c>
      <c r="M970" s="182" t="str">
        <f t="shared" si="344"/>
        <v>(g)</v>
      </c>
      <c r="N970" s="182" t="str">
        <f t="shared" si="344"/>
        <v>(h)</v>
      </c>
      <c r="O970" s="182" t="str">
        <f>O$13</f>
        <v>(i)</v>
      </c>
      <c r="P970" s="182" t="str">
        <f t="shared" si="344"/>
        <v>(j)</v>
      </c>
      <c r="Q970" s="182" t="str">
        <f t="shared" si="344"/>
        <v>(k)</v>
      </c>
      <c r="R970" s="182" t="str">
        <f>R$13</f>
        <v>(l)</v>
      </c>
      <c r="S970" s="15" t="str">
        <f>S$13</f>
        <v>(m)</v>
      </c>
      <c r="T970" s="15"/>
      <c r="U970" s="15" t="s">
        <v>683</v>
      </c>
      <c r="V970" s="64"/>
      <c r="W970" s="138"/>
    </row>
    <row r="971" spans="1:23" ht="15.75" x14ac:dyDescent="0.25">
      <c r="A971" s="45"/>
      <c r="B971" s="64"/>
      <c r="C971" s="268"/>
      <c r="D971" s="268"/>
      <c r="E971" s="35"/>
      <c r="F971" s="268"/>
      <c r="G971" s="35"/>
      <c r="H971" s="35"/>
      <c r="I971" s="35"/>
      <c r="J971" s="806"/>
      <c r="K971" s="806"/>
      <c r="L971" s="806"/>
      <c r="M971" s="806"/>
      <c r="N971" s="806"/>
      <c r="O971" s="806"/>
      <c r="P971" s="806"/>
      <c r="Q971" s="806"/>
      <c r="R971" s="806"/>
      <c r="S971" s="806"/>
      <c r="T971" s="35"/>
      <c r="U971" s="41"/>
      <c r="V971" s="64"/>
      <c r="W971" s="138"/>
    </row>
    <row r="972" spans="1:23" ht="15.75" x14ac:dyDescent="0.25">
      <c r="A972" s="45"/>
      <c r="B972" s="16">
        <f t="shared" ref="B972:B978" si="345">B971+1</f>
        <v>1</v>
      </c>
      <c r="C972" s="311"/>
      <c r="D972" s="41" t="s">
        <v>272</v>
      </c>
      <c r="E972" s="35" t="s">
        <v>273</v>
      </c>
      <c r="F972" s="312">
        <f>' WP II-I-1.4'!I972</f>
        <v>0</v>
      </c>
      <c r="G972" s="16">
        <v>6</v>
      </c>
      <c r="H972" s="45" t="str">
        <f>VLOOKUP(G972,FactorTable,2)</f>
        <v>CUS W ALL</v>
      </c>
      <c r="I972" s="806"/>
      <c r="J972" s="369">
        <f t="shared" ref="J972:S976" si="346">$F972*HLOOKUP(J$1354,FactorTable,$G972+1)</f>
        <v>0</v>
      </c>
      <c r="K972" s="369">
        <f t="shared" si="346"/>
        <v>0</v>
      </c>
      <c r="L972" s="369">
        <f t="shared" si="346"/>
        <v>0</v>
      </c>
      <c r="M972" s="369">
        <f t="shared" si="346"/>
        <v>0</v>
      </c>
      <c r="N972" s="369">
        <f t="shared" si="346"/>
        <v>0</v>
      </c>
      <c r="O972" s="369">
        <f t="shared" si="346"/>
        <v>0</v>
      </c>
      <c r="P972" s="369">
        <f t="shared" si="346"/>
        <v>0</v>
      </c>
      <c r="Q972" s="369">
        <f t="shared" si="346"/>
        <v>0</v>
      </c>
      <c r="R972" s="369">
        <f t="shared" si="346"/>
        <v>0</v>
      </c>
      <c r="S972" s="369">
        <f t="shared" si="346"/>
        <v>0</v>
      </c>
      <c r="T972" s="806"/>
      <c r="U972" s="97">
        <f>SUM(I972:T972)</f>
        <v>0</v>
      </c>
      <c r="V972" s="64"/>
      <c r="W972" s="643">
        <f t="shared" ref="W972:W978" si="347">F972-U972</f>
        <v>0</v>
      </c>
    </row>
    <row r="973" spans="1:23" ht="15.75" x14ac:dyDescent="0.25">
      <c r="A973" s="45"/>
      <c r="B973" s="16">
        <f t="shared" si="345"/>
        <v>2</v>
      </c>
      <c r="C973" s="269"/>
      <c r="D973" s="41" t="s">
        <v>274</v>
      </c>
      <c r="E973" s="35" t="s">
        <v>273</v>
      </c>
      <c r="F973" s="312">
        <f>' WP II-I-1.4'!I973</f>
        <v>0</v>
      </c>
      <c r="G973" s="16">
        <v>6</v>
      </c>
      <c r="H973" s="45" t="str">
        <f>VLOOKUP(G973,FactorTable,2)</f>
        <v>CUS W ALL</v>
      </c>
      <c r="I973" s="806"/>
      <c r="J973" s="369">
        <f t="shared" si="346"/>
        <v>0</v>
      </c>
      <c r="K973" s="369">
        <f t="shared" si="346"/>
        <v>0</v>
      </c>
      <c r="L973" s="369">
        <f t="shared" si="346"/>
        <v>0</v>
      </c>
      <c r="M973" s="369">
        <f t="shared" si="346"/>
        <v>0</v>
      </c>
      <c r="N973" s="369">
        <f t="shared" si="346"/>
        <v>0</v>
      </c>
      <c r="O973" s="369">
        <f t="shared" si="346"/>
        <v>0</v>
      </c>
      <c r="P973" s="369">
        <f t="shared" si="346"/>
        <v>0</v>
      </c>
      <c r="Q973" s="369">
        <f t="shared" si="346"/>
        <v>0</v>
      </c>
      <c r="R973" s="369">
        <f t="shared" si="346"/>
        <v>0</v>
      </c>
      <c r="S973" s="369">
        <f t="shared" si="346"/>
        <v>0</v>
      </c>
      <c r="T973" s="806"/>
      <c r="U973" s="97">
        <f>SUM(I973:T973)</f>
        <v>0</v>
      </c>
      <c r="V973" s="64"/>
      <c r="W973" s="643">
        <f t="shared" si="347"/>
        <v>0</v>
      </c>
    </row>
    <row r="974" spans="1:23" ht="15.75" x14ac:dyDescent="0.25">
      <c r="A974" s="45"/>
      <c r="B974" s="16">
        <f t="shared" si="345"/>
        <v>3</v>
      </c>
      <c r="C974" s="41"/>
      <c r="D974" s="41" t="s">
        <v>275</v>
      </c>
      <c r="E974" s="35" t="s">
        <v>276</v>
      </c>
      <c r="F974" s="312">
        <f>' WP II-I-1.4'!I974</f>
        <v>0</v>
      </c>
      <c r="G974" s="16">
        <v>6</v>
      </c>
      <c r="H974" s="45" t="str">
        <f>VLOOKUP(G974,FactorTable,2)</f>
        <v>CUS W ALL</v>
      </c>
      <c r="I974" s="806"/>
      <c r="J974" s="369">
        <f t="shared" si="346"/>
        <v>0</v>
      </c>
      <c r="K974" s="369">
        <f t="shared" si="346"/>
        <v>0</v>
      </c>
      <c r="L974" s="369">
        <f t="shared" si="346"/>
        <v>0</v>
      </c>
      <c r="M974" s="369">
        <f t="shared" si="346"/>
        <v>0</v>
      </c>
      <c r="N974" s="369">
        <f t="shared" si="346"/>
        <v>0</v>
      </c>
      <c r="O974" s="369">
        <f t="shared" si="346"/>
        <v>0</v>
      </c>
      <c r="P974" s="369">
        <f t="shared" si="346"/>
        <v>0</v>
      </c>
      <c r="Q974" s="369">
        <f t="shared" si="346"/>
        <v>0</v>
      </c>
      <c r="R974" s="369">
        <f t="shared" si="346"/>
        <v>0</v>
      </c>
      <c r="S974" s="369">
        <f t="shared" si="346"/>
        <v>0</v>
      </c>
      <c r="T974" s="806"/>
      <c r="U974" s="97">
        <f>SUM(I974:T974)</f>
        <v>0</v>
      </c>
      <c r="V974" s="64"/>
      <c r="W974" s="643">
        <f t="shared" si="347"/>
        <v>0</v>
      </c>
    </row>
    <row r="975" spans="1:23" ht="15.75" x14ac:dyDescent="0.25">
      <c r="A975" s="45"/>
      <c r="B975" s="16">
        <f t="shared" si="345"/>
        <v>4</v>
      </c>
      <c r="C975" s="41"/>
      <c r="D975" s="41" t="s">
        <v>277</v>
      </c>
      <c r="E975" s="35" t="s">
        <v>276</v>
      </c>
      <c r="F975" s="312">
        <f>' WP II-I-1.4'!I975</f>
        <v>0</v>
      </c>
      <c r="G975" s="16">
        <v>6</v>
      </c>
      <c r="H975" s="45" t="str">
        <f>VLOOKUP(G975,FactorTable,2)</f>
        <v>CUS W ALL</v>
      </c>
      <c r="I975" s="806"/>
      <c r="J975" s="369">
        <f t="shared" si="346"/>
        <v>0</v>
      </c>
      <c r="K975" s="369">
        <f t="shared" si="346"/>
        <v>0</v>
      </c>
      <c r="L975" s="369">
        <f t="shared" si="346"/>
        <v>0</v>
      </c>
      <c r="M975" s="369">
        <f t="shared" si="346"/>
        <v>0</v>
      </c>
      <c r="N975" s="369">
        <f t="shared" si="346"/>
        <v>0</v>
      </c>
      <c r="O975" s="369">
        <f t="shared" si="346"/>
        <v>0</v>
      </c>
      <c r="P975" s="369">
        <f t="shared" si="346"/>
        <v>0</v>
      </c>
      <c r="Q975" s="369">
        <f t="shared" si="346"/>
        <v>0</v>
      </c>
      <c r="R975" s="369">
        <f t="shared" si="346"/>
        <v>0</v>
      </c>
      <c r="S975" s="369">
        <f t="shared" si="346"/>
        <v>0</v>
      </c>
      <c r="T975" s="806"/>
      <c r="U975" s="97">
        <f>SUM(I975:T975)</f>
        <v>0</v>
      </c>
      <c r="V975" s="64"/>
      <c r="W975" s="643">
        <f t="shared" si="347"/>
        <v>0</v>
      </c>
    </row>
    <row r="976" spans="1:23" ht="15.75" x14ac:dyDescent="0.25">
      <c r="A976" s="45"/>
      <c r="B976" s="16">
        <f t="shared" si="345"/>
        <v>5</v>
      </c>
      <c r="C976" s="41"/>
      <c r="D976" s="41" t="s">
        <v>278</v>
      </c>
      <c r="E976" s="35" t="s">
        <v>276</v>
      </c>
      <c r="F976" s="312">
        <f>' WP II-I-1.4'!I976</f>
        <v>0</v>
      </c>
      <c r="G976" s="16">
        <v>6</v>
      </c>
      <c r="H976" s="45" t="str">
        <f>VLOOKUP(G976,FactorTable,2)</f>
        <v>CUS W ALL</v>
      </c>
      <c r="I976" s="806"/>
      <c r="J976" s="369">
        <f t="shared" si="346"/>
        <v>0</v>
      </c>
      <c r="K976" s="369">
        <f t="shared" si="346"/>
        <v>0</v>
      </c>
      <c r="L976" s="369">
        <f t="shared" si="346"/>
        <v>0</v>
      </c>
      <c r="M976" s="369">
        <f t="shared" si="346"/>
        <v>0</v>
      </c>
      <c r="N976" s="369">
        <f t="shared" si="346"/>
        <v>0</v>
      </c>
      <c r="O976" s="369">
        <f t="shared" si="346"/>
        <v>0</v>
      </c>
      <c r="P976" s="369">
        <f t="shared" si="346"/>
        <v>0</v>
      </c>
      <c r="Q976" s="369">
        <f t="shared" si="346"/>
        <v>0</v>
      </c>
      <c r="R976" s="369">
        <f t="shared" si="346"/>
        <v>0</v>
      </c>
      <c r="S976" s="369">
        <f t="shared" si="346"/>
        <v>0</v>
      </c>
      <c r="T976" s="806"/>
      <c r="U976" s="97">
        <f>SUM(I976:T976)</f>
        <v>0</v>
      </c>
      <c r="V976" s="64"/>
      <c r="W976" s="643">
        <f t="shared" si="347"/>
        <v>0</v>
      </c>
    </row>
    <row r="977" spans="1:23" ht="16.5" thickBot="1" x14ac:dyDescent="0.3">
      <c r="A977" s="45"/>
      <c r="B977" s="16">
        <f t="shared" si="345"/>
        <v>6</v>
      </c>
      <c r="C977" s="41"/>
      <c r="D977" s="41"/>
      <c r="E977" s="35"/>
      <c r="F977" s="312"/>
      <c r="G977" s="35"/>
      <c r="H977" s="35"/>
      <c r="I977" s="35"/>
      <c r="J977" s="806"/>
      <c r="K977" s="806"/>
      <c r="L977" s="806"/>
      <c r="M977" s="806"/>
      <c r="N977" s="806"/>
      <c r="O977" s="806"/>
      <c r="P977" s="806"/>
      <c r="Q977" s="806"/>
      <c r="R977" s="806"/>
      <c r="S977" s="806"/>
      <c r="T977" s="35"/>
      <c r="U977" s="97"/>
      <c r="V977" s="64"/>
      <c r="W977" s="643">
        <f t="shared" si="347"/>
        <v>0</v>
      </c>
    </row>
    <row r="978" spans="1:23" ht="16.5" thickBot="1" x14ac:dyDescent="0.3">
      <c r="A978" s="45"/>
      <c r="B978" s="16">
        <f t="shared" si="345"/>
        <v>7</v>
      </c>
      <c r="C978" s="276" t="s">
        <v>640</v>
      </c>
      <c r="D978" s="271"/>
      <c r="E978" s="272"/>
      <c r="F978" s="217">
        <f>+F972+F973+F974+F975</f>
        <v>0</v>
      </c>
      <c r="G978" s="272"/>
      <c r="H978" s="392"/>
      <c r="I978" s="568"/>
      <c r="J978" s="291">
        <f t="shared" ref="J978:Q978" si="348">+J972+J973+J974+J975</f>
        <v>0</v>
      </c>
      <c r="K978" s="814">
        <f t="shared" si="348"/>
        <v>0</v>
      </c>
      <c r="L978" s="814">
        <f t="shared" si="348"/>
        <v>0</v>
      </c>
      <c r="M978" s="814">
        <f t="shared" si="348"/>
        <v>0</v>
      </c>
      <c r="N978" s="814">
        <f t="shared" si="348"/>
        <v>0</v>
      </c>
      <c r="O978" s="814">
        <f>+O972+O973+O974+O975</f>
        <v>0</v>
      </c>
      <c r="P978" s="814">
        <f t="shared" si="348"/>
        <v>0</v>
      </c>
      <c r="Q978" s="814">
        <f t="shared" si="348"/>
        <v>0</v>
      </c>
      <c r="R978" s="814">
        <f>+R972+R973+R974+R975</f>
        <v>0</v>
      </c>
      <c r="S978" s="218">
        <f>+S972+S973+S974+S975</f>
        <v>0</v>
      </c>
      <c r="T978" s="392"/>
      <c r="U978" s="195">
        <f>SUM(I978:T978)</f>
        <v>0</v>
      </c>
      <c r="V978" s="64"/>
      <c r="W978" s="643">
        <f t="shared" si="347"/>
        <v>0</v>
      </c>
    </row>
    <row r="979" spans="1:23" ht="15" x14ac:dyDescent="0.2">
      <c r="A979" s="45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138"/>
    </row>
    <row r="980" spans="1:23" ht="6.95" customHeight="1" thickBot="1" x14ac:dyDescent="0.25">
      <c r="A980" s="45"/>
      <c r="B980" s="64"/>
      <c r="C980" s="64"/>
      <c r="D980" s="64"/>
      <c r="E980" s="64"/>
      <c r="F980" s="64"/>
      <c r="G980" s="64"/>
      <c r="H980" s="105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105"/>
      <c r="V980" s="105">
        <f>$H$2</f>
        <v>0</v>
      </c>
      <c r="W980" s="138"/>
    </row>
    <row r="981" spans="1:23" ht="15.75" x14ac:dyDescent="0.25">
      <c r="A981" s="45"/>
      <c r="B981" s="829" t="str">
        <f>+$B$4</f>
        <v>2025 RATE CASE</v>
      </c>
      <c r="C981" s="844"/>
      <c r="D981" s="872"/>
      <c r="F981" s="267"/>
      <c r="U981" s="105"/>
      <c r="W981" s="138"/>
    </row>
    <row r="982" spans="1:23" ht="15.75" x14ac:dyDescent="0.25">
      <c r="A982" s="45"/>
      <c r="B982" s="826" t="str">
        <f>+$B$5</f>
        <v>ONCOR ELECTRIC DELIVERY COMPANY LLC</v>
      </c>
      <c r="C982" s="8"/>
      <c r="D982" s="873"/>
      <c r="F982" s="267"/>
      <c r="U982" s="105"/>
      <c r="V982" s="64"/>
      <c r="W982" s="138"/>
    </row>
    <row r="983" spans="1:23" ht="15.75" x14ac:dyDescent="0.25">
      <c r="A983" s="45"/>
      <c r="B983" s="826" t="str">
        <f>+$B$6</f>
        <v>II-I-1-TBILLTDCS:  CLASS REVENUE REQUIREMENT</v>
      </c>
      <c r="C983" s="82"/>
      <c r="D983" s="873"/>
      <c r="F983" s="267"/>
      <c r="U983" s="267"/>
      <c r="V983" s="64"/>
      <c r="W983" s="138"/>
    </row>
    <row r="984" spans="1:23" ht="15.75" x14ac:dyDescent="0.25">
      <c r="A984" s="45"/>
      <c r="B984" s="341" t="str">
        <f>+$B$7</f>
        <v>TEST YEAR ENDING 12/31/2024</v>
      </c>
      <c r="C984" s="82"/>
      <c r="D984" s="873"/>
      <c r="F984" s="267"/>
      <c r="U984" s="267"/>
      <c r="V984" s="64"/>
      <c r="W984" s="138"/>
    </row>
    <row r="985" spans="1:23" ht="15.75" x14ac:dyDescent="0.25">
      <c r="A985" s="45"/>
      <c r="B985" s="341" t="str">
        <f>+$B$8</f>
        <v>SPONSOR:  MATTHEW A. TROXLE</v>
      </c>
      <c r="C985" s="82"/>
      <c r="D985" s="873"/>
      <c r="F985" s="267"/>
      <c r="U985" s="267"/>
      <c r="V985" s="64"/>
      <c r="W985" s="138"/>
    </row>
    <row r="986" spans="1:23" ht="7.5" customHeight="1" thickBot="1" x14ac:dyDescent="0.3">
      <c r="A986" s="45"/>
      <c r="B986" s="345"/>
      <c r="C986" s="843"/>
      <c r="D986" s="845"/>
      <c r="F986" s="267"/>
      <c r="U986" s="267"/>
      <c r="V986" s="64"/>
      <c r="W986" s="138"/>
    </row>
    <row r="987" spans="1:23" ht="12" customHeight="1" thickBot="1" x14ac:dyDescent="0.25">
      <c r="A987" s="45"/>
      <c r="B987" s="12"/>
      <c r="C987" s="13"/>
      <c r="D987" s="13"/>
      <c r="E987" s="13"/>
      <c r="F987" s="12"/>
      <c r="G987" s="13"/>
      <c r="H987" s="13"/>
      <c r="I987" s="13"/>
      <c r="J987" s="177"/>
      <c r="K987" s="177"/>
      <c r="L987" s="13"/>
      <c r="M987" s="177"/>
      <c r="N987" s="177"/>
      <c r="O987" s="177"/>
      <c r="P987" s="177"/>
      <c r="Q987" s="13"/>
      <c r="R987" s="328" t="str">
        <f>R$10</f>
        <v xml:space="preserve"> </v>
      </c>
      <c r="S987" s="329"/>
      <c r="T987" s="177"/>
      <c r="U987" s="12"/>
      <c r="V987" s="64"/>
      <c r="W987" s="138"/>
    </row>
    <row r="988" spans="1:23" ht="15.75" x14ac:dyDescent="0.25">
      <c r="A988" s="45"/>
      <c r="B988" s="14" t="s">
        <v>2</v>
      </c>
      <c r="C988" s="14" t="s">
        <v>349</v>
      </c>
      <c r="D988" s="226" t="s">
        <v>641</v>
      </c>
      <c r="E988" s="14" t="s">
        <v>350</v>
      </c>
      <c r="F988" s="226" t="str">
        <f>F$11</f>
        <v>TBILLTDCS</v>
      </c>
      <c r="G988" s="181" t="s">
        <v>688</v>
      </c>
      <c r="H988" s="181" t="s">
        <v>355</v>
      </c>
      <c r="I988" s="14"/>
      <c r="J988" s="181" t="s">
        <v>679</v>
      </c>
      <c r="K988" s="181" t="s">
        <v>388</v>
      </c>
      <c r="L988" s="14" t="s">
        <v>388</v>
      </c>
      <c r="M988" s="181" t="s">
        <v>389</v>
      </c>
      <c r="N988" s="181" t="s">
        <v>389</v>
      </c>
      <c r="O988" s="181" t="s">
        <v>389</v>
      </c>
      <c r="P988" s="181" t="s">
        <v>390</v>
      </c>
      <c r="Q988" s="14" t="s">
        <v>391</v>
      </c>
      <c r="R988" s="331" t="str">
        <f>R$11</f>
        <v>Wholesale</v>
      </c>
      <c r="S988" s="12" t="str">
        <f>S$11</f>
        <v>Wholesale</v>
      </c>
      <c r="T988" s="181"/>
      <c r="U988" s="14" t="s">
        <v>10</v>
      </c>
      <c r="V988" s="64"/>
      <c r="W988" s="138"/>
    </row>
    <row r="989" spans="1:23" ht="15" x14ac:dyDescent="0.2">
      <c r="A989" s="45"/>
      <c r="B989" s="14"/>
      <c r="C989" s="14"/>
      <c r="D989" s="14"/>
      <c r="E989" s="14"/>
      <c r="F989" s="14"/>
      <c r="G989" s="181" t="s">
        <v>689</v>
      </c>
      <c r="H989" s="181" t="s">
        <v>690</v>
      </c>
      <c r="I989" s="14"/>
      <c r="J989" s="181"/>
      <c r="K989" s="181" t="s">
        <v>680</v>
      </c>
      <c r="L989" s="14" t="s">
        <v>681</v>
      </c>
      <c r="M989" s="181" t="s">
        <v>680</v>
      </c>
      <c r="N989" s="181" t="s">
        <v>681</v>
      </c>
      <c r="O989" s="181" t="s">
        <v>393</v>
      </c>
      <c r="P989" s="181"/>
      <c r="Q989" s="14"/>
      <c r="R989" s="174" t="str">
        <f>R$12</f>
        <v>XFMR</v>
      </c>
      <c r="S989" s="14" t="str">
        <f>S$12</f>
        <v>DLS</v>
      </c>
      <c r="T989" s="181"/>
      <c r="U989" s="14"/>
      <c r="V989" s="64"/>
      <c r="W989" s="138"/>
    </row>
    <row r="990" spans="1:23" ht="15.75" thickBot="1" x14ac:dyDescent="0.25">
      <c r="A990" s="45"/>
      <c r="B990" s="15"/>
      <c r="C990" s="15"/>
      <c r="D990" s="15"/>
      <c r="E990" s="15"/>
      <c r="F990" s="15" t="s">
        <v>13</v>
      </c>
      <c r="G990" s="15" t="s">
        <v>14</v>
      </c>
      <c r="H990" s="15" t="s">
        <v>15</v>
      </c>
      <c r="I990" s="15"/>
      <c r="J990" s="182" t="str">
        <f t="shared" ref="J990:Q990" si="349">J$13</f>
        <v>(d)</v>
      </c>
      <c r="K990" s="182" t="str">
        <f t="shared" si="349"/>
        <v>(e)</v>
      </c>
      <c r="L990" s="15" t="str">
        <f t="shared" si="349"/>
        <v>(f)</v>
      </c>
      <c r="M990" s="182" t="str">
        <f t="shared" si="349"/>
        <v>(g)</v>
      </c>
      <c r="N990" s="182" t="str">
        <f t="shared" si="349"/>
        <v>(h)</v>
      </c>
      <c r="O990" s="182" t="str">
        <f>O$13</f>
        <v>(i)</v>
      </c>
      <c r="P990" s="182" t="str">
        <f t="shared" si="349"/>
        <v>(j)</v>
      </c>
      <c r="Q990" s="182" t="str">
        <f t="shared" si="349"/>
        <v>(k)</v>
      </c>
      <c r="R990" s="182" t="str">
        <f>R$13</f>
        <v>(l)</v>
      </c>
      <c r="S990" s="15" t="str">
        <f>S$13</f>
        <v>(m)</v>
      </c>
      <c r="T990" s="15"/>
      <c r="U990" s="15" t="s">
        <v>683</v>
      </c>
      <c r="V990" s="64"/>
      <c r="W990" s="138"/>
    </row>
    <row r="991" spans="1:23" ht="9.6" customHeight="1" x14ac:dyDescent="0.2">
      <c r="A991" s="45"/>
      <c r="B991" s="64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41"/>
      <c r="V991" s="64"/>
      <c r="W991" s="138"/>
    </row>
    <row r="992" spans="1:23" ht="15.75" x14ac:dyDescent="0.25">
      <c r="A992" s="45"/>
      <c r="B992" s="16">
        <f t="shared" ref="B992:B1032" si="350">B991+1</f>
        <v>1</v>
      </c>
      <c r="C992" s="301" t="s">
        <v>279</v>
      </c>
      <c r="D992" s="8"/>
      <c r="E992" s="19"/>
      <c r="F992" s="8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8"/>
      <c r="V992" s="64"/>
      <c r="W992" s="138"/>
    </row>
    <row r="993" spans="1:23" ht="6.6" customHeight="1" x14ac:dyDescent="0.2">
      <c r="A993" s="45"/>
      <c r="B993" s="16">
        <f t="shared" si="350"/>
        <v>2</v>
      </c>
      <c r="C993" s="1"/>
      <c r="D993" s="1"/>
      <c r="E993" s="16"/>
      <c r="F993" s="1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"/>
      <c r="V993" s="64"/>
      <c r="W993" s="138"/>
    </row>
    <row r="994" spans="1:23" ht="15.75" x14ac:dyDescent="0.25">
      <c r="A994" s="45"/>
      <c r="B994" s="16">
        <f t="shared" si="350"/>
        <v>3</v>
      </c>
      <c r="C994" s="8" t="s">
        <v>642</v>
      </c>
      <c r="D994" s="8"/>
      <c r="E994" s="19" t="s">
        <v>280</v>
      </c>
      <c r="F994" s="313"/>
      <c r="G994" s="19"/>
      <c r="H994" s="19"/>
      <c r="I994" s="19"/>
      <c r="J994" s="961"/>
      <c r="K994" s="961"/>
      <c r="L994" s="961"/>
      <c r="M994" s="961"/>
      <c r="N994" s="961"/>
      <c r="O994" s="961"/>
      <c r="P994" s="961"/>
      <c r="Q994" s="961"/>
      <c r="R994" s="961"/>
      <c r="S994" s="961"/>
      <c r="T994" s="913"/>
      <c r="U994" s="8"/>
      <c r="V994" s="64"/>
      <c r="W994" s="643">
        <f t="shared" ref="W994:W1032" si="351">F994-U994</f>
        <v>0</v>
      </c>
    </row>
    <row r="995" spans="1:23" ht="15" x14ac:dyDescent="0.2">
      <c r="A995" s="45"/>
      <c r="B995" s="16">
        <f t="shared" si="350"/>
        <v>4</v>
      </c>
      <c r="C995" s="1" t="s">
        <v>25</v>
      </c>
      <c r="D995" s="1" t="s">
        <v>26</v>
      </c>
      <c r="E995" s="16"/>
      <c r="F995" s="97">
        <f>' WP II-I-1.4'!I995</f>
        <v>0</v>
      </c>
      <c r="G995" s="16">
        <v>66</v>
      </c>
      <c r="H995" s="45" t="str">
        <f>VLOOKUP(G995,FactorTable,2)</f>
        <v>PLT INT_N</v>
      </c>
      <c r="I995" s="16"/>
      <c r="J995" s="369">
        <f t="shared" ref="J995:S997" ca="1" si="352">$F995*HLOOKUP(J$1354,FactorTable,$G995+1)</f>
        <v>0</v>
      </c>
      <c r="K995" s="369">
        <f t="shared" ca="1" si="352"/>
        <v>0</v>
      </c>
      <c r="L995" s="369">
        <f t="shared" ca="1" si="352"/>
        <v>0</v>
      </c>
      <c r="M995" s="369">
        <f t="shared" ca="1" si="352"/>
        <v>0</v>
      </c>
      <c r="N995" s="369">
        <f t="shared" ca="1" si="352"/>
        <v>0</v>
      </c>
      <c r="O995" s="369">
        <f t="shared" ca="1" si="352"/>
        <v>0</v>
      </c>
      <c r="P995" s="369">
        <f t="shared" ca="1" si="352"/>
        <v>0</v>
      </c>
      <c r="Q995" s="369">
        <f t="shared" ca="1" si="352"/>
        <v>0</v>
      </c>
      <c r="R995" s="369">
        <f t="shared" ca="1" si="352"/>
        <v>0</v>
      </c>
      <c r="S995" s="369">
        <f t="shared" ca="1" si="352"/>
        <v>0</v>
      </c>
      <c r="T995" s="16"/>
      <c r="U995" s="97">
        <f ca="1">SUM(I995:T995)</f>
        <v>0</v>
      </c>
      <c r="V995" s="64"/>
      <c r="W995" s="643">
        <f t="shared" ca="1" si="351"/>
        <v>0</v>
      </c>
    </row>
    <row r="996" spans="1:23" ht="15" x14ac:dyDescent="0.2">
      <c r="A996" s="45"/>
      <c r="B996" s="16">
        <f t="shared" si="350"/>
        <v>5</v>
      </c>
      <c r="C996" s="1" t="s">
        <v>27</v>
      </c>
      <c r="D996" s="1" t="s">
        <v>35</v>
      </c>
      <c r="E996" s="16"/>
      <c r="F996" s="97">
        <f>' WP II-I-1.4'!I996</f>
        <v>0</v>
      </c>
      <c r="G996" s="16">
        <v>66</v>
      </c>
      <c r="H996" s="45" t="str">
        <f>VLOOKUP(G996,FactorTable,2)</f>
        <v>PLT INT_N</v>
      </c>
      <c r="I996" s="16"/>
      <c r="J996" s="369">
        <f t="shared" ca="1" si="352"/>
        <v>0</v>
      </c>
      <c r="K996" s="369">
        <f t="shared" ca="1" si="352"/>
        <v>0</v>
      </c>
      <c r="L996" s="369">
        <f t="shared" ca="1" si="352"/>
        <v>0</v>
      </c>
      <c r="M996" s="369">
        <f t="shared" ca="1" si="352"/>
        <v>0</v>
      </c>
      <c r="N996" s="369">
        <f t="shared" ca="1" si="352"/>
        <v>0</v>
      </c>
      <c r="O996" s="369">
        <f t="shared" ca="1" si="352"/>
        <v>0</v>
      </c>
      <c r="P996" s="369">
        <f t="shared" ca="1" si="352"/>
        <v>0</v>
      </c>
      <c r="Q996" s="369">
        <f t="shared" ca="1" si="352"/>
        <v>0</v>
      </c>
      <c r="R996" s="369">
        <f t="shared" ca="1" si="352"/>
        <v>0</v>
      </c>
      <c r="S996" s="369">
        <f t="shared" ca="1" si="352"/>
        <v>0</v>
      </c>
      <c r="T996" s="16"/>
      <c r="U996" s="97">
        <f ca="1">SUM(I996:T996)</f>
        <v>0</v>
      </c>
      <c r="V996" s="64"/>
      <c r="W996" s="643">
        <f t="shared" ca="1" si="351"/>
        <v>0</v>
      </c>
    </row>
    <row r="997" spans="1:23" ht="15" x14ac:dyDescent="0.2">
      <c r="A997" s="45"/>
      <c r="B997" s="16">
        <f t="shared" si="350"/>
        <v>6</v>
      </c>
      <c r="C997" s="1" t="s">
        <v>29</v>
      </c>
      <c r="D997" s="1" t="s">
        <v>32</v>
      </c>
      <c r="E997" s="16"/>
      <c r="F997" s="97">
        <f>' WP II-I-1.4'!I997</f>
        <v>10429.510000005943</v>
      </c>
      <c r="G997" s="16">
        <v>66</v>
      </c>
      <c r="H997" s="45" t="str">
        <f>VLOOKUP(G997,FactorTable,2)</f>
        <v>PLT INT_N</v>
      </c>
      <c r="I997" s="16"/>
      <c r="J997" s="370">
        <f t="shared" ca="1" si="352"/>
        <v>5140.9550535815924</v>
      </c>
      <c r="K997" s="370">
        <f t="shared" ca="1" si="352"/>
        <v>717.33173959896612</v>
      </c>
      <c r="L997" s="370">
        <f t="shared" ca="1" si="352"/>
        <v>2803.6009544050376</v>
      </c>
      <c r="M997" s="370">
        <f t="shared" ca="1" si="352"/>
        <v>117.93395938487078</v>
      </c>
      <c r="N997" s="370">
        <f t="shared" ca="1" si="352"/>
        <v>907.82013345208907</v>
      </c>
      <c r="O997" s="370">
        <f t="shared" ca="1" si="352"/>
        <v>29.786263607804333</v>
      </c>
      <c r="P997" s="370">
        <f t="shared" ca="1" si="352"/>
        <v>62.130856605236048</v>
      </c>
      <c r="Q997" s="370">
        <f t="shared" ca="1" si="352"/>
        <v>638.31132808637165</v>
      </c>
      <c r="R997" s="370">
        <f t="shared" ca="1" si="352"/>
        <v>3.2892806438066144</v>
      </c>
      <c r="S997" s="370">
        <f t="shared" ca="1" si="352"/>
        <v>8.3504306401667616</v>
      </c>
      <c r="T997" s="16"/>
      <c r="U997" s="97">
        <f ca="1">SUM(I997:T997)</f>
        <v>10429.510000005939</v>
      </c>
      <c r="V997" s="64"/>
      <c r="W997" s="643">
        <f t="shared" ca="1" si="351"/>
        <v>0</v>
      </c>
    </row>
    <row r="998" spans="1:23" ht="14.45" customHeight="1" x14ac:dyDescent="0.25">
      <c r="A998" s="45"/>
      <c r="B998" s="16">
        <f t="shared" si="350"/>
        <v>7</v>
      </c>
      <c r="C998" s="21"/>
      <c r="D998" s="314" t="s">
        <v>444</v>
      </c>
      <c r="E998" s="21"/>
      <c r="F998" s="21">
        <f>+F995+F996+F997</f>
        <v>10429.510000005943</v>
      </c>
      <c r="G998" s="21"/>
      <c r="H998" s="21"/>
      <c r="I998" s="805"/>
      <c r="J998" s="805">
        <f t="shared" ref="J998:Q998" ca="1" si="353">+J995+J996+J997</f>
        <v>5140.9550535815924</v>
      </c>
      <c r="K998" s="805">
        <f t="shared" ca="1" si="353"/>
        <v>717.33173959896612</v>
      </c>
      <c r="L998" s="805">
        <f t="shared" ca="1" si="353"/>
        <v>2803.6009544050376</v>
      </c>
      <c r="M998" s="805">
        <f t="shared" ca="1" si="353"/>
        <v>117.93395938487078</v>
      </c>
      <c r="N998" s="805">
        <f t="shared" ca="1" si="353"/>
        <v>907.82013345208907</v>
      </c>
      <c r="O998" s="805">
        <f ca="1">+O995+O996+O997</f>
        <v>29.786263607804333</v>
      </c>
      <c r="P998" s="805">
        <f t="shared" ca="1" si="353"/>
        <v>62.130856605236048</v>
      </c>
      <c r="Q998" s="805">
        <f t="shared" ca="1" si="353"/>
        <v>638.31132808637165</v>
      </c>
      <c r="R998" s="805">
        <f ca="1">+R995+R996+R997</f>
        <v>3.2892806438066144</v>
      </c>
      <c r="S998" s="805">
        <f ca="1">+S995+S996+S997</f>
        <v>8.3504306401667616</v>
      </c>
      <c r="T998" s="805"/>
      <c r="U998" s="235">
        <f ca="1">SUM(I998:T998)</f>
        <v>10429.510000005939</v>
      </c>
      <c r="V998" s="64"/>
      <c r="W998" s="643">
        <f t="shared" ca="1" si="351"/>
        <v>0</v>
      </c>
    </row>
    <row r="999" spans="1:23" ht="6.6" customHeight="1" x14ac:dyDescent="0.2">
      <c r="A999" s="45"/>
      <c r="B999" s="16">
        <f t="shared" si="350"/>
        <v>8</v>
      </c>
      <c r="C999" s="1"/>
      <c r="D999" s="1"/>
      <c r="E999" s="16"/>
      <c r="F999" s="1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"/>
      <c r="V999" s="64"/>
      <c r="W999" s="643">
        <f t="shared" si="351"/>
        <v>0</v>
      </c>
    </row>
    <row r="1000" spans="1:23" ht="15.75" x14ac:dyDescent="0.25">
      <c r="A1000" s="45"/>
      <c r="B1000" s="16">
        <f t="shared" si="350"/>
        <v>9</v>
      </c>
      <c r="C1000" s="8" t="s">
        <v>643</v>
      </c>
      <c r="D1000" s="8"/>
      <c r="E1000" s="19" t="s">
        <v>280</v>
      </c>
      <c r="F1000" s="21"/>
      <c r="G1000" s="19"/>
      <c r="H1000" s="19"/>
      <c r="I1000" s="913"/>
      <c r="J1000" s="961"/>
      <c r="K1000" s="961"/>
      <c r="L1000" s="961"/>
      <c r="M1000" s="961"/>
      <c r="N1000" s="961"/>
      <c r="O1000" s="961"/>
      <c r="P1000" s="961"/>
      <c r="Q1000" s="961"/>
      <c r="R1000" s="961"/>
      <c r="S1000" s="961"/>
      <c r="T1000" s="19"/>
      <c r="U1000" s="8"/>
      <c r="V1000" s="64"/>
      <c r="W1000" s="643">
        <f t="shared" si="351"/>
        <v>0</v>
      </c>
    </row>
    <row r="1001" spans="1:23" ht="15" x14ac:dyDescent="0.2">
      <c r="A1001" s="45"/>
      <c r="B1001" s="16">
        <f t="shared" si="350"/>
        <v>10</v>
      </c>
      <c r="C1001" s="1" t="s">
        <v>39</v>
      </c>
      <c r="D1001" s="1" t="s">
        <v>40</v>
      </c>
      <c r="E1001" s="16"/>
      <c r="F1001" s="97">
        <f>' WP II-I-1.4'!I1001</f>
        <v>0</v>
      </c>
      <c r="G1001" s="16">
        <v>67</v>
      </c>
      <c r="H1001" s="45" t="str">
        <f t="shared" ref="H1001:H1012" si="354">VLOOKUP(G1001,FactorTable,2)</f>
        <v>PLTTRAN_N</v>
      </c>
      <c r="I1001" s="16"/>
      <c r="J1001" s="369">
        <f t="shared" ref="J1001:S1012" ca="1" si="355">$F1001*HLOOKUP(J$1354,FactorTable,$G1001+1)</f>
        <v>0</v>
      </c>
      <c r="K1001" s="369">
        <f t="shared" ca="1" si="355"/>
        <v>0</v>
      </c>
      <c r="L1001" s="369">
        <f t="shared" ca="1" si="355"/>
        <v>0</v>
      </c>
      <c r="M1001" s="369">
        <f t="shared" ca="1" si="355"/>
        <v>0</v>
      </c>
      <c r="N1001" s="369">
        <f t="shared" ca="1" si="355"/>
        <v>0</v>
      </c>
      <c r="O1001" s="369">
        <f t="shared" ca="1" si="355"/>
        <v>0</v>
      </c>
      <c r="P1001" s="369">
        <f t="shared" ca="1" si="355"/>
        <v>0</v>
      </c>
      <c r="Q1001" s="369">
        <f t="shared" ca="1" si="355"/>
        <v>0</v>
      </c>
      <c r="R1001" s="369">
        <f t="shared" ca="1" si="355"/>
        <v>0</v>
      </c>
      <c r="S1001" s="369">
        <f t="shared" ca="1" si="355"/>
        <v>0</v>
      </c>
      <c r="T1001" s="16"/>
      <c r="U1001" s="97">
        <f t="shared" ref="U1001:U1013" ca="1" si="356">SUM(I1001:T1001)</f>
        <v>0</v>
      </c>
      <c r="V1001" s="64"/>
      <c r="W1001" s="643">
        <f t="shared" ca="1" si="351"/>
        <v>0</v>
      </c>
    </row>
    <row r="1002" spans="1:23" ht="15" x14ac:dyDescent="0.2">
      <c r="A1002" s="45"/>
      <c r="B1002" s="16">
        <f t="shared" si="350"/>
        <v>11</v>
      </c>
      <c r="C1002" s="321" t="s">
        <v>1229</v>
      </c>
      <c r="D1002" s="321" t="s">
        <v>1230</v>
      </c>
      <c r="E1002" s="321"/>
      <c r="F1002" s="229">
        <f>' WP II-I-1.4'!I1002</f>
        <v>0</v>
      </c>
      <c r="G1002" s="16">
        <v>67</v>
      </c>
      <c r="H1002" s="45" t="str">
        <f t="shared" ref="H1002:H1004" si="357">VLOOKUP(G1002,FactorTable,2)</f>
        <v>PLTTRAN_N</v>
      </c>
      <c r="I1002" s="16"/>
      <c r="J1002" s="369">
        <f t="shared" ca="1" si="355"/>
        <v>0</v>
      </c>
      <c r="K1002" s="369">
        <f t="shared" ca="1" si="355"/>
        <v>0</v>
      </c>
      <c r="L1002" s="369">
        <f t="shared" ca="1" si="355"/>
        <v>0</v>
      </c>
      <c r="M1002" s="369">
        <f t="shared" ca="1" si="355"/>
        <v>0</v>
      </c>
      <c r="N1002" s="369">
        <f t="shared" ca="1" si="355"/>
        <v>0</v>
      </c>
      <c r="O1002" s="369">
        <f t="shared" ca="1" si="355"/>
        <v>0</v>
      </c>
      <c r="P1002" s="369">
        <f t="shared" ca="1" si="355"/>
        <v>0</v>
      </c>
      <c r="Q1002" s="369">
        <f t="shared" ca="1" si="355"/>
        <v>0</v>
      </c>
      <c r="R1002" s="369">
        <f t="shared" ca="1" si="355"/>
        <v>0</v>
      </c>
      <c r="S1002" s="369">
        <f t="shared" ca="1" si="355"/>
        <v>0</v>
      </c>
      <c r="T1002" s="16"/>
      <c r="U1002" s="97">
        <f t="shared" ref="U1002:U1004" ca="1" si="358">SUM(I1002:T1002)</f>
        <v>0</v>
      </c>
      <c r="V1002" s="64"/>
      <c r="W1002" s="643">
        <f t="shared" ref="W1002:W1004" ca="1" si="359">F1002-U1002</f>
        <v>0</v>
      </c>
    </row>
    <row r="1003" spans="1:23" ht="15" x14ac:dyDescent="0.2">
      <c r="A1003" s="45"/>
      <c r="B1003" s="16">
        <f t="shared" si="350"/>
        <v>12</v>
      </c>
      <c r="C1003" s="321" t="s">
        <v>1231</v>
      </c>
      <c r="D1003" s="321" t="s">
        <v>1232</v>
      </c>
      <c r="E1003" s="321"/>
      <c r="F1003" s="229">
        <f>' WP II-I-1.4'!I1003</f>
        <v>0</v>
      </c>
      <c r="G1003" s="16">
        <v>67</v>
      </c>
      <c r="H1003" s="45" t="str">
        <f t="shared" si="357"/>
        <v>PLTTRAN_N</v>
      </c>
      <c r="I1003" s="16"/>
      <c r="J1003" s="369">
        <f t="shared" ca="1" si="355"/>
        <v>0</v>
      </c>
      <c r="K1003" s="369">
        <f t="shared" ca="1" si="355"/>
        <v>0</v>
      </c>
      <c r="L1003" s="369">
        <f t="shared" ca="1" si="355"/>
        <v>0</v>
      </c>
      <c r="M1003" s="369">
        <f t="shared" ca="1" si="355"/>
        <v>0</v>
      </c>
      <c r="N1003" s="369">
        <f t="shared" ca="1" si="355"/>
        <v>0</v>
      </c>
      <c r="O1003" s="369">
        <f t="shared" ca="1" si="355"/>
        <v>0</v>
      </c>
      <c r="P1003" s="369">
        <f t="shared" ca="1" si="355"/>
        <v>0</v>
      </c>
      <c r="Q1003" s="369">
        <f t="shared" ca="1" si="355"/>
        <v>0</v>
      </c>
      <c r="R1003" s="369">
        <f t="shared" ca="1" si="355"/>
        <v>0</v>
      </c>
      <c r="S1003" s="369">
        <f t="shared" ca="1" si="355"/>
        <v>0</v>
      </c>
      <c r="T1003" s="16"/>
      <c r="U1003" s="97">
        <f t="shared" ca="1" si="358"/>
        <v>0</v>
      </c>
      <c r="V1003" s="64"/>
      <c r="W1003" s="643">
        <f t="shared" ca="1" si="359"/>
        <v>0</v>
      </c>
    </row>
    <row r="1004" spans="1:23" ht="15" x14ac:dyDescent="0.2">
      <c r="A1004" s="45"/>
      <c r="B1004" s="16">
        <f t="shared" si="350"/>
        <v>13</v>
      </c>
      <c r="C1004" s="321" t="s">
        <v>1233</v>
      </c>
      <c r="D1004" s="321" t="s">
        <v>103</v>
      </c>
      <c r="E1004" s="321"/>
      <c r="F1004" s="229">
        <f>' WP II-I-1.4'!I1004</f>
        <v>0</v>
      </c>
      <c r="G1004" s="16">
        <v>67</v>
      </c>
      <c r="H1004" s="45" t="str">
        <f t="shared" si="357"/>
        <v>PLTTRAN_N</v>
      </c>
      <c r="I1004" s="16"/>
      <c r="J1004" s="369">
        <f t="shared" ca="1" si="355"/>
        <v>0</v>
      </c>
      <c r="K1004" s="369">
        <f t="shared" ca="1" si="355"/>
        <v>0</v>
      </c>
      <c r="L1004" s="369">
        <f t="shared" ca="1" si="355"/>
        <v>0</v>
      </c>
      <c r="M1004" s="369">
        <f t="shared" ca="1" si="355"/>
        <v>0</v>
      </c>
      <c r="N1004" s="369">
        <f t="shared" ca="1" si="355"/>
        <v>0</v>
      </c>
      <c r="O1004" s="369">
        <f t="shared" ca="1" si="355"/>
        <v>0</v>
      </c>
      <c r="P1004" s="369">
        <f t="shared" ca="1" si="355"/>
        <v>0</v>
      </c>
      <c r="Q1004" s="369">
        <f t="shared" ca="1" si="355"/>
        <v>0</v>
      </c>
      <c r="R1004" s="369">
        <f t="shared" ca="1" si="355"/>
        <v>0</v>
      </c>
      <c r="S1004" s="369">
        <f t="shared" ca="1" si="355"/>
        <v>0</v>
      </c>
      <c r="T1004" s="16"/>
      <c r="U1004" s="97">
        <f t="shared" ca="1" si="358"/>
        <v>0</v>
      </c>
      <c r="V1004" s="64"/>
      <c r="W1004" s="643">
        <f t="shared" ca="1" si="359"/>
        <v>0</v>
      </c>
    </row>
    <row r="1005" spans="1:23" ht="15" x14ac:dyDescent="0.2">
      <c r="A1005" s="45"/>
      <c r="B1005" s="16">
        <f t="shared" si="350"/>
        <v>14</v>
      </c>
      <c r="C1005" s="1" t="s">
        <v>41</v>
      </c>
      <c r="D1005" s="1" t="s">
        <v>42</v>
      </c>
      <c r="E1005" s="16"/>
      <c r="F1005" s="229">
        <f>' WP II-I-1.4'!I1005</f>
        <v>0</v>
      </c>
      <c r="G1005" s="16">
        <v>67</v>
      </c>
      <c r="H1005" s="45" t="str">
        <f t="shared" si="354"/>
        <v>PLTTRAN_N</v>
      </c>
      <c r="I1005" s="16"/>
      <c r="J1005" s="369">
        <f t="shared" ca="1" si="355"/>
        <v>0</v>
      </c>
      <c r="K1005" s="369">
        <f t="shared" ca="1" si="355"/>
        <v>0</v>
      </c>
      <c r="L1005" s="369">
        <f t="shared" ca="1" si="355"/>
        <v>0</v>
      </c>
      <c r="M1005" s="369">
        <f t="shared" ca="1" si="355"/>
        <v>0</v>
      </c>
      <c r="N1005" s="369">
        <f t="shared" ca="1" si="355"/>
        <v>0</v>
      </c>
      <c r="O1005" s="369">
        <f t="shared" ca="1" si="355"/>
        <v>0</v>
      </c>
      <c r="P1005" s="369">
        <f t="shared" ca="1" si="355"/>
        <v>0</v>
      </c>
      <c r="Q1005" s="369">
        <f t="shared" ca="1" si="355"/>
        <v>0</v>
      </c>
      <c r="R1005" s="369">
        <f t="shared" ca="1" si="355"/>
        <v>0</v>
      </c>
      <c r="S1005" s="369">
        <f t="shared" ca="1" si="355"/>
        <v>0</v>
      </c>
      <c r="T1005" s="16"/>
      <c r="U1005" s="97">
        <f t="shared" ca="1" si="356"/>
        <v>0</v>
      </c>
      <c r="V1005" s="64"/>
      <c r="W1005" s="643">
        <f t="shared" ca="1" si="351"/>
        <v>0</v>
      </c>
    </row>
    <row r="1006" spans="1:23" ht="15" x14ac:dyDescent="0.2">
      <c r="A1006" s="45"/>
      <c r="B1006" s="16">
        <f t="shared" si="350"/>
        <v>15</v>
      </c>
      <c r="C1006" s="1" t="s">
        <v>43</v>
      </c>
      <c r="D1006" s="1" t="s">
        <v>44</v>
      </c>
      <c r="E1006" s="16"/>
      <c r="F1006" s="229">
        <f>' WP II-I-1.4'!I1006</f>
        <v>0</v>
      </c>
      <c r="G1006" s="16">
        <v>67</v>
      </c>
      <c r="H1006" s="45" t="str">
        <f t="shared" si="354"/>
        <v>PLTTRAN_N</v>
      </c>
      <c r="I1006" s="16"/>
      <c r="J1006" s="369">
        <f t="shared" ca="1" si="355"/>
        <v>0</v>
      </c>
      <c r="K1006" s="369">
        <f t="shared" ca="1" si="355"/>
        <v>0</v>
      </c>
      <c r="L1006" s="369">
        <f t="shared" ca="1" si="355"/>
        <v>0</v>
      </c>
      <c r="M1006" s="369">
        <f t="shared" ca="1" si="355"/>
        <v>0</v>
      </c>
      <c r="N1006" s="369">
        <f t="shared" ca="1" si="355"/>
        <v>0</v>
      </c>
      <c r="O1006" s="369">
        <f t="shared" ca="1" si="355"/>
        <v>0</v>
      </c>
      <c r="P1006" s="369">
        <f t="shared" ca="1" si="355"/>
        <v>0</v>
      </c>
      <c r="Q1006" s="369">
        <f t="shared" ca="1" si="355"/>
        <v>0</v>
      </c>
      <c r="R1006" s="369">
        <f t="shared" ca="1" si="355"/>
        <v>0</v>
      </c>
      <c r="S1006" s="369">
        <f t="shared" ca="1" si="355"/>
        <v>0</v>
      </c>
      <c r="T1006" s="16"/>
      <c r="U1006" s="97">
        <f t="shared" ca="1" si="356"/>
        <v>0</v>
      </c>
      <c r="V1006" s="64"/>
      <c r="W1006" s="643">
        <f t="shared" ca="1" si="351"/>
        <v>0</v>
      </c>
    </row>
    <row r="1007" spans="1:23" ht="14.45" customHeight="1" x14ac:dyDescent="0.2">
      <c r="A1007" s="45"/>
      <c r="B1007" s="16">
        <f t="shared" si="350"/>
        <v>16</v>
      </c>
      <c r="C1007" s="1" t="s">
        <v>45</v>
      </c>
      <c r="D1007" s="1" t="s">
        <v>46</v>
      </c>
      <c r="E1007" s="16"/>
      <c r="F1007" s="229">
        <f>' WP II-I-1.4'!I1007</f>
        <v>0</v>
      </c>
      <c r="G1007" s="16">
        <v>67</v>
      </c>
      <c r="H1007" s="45" t="str">
        <f t="shared" si="354"/>
        <v>PLTTRAN_N</v>
      </c>
      <c r="I1007" s="16"/>
      <c r="J1007" s="369">
        <f t="shared" ca="1" si="355"/>
        <v>0</v>
      </c>
      <c r="K1007" s="369">
        <f t="shared" ca="1" si="355"/>
        <v>0</v>
      </c>
      <c r="L1007" s="369">
        <f t="shared" ca="1" si="355"/>
        <v>0</v>
      </c>
      <c r="M1007" s="369">
        <f t="shared" ca="1" si="355"/>
        <v>0</v>
      </c>
      <c r="N1007" s="369">
        <f t="shared" ca="1" si="355"/>
        <v>0</v>
      </c>
      <c r="O1007" s="369">
        <f t="shared" ca="1" si="355"/>
        <v>0</v>
      </c>
      <c r="P1007" s="369">
        <f t="shared" ca="1" si="355"/>
        <v>0</v>
      </c>
      <c r="Q1007" s="369">
        <f t="shared" ca="1" si="355"/>
        <v>0</v>
      </c>
      <c r="R1007" s="369">
        <f t="shared" ca="1" si="355"/>
        <v>0</v>
      </c>
      <c r="S1007" s="369">
        <f t="shared" ca="1" si="355"/>
        <v>0</v>
      </c>
      <c r="T1007" s="16"/>
      <c r="U1007" s="97">
        <f t="shared" ca="1" si="356"/>
        <v>0</v>
      </c>
      <c r="V1007" s="64"/>
      <c r="W1007" s="643">
        <f t="shared" ca="1" si="351"/>
        <v>0</v>
      </c>
    </row>
    <row r="1008" spans="1:23" ht="15" x14ac:dyDescent="0.2">
      <c r="A1008" s="45"/>
      <c r="B1008" s="16">
        <f t="shared" si="350"/>
        <v>17</v>
      </c>
      <c r="C1008" s="1" t="s">
        <v>47</v>
      </c>
      <c r="D1008" s="1" t="s">
        <v>48</v>
      </c>
      <c r="E1008" s="16"/>
      <c r="F1008" s="229">
        <f>' WP II-I-1.4'!I1008</f>
        <v>0</v>
      </c>
      <c r="G1008" s="16">
        <v>67</v>
      </c>
      <c r="H1008" s="45" t="str">
        <f t="shared" si="354"/>
        <v>PLTTRAN_N</v>
      </c>
      <c r="I1008" s="16"/>
      <c r="J1008" s="369">
        <f t="shared" ca="1" si="355"/>
        <v>0</v>
      </c>
      <c r="K1008" s="369">
        <f t="shared" ca="1" si="355"/>
        <v>0</v>
      </c>
      <c r="L1008" s="369">
        <f t="shared" ca="1" si="355"/>
        <v>0</v>
      </c>
      <c r="M1008" s="369">
        <f t="shared" ca="1" si="355"/>
        <v>0</v>
      </c>
      <c r="N1008" s="369">
        <f t="shared" ca="1" si="355"/>
        <v>0</v>
      </c>
      <c r="O1008" s="369">
        <f t="shared" ca="1" si="355"/>
        <v>0</v>
      </c>
      <c r="P1008" s="369">
        <f t="shared" ca="1" si="355"/>
        <v>0</v>
      </c>
      <c r="Q1008" s="369">
        <f t="shared" ca="1" si="355"/>
        <v>0</v>
      </c>
      <c r="R1008" s="369">
        <f t="shared" ca="1" si="355"/>
        <v>0</v>
      </c>
      <c r="S1008" s="369">
        <f t="shared" ca="1" si="355"/>
        <v>0</v>
      </c>
      <c r="T1008" s="16"/>
      <c r="U1008" s="97">
        <f t="shared" ca="1" si="356"/>
        <v>0</v>
      </c>
      <c r="V1008" s="64"/>
      <c r="W1008" s="643">
        <f t="shared" ca="1" si="351"/>
        <v>0</v>
      </c>
    </row>
    <row r="1009" spans="1:23" ht="15" x14ac:dyDescent="0.2">
      <c r="A1009" s="45"/>
      <c r="B1009" s="16">
        <f t="shared" si="350"/>
        <v>18</v>
      </c>
      <c r="C1009" s="1" t="s">
        <v>49</v>
      </c>
      <c r="D1009" s="1" t="s">
        <v>486</v>
      </c>
      <c r="E1009" s="16"/>
      <c r="F1009" s="229">
        <f>' WP II-I-1.4'!I1009</f>
        <v>0</v>
      </c>
      <c r="G1009" s="16">
        <v>67</v>
      </c>
      <c r="H1009" s="45" t="str">
        <f t="shared" si="354"/>
        <v>PLTTRAN_N</v>
      </c>
      <c r="I1009" s="16"/>
      <c r="J1009" s="369">
        <f t="shared" ca="1" si="355"/>
        <v>0</v>
      </c>
      <c r="K1009" s="369">
        <f t="shared" ca="1" si="355"/>
        <v>0</v>
      </c>
      <c r="L1009" s="369">
        <f t="shared" ca="1" si="355"/>
        <v>0</v>
      </c>
      <c r="M1009" s="369">
        <f t="shared" ca="1" si="355"/>
        <v>0</v>
      </c>
      <c r="N1009" s="369">
        <f t="shared" ca="1" si="355"/>
        <v>0</v>
      </c>
      <c r="O1009" s="369">
        <f t="shared" ca="1" si="355"/>
        <v>0</v>
      </c>
      <c r="P1009" s="369">
        <f t="shared" ca="1" si="355"/>
        <v>0</v>
      </c>
      <c r="Q1009" s="369">
        <f t="shared" ca="1" si="355"/>
        <v>0</v>
      </c>
      <c r="R1009" s="369">
        <f t="shared" ca="1" si="355"/>
        <v>0</v>
      </c>
      <c r="S1009" s="369">
        <f t="shared" ca="1" si="355"/>
        <v>0</v>
      </c>
      <c r="T1009" s="16"/>
      <c r="U1009" s="97">
        <f t="shared" ca="1" si="356"/>
        <v>0</v>
      </c>
      <c r="V1009" s="64"/>
      <c r="W1009" s="643">
        <f t="shared" ca="1" si="351"/>
        <v>0</v>
      </c>
    </row>
    <row r="1010" spans="1:23" ht="15" x14ac:dyDescent="0.2">
      <c r="A1010" s="45"/>
      <c r="B1010" s="16">
        <f t="shared" si="350"/>
        <v>19</v>
      </c>
      <c r="C1010" s="1" t="s">
        <v>51</v>
      </c>
      <c r="D1010" s="1" t="s">
        <v>644</v>
      </c>
      <c r="E1010" s="16"/>
      <c r="F1010" s="229">
        <f>' WP II-I-1.4'!I1010</f>
        <v>0</v>
      </c>
      <c r="G1010" s="16">
        <v>67</v>
      </c>
      <c r="H1010" s="45" t="str">
        <f t="shared" si="354"/>
        <v>PLTTRAN_N</v>
      </c>
      <c r="I1010" s="16"/>
      <c r="J1010" s="369">
        <f t="shared" ca="1" si="355"/>
        <v>0</v>
      </c>
      <c r="K1010" s="369">
        <f t="shared" ca="1" si="355"/>
        <v>0</v>
      </c>
      <c r="L1010" s="369">
        <f t="shared" ca="1" si="355"/>
        <v>0</v>
      </c>
      <c r="M1010" s="369">
        <f t="shared" ca="1" si="355"/>
        <v>0</v>
      </c>
      <c r="N1010" s="369">
        <f t="shared" ca="1" si="355"/>
        <v>0</v>
      </c>
      <c r="O1010" s="369">
        <f t="shared" ca="1" si="355"/>
        <v>0</v>
      </c>
      <c r="P1010" s="369">
        <f t="shared" ca="1" si="355"/>
        <v>0</v>
      </c>
      <c r="Q1010" s="369">
        <f t="shared" ca="1" si="355"/>
        <v>0</v>
      </c>
      <c r="R1010" s="369">
        <f t="shared" ca="1" si="355"/>
        <v>0</v>
      </c>
      <c r="S1010" s="369">
        <f t="shared" ca="1" si="355"/>
        <v>0</v>
      </c>
      <c r="T1010" s="16"/>
      <c r="U1010" s="97">
        <f t="shared" ca="1" si="356"/>
        <v>0</v>
      </c>
      <c r="V1010" s="64"/>
      <c r="W1010" s="643">
        <f t="shared" ca="1" si="351"/>
        <v>0</v>
      </c>
    </row>
    <row r="1011" spans="1:23" ht="15" x14ac:dyDescent="0.2">
      <c r="A1011" s="45"/>
      <c r="B1011" s="16">
        <f t="shared" si="350"/>
        <v>20</v>
      </c>
      <c r="C1011" s="1" t="s">
        <v>53</v>
      </c>
      <c r="D1011" s="29" t="s">
        <v>487</v>
      </c>
      <c r="E1011" s="16"/>
      <c r="F1011" s="229">
        <f>' WP II-I-1.4'!I1011</f>
        <v>0</v>
      </c>
      <c r="G1011" s="16">
        <v>67</v>
      </c>
      <c r="H1011" s="45" t="str">
        <f t="shared" si="354"/>
        <v>PLTTRAN_N</v>
      </c>
      <c r="I1011" s="16"/>
      <c r="J1011" s="369">
        <f t="shared" ca="1" si="355"/>
        <v>0</v>
      </c>
      <c r="K1011" s="369">
        <f t="shared" ca="1" si="355"/>
        <v>0</v>
      </c>
      <c r="L1011" s="369">
        <f t="shared" ca="1" si="355"/>
        <v>0</v>
      </c>
      <c r="M1011" s="369">
        <f t="shared" ca="1" si="355"/>
        <v>0</v>
      </c>
      <c r="N1011" s="369">
        <f t="shared" ca="1" si="355"/>
        <v>0</v>
      </c>
      <c r="O1011" s="369">
        <f t="shared" ca="1" si="355"/>
        <v>0</v>
      </c>
      <c r="P1011" s="369">
        <f t="shared" ca="1" si="355"/>
        <v>0</v>
      </c>
      <c r="Q1011" s="369">
        <f t="shared" ca="1" si="355"/>
        <v>0</v>
      </c>
      <c r="R1011" s="369">
        <f t="shared" ca="1" si="355"/>
        <v>0</v>
      </c>
      <c r="S1011" s="369">
        <f t="shared" ca="1" si="355"/>
        <v>0</v>
      </c>
      <c r="T1011" s="16"/>
      <c r="U1011" s="97">
        <f t="shared" ca="1" si="356"/>
        <v>0</v>
      </c>
      <c r="V1011" s="64"/>
      <c r="W1011" s="643">
        <f t="shared" ca="1" si="351"/>
        <v>0</v>
      </c>
    </row>
    <row r="1012" spans="1:23" ht="14.45" customHeight="1" x14ac:dyDescent="0.2">
      <c r="A1012" s="45"/>
      <c r="B1012" s="16">
        <f t="shared" si="350"/>
        <v>21</v>
      </c>
      <c r="C1012" s="1" t="s">
        <v>55</v>
      </c>
      <c r="D1012" s="1" t="s">
        <v>56</v>
      </c>
      <c r="E1012" s="16"/>
      <c r="F1012" s="229">
        <f>' WP II-I-1.4'!I1012</f>
        <v>0</v>
      </c>
      <c r="G1012" s="16">
        <v>67</v>
      </c>
      <c r="H1012" s="45" t="str">
        <f t="shared" si="354"/>
        <v>PLTTRAN_N</v>
      </c>
      <c r="I1012" s="16"/>
      <c r="J1012" s="370">
        <f t="shared" ca="1" si="355"/>
        <v>0</v>
      </c>
      <c r="K1012" s="370">
        <f t="shared" ca="1" si="355"/>
        <v>0</v>
      </c>
      <c r="L1012" s="370">
        <f t="shared" ca="1" si="355"/>
        <v>0</v>
      </c>
      <c r="M1012" s="370">
        <f t="shared" ca="1" si="355"/>
        <v>0</v>
      </c>
      <c r="N1012" s="370">
        <f t="shared" ca="1" si="355"/>
        <v>0</v>
      </c>
      <c r="O1012" s="370">
        <f t="shared" ca="1" si="355"/>
        <v>0</v>
      </c>
      <c r="P1012" s="370">
        <f t="shared" ca="1" si="355"/>
        <v>0</v>
      </c>
      <c r="Q1012" s="370">
        <f t="shared" ca="1" si="355"/>
        <v>0</v>
      </c>
      <c r="R1012" s="370">
        <f t="shared" ca="1" si="355"/>
        <v>0</v>
      </c>
      <c r="S1012" s="370">
        <f t="shared" ca="1" si="355"/>
        <v>0</v>
      </c>
      <c r="T1012" s="16"/>
      <c r="U1012" s="97">
        <f t="shared" ca="1" si="356"/>
        <v>0</v>
      </c>
      <c r="V1012" s="64"/>
      <c r="W1012" s="643">
        <f t="shared" ca="1" si="351"/>
        <v>0</v>
      </c>
    </row>
    <row r="1013" spans="1:23" ht="12.6" customHeight="1" x14ac:dyDescent="0.25">
      <c r="A1013" s="45"/>
      <c r="B1013" s="16">
        <f t="shared" si="350"/>
        <v>22</v>
      </c>
      <c r="C1013" s="8"/>
      <c r="D1013" s="233" t="s">
        <v>444</v>
      </c>
      <c r="E1013" s="1315"/>
      <c r="F1013" s="805">
        <f>SUM(F1001:F1012)</f>
        <v>0</v>
      </c>
      <c r="G1013" s="1315"/>
      <c r="H1013" s="1315"/>
      <c r="I1013" s="913"/>
      <c r="J1013" s="805">
        <f t="shared" ref="J1013:Q1013" ca="1" si="360">SUM(J1001:J1012)</f>
        <v>0</v>
      </c>
      <c r="K1013" s="805">
        <f t="shared" ca="1" si="360"/>
        <v>0</v>
      </c>
      <c r="L1013" s="805">
        <f t="shared" ca="1" si="360"/>
        <v>0</v>
      </c>
      <c r="M1013" s="805">
        <f t="shared" ca="1" si="360"/>
        <v>0</v>
      </c>
      <c r="N1013" s="805">
        <f t="shared" ca="1" si="360"/>
        <v>0</v>
      </c>
      <c r="O1013" s="805">
        <f ca="1">SUM(O1001:O1012)</f>
        <v>0</v>
      </c>
      <c r="P1013" s="805">
        <f t="shared" ca="1" si="360"/>
        <v>0</v>
      </c>
      <c r="Q1013" s="805">
        <f t="shared" ca="1" si="360"/>
        <v>0</v>
      </c>
      <c r="R1013" s="805">
        <f ca="1">SUM(R1001:R1012)</f>
        <v>0</v>
      </c>
      <c r="S1013" s="805">
        <f ca="1">SUM(S1001:S1012)</f>
        <v>0</v>
      </c>
      <c r="T1013" s="913"/>
      <c r="U1013" s="235">
        <f t="shared" ca="1" si="356"/>
        <v>0</v>
      </c>
      <c r="V1013" s="64"/>
      <c r="W1013" s="643">
        <f t="shared" ca="1" si="351"/>
        <v>0</v>
      </c>
    </row>
    <row r="1014" spans="1:23" ht="9.9499999999999993" customHeight="1" x14ac:dyDescent="0.2">
      <c r="A1014" s="45"/>
      <c r="B1014" s="16">
        <f t="shared" si="350"/>
        <v>23</v>
      </c>
      <c r="C1014" s="1"/>
      <c r="D1014" s="1"/>
      <c r="E1014" s="16"/>
      <c r="F1014" s="18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"/>
      <c r="V1014" s="64"/>
      <c r="W1014" s="643">
        <f t="shared" si="351"/>
        <v>0</v>
      </c>
    </row>
    <row r="1015" spans="1:23" ht="11.45" customHeight="1" x14ac:dyDescent="0.25">
      <c r="A1015" s="45"/>
      <c r="B1015" s="16">
        <f t="shared" si="350"/>
        <v>24</v>
      </c>
      <c r="C1015" s="8" t="s">
        <v>645</v>
      </c>
      <c r="D1015" s="8"/>
      <c r="E1015" s="1315" t="s">
        <v>280</v>
      </c>
      <c r="F1015" s="805"/>
      <c r="G1015" s="1315"/>
      <c r="H1015" s="1315"/>
      <c r="I1015" s="913"/>
      <c r="J1015" s="961"/>
      <c r="K1015" s="961"/>
      <c r="L1015" s="961"/>
      <c r="M1015" s="961"/>
      <c r="N1015" s="961"/>
      <c r="O1015" s="961"/>
      <c r="P1015" s="961"/>
      <c r="Q1015" s="961"/>
      <c r="R1015" s="961"/>
      <c r="S1015" s="961"/>
      <c r="T1015" s="913"/>
      <c r="U1015" s="8"/>
      <c r="V1015" s="64"/>
      <c r="W1015" s="643">
        <f t="shared" si="351"/>
        <v>0</v>
      </c>
    </row>
    <row r="1016" spans="1:23" ht="14.45" customHeight="1" x14ac:dyDescent="0.2">
      <c r="A1016" s="45"/>
      <c r="B1016" s="16">
        <f t="shared" si="350"/>
        <v>25</v>
      </c>
      <c r="C1016" s="1" t="s">
        <v>59</v>
      </c>
      <c r="D1016" s="1" t="s">
        <v>40</v>
      </c>
      <c r="E1016" s="16"/>
      <c r="F1016" s="229">
        <f>' WP II-I-1.4'!I1016</f>
        <v>0</v>
      </c>
      <c r="G1016" s="16">
        <v>54</v>
      </c>
      <c r="H1016" s="45" t="str">
        <f t="shared" ref="H1016:H1031" si="361">VLOOKUP(G1016,FactorTable,2)</f>
        <v>PLT 362-373</v>
      </c>
      <c r="I1016" s="16"/>
      <c r="J1016" s="369">
        <f t="shared" ref="J1016:S1025" ca="1" si="362">$F1016*HLOOKUP(J$1354,FactorTable,$G1016+1)</f>
        <v>0</v>
      </c>
      <c r="K1016" s="369">
        <f t="shared" ca="1" si="362"/>
        <v>0</v>
      </c>
      <c r="L1016" s="369">
        <f t="shared" ca="1" si="362"/>
        <v>0</v>
      </c>
      <c r="M1016" s="369">
        <f t="shared" ca="1" si="362"/>
        <v>0</v>
      </c>
      <c r="N1016" s="369">
        <f t="shared" ca="1" si="362"/>
        <v>0</v>
      </c>
      <c r="O1016" s="369">
        <f t="shared" ca="1" si="362"/>
        <v>0</v>
      </c>
      <c r="P1016" s="369">
        <f t="shared" ca="1" si="362"/>
        <v>0</v>
      </c>
      <c r="Q1016" s="369">
        <f t="shared" ca="1" si="362"/>
        <v>0</v>
      </c>
      <c r="R1016" s="369">
        <f t="shared" ca="1" si="362"/>
        <v>0</v>
      </c>
      <c r="S1016" s="369">
        <f t="shared" ca="1" si="362"/>
        <v>0</v>
      </c>
      <c r="T1016" s="16"/>
      <c r="U1016" s="97">
        <f t="shared" ref="U1016:U1032" ca="1" si="363">SUM(I1016:T1016)</f>
        <v>0</v>
      </c>
      <c r="V1016" s="64"/>
      <c r="W1016" s="643">
        <f t="shared" ca="1" si="351"/>
        <v>0</v>
      </c>
    </row>
    <row r="1017" spans="1:23" ht="14.45" customHeight="1" x14ac:dyDescent="0.2">
      <c r="A1017" s="45"/>
      <c r="B1017" s="16">
        <f t="shared" si="350"/>
        <v>26</v>
      </c>
      <c r="C1017" s="1" t="s">
        <v>60</v>
      </c>
      <c r="D1017" s="29" t="s">
        <v>42</v>
      </c>
      <c r="E1017" s="16"/>
      <c r="F1017" s="229">
        <f>' WP II-I-1.4'!I1017</f>
        <v>0</v>
      </c>
      <c r="G1017" s="16">
        <v>43</v>
      </c>
      <c r="H1017" s="45" t="str">
        <f t="shared" si="361"/>
        <v>PLT 361</v>
      </c>
      <c r="I1017" s="16"/>
      <c r="J1017" s="369">
        <f t="shared" ca="1" si="362"/>
        <v>0</v>
      </c>
      <c r="K1017" s="369">
        <f t="shared" ca="1" si="362"/>
        <v>0</v>
      </c>
      <c r="L1017" s="369">
        <f t="shared" ca="1" si="362"/>
        <v>0</v>
      </c>
      <c r="M1017" s="369">
        <f t="shared" ca="1" si="362"/>
        <v>0</v>
      </c>
      <c r="N1017" s="369">
        <f t="shared" ca="1" si="362"/>
        <v>0</v>
      </c>
      <c r="O1017" s="369">
        <f t="shared" ca="1" si="362"/>
        <v>0</v>
      </c>
      <c r="P1017" s="369">
        <f t="shared" ca="1" si="362"/>
        <v>0</v>
      </c>
      <c r="Q1017" s="369">
        <f t="shared" ca="1" si="362"/>
        <v>0</v>
      </c>
      <c r="R1017" s="369">
        <f t="shared" ca="1" si="362"/>
        <v>0</v>
      </c>
      <c r="S1017" s="369">
        <f t="shared" ca="1" si="362"/>
        <v>0</v>
      </c>
      <c r="T1017" s="16"/>
      <c r="U1017" s="97">
        <f t="shared" ca="1" si="363"/>
        <v>0</v>
      </c>
      <c r="V1017" s="64"/>
      <c r="W1017" s="643">
        <f t="shared" ca="1" si="351"/>
        <v>0</v>
      </c>
    </row>
    <row r="1018" spans="1:23" ht="14.45" customHeight="1" x14ac:dyDescent="0.2">
      <c r="A1018" s="45"/>
      <c r="B1018" s="16">
        <f t="shared" si="350"/>
        <v>27</v>
      </c>
      <c r="C1018" s="1" t="s">
        <v>61</v>
      </c>
      <c r="D1018" s="1" t="s">
        <v>44</v>
      </c>
      <c r="E1018" s="16"/>
      <c r="F1018" s="229">
        <f>' WP II-I-1.4'!I1018</f>
        <v>0</v>
      </c>
      <c r="G1018" s="16">
        <v>44</v>
      </c>
      <c r="H1018" s="45" t="str">
        <f t="shared" si="361"/>
        <v>PLT 362</v>
      </c>
      <c r="I1018" s="16"/>
      <c r="J1018" s="369">
        <f t="shared" si="362"/>
        <v>0</v>
      </c>
      <c r="K1018" s="369">
        <f t="shared" si="362"/>
        <v>0</v>
      </c>
      <c r="L1018" s="369">
        <f t="shared" si="362"/>
        <v>0</v>
      </c>
      <c r="M1018" s="369">
        <f t="shared" si="362"/>
        <v>0</v>
      </c>
      <c r="N1018" s="369">
        <f t="shared" si="362"/>
        <v>0</v>
      </c>
      <c r="O1018" s="369">
        <f t="shared" si="362"/>
        <v>0</v>
      </c>
      <c r="P1018" s="369">
        <f t="shared" si="362"/>
        <v>0</v>
      </c>
      <c r="Q1018" s="369">
        <f t="shared" si="362"/>
        <v>0</v>
      </c>
      <c r="R1018" s="369">
        <f t="shared" si="362"/>
        <v>0</v>
      </c>
      <c r="S1018" s="369">
        <f t="shared" si="362"/>
        <v>0</v>
      </c>
      <c r="T1018" s="16"/>
      <c r="U1018" s="97">
        <f t="shared" si="363"/>
        <v>0</v>
      </c>
      <c r="V1018" s="64"/>
      <c r="W1018" s="643">
        <f t="shared" si="351"/>
        <v>0</v>
      </c>
    </row>
    <row r="1019" spans="1:23" ht="15" x14ac:dyDescent="0.2">
      <c r="A1019" s="45"/>
      <c r="B1019" s="16">
        <f t="shared" si="350"/>
        <v>28</v>
      </c>
      <c r="C1019" s="1" t="s">
        <v>1234</v>
      </c>
      <c r="D1019" s="1" t="s">
        <v>1230</v>
      </c>
      <c r="E1019" s="16"/>
      <c r="F1019" s="229">
        <f>' WP II-I-1.4'!I1019</f>
        <v>0</v>
      </c>
      <c r="G1019" s="16">
        <v>58</v>
      </c>
      <c r="H1019" s="45" t="str">
        <f t="shared" ref="H1019:H1021" si="364">VLOOKUP(G1019,FactorTable,2)</f>
        <v>PLTDIST_N</v>
      </c>
      <c r="I1019" s="16"/>
      <c r="J1019" s="369">
        <f t="shared" ca="1" si="362"/>
        <v>0</v>
      </c>
      <c r="K1019" s="369">
        <f t="shared" ca="1" si="362"/>
        <v>0</v>
      </c>
      <c r="L1019" s="369">
        <f t="shared" ca="1" si="362"/>
        <v>0</v>
      </c>
      <c r="M1019" s="369">
        <f t="shared" ca="1" si="362"/>
        <v>0</v>
      </c>
      <c r="N1019" s="369">
        <f t="shared" ca="1" si="362"/>
        <v>0</v>
      </c>
      <c r="O1019" s="369">
        <f t="shared" ca="1" si="362"/>
        <v>0</v>
      </c>
      <c r="P1019" s="369">
        <f t="shared" ca="1" si="362"/>
        <v>0</v>
      </c>
      <c r="Q1019" s="369">
        <f t="shared" ca="1" si="362"/>
        <v>0</v>
      </c>
      <c r="R1019" s="369">
        <f t="shared" ca="1" si="362"/>
        <v>0</v>
      </c>
      <c r="S1019" s="369">
        <f t="shared" ca="1" si="362"/>
        <v>0</v>
      </c>
      <c r="T1019" s="16"/>
      <c r="U1019" s="97">
        <f t="shared" ref="U1019:U1021" ca="1" si="365">SUM(I1019:T1019)</f>
        <v>0</v>
      </c>
      <c r="V1019" s="64"/>
      <c r="W1019" s="643">
        <f t="shared" ref="W1019:W1021" ca="1" si="366">F1019-U1019</f>
        <v>0</v>
      </c>
    </row>
    <row r="1020" spans="1:23" ht="15" x14ac:dyDescent="0.2">
      <c r="A1020" s="45"/>
      <c r="B1020" s="16">
        <f t="shared" si="350"/>
        <v>29</v>
      </c>
      <c r="C1020" s="1" t="s">
        <v>1235</v>
      </c>
      <c r="D1020" s="1" t="s">
        <v>1232</v>
      </c>
      <c r="E1020" s="16"/>
      <c r="F1020" s="229">
        <f>' WP II-I-1.4'!I1020</f>
        <v>30500116.5</v>
      </c>
      <c r="G1020" s="16">
        <v>58</v>
      </c>
      <c r="H1020" s="45" t="str">
        <f t="shared" si="364"/>
        <v>PLTDIST_N</v>
      </c>
      <c r="I1020" s="16"/>
      <c r="J1020" s="369">
        <f t="shared" ca="1" si="362"/>
        <v>15034237.280122746</v>
      </c>
      <c r="K1020" s="369">
        <f t="shared" ca="1" si="362"/>
        <v>2097768.8910508417</v>
      </c>
      <c r="L1020" s="369">
        <f t="shared" ca="1" si="362"/>
        <v>8198866.0760492217</v>
      </c>
      <c r="M1020" s="369">
        <f t="shared" ca="1" si="362"/>
        <v>344886.72052117286</v>
      </c>
      <c r="N1020" s="369">
        <f t="shared" ca="1" si="362"/>
        <v>2654834.1994320429</v>
      </c>
      <c r="O1020" s="369">
        <f t="shared" ca="1" si="362"/>
        <v>87107.11338665236</v>
      </c>
      <c r="P1020" s="369">
        <f t="shared" ca="1" si="362"/>
        <v>181695.81933412154</v>
      </c>
      <c r="Q1020" s="369">
        <f t="shared" ca="1" si="362"/>
        <v>1866681.1643013882</v>
      </c>
      <c r="R1020" s="369">
        <f t="shared" ca="1" si="362"/>
        <v>9619.1904353358459</v>
      </c>
      <c r="S1020" s="369">
        <f t="shared" ca="1" si="362"/>
        <v>24420.04536647557</v>
      </c>
      <c r="T1020" s="16"/>
      <c r="U1020" s="97">
        <f t="shared" ca="1" si="365"/>
        <v>30500116.500000004</v>
      </c>
      <c r="V1020" s="64"/>
      <c r="W1020" s="643">
        <f t="shared" ca="1" si="366"/>
        <v>0</v>
      </c>
    </row>
    <row r="1021" spans="1:23" ht="15" x14ac:dyDescent="0.2">
      <c r="A1021" s="45"/>
      <c r="B1021" s="16">
        <f t="shared" si="350"/>
        <v>30</v>
      </c>
      <c r="C1021" s="1" t="s">
        <v>1236</v>
      </c>
      <c r="D1021" s="1" t="s">
        <v>103</v>
      </c>
      <c r="E1021" s="16"/>
      <c r="F1021" s="229">
        <f>' WP II-I-1.4'!I1021</f>
        <v>0</v>
      </c>
      <c r="G1021" s="16">
        <v>58</v>
      </c>
      <c r="H1021" s="45" t="str">
        <f t="shared" si="364"/>
        <v>PLTDIST_N</v>
      </c>
      <c r="I1021" s="16"/>
      <c r="J1021" s="369">
        <f t="shared" ca="1" si="362"/>
        <v>0</v>
      </c>
      <c r="K1021" s="369">
        <f t="shared" ca="1" si="362"/>
        <v>0</v>
      </c>
      <c r="L1021" s="369">
        <f t="shared" ca="1" si="362"/>
        <v>0</v>
      </c>
      <c r="M1021" s="369">
        <f t="shared" ca="1" si="362"/>
        <v>0</v>
      </c>
      <c r="N1021" s="369">
        <f t="shared" ca="1" si="362"/>
        <v>0</v>
      </c>
      <c r="O1021" s="369">
        <f t="shared" ca="1" si="362"/>
        <v>0</v>
      </c>
      <c r="P1021" s="369">
        <f t="shared" ca="1" si="362"/>
        <v>0</v>
      </c>
      <c r="Q1021" s="369">
        <f t="shared" ca="1" si="362"/>
        <v>0</v>
      </c>
      <c r="R1021" s="369">
        <f t="shared" ca="1" si="362"/>
        <v>0</v>
      </c>
      <c r="S1021" s="369">
        <f t="shared" ca="1" si="362"/>
        <v>0</v>
      </c>
      <c r="T1021" s="16"/>
      <c r="U1021" s="97">
        <f t="shared" ca="1" si="365"/>
        <v>0</v>
      </c>
      <c r="V1021" s="64"/>
      <c r="W1021" s="643">
        <f t="shared" ca="1" si="366"/>
        <v>0</v>
      </c>
    </row>
    <row r="1022" spans="1:23" ht="15" x14ac:dyDescent="0.2">
      <c r="A1022" s="45"/>
      <c r="B1022" s="16">
        <f t="shared" si="350"/>
        <v>31</v>
      </c>
      <c r="C1022" s="1" t="s">
        <v>62</v>
      </c>
      <c r="D1022" s="29" t="s">
        <v>646</v>
      </c>
      <c r="E1022" s="16"/>
      <c r="F1022" s="97">
        <f>' WP II-I-1.4'!I1022</f>
        <v>0</v>
      </c>
      <c r="G1022" s="16">
        <v>45</v>
      </c>
      <c r="H1022" s="45" t="str">
        <f t="shared" si="361"/>
        <v>PLT 364</v>
      </c>
      <c r="I1022" s="16"/>
      <c r="J1022" s="369">
        <f t="shared" si="362"/>
        <v>0</v>
      </c>
      <c r="K1022" s="369">
        <f t="shared" si="362"/>
        <v>0</v>
      </c>
      <c r="L1022" s="369">
        <f t="shared" si="362"/>
        <v>0</v>
      </c>
      <c r="M1022" s="369">
        <f t="shared" si="362"/>
        <v>0</v>
      </c>
      <c r="N1022" s="369">
        <f t="shared" si="362"/>
        <v>0</v>
      </c>
      <c r="O1022" s="369">
        <f t="shared" si="362"/>
        <v>0</v>
      </c>
      <c r="P1022" s="369">
        <f t="shared" si="362"/>
        <v>0</v>
      </c>
      <c r="Q1022" s="369">
        <f t="shared" si="362"/>
        <v>0</v>
      </c>
      <c r="R1022" s="369">
        <f t="shared" si="362"/>
        <v>0</v>
      </c>
      <c r="S1022" s="369">
        <f t="shared" si="362"/>
        <v>0</v>
      </c>
      <c r="T1022" s="16"/>
      <c r="U1022" s="97">
        <f t="shared" si="363"/>
        <v>0</v>
      </c>
      <c r="V1022" s="64"/>
      <c r="W1022" s="643">
        <f t="shared" si="351"/>
        <v>0</v>
      </c>
    </row>
    <row r="1023" spans="1:23" ht="15" x14ac:dyDescent="0.2">
      <c r="A1023" s="45"/>
      <c r="B1023" s="16">
        <f t="shared" si="350"/>
        <v>32</v>
      </c>
      <c r="C1023" s="1" t="s">
        <v>64</v>
      </c>
      <c r="D1023" s="1" t="s">
        <v>486</v>
      </c>
      <c r="E1023" s="16"/>
      <c r="F1023" s="97">
        <f>' WP II-I-1.4'!I1023</f>
        <v>0</v>
      </c>
      <c r="G1023" s="16">
        <v>46</v>
      </c>
      <c r="H1023" s="45" t="str">
        <f t="shared" si="361"/>
        <v>PLT 365</v>
      </c>
      <c r="I1023" s="16"/>
      <c r="J1023" s="369">
        <f t="shared" si="362"/>
        <v>0</v>
      </c>
      <c r="K1023" s="369">
        <f t="shared" si="362"/>
        <v>0</v>
      </c>
      <c r="L1023" s="369">
        <f t="shared" si="362"/>
        <v>0</v>
      </c>
      <c r="M1023" s="369">
        <f t="shared" si="362"/>
        <v>0</v>
      </c>
      <c r="N1023" s="369">
        <f t="shared" si="362"/>
        <v>0</v>
      </c>
      <c r="O1023" s="369">
        <f t="shared" si="362"/>
        <v>0</v>
      </c>
      <c r="P1023" s="369">
        <f t="shared" si="362"/>
        <v>0</v>
      </c>
      <c r="Q1023" s="369">
        <f t="shared" si="362"/>
        <v>0</v>
      </c>
      <c r="R1023" s="369">
        <f t="shared" si="362"/>
        <v>0</v>
      </c>
      <c r="S1023" s="369">
        <f t="shared" si="362"/>
        <v>0</v>
      </c>
      <c r="T1023" s="16"/>
      <c r="U1023" s="97">
        <f t="shared" si="363"/>
        <v>0</v>
      </c>
      <c r="V1023" s="64"/>
      <c r="W1023" s="643">
        <f t="shared" si="351"/>
        <v>0</v>
      </c>
    </row>
    <row r="1024" spans="1:23" ht="15" x14ac:dyDescent="0.2">
      <c r="A1024" s="45"/>
      <c r="B1024" s="16">
        <f t="shared" si="350"/>
        <v>33</v>
      </c>
      <c r="C1024" s="1" t="s">
        <v>66</v>
      </c>
      <c r="D1024" s="1" t="s">
        <v>647</v>
      </c>
      <c r="E1024" s="16"/>
      <c r="F1024" s="97">
        <f>' WP II-I-1.4'!I1024</f>
        <v>0</v>
      </c>
      <c r="G1024" s="16">
        <v>47</v>
      </c>
      <c r="H1024" s="45" t="str">
        <f t="shared" si="361"/>
        <v>PLT 366</v>
      </c>
      <c r="I1024" s="16"/>
      <c r="J1024" s="369">
        <f t="shared" si="362"/>
        <v>0</v>
      </c>
      <c r="K1024" s="369">
        <f t="shared" si="362"/>
        <v>0</v>
      </c>
      <c r="L1024" s="369">
        <f t="shared" si="362"/>
        <v>0</v>
      </c>
      <c r="M1024" s="369">
        <f t="shared" si="362"/>
        <v>0</v>
      </c>
      <c r="N1024" s="369">
        <f t="shared" si="362"/>
        <v>0</v>
      </c>
      <c r="O1024" s="369">
        <f t="shared" si="362"/>
        <v>0</v>
      </c>
      <c r="P1024" s="369">
        <f t="shared" si="362"/>
        <v>0</v>
      </c>
      <c r="Q1024" s="369">
        <f t="shared" si="362"/>
        <v>0</v>
      </c>
      <c r="R1024" s="369">
        <f t="shared" si="362"/>
        <v>0</v>
      </c>
      <c r="S1024" s="369">
        <f t="shared" si="362"/>
        <v>0</v>
      </c>
      <c r="T1024" s="16"/>
      <c r="U1024" s="97">
        <f t="shared" si="363"/>
        <v>0</v>
      </c>
      <c r="V1024" s="64"/>
      <c r="W1024" s="643">
        <f t="shared" si="351"/>
        <v>0</v>
      </c>
    </row>
    <row r="1025" spans="1:23" ht="15" x14ac:dyDescent="0.2">
      <c r="A1025" s="45"/>
      <c r="B1025" s="16">
        <f t="shared" si="350"/>
        <v>34</v>
      </c>
      <c r="C1025" s="1" t="s">
        <v>68</v>
      </c>
      <c r="D1025" s="29" t="s">
        <v>648</v>
      </c>
      <c r="E1025" s="16"/>
      <c r="F1025" s="97">
        <f>' WP II-I-1.4'!I1025</f>
        <v>0</v>
      </c>
      <c r="G1025" s="16">
        <v>48</v>
      </c>
      <c r="H1025" s="45" t="str">
        <f t="shared" si="361"/>
        <v>PLT 367</v>
      </c>
      <c r="I1025" s="16"/>
      <c r="J1025" s="369">
        <f t="shared" si="362"/>
        <v>0</v>
      </c>
      <c r="K1025" s="369">
        <f t="shared" si="362"/>
        <v>0</v>
      </c>
      <c r="L1025" s="369">
        <f t="shared" si="362"/>
        <v>0</v>
      </c>
      <c r="M1025" s="369">
        <f t="shared" si="362"/>
        <v>0</v>
      </c>
      <c r="N1025" s="369">
        <f t="shared" si="362"/>
        <v>0</v>
      </c>
      <c r="O1025" s="369">
        <f t="shared" si="362"/>
        <v>0</v>
      </c>
      <c r="P1025" s="369">
        <f t="shared" si="362"/>
        <v>0</v>
      </c>
      <c r="Q1025" s="369">
        <f t="shared" si="362"/>
        <v>0</v>
      </c>
      <c r="R1025" s="369">
        <f t="shared" si="362"/>
        <v>0</v>
      </c>
      <c r="S1025" s="369">
        <f t="shared" si="362"/>
        <v>0</v>
      </c>
      <c r="T1025" s="16"/>
      <c r="U1025" s="97">
        <f t="shared" si="363"/>
        <v>0</v>
      </c>
      <c r="V1025" s="64"/>
      <c r="W1025" s="643">
        <f t="shared" si="351"/>
        <v>0</v>
      </c>
    </row>
    <row r="1026" spans="1:23" ht="15" x14ac:dyDescent="0.2">
      <c r="A1026" s="45"/>
      <c r="B1026" s="16">
        <f t="shared" si="350"/>
        <v>35</v>
      </c>
      <c r="C1026" s="1" t="s">
        <v>70</v>
      </c>
      <c r="D1026" s="1" t="s">
        <v>649</v>
      </c>
      <c r="E1026" s="16"/>
      <c r="F1026" s="97">
        <f>' WP II-I-1.4'!I1026</f>
        <v>0</v>
      </c>
      <c r="G1026" s="16">
        <v>49</v>
      </c>
      <c r="H1026" s="45" t="str">
        <f t="shared" si="361"/>
        <v>PLT 368</v>
      </c>
      <c r="I1026" s="16"/>
      <c r="J1026" s="369">
        <f t="shared" ref="J1026:S1031" si="367">$F1026*HLOOKUP(J$1354,FactorTable,$G1026+1)</f>
        <v>0</v>
      </c>
      <c r="K1026" s="369">
        <f t="shared" si="367"/>
        <v>0</v>
      </c>
      <c r="L1026" s="369">
        <f t="shared" si="367"/>
        <v>0</v>
      </c>
      <c r="M1026" s="369">
        <f t="shared" si="367"/>
        <v>0</v>
      </c>
      <c r="N1026" s="369">
        <f t="shared" si="367"/>
        <v>0</v>
      </c>
      <c r="O1026" s="369">
        <f t="shared" si="367"/>
        <v>0</v>
      </c>
      <c r="P1026" s="369">
        <f t="shared" si="367"/>
        <v>0</v>
      </c>
      <c r="Q1026" s="369">
        <f t="shared" si="367"/>
        <v>0</v>
      </c>
      <c r="R1026" s="369">
        <f t="shared" si="367"/>
        <v>0</v>
      </c>
      <c r="S1026" s="369">
        <f t="shared" si="367"/>
        <v>0</v>
      </c>
      <c r="T1026" s="16"/>
      <c r="U1026" s="97">
        <f t="shared" si="363"/>
        <v>0</v>
      </c>
      <c r="V1026" s="64"/>
      <c r="W1026" s="643">
        <f t="shared" si="351"/>
        <v>0</v>
      </c>
    </row>
    <row r="1027" spans="1:23" ht="15" x14ac:dyDescent="0.2">
      <c r="A1027" s="45"/>
      <c r="B1027" s="16">
        <f t="shared" si="350"/>
        <v>36</v>
      </c>
      <c r="C1027" s="1" t="s">
        <v>72</v>
      </c>
      <c r="D1027" s="29" t="s">
        <v>73</v>
      </c>
      <c r="E1027" s="16"/>
      <c r="F1027" s="97">
        <f>' WP II-I-1.4'!I1027</f>
        <v>0</v>
      </c>
      <c r="G1027" s="16">
        <v>50</v>
      </c>
      <c r="H1027" s="45" t="str">
        <f t="shared" si="361"/>
        <v>PLT 369</v>
      </c>
      <c r="I1027" s="16"/>
      <c r="J1027" s="369">
        <f t="shared" si="367"/>
        <v>0</v>
      </c>
      <c r="K1027" s="369">
        <f t="shared" si="367"/>
        <v>0</v>
      </c>
      <c r="L1027" s="369">
        <f t="shared" si="367"/>
        <v>0</v>
      </c>
      <c r="M1027" s="369">
        <f t="shared" si="367"/>
        <v>0</v>
      </c>
      <c r="N1027" s="369">
        <f t="shared" si="367"/>
        <v>0</v>
      </c>
      <c r="O1027" s="369">
        <f t="shared" si="367"/>
        <v>0</v>
      </c>
      <c r="P1027" s="369">
        <f t="shared" si="367"/>
        <v>0</v>
      </c>
      <c r="Q1027" s="369">
        <f t="shared" si="367"/>
        <v>0</v>
      </c>
      <c r="R1027" s="369">
        <f t="shared" si="367"/>
        <v>0</v>
      </c>
      <c r="S1027" s="369">
        <f t="shared" si="367"/>
        <v>0</v>
      </c>
      <c r="T1027" s="16"/>
      <c r="U1027" s="97">
        <f t="shared" si="363"/>
        <v>0</v>
      </c>
      <c r="V1027" s="64"/>
      <c r="W1027" s="643">
        <f t="shared" si="351"/>
        <v>0</v>
      </c>
    </row>
    <row r="1028" spans="1:23" ht="15" x14ac:dyDescent="0.2">
      <c r="A1028" s="45"/>
      <c r="B1028" s="16">
        <f t="shared" si="350"/>
        <v>37</v>
      </c>
      <c r="C1028" s="1" t="s">
        <v>74</v>
      </c>
      <c r="D1028" s="1" t="s">
        <v>75</v>
      </c>
      <c r="E1028" s="16"/>
      <c r="F1028" s="97">
        <f>' WP II-I-1.4'!I1028</f>
        <v>0</v>
      </c>
      <c r="G1028" s="16">
        <v>6</v>
      </c>
      <c r="H1028" s="45" t="str">
        <f t="shared" si="361"/>
        <v>CUS W ALL</v>
      </c>
      <c r="I1028" s="16"/>
      <c r="J1028" s="369">
        <f t="shared" si="367"/>
        <v>0</v>
      </c>
      <c r="K1028" s="369">
        <f t="shared" si="367"/>
        <v>0</v>
      </c>
      <c r="L1028" s="369">
        <f t="shared" si="367"/>
        <v>0</v>
      </c>
      <c r="M1028" s="369">
        <f t="shared" si="367"/>
        <v>0</v>
      </c>
      <c r="N1028" s="369">
        <f t="shared" si="367"/>
        <v>0</v>
      </c>
      <c r="O1028" s="369">
        <f t="shared" si="367"/>
        <v>0</v>
      </c>
      <c r="P1028" s="369">
        <f t="shared" si="367"/>
        <v>0</v>
      </c>
      <c r="Q1028" s="369">
        <f t="shared" si="367"/>
        <v>0</v>
      </c>
      <c r="R1028" s="369">
        <f t="shared" si="367"/>
        <v>0</v>
      </c>
      <c r="S1028" s="369">
        <f t="shared" si="367"/>
        <v>0</v>
      </c>
      <c r="T1028" s="16"/>
      <c r="U1028" s="97">
        <f t="shared" si="363"/>
        <v>0</v>
      </c>
      <c r="V1028" s="64"/>
      <c r="W1028" s="643">
        <f t="shared" si="351"/>
        <v>0</v>
      </c>
    </row>
    <row r="1029" spans="1:23" ht="15" x14ac:dyDescent="0.2">
      <c r="A1029" s="45"/>
      <c r="B1029" s="16">
        <f t="shared" si="350"/>
        <v>38</v>
      </c>
      <c r="C1029" s="1" t="s">
        <v>76</v>
      </c>
      <c r="D1029" s="1" t="s">
        <v>495</v>
      </c>
      <c r="E1029" s="16"/>
      <c r="F1029" s="97">
        <f>' WP II-I-1.4'!I1029</f>
        <v>0</v>
      </c>
      <c r="G1029" s="16">
        <v>33</v>
      </c>
      <c r="H1029" s="45" t="str">
        <f t="shared" si="361"/>
        <v>NCP LGT</v>
      </c>
      <c r="I1029" s="16"/>
      <c r="J1029" s="369">
        <f t="shared" si="367"/>
        <v>0</v>
      </c>
      <c r="K1029" s="369">
        <f t="shared" si="367"/>
        <v>0</v>
      </c>
      <c r="L1029" s="369">
        <f t="shared" si="367"/>
        <v>0</v>
      </c>
      <c r="M1029" s="369">
        <f t="shared" si="367"/>
        <v>0</v>
      </c>
      <c r="N1029" s="369">
        <f t="shared" si="367"/>
        <v>0</v>
      </c>
      <c r="O1029" s="369">
        <f t="shared" si="367"/>
        <v>0</v>
      </c>
      <c r="P1029" s="369">
        <f t="shared" si="367"/>
        <v>0</v>
      </c>
      <c r="Q1029" s="369">
        <f t="shared" si="367"/>
        <v>0</v>
      </c>
      <c r="R1029" s="369">
        <f t="shared" si="367"/>
        <v>0</v>
      </c>
      <c r="S1029" s="369">
        <f t="shared" si="367"/>
        <v>0</v>
      </c>
      <c r="T1029" s="16"/>
      <c r="U1029" s="97">
        <f t="shared" si="363"/>
        <v>0</v>
      </c>
      <c r="V1029" s="64"/>
      <c r="W1029" s="643">
        <f t="shared" si="351"/>
        <v>0</v>
      </c>
    </row>
    <row r="1030" spans="1:23" ht="15" x14ac:dyDescent="0.2">
      <c r="A1030" s="45"/>
      <c r="B1030" s="16">
        <f t="shared" si="350"/>
        <v>39</v>
      </c>
      <c r="C1030" s="1" t="s">
        <v>78</v>
      </c>
      <c r="D1030" s="1" t="s">
        <v>496</v>
      </c>
      <c r="E1030" s="16"/>
      <c r="F1030" s="97">
        <f>' WP II-I-1.4'!I1030</f>
        <v>0</v>
      </c>
      <c r="G1030" s="16">
        <v>6</v>
      </c>
      <c r="H1030" s="45" t="str">
        <f t="shared" si="361"/>
        <v>CUS W ALL</v>
      </c>
      <c r="I1030" s="16"/>
      <c r="J1030" s="369">
        <f t="shared" si="367"/>
        <v>0</v>
      </c>
      <c r="K1030" s="369">
        <f t="shared" si="367"/>
        <v>0</v>
      </c>
      <c r="L1030" s="369">
        <f t="shared" si="367"/>
        <v>0</v>
      </c>
      <c r="M1030" s="369">
        <f t="shared" si="367"/>
        <v>0</v>
      </c>
      <c r="N1030" s="369">
        <f t="shared" si="367"/>
        <v>0</v>
      </c>
      <c r="O1030" s="369">
        <f t="shared" si="367"/>
        <v>0</v>
      </c>
      <c r="P1030" s="369">
        <f t="shared" si="367"/>
        <v>0</v>
      </c>
      <c r="Q1030" s="369">
        <f t="shared" si="367"/>
        <v>0</v>
      </c>
      <c r="R1030" s="369">
        <f t="shared" si="367"/>
        <v>0</v>
      </c>
      <c r="S1030" s="369">
        <f t="shared" si="367"/>
        <v>0</v>
      </c>
      <c r="T1030" s="16"/>
      <c r="U1030" s="97">
        <f t="shared" si="363"/>
        <v>0</v>
      </c>
      <c r="V1030" s="64"/>
      <c r="W1030" s="643">
        <f t="shared" si="351"/>
        <v>0</v>
      </c>
    </row>
    <row r="1031" spans="1:23" ht="15" x14ac:dyDescent="0.2">
      <c r="A1031" s="45"/>
      <c r="B1031" s="16">
        <f t="shared" si="350"/>
        <v>40</v>
      </c>
      <c r="C1031" s="1" t="s">
        <v>80</v>
      </c>
      <c r="D1031" s="1" t="s">
        <v>84</v>
      </c>
      <c r="E1031" s="16"/>
      <c r="F1031" s="97">
        <f>' WP II-I-1.4'!I1031</f>
        <v>0</v>
      </c>
      <c r="G1031" s="16">
        <v>33</v>
      </c>
      <c r="H1031" s="45" t="str">
        <f t="shared" si="361"/>
        <v>NCP LGT</v>
      </c>
      <c r="I1031" s="16"/>
      <c r="J1031" s="370">
        <f t="shared" si="367"/>
        <v>0</v>
      </c>
      <c r="K1031" s="370">
        <f t="shared" si="367"/>
        <v>0</v>
      </c>
      <c r="L1031" s="370">
        <f t="shared" si="367"/>
        <v>0</v>
      </c>
      <c r="M1031" s="370">
        <f t="shared" si="367"/>
        <v>0</v>
      </c>
      <c r="N1031" s="370">
        <f t="shared" si="367"/>
        <v>0</v>
      </c>
      <c r="O1031" s="370">
        <f t="shared" si="367"/>
        <v>0</v>
      </c>
      <c r="P1031" s="370">
        <f t="shared" si="367"/>
        <v>0</v>
      </c>
      <c r="Q1031" s="370">
        <f t="shared" si="367"/>
        <v>0</v>
      </c>
      <c r="R1031" s="370">
        <f t="shared" si="367"/>
        <v>0</v>
      </c>
      <c r="S1031" s="370">
        <f t="shared" si="367"/>
        <v>0</v>
      </c>
      <c r="T1031" s="16"/>
      <c r="U1031" s="97">
        <f t="shared" si="363"/>
        <v>0</v>
      </c>
      <c r="V1031" s="64"/>
      <c r="W1031" s="643">
        <f t="shared" si="351"/>
        <v>0</v>
      </c>
    </row>
    <row r="1032" spans="1:23" ht="15.75" x14ac:dyDescent="0.25">
      <c r="A1032" s="45"/>
      <c r="B1032" s="16">
        <f t="shared" si="350"/>
        <v>41</v>
      </c>
      <c r="C1032" s="8"/>
      <c r="D1032" s="233" t="s">
        <v>444</v>
      </c>
      <c r="E1032" s="19"/>
      <c r="F1032" s="21">
        <f>SUM(F1016:F1031)</f>
        <v>30500116.5</v>
      </c>
      <c r="G1032" s="19"/>
      <c r="H1032" s="19"/>
      <c r="I1032" s="913"/>
      <c r="J1032" s="805">
        <f t="shared" ref="J1032:Q1032" ca="1" si="368">SUM(J1016:J1031)</f>
        <v>15034237.280122746</v>
      </c>
      <c r="K1032" s="805">
        <f t="shared" ca="1" si="368"/>
        <v>2097768.8910508417</v>
      </c>
      <c r="L1032" s="805">
        <f t="shared" ca="1" si="368"/>
        <v>8198866.0760492217</v>
      </c>
      <c r="M1032" s="805">
        <f t="shared" ca="1" si="368"/>
        <v>344886.72052117286</v>
      </c>
      <c r="N1032" s="805">
        <f t="shared" ca="1" si="368"/>
        <v>2654834.1994320429</v>
      </c>
      <c r="O1032" s="805">
        <f ca="1">SUM(O1016:O1031)</f>
        <v>87107.11338665236</v>
      </c>
      <c r="P1032" s="805">
        <f t="shared" ca="1" si="368"/>
        <v>181695.81933412154</v>
      </c>
      <c r="Q1032" s="805">
        <f t="shared" ca="1" si="368"/>
        <v>1866681.1643013882</v>
      </c>
      <c r="R1032" s="805">
        <f ca="1">SUM(R1016:R1031)</f>
        <v>9619.1904353358459</v>
      </c>
      <c r="S1032" s="805">
        <f ca="1">SUM(S1016:S1031)</f>
        <v>24420.04536647557</v>
      </c>
      <c r="T1032" s="19"/>
      <c r="U1032" s="235">
        <f t="shared" ca="1" si="363"/>
        <v>30500116.500000004</v>
      </c>
      <c r="V1032" s="64"/>
      <c r="W1032" s="643">
        <f t="shared" ca="1" si="351"/>
        <v>0</v>
      </c>
    </row>
    <row r="1033" spans="1:23" ht="12.6" customHeight="1" x14ac:dyDescent="0.2">
      <c r="A1033" s="45"/>
      <c r="B1033" s="16"/>
      <c r="C1033" s="1"/>
      <c r="D1033" s="1"/>
      <c r="E1033" s="16"/>
      <c r="F1033" s="18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"/>
      <c r="V1033" s="64"/>
      <c r="W1033" s="138"/>
    </row>
    <row r="1034" spans="1:23" ht="15" x14ac:dyDescent="0.2">
      <c r="A1034" s="45"/>
      <c r="B1034" s="16"/>
      <c r="C1034" s="1"/>
      <c r="D1034" s="1"/>
      <c r="E1034" s="16"/>
      <c r="F1034" s="18"/>
      <c r="G1034" s="16"/>
      <c r="H1034" s="105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05"/>
      <c r="V1034" s="105">
        <f>$H$2</f>
        <v>0</v>
      </c>
      <c r="W1034" s="138"/>
    </row>
    <row r="1035" spans="1:23" ht="15.75" thickBot="1" x14ac:dyDescent="0.25">
      <c r="A1035" s="45"/>
      <c r="B1035" s="16"/>
      <c r="C1035" s="1"/>
      <c r="D1035" s="1"/>
      <c r="E1035" s="16"/>
      <c r="F1035" s="18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"/>
      <c r="V1035" s="64"/>
      <c r="W1035" s="138"/>
    </row>
    <row r="1036" spans="1:23" ht="15.75" x14ac:dyDescent="0.25">
      <c r="A1036" s="45"/>
      <c r="B1036" s="829" t="str">
        <f>+$B$4</f>
        <v>2025 RATE CASE</v>
      </c>
      <c r="C1036" s="844"/>
      <c r="D1036" s="872"/>
      <c r="F1036" s="267"/>
      <c r="U1036" s="105"/>
      <c r="W1036" s="138"/>
    </row>
    <row r="1037" spans="1:23" ht="15.75" x14ac:dyDescent="0.25">
      <c r="A1037" s="45"/>
      <c r="B1037" s="826" t="str">
        <f>+$B$5</f>
        <v>ONCOR ELECTRIC DELIVERY COMPANY LLC</v>
      </c>
      <c r="C1037" s="8"/>
      <c r="D1037" s="873"/>
      <c r="F1037" s="267"/>
      <c r="U1037" s="105"/>
      <c r="V1037" s="64"/>
      <c r="W1037" s="138"/>
    </row>
    <row r="1038" spans="1:23" ht="15.75" x14ac:dyDescent="0.25">
      <c r="A1038" s="45"/>
      <c r="B1038" s="826" t="str">
        <f>+$B$6</f>
        <v>II-I-1-TBILLTDCS:  CLASS REVENUE REQUIREMENT</v>
      </c>
      <c r="C1038" s="82"/>
      <c r="D1038" s="873"/>
      <c r="F1038" s="267"/>
      <c r="U1038" s="267"/>
      <c r="V1038" s="64"/>
      <c r="W1038" s="138"/>
    </row>
    <row r="1039" spans="1:23" ht="15.75" x14ac:dyDescent="0.25">
      <c r="A1039" s="45"/>
      <c r="B1039" s="341" t="str">
        <f>+$B$7</f>
        <v>TEST YEAR ENDING 12/31/2024</v>
      </c>
      <c r="C1039" s="82"/>
      <c r="D1039" s="873"/>
      <c r="F1039" s="267"/>
      <c r="U1039" s="267"/>
      <c r="V1039" s="64"/>
      <c r="W1039" s="138"/>
    </row>
    <row r="1040" spans="1:23" ht="15.75" x14ac:dyDescent="0.25">
      <c r="A1040" s="45"/>
      <c r="B1040" s="341" t="str">
        <f>+$B$8</f>
        <v>SPONSOR:  MATTHEW A. TROXLE</v>
      </c>
      <c r="C1040" s="82"/>
      <c r="D1040" s="873"/>
      <c r="F1040" s="267"/>
      <c r="U1040" s="267"/>
      <c r="V1040" s="64"/>
      <c r="W1040" s="138"/>
    </row>
    <row r="1041" spans="1:23" ht="16.5" thickBot="1" x14ac:dyDescent="0.3">
      <c r="A1041" s="45"/>
      <c r="B1041" s="345"/>
      <c r="C1041" s="843"/>
      <c r="D1041" s="845"/>
      <c r="F1041" s="267"/>
      <c r="U1041" s="267"/>
      <c r="V1041" s="64"/>
      <c r="W1041" s="138"/>
    </row>
    <row r="1042" spans="1:23" ht="15.75" thickBot="1" x14ac:dyDescent="0.25">
      <c r="A1042" s="45"/>
      <c r="B1042" s="12"/>
      <c r="C1042" s="13"/>
      <c r="D1042" s="13"/>
      <c r="E1042" s="13"/>
      <c r="F1042" s="12"/>
      <c r="G1042" s="13"/>
      <c r="H1042" s="13"/>
      <c r="I1042" s="13"/>
      <c r="J1042" s="177"/>
      <c r="K1042" s="177"/>
      <c r="L1042" s="13"/>
      <c r="M1042" s="177"/>
      <c r="N1042" s="177"/>
      <c r="O1042" s="177"/>
      <c r="P1042" s="177"/>
      <c r="Q1042" s="13"/>
      <c r="R1042" s="328" t="str">
        <f>R$10</f>
        <v xml:space="preserve"> </v>
      </c>
      <c r="S1042" s="329"/>
      <c r="T1042" s="177"/>
      <c r="U1042" s="12"/>
      <c r="V1042" s="64"/>
      <c r="W1042" s="138"/>
    </row>
    <row r="1043" spans="1:23" ht="15.75" x14ac:dyDescent="0.25">
      <c r="A1043" s="45"/>
      <c r="B1043" s="14" t="s">
        <v>2</v>
      </c>
      <c r="C1043" s="14" t="s">
        <v>349</v>
      </c>
      <c r="D1043" s="226" t="s">
        <v>650</v>
      </c>
      <c r="E1043" s="14" t="s">
        <v>350</v>
      </c>
      <c r="F1043" s="226" t="str">
        <f>F$11</f>
        <v>TBILLTDCS</v>
      </c>
      <c r="G1043" s="181" t="s">
        <v>688</v>
      </c>
      <c r="H1043" s="181" t="s">
        <v>355</v>
      </c>
      <c r="I1043" s="14"/>
      <c r="J1043" s="181" t="s">
        <v>679</v>
      </c>
      <c r="K1043" s="181" t="s">
        <v>388</v>
      </c>
      <c r="L1043" s="14" t="s">
        <v>388</v>
      </c>
      <c r="M1043" s="181" t="s">
        <v>389</v>
      </c>
      <c r="N1043" s="181" t="s">
        <v>389</v>
      </c>
      <c r="O1043" s="181" t="s">
        <v>389</v>
      </c>
      <c r="P1043" s="181" t="s">
        <v>390</v>
      </c>
      <c r="Q1043" s="14" t="s">
        <v>391</v>
      </c>
      <c r="R1043" s="331" t="str">
        <f>R$11</f>
        <v>Wholesale</v>
      </c>
      <c r="S1043" s="12" t="str">
        <f>S$11</f>
        <v>Wholesale</v>
      </c>
      <c r="T1043" s="181"/>
      <c r="U1043" s="14" t="s">
        <v>10</v>
      </c>
      <c r="V1043" s="64"/>
      <c r="W1043" s="138"/>
    </row>
    <row r="1044" spans="1:23" ht="15" x14ac:dyDescent="0.2">
      <c r="A1044" s="45"/>
      <c r="B1044" s="14"/>
      <c r="C1044" s="14"/>
      <c r="D1044" s="14"/>
      <c r="E1044" s="14"/>
      <c r="F1044" s="14"/>
      <c r="G1044" s="181" t="s">
        <v>689</v>
      </c>
      <c r="H1044" s="181" t="s">
        <v>690</v>
      </c>
      <c r="I1044" s="14"/>
      <c r="J1044" s="181"/>
      <c r="K1044" s="181" t="s">
        <v>680</v>
      </c>
      <c r="L1044" s="14" t="s">
        <v>681</v>
      </c>
      <c r="M1044" s="181" t="s">
        <v>680</v>
      </c>
      <c r="N1044" s="181" t="s">
        <v>681</v>
      </c>
      <c r="O1044" s="181" t="s">
        <v>393</v>
      </c>
      <c r="P1044" s="181"/>
      <c r="Q1044" s="14"/>
      <c r="R1044" s="174" t="str">
        <f>R$12</f>
        <v>XFMR</v>
      </c>
      <c r="S1044" s="14" t="str">
        <f>S$12</f>
        <v>DLS</v>
      </c>
      <c r="T1044" s="181"/>
      <c r="U1044" s="14"/>
      <c r="V1044" s="64"/>
      <c r="W1044" s="138"/>
    </row>
    <row r="1045" spans="1:23" ht="15.75" thickBot="1" x14ac:dyDescent="0.25">
      <c r="A1045" s="45"/>
      <c r="B1045" s="15"/>
      <c r="C1045" s="15"/>
      <c r="D1045" s="15"/>
      <c r="E1045" s="15"/>
      <c r="F1045" s="15" t="s">
        <v>13</v>
      </c>
      <c r="G1045" s="15" t="s">
        <v>14</v>
      </c>
      <c r="H1045" s="15" t="s">
        <v>15</v>
      </c>
      <c r="I1045" s="15"/>
      <c r="J1045" s="182" t="str">
        <f t="shared" ref="J1045:Q1045" si="369">J$13</f>
        <v>(d)</v>
      </c>
      <c r="K1045" s="182" t="str">
        <f t="shared" si="369"/>
        <v>(e)</v>
      </c>
      <c r="L1045" s="15" t="str">
        <f t="shared" si="369"/>
        <v>(f)</v>
      </c>
      <c r="M1045" s="182" t="str">
        <f t="shared" si="369"/>
        <v>(g)</v>
      </c>
      <c r="N1045" s="182" t="str">
        <f t="shared" si="369"/>
        <v>(h)</v>
      </c>
      <c r="O1045" s="182" t="str">
        <f>O$13</f>
        <v>(i)</v>
      </c>
      <c r="P1045" s="182" t="str">
        <f t="shared" si="369"/>
        <v>(j)</v>
      </c>
      <c r="Q1045" s="182" t="str">
        <f t="shared" si="369"/>
        <v>(k)</v>
      </c>
      <c r="R1045" s="182" t="str">
        <f>R$13</f>
        <v>(l)</v>
      </c>
      <c r="S1045" s="15" t="str">
        <f>S$13</f>
        <v>(m)</v>
      </c>
      <c r="T1045" s="15"/>
      <c r="U1045" s="15" t="s">
        <v>683</v>
      </c>
      <c r="V1045" s="64"/>
      <c r="W1045" s="138"/>
    </row>
    <row r="1046" spans="1:23" ht="15" x14ac:dyDescent="0.2">
      <c r="A1046" s="45"/>
      <c r="B1046" s="64"/>
      <c r="C1046" s="268"/>
      <c r="D1046" s="268"/>
      <c r="E1046" s="268"/>
      <c r="F1046" s="268"/>
      <c r="G1046" s="268"/>
      <c r="H1046" s="268"/>
      <c r="I1046" s="268"/>
      <c r="J1046" s="268"/>
      <c r="K1046" s="268"/>
      <c r="L1046" s="268"/>
      <c r="M1046" s="268"/>
      <c r="N1046" s="268"/>
      <c r="O1046" s="268"/>
      <c r="P1046" s="268"/>
      <c r="Q1046" s="268"/>
      <c r="R1046" s="268"/>
      <c r="S1046" s="268"/>
      <c r="T1046" s="268"/>
      <c r="U1046" s="41"/>
      <c r="V1046" s="64"/>
      <c r="W1046" s="138"/>
    </row>
    <row r="1047" spans="1:23" ht="15.75" x14ac:dyDescent="0.25">
      <c r="A1047" s="45"/>
      <c r="B1047" s="16">
        <f>B1033+1</f>
        <v>1</v>
      </c>
      <c r="C1047" s="32" t="s">
        <v>651</v>
      </c>
      <c r="D1047" s="8"/>
      <c r="E1047" s="19" t="s">
        <v>280</v>
      </c>
      <c r="F1047" s="21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8"/>
      <c r="V1047" s="64"/>
      <c r="W1047" s="138"/>
    </row>
    <row r="1048" spans="1:23" ht="15" x14ac:dyDescent="0.2">
      <c r="A1048" s="45"/>
      <c r="B1048" s="16">
        <f t="shared" ref="B1048:B1070" si="370">B1047+1</f>
        <v>2</v>
      </c>
      <c r="C1048" s="1"/>
      <c r="D1048" s="1"/>
      <c r="E1048" s="16"/>
      <c r="F1048" s="18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"/>
      <c r="V1048" s="64"/>
      <c r="W1048" s="138"/>
    </row>
    <row r="1049" spans="1:23" ht="15" x14ac:dyDescent="0.2">
      <c r="A1049" s="45"/>
      <c r="B1049" s="16">
        <f t="shared" si="370"/>
        <v>3</v>
      </c>
      <c r="C1049" s="1" t="s">
        <v>652</v>
      </c>
      <c r="D1049" s="1" t="s">
        <v>40</v>
      </c>
      <c r="E1049" s="16"/>
      <c r="F1049" s="97">
        <f>' WP II-I-1.4'!I1049</f>
        <v>26.13</v>
      </c>
      <c r="G1049" s="16">
        <v>63</v>
      </c>
      <c r="H1049" s="45" t="str">
        <f t="shared" ref="H1049:H1062" si="371">VLOOKUP(G1049,FactorTable,2)</f>
        <v>PLTGEN_N</v>
      </c>
      <c r="I1049" s="16"/>
      <c r="J1049" s="369">
        <f t="shared" ref="J1049:S1062" ca="1" si="372">$F1049*HLOOKUP(J$1354,FactorTable,$G1049+1)</f>
        <v>12.880102281891526</v>
      </c>
      <c r="K1049" s="369">
        <f t="shared" ca="1" si="372"/>
        <v>1.7971964508121951</v>
      </c>
      <c r="L1049" s="369">
        <f t="shared" ca="1" si="372"/>
        <v>7.0241164674622221</v>
      </c>
      <c r="M1049" s="369">
        <f t="shared" ca="1" si="372"/>
        <v>0.29547067491424972</v>
      </c>
      <c r="N1049" s="369">
        <f t="shared" ca="1" si="372"/>
        <v>2.2744443494554947</v>
      </c>
      <c r="O1049" s="369">
        <f t="shared" ca="1" si="372"/>
        <v>7.4626235371698588E-2</v>
      </c>
      <c r="P1049" s="369">
        <f t="shared" ca="1" si="372"/>
        <v>0.15566208605139592</v>
      </c>
      <c r="Q1049" s="369">
        <f t="shared" ca="1" si="372"/>
        <v>1.5992194266928543</v>
      </c>
      <c r="R1049" s="369">
        <f t="shared" ca="1" si="372"/>
        <v>8.2409339674268459E-3</v>
      </c>
      <c r="S1049" s="369">
        <f t="shared" ca="1" si="372"/>
        <v>2.0921093380938626E-2</v>
      </c>
      <c r="T1049" s="16"/>
      <c r="U1049" s="97">
        <f t="shared" ref="U1049:U1063" ca="1" si="373">SUM(I1049:T1049)</f>
        <v>26.130000000000006</v>
      </c>
      <c r="V1049" s="64"/>
      <c r="W1049" s="643">
        <f t="shared" ref="W1049:W1070" ca="1" si="374">F1049-U1049</f>
        <v>0</v>
      </c>
    </row>
    <row r="1050" spans="1:23" ht="15" x14ac:dyDescent="0.2">
      <c r="A1050" s="45"/>
      <c r="B1050" s="16">
        <f t="shared" si="370"/>
        <v>4</v>
      </c>
      <c r="C1050" s="1" t="s">
        <v>89</v>
      </c>
      <c r="D1050" s="1" t="s">
        <v>42</v>
      </c>
      <c r="E1050" s="16"/>
      <c r="F1050" s="97">
        <f>' WP II-I-1.4'!I1050</f>
        <v>378511.92</v>
      </c>
      <c r="G1050" s="16">
        <v>63</v>
      </c>
      <c r="H1050" s="45" t="str">
        <f t="shared" si="371"/>
        <v>PLTGEN_N</v>
      </c>
      <c r="I1050" s="16"/>
      <c r="J1050" s="369">
        <f t="shared" ca="1" si="372"/>
        <v>186577.58302775133</v>
      </c>
      <c r="K1050" s="369">
        <f t="shared" ca="1" si="372"/>
        <v>26033.688450597383</v>
      </c>
      <c r="L1050" s="369">
        <f t="shared" ca="1" si="372"/>
        <v>101749.39955617081</v>
      </c>
      <c r="M1050" s="369">
        <f t="shared" ca="1" si="372"/>
        <v>4280.1061027741489</v>
      </c>
      <c r="N1050" s="369">
        <f t="shared" ca="1" si="372"/>
        <v>32946.968911042866</v>
      </c>
      <c r="O1050" s="369">
        <f t="shared" ca="1" si="372"/>
        <v>1081.0149113246669</v>
      </c>
      <c r="P1050" s="369">
        <f t="shared" ca="1" si="372"/>
        <v>2254.8777291434785</v>
      </c>
      <c r="Q1050" s="369">
        <f t="shared" ca="1" si="372"/>
        <v>23165.848285450116</v>
      </c>
      <c r="R1050" s="369">
        <f t="shared" ca="1" si="372"/>
        <v>119.37587977818418</v>
      </c>
      <c r="S1050" s="369">
        <f t="shared" ca="1" si="372"/>
        <v>303.05714596702529</v>
      </c>
      <c r="T1050" s="16"/>
      <c r="U1050" s="97">
        <f t="shared" ca="1" si="373"/>
        <v>378511.92</v>
      </c>
      <c r="V1050" s="64"/>
      <c r="W1050" s="643">
        <f t="shared" ca="1" si="374"/>
        <v>0</v>
      </c>
    </row>
    <row r="1051" spans="1:23" ht="15" x14ac:dyDescent="0.2">
      <c r="A1051" s="45"/>
      <c r="B1051" s="16">
        <f t="shared" si="370"/>
        <v>5</v>
      </c>
      <c r="C1051" s="1" t="s">
        <v>90</v>
      </c>
      <c r="D1051" s="1" t="s">
        <v>91</v>
      </c>
      <c r="E1051" s="16"/>
      <c r="F1051" s="97">
        <f>' WP II-I-1.4'!I1051</f>
        <v>71119.63</v>
      </c>
      <c r="G1051" s="16">
        <v>63</v>
      </c>
      <c r="H1051" s="45" t="str">
        <f t="shared" si="371"/>
        <v>PLTGEN_N</v>
      </c>
      <c r="I1051" s="16"/>
      <c r="J1051" s="369">
        <f t="shared" ca="1" si="372"/>
        <v>35056.567495226984</v>
      </c>
      <c r="K1051" s="369">
        <f t="shared" ca="1" si="372"/>
        <v>4891.5402456592628</v>
      </c>
      <c r="L1051" s="369">
        <f t="shared" ca="1" si="372"/>
        <v>19117.970311627261</v>
      </c>
      <c r="M1051" s="369">
        <f t="shared" ca="1" si="372"/>
        <v>804.20073003259563</v>
      </c>
      <c r="N1051" s="369">
        <f t="shared" ca="1" si="372"/>
        <v>6190.4952387625517</v>
      </c>
      <c r="O1051" s="369">
        <f t="shared" ca="1" si="372"/>
        <v>203.11482005082726</v>
      </c>
      <c r="P1051" s="369">
        <f t="shared" ca="1" si="372"/>
        <v>423.67508476859706</v>
      </c>
      <c r="Q1051" s="369">
        <f t="shared" ca="1" si="372"/>
        <v>4352.6939883355499</v>
      </c>
      <c r="R1051" s="369">
        <f t="shared" ca="1" si="372"/>
        <v>22.429857428925732</v>
      </c>
      <c r="S1051" s="369">
        <f t="shared" ca="1" si="372"/>
        <v>56.942228107455193</v>
      </c>
      <c r="T1051" s="16"/>
      <c r="U1051" s="97">
        <f t="shared" ca="1" si="373"/>
        <v>71119.63</v>
      </c>
      <c r="V1051" s="64"/>
      <c r="W1051" s="643">
        <f t="shared" ca="1" si="374"/>
        <v>0</v>
      </c>
    </row>
    <row r="1052" spans="1:23" ht="15" x14ac:dyDescent="0.2">
      <c r="A1052" s="45"/>
      <c r="B1052" s="16">
        <f t="shared" si="370"/>
        <v>6</v>
      </c>
      <c r="C1052" s="1" t="s">
        <v>92</v>
      </c>
      <c r="D1052" s="1" t="s">
        <v>653</v>
      </c>
      <c r="E1052" s="16"/>
      <c r="F1052" s="97">
        <f>' WP II-I-1.4'!I1052</f>
        <v>0</v>
      </c>
      <c r="G1052" s="16">
        <v>63</v>
      </c>
      <c r="H1052" s="45" t="str">
        <f t="shared" si="371"/>
        <v>PLTGEN_N</v>
      </c>
      <c r="I1052" s="16"/>
      <c r="J1052" s="369">
        <f t="shared" ca="1" si="372"/>
        <v>0</v>
      </c>
      <c r="K1052" s="369">
        <f t="shared" ca="1" si="372"/>
        <v>0</v>
      </c>
      <c r="L1052" s="369">
        <f t="shared" ca="1" si="372"/>
        <v>0</v>
      </c>
      <c r="M1052" s="369">
        <f t="shared" ca="1" si="372"/>
        <v>0</v>
      </c>
      <c r="N1052" s="369">
        <f t="shared" ca="1" si="372"/>
        <v>0</v>
      </c>
      <c r="O1052" s="369">
        <f t="shared" ca="1" si="372"/>
        <v>0</v>
      </c>
      <c r="P1052" s="369">
        <f t="shared" ca="1" si="372"/>
        <v>0</v>
      </c>
      <c r="Q1052" s="369">
        <f t="shared" ca="1" si="372"/>
        <v>0</v>
      </c>
      <c r="R1052" s="369">
        <f t="shared" ca="1" si="372"/>
        <v>0</v>
      </c>
      <c r="S1052" s="369">
        <f t="shared" ca="1" si="372"/>
        <v>0</v>
      </c>
      <c r="T1052" s="16"/>
      <c r="U1052" s="97">
        <f t="shared" ca="1" si="373"/>
        <v>0</v>
      </c>
      <c r="V1052" s="64"/>
      <c r="W1052" s="643">
        <f t="shared" ca="1" si="374"/>
        <v>0</v>
      </c>
    </row>
    <row r="1053" spans="1:23" ht="15" x14ac:dyDescent="0.2">
      <c r="A1053" s="45"/>
      <c r="B1053" s="16">
        <f t="shared" si="370"/>
        <v>7</v>
      </c>
      <c r="C1053" s="1" t="s">
        <v>95</v>
      </c>
      <c r="D1053" s="1" t="s">
        <v>654</v>
      </c>
      <c r="E1053" s="16"/>
      <c r="F1053" s="97">
        <f>' WP II-I-1.4'!I1053</f>
        <v>0</v>
      </c>
      <c r="G1053" s="16">
        <v>63</v>
      </c>
      <c r="H1053" s="45" t="str">
        <f t="shared" si="371"/>
        <v>PLTGEN_N</v>
      </c>
      <c r="I1053" s="16"/>
      <c r="J1053" s="369">
        <f t="shared" ca="1" si="372"/>
        <v>0</v>
      </c>
      <c r="K1053" s="369">
        <f t="shared" ca="1" si="372"/>
        <v>0</v>
      </c>
      <c r="L1053" s="369">
        <f t="shared" ca="1" si="372"/>
        <v>0</v>
      </c>
      <c r="M1053" s="369">
        <f t="shared" ca="1" si="372"/>
        <v>0</v>
      </c>
      <c r="N1053" s="369">
        <f t="shared" ca="1" si="372"/>
        <v>0</v>
      </c>
      <c r="O1053" s="369">
        <f t="shared" ca="1" si="372"/>
        <v>0</v>
      </c>
      <c r="P1053" s="369">
        <f t="shared" ca="1" si="372"/>
        <v>0</v>
      </c>
      <c r="Q1053" s="369">
        <f t="shared" ca="1" si="372"/>
        <v>0</v>
      </c>
      <c r="R1053" s="369">
        <f t="shared" ca="1" si="372"/>
        <v>0</v>
      </c>
      <c r="S1053" s="369">
        <f t="shared" ca="1" si="372"/>
        <v>0</v>
      </c>
      <c r="T1053" s="16"/>
      <c r="U1053" s="97">
        <f t="shared" ca="1" si="373"/>
        <v>0</v>
      </c>
      <c r="V1053" s="64"/>
      <c r="W1053" s="643">
        <f t="shared" ca="1" si="374"/>
        <v>0</v>
      </c>
    </row>
    <row r="1054" spans="1:23" ht="15" x14ac:dyDescent="0.2">
      <c r="A1054" s="45"/>
      <c r="B1054" s="16">
        <f t="shared" si="370"/>
        <v>8</v>
      </c>
      <c r="C1054" s="1" t="s">
        <v>97</v>
      </c>
      <c r="D1054" s="1" t="s">
        <v>655</v>
      </c>
      <c r="E1054" s="16"/>
      <c r="F1054" s="97">
        <f>' WP II-I-1.4'!I1054</f>
        <v>0</v>
      </c>
      <c r="G1054" s="16">
        <v>63</v>
      </c>
      <c r="H1054" s="45" t="str">
        <f t="shared" si="371"/>
        <v>PLTGEN_N</v>
      </c>
      <c r="I1054" s="16"/>
      <c r="J1054" s="369">
        <f t="shared" ca="1" si="372"/>
        <v>0</v>
      </c>
      <c r="K1054" s="369">
        <f t="shared" ca="1" si="372"/>
        <v>0</v>
      </c>
      <c r="L1054" s="369">
        <f t="shared" ca="1" si="372"/>
        <v>0</v>
      </c>
      <c r="M1054" s="369">
        <f t="shared" ca="1" si="372"/>
        <v>0</v>
      </c>
      <c r="N1054" s="369">
        <f t="shared" ca="1" si="372"/>
        <v>0</v>
      </c>
      <c r="O1054" s="369">
        <f t="shared" ca="1" si="372"/>
        <v>0</v>
      </c>
      <c r="P1054" s="369">
        <f t="shared" ca="1" si="372"/>
        <v>0</v>
      </c>
      <c r="Q1054" s="369">
        <f t="shared" ca="1" si="372"/>
        <v>0</v>
      </c>
      <c r="R1054" s="369">
        <f t="shared" ca="1" si="372"/>
        <v>0</v>
      </c>
      <c r="S1054" s="369">
        <f t="shared" ca="1" si="372"/>
        <v>0</v>
      </c>
      <c r="T1054" s="16"/>
      <c r="U1054" s="97">
        <f t="shared" ca="1" si="373"/>
        <v>0</v>
      </c>
      <c r="V1054" s="64"/>
      <c r="W1054" s="643">
        <f t="shared" ca="1" si="374"/>
        <v>0</v>
      </c>
    </row>
    <row r="1055" spans="1:23" ht="15" x14ac:dyDescent="0.2">
      <c r="A1055" s="45"/>
      <c r="B1055" s="16">
        <f t="shared" si="370"/>
        <v>9</v>
      </c>
      <c r="C1055" s="1" t="s">
        <v>99</v>
      </c>
      <c r="D1055" s="1" t="s">
        <v>656</v>
      </c>
      <c r="E1055" s="16"/>
      <c r="F1055" s="97">
        <f>' WP II-I-1.4'!I1055</f>
        <v>0</v>
      </c>
      <c r="G1055" s="16">
        <v>63</v>
      </c>
      <c r="H1055" s="45" t="str">
        <f t="shared" si="371"/>
        <v>PLTGEN_N</v>
      </c>
      <c r="I1055" s="16"/>
      <c r="J1055" s="369">
        <f t="shared" ca="1" si="372"/>
        <v>0</v>
      </c>
      <c r="K1055" s="369">
        <f t="shared" ca="1" si="372"/>
        <v>0</v>
      </c>
      <c r="L1055" s="369">
        <f t="shared" ca="1" si="372"/>
        <v>0</v>
      </c>
      <c r="M1055" s="369">
        <f t="shared" ca="1" si="372"/>
        <v>0</v>
      </c>
      <c r="N1055" s="369">
        <f t="shared" ca="1" si="372"/>
        <v>0</v>
      </c>
      <c r="O1055" s="369">
        <f t="shared" ca="1" si="372"/>
        <v>0</v>
      </c>
      <c r="P1055" s="369">
        <f t="shared" ca="1" si="372"/>
        <v>0</v>
      </c>
      <c r="Q1055" s="369">
        <f t="shared" ca="1" si="372"/>
        <v>0</v>
      </c>
      <c r="R1055" s="369">
        <f t="shared" ca="1" si="372"/>
        <v>0</v>
      </c>
      <c r="S1055" s="369">
        <f t="shared" ca="1" si="372"/>
        <v>0</v>
      </c>
      <c r="T1055" s="16"/>
      <c r="U1055" s="97">
        <f t="shared" ca="1" si="373"/>
        <v>0</v>
      </c>
      <c r="V1055" s="64"/>
      <c r="W1055" s="643">
        <f t="shared" ca="1" si="374"/>
        <v>0</v>
      </c>
    </row>
    <row r="1056" spans="1:23" ht="15" x14ac:dyDescent="0.2">
      <c r="A1056" s="45"/>
      <c r="B1056" s="16">
        <f t="shared" si="370"/>
        <v>10</v>
      </c>
      <c r="C1056" s="1" t="s">
        <v>101</v>
      </c>
      <c r="D1056" s="1" t="s">
        <v>102</v>
      </c>
      <c r="E1056" s="16"/>
      <c r="F1056" s="97">
        <f>' WP II-I-1.4'!I1056</f>
        <v>0</v>
      </c>
      <c r="G1056" s="16">
        <v>63</v>
      </c>
      <c r="H1056" s="45" t="str">
        <f t="shared" si="371"/>
        <v>PLTGEN_N</v>
      </c>
      <c r="I1056" s="16"/>
      <c r="J1056" s="369">
        <f t="shared" ca="1" si="372"/>
        <v>0</v>
      </c>
      <c r="K1056" s="369">
        <f t="shared" ca="1" si="372"/>
        <v>0</v>
      </c>
      <c r="L1056" s="369">
        <f t="shared" ca="1" si="372"/>
        <v>0</v>
      </c>
      <c r="M1056" s="369">
        <f t="shared" ca="1" si="372"/>
        <v>0</v>
      </c>
      <c r="N1056" s="369">
        <f t="shared" ca="1" si="372"/>
        <v>0</v>
      </c>
      <c r="O1056" s="369">
        <f t="shared" ca="1" si="372"/>
        <v>0</v>
      </c>
      <c r="P1056" s="369">
        <f t="shared" ca="1" si="372"/>
        <v>0</v>
      </c>
      <c r="Q1056" s="369">
        <f t="shared" ca="1" si="372"/>
        <v>0</v>
      </c>
      <c r="R1056" s="369">
        <f t="shared" ca="1" si="372"/>
        <v>0</v>
      </c>
      <c r="S1056" s="369">
        <f t="shared" ca="1" si="372"/>
        <v>0</v>
      </c>
      <c r="T1056" s="16"/>
      <c r="U1056" s="97">
        <f t="shared" ca="1" si="373"/>
        <v>0</v>
      </c>
      <c r="V1056" s="64"/>
      <c r="W1056" s="643">
        <f t="shared" ca="1" si="374"/>
        <v>0</v>
      </c>
    </row>
    <row r="1057" spans="1:23" ht="15" x14ac:dyDescent="0.2">
      <c r="A1057" s="45"/>
      <c r="B1057" s="16">
        <f t="shared" si="370"/>
        <v>11</v>
      </c>
      <c r="C1057" s="1" t="s">
        <v>1237</v>
      </c>
      <c r="D1057" s="1" t="s">
        <v>1230</v>
      </c>
      <c r="E1057" s="16"/>
      <c r="F1057" s="229">
        <f>' WP II-I-1.4'!I1057</f>
        <v>8445873.6300000008</v>
      </c>
      <c r="G1057" s="16">
        <v>63</v>
      </c>
      <c r="H1057" s="45" t="str">
        <f t="shared" ref="H1057:H1058" si="375">VLOOKUP(G1057,FactorTable,2)</f>
        <v>PLTGEN_N</v>
      </c>
      <c r="I1057" s="16"/>
      <c r="J1057" s="369">
        <f t="shared" ca="1" si="372"/>
        <v>4163173.2190712006</v>
      </c>
      <c r="K1057" s="369">
        <f t="shared" ca="1" si="372"/>
        <v>580899.12406598986</v>
      </c>
      <c r="L1057" s="369">
        <f t="shared" ca="1" si="372"/>
        <v>2270371.2226019115</v>
      </c>
      <c r="M1057" s="369">
        <f t="shared" ca="1" si="372"/>
        <v>95503.55842696382</v>
      </c>
      <c r="N1057" s="369">
        <f t="shared" ca="1" si="372"/>
        <v>735157.65610289585</v>
      </c>
      <c r="O1057" s="369">
        <f t="shared" ca="1" si="372"/>
        <v>24121.077437122174</v>
      </c>
      <c r="P1057" s="369">
        <f t="shared" ca="1" si="372"/>
        <v>50313.903856573896</v>
      </c>
      <c r="Q1057" s="369">
        <f t="shared" ca="1" si="372"/>
        <v>516907.96725942969</v>
      </c>
      <c r="R1057" s="369">
        <f t="shared" ca="1" si="372"/>
        <v>2663.6772629950892</v>
      </c>
      <c r="S1057" s="369">
        <f t="shared" ca="1" si="372"/>
        <v>6762.2239149191391</v>
      </c>
      <c r="T1057" s="16"/>
      <c r="U1057" s="97">
        <f t="shared" ref="U1057:U1058" ca="1" si="376">SUM(I1057:T1057)</f>
        <v>8445873.6300000027</v>
      </c>
      <c r="V1057" s="64"/>
      <c r="W1057" s="643">
        <f t="shared" ref="W1057:W1058" ca="1" si="377">F1057-U1057</f>
        <v>0</v>
      </c>
    </row>
    <row r="1058" spans="1:23" ht="15" x14ac:dyDescent="0.2">
      <c r="A1058" s="45"/>
      <c r="B1058" s="16">
        <f t="shared" si="370"/>
        <v>12</v>
      </c>
      <c r="C1058" s="1" t="s">
        <v>1238</v>
      </c>
      <c r="D1058" s="1" t="s">
        <v>1232</v>
      </c>
      <c r="E1058" s="16"/>
      <c r="F1058" s="229">
        <f>' WP II-I-1.4'!I1058</f>
        <v>60387.42</v>
      </c>
      <c r="G1058" s="16">
        <v>63</v>
      </c>
      <c r="H1058" s="45" t="str">
        <f t="shared" si="375"/>
        <v>PLTGEN_N</v>
      </c>
      <c r="I1058" s="16"/>
      <c r="J1058" s="369">
        <f t="shared" ca="1" si="372"/>
        <v>29766.404368141673</v>
      </c>
      <c r="K1058" s="369">
        <f t="shared" ca="1" si="372"/>
        <v>4153.3890890817211</v>
      </c>
      <c r="L1058" s="369">
        <f t="shared" ca="1" si="372"/>
        <v>16232.999282417051</v>
      </c>
      <c r="M1058" s="369">
        <f t="shared" ca="1" si="372"/>
        <v>682.8439243677866</v>
      </c>
      <c r="N1058" s="369">
        <f t="shared" ca="1" si="372"/>
        <v>5256.3270645692965</v>
      </c>
      <c r="O1058" s="369">
        <f t="shared" ca="1" si="372"/>
        <v>172.46405734441711</v>
      </c>
      <c r="P1058" s="369">
        <f t="shared" ca="1" si="372"/>
        <v>359.7409785098273</v>
      </c>
      <c r="Q1058" s="369">
        <f t="shared" ca="1" si="372"/>
        <v>3695.8566854902642</v>
      </c>
      <c r="R1058" s="369">
        <f t="shared" ca="1" si="372"/>
        <v>19.045110626990862</v>
      </c>
      <c r="S1058" s="369">
        <f t="shared" ca="1" si="372"/>
        <v>48.349439450974387</v>
      </c>
      <c r="T1058" s="16"/>
      <c r="U1058" s="97">
        <f t="shared" ca="1" si="376"/>
        <v>60387.420000000006</v>
      </c>
      <c r="V1058" s="64"/>
      <c r="W1058" s="643">
        <f t="shared" ca="1" si="377"/>
        <v>0</v>
      </c>
    </row>
    <row r="1059" spans="1:23" ht="15" x14ac:dyDescent="0.2">
      <c r="A1059" s="45"/>
      <c r="B1059" s="16">
        <f t="shared" si="370"/>
        <v>13</v>
      </c>
      <c r="C1059" s="1" t="s">
        <v>1239</v>
      </c>
      <c r="D1059" s="1" t="s">
        <v>103</v>
      </c>
      <c r="E1059" s="16"/>
      <c r="F1059" s="229">
        <f>' WP II-I-1.4'!I1059</f>
        <v>527108.76</v>
      </c>
      <c r="G1059" s="16">
        <v>63</v>
      </c>
      <c r="H1059" s="45" t="str">
        <f t="shared" si="371"/>
        <v>PLTGEN_N</v>
      </c>
      <c r="I1059" s="16"/>
      <c r="J1059" s="369">
        <f t="shared" ca="1" si="372"/>
        <v>259824.52133490291</v>
      </c>
      <c r="K1059" s="369">
        <f t="shared" ca="1" si="372"/>
        <v>36254.037224034342</v>
      </c>
      <c r="L1059" s="369">
        <f t="shared" ca="1" si="372"/>
        <v>141694.3483069113</v>
      </c>
      <c r="M1059" s="369">
        <f t="shared" ca="1" si="372"/>
        <v>5960.3972855114152</v>
      </c>
      <c r="N1059" s="369">
        <f t="shared" ca="1" si="372"/>
        <v>45881.344842345672</v>
      </c>
      <c r="O1059" s="369">
        <f t="shared" ca="1" si="372"/>
        <v>1505.401545742219</v>
      </c>
      <c r="P1059" s="369">
        <f t="shared" ca="1" si="372"/>
        <v>3140.101383756778</v>
      </c>
      <c r="Q1059" s="369">
        <f t="shared" ca="1" si="372"/>
        <v>32260.335590202118</v>
      </c>
      <c r="R1059" s="369">
        <f t="shared" ca="1" si="372"/>
        <v>166.24066149300594</v>
      </c>
      <c r="S1059" s="369">
        <f t="shared" ca="1" si="372"/>
        <v>422.03182510029728</v>
      </c>
      <c r="T1059" s="16"/>
      <c r="U1059" s="97">
        <f t="shared" ca="1" si="373"/>
        <v>527108.76000000013</v>
      </c>
      <c r="V1059" s="64"/>
      <c r="W1059" s="643">
        <f t="shared" ca="1" si="374"/>
        <v>0</v>
      </c>
    </row>
    <row r="1060" spans="1:23" ht="15" x14ac:dyDescent="0.2">
      <c r="A1060" s="45"/>
      <c r="B1060" s="16">
        <f t="shared" si="370"/>
        <v>14</v>
      </c>
      <c r="C1060" s="1" t="s">
        <v>105</v>
      </c>
      <c r="D1060" s="1" t="s">
        <v>657</v>
      </c>
      <c r="E1060" s="16"/>
      <c r="F1060" s="97">
        <f>' WP II-I-1.4'!I1060</f>
        <v>0</v>
      </c>
      <c r="G1060" s="16">
        <v>63</v>
      </c>
      <c r="H1060" s="45" t="str">
        <f t="shared" si="371"/>
        <v>PLTGEN_N</v>
      </c>
      <c r="I1060" s="16"/>
      <c r="J1060" s="369">
        <f t="shared" ca="1" si="372"/>
        <v>0</v>
      </c>
      <c r="K1060" s="369">
        <f t="shared" ca="1" si="372"/>
        <v>0</v>
      </c>
      <c r="L1060" s="369">
        <f t="shared" ca="1" si="372"/>
        <v>0</v>
      </c>
      <c r="M1060" s="369">
        <f t="shared" ca="1" si="372"/>
        <v>0</v>
      </c>
      <c r="N1060" s="369">
        <f t="shared" ca="1" si="372"/>
        <v>0</v>
      </c>
      <c r="O1060" s="369">
        <f t="shared" ca="1" si="372"/>
        <v>0</v>
      </c>
      <c r="P1060" s="369">
        <f t="shared" ca="1" si="372"/>
        <v>0</v>
      </c>
      <c r="Q1060" s="369">
        <f t="shared" ca="1" si="372"/>
        <v>0</v>
      </c>
      <c r="R1060" s="369">
        <f t="shared" ca="1" si="372"/>
        <v>0</v>
      </c>
      <c r="S1060" s="369">
        <f t="shared" ca="1" si="372"/>
        <v>0</v>
      </c>
      <c r="T1060" s="16"/>
      <c r="U1060" s="97">
        <f t="shared" ca="1" si="373"/>
        <v>0</v>
      </c>
      <c r="V1060" s="64"/>
      <c r="W1060" s="643">
        <f t="shared" ca="1" si="374"/>
        <v>0</v>
      </c>
    </row>
    <row r="1061" spans="1:23" ht="15" x14ac:dyDescent="0.2">
      <c r="A1061" s="45"/>
      <c r="B1061" s="16">
        <f t="shared" si="370"/>
        <v>15</v>
      </c>
      <c r="C1061" s="1" t="s">
        <v>107</v>
      </c>
      <c r="D1061" s="1" t="s">
        <v>285</v>
      </c>
      <c r="E1061" s="16"/>
      <c r="F1061" s="97">
        <f>' WP II-I-1.4'!I1061</f>
        <v>0</v>
      </c>
      <c r="G1061" s="16">
        <v>63</v>
      </c>
      <c r="H1061" s="45" t="str">
        <f t="shared" si="371"/>
        <v>PLTGEN_N</v>
      </c>
      <c r="I1061" s="16"/>
      <c r="J1061" s="369">
        <f t="shared" ca="1" si="372"/>
        <v>0</v>
      </c>
      <c r="K1061" s="369">
        <f t="shared" ca="1" si="372"/>
        <v>0</v>
      </c>
      <c r="L1061" s="369">
        <f t="shared" ca="1" si="372"/>
        <v>0</v>
      </c>
      <c r="M1061" s="369">
        <f t="shared" ca="1" si="372"/>
        <v>0</v>
      </c>
      <c r="N1061" s="369">
        <f t="shared" ca="1" si="372"/>
        <v>0</v>
      </c>
      <c r="O1061" s="369">
        <f t="shared" ca="1" si="372"/>
        <v>0</v>
      </c>
      <c r="P1061" s="369">
        <f t="shared" ca="1" si="372"/>
        <v>0</v>
      </c>
      <c r="Q1061" s="369">
        <f t="shared" ca="1" si="372"/>
        <v>0</v>
      </c>
      <c r="R1061" s="369">
        <f t="shared" ca="1" si="372"/>
        <v>0</v>
      </c>
      <c r="S1061" s="369">
        <f t="shared" ca="1" si="372"/>
        <v>0</v>
      </c>
      <c r="T1061" s="16"/>
      <c r="U1061" s="97">
        <f t="shared" ca="1" si="373"/>
        <v>0</v>
      </c>
      <c r="V1061" s="64"/>
      <c r="W1061" s="643">
        <f t="shared" ca="1" si="374"/>
        <v>0</v>
      </c>
    </row>
    <row r="1062" spans="1:23" ht="15" x14ac:dyDescent="0.2">
      <c r="A1062" s="45"/>
      <c r="B1062" s="16">
        <f t="shared" si="370"/>
        <v>16</v>
      </c>
      <c r="C1062" s="1" t="s">
        <v>107</v>
      </c>
      <c r="D1062" s="1" t="s">
        <v>286</v>
      </c>
      <c r="E1062" s="16"/>
      <c r="F1062" s="97">
        <f>' WP II-I-1.4'!I1062</f>
        <v>0</v>
      </c>
      <c r="G1062" s="16">
        <v>63</v>
      </c>
      <c r="H1062" s="45" t="str">
        <f t="shared" si="371"/>
        <v>PLTGEN_N</v>
      </c>
      <c r="I1062" s="16"/>
      <c r="J1062" s="370">
        <f t="shared" ca="1" si="372"/>
        <v>0</v>
      </c>
      <c r="K1062" s="370">
        <f t="shared" ca="1" si="372"/>
        <v>0</v>
      </c>
      <c r="L1062" s="370">
        <f t="shared" ca="1" si="372"/>
        <v>0</v>
      </c>
      <c r="M1062" s="370">
        <f t="shared" ca="1" si="372"/>
        <v>0</v>
      </c>
      <c r="N1062" s="370">
        <f t="shared" ca="1" si="372"/>
        <v>0</v>
      </c>
      <c r="O1062" s="370">
        <f t="shared" ca="1" si="372"/>
        <v>0</v>
      </c>
      <c r="P1062" s="370">
        <f t="shared" ca="1" si="372"/>
        <v>0</v>
      </c>
      <c r="Q1062" s="370">
        <f t="shared" ca="1" si="372"/>
        <v>0</v>
      </c>
      <c r="R1062" s="370">
        <f t="shared" ca="1" si="372"/>
        <v>0</v>
      </c>
      <c r="S1062" s="370">
        <f t="shared" ca="1" si="372"/>
        <v>0</v>
      </c>
      <c r="T1062" s="16"/>
      <c r="U1062" s="97">
        <f t="shared" ca="1" si="373"/>
        <v>0</v>
      </c>
      <c r="V1062" s="64"/>
      <c r="W1062" s="643">
        <f t="shared" ca="1" si="374"/>
        <v>0</v>
      </c>
    </row>
    <row r="1063" spans="1:23" ht="15.75" x14ac:dyDescent="0.25">
      <c r="A1063" s="45"/>
      <c r="B1063" s="16">
        <f t="shared" si="370"/>
        <v>17</v>
      </c>
      <c r="C1063" s="8"/>
      <c r="D1063" s="233" t="s">
        <v>444</v>
      </c>
      <c r="E1063" s="19"/>
      <c r="F1063" s="21">
        <f>SUM(F1049:F1062)</f>
        <v>9483027.4900000002</v>
      </c>
      <c r="G1063" s="19"/>
      <c r="H1063" s="19"/>
      <c r="I1063" s="913"/>
      <c r="J1063" s="805">
        <f t="shared" ref="J1063:Q1063" ca="1" si="378">SUM(J1049:J1062)</f>
        <v>4674411.1753995055</v>
      </c>
      <c r="K1063" s="805">
        <f t="shared" ca="1" si="378"/>
        <v>652233.57627181325</v>
      </c>
      <c r="L1063" s="805">
        <f t="shared" ca="1" si="378"/>
        <v>2549172.9641755056</v>
      </c>
      <c r="M1063" s="805">
        <f t="shared" ca="1" si="378"/>
        <v>107231.40194032468</v>
      </c>
      <c r="N1063" s="805">
        <f t="shared" ca="1" si="378"/>
        <v>825435.06660396571</v>
      </c>
      <c r="O1063" s="805">
        <f ca="1">SUM(O1049:O1062)</f>
        <v>27083.147397819674</v>
      </c>
      <c r="P1063" s="805">
        <f t="shared" ca="1" si="378"/>
        <v>56492.454694838634</v>
      </c>
      <c r="Q1063" s="805">
        <f t="shared" ca="1" si="378"/>
        <v>580384.30102833442</v>
      </c>
      <c r="R1063" s="805">
        <f ca="1">SUM(R1049:R1062)</f>
        <v>2990.7770132561632</v>
      </c>
      <c r="S1063" s="805">
        <f ca="1">SUM(S1049:S1062)</f>
        <v>7592.625474638272</v>
      </c>
      <c r="T1063" s="19"/>
      <c r="U1063" s="235">
        <f t="shared" ca="1" si="373"/>
        <v>9483027.4900000002</v>
      </c>
      <c r="V1063" s="64"/>
      <c r="W1063" s="643">
        <f t="shared" ca="1" si="374"/>
        <v>0</v>
      </c>
    </row>
    <row r="1064" spans="1:23" ht="16.5" thickBot="1" x14ac:dyDescent="0.3">
      <c r="A1064" s="45"/>
      <c r="B1064" s="16">
        <f t="shared" si="370"/>
        <v>18</v>
      </c>
      <c r="C1064" s="8"/>
      <c r="D1064" s="233"/>
      <c r="E1064" s="19"/>
      <c r="F1064" s="21"/>
      <c r="G1064" s="19"/>
      <c r="H1064" s="19"/>
      <c r="I1064" s="19"/>
      <c r="J1064" s="805"/>
      <c r="K1064" s="805"/>
      <c r="L1064" s="805"/>
      <c r="M1064" s="805"/>
      <c r="N1064" s="805"/>
      <c r="O1064" s="805"/>
      <c r="P1064" s="805"/>
      <c r="Q1064" s="805"/>
      <c r="R1064" s="805"/>
      <c r="S1064" s="805"/>
      <c r="T1064" s="19"/>
      <c r="U1064" s="235"/>
      <c r="V1064" s="64"/>
      <c r="W1064" s="643">
        <f t="shared" si="374"/>
        <v>0</v>
      </c>
    </row>
    <row r="1065" spans="1:23" ht="16.5" thickBot="1" x14ac:dyDescent="0.3">
      <c r="A1065" s="45"/>
      <c r="B1065" s="16">
        <f t="shared" si="370"/>
        <v>19</v>
      </c>
      <c r="C1065" s="223" t="s">
        <v>658</v>
      </c>
      <c r="D1065" s="224"/>
      <c r="E1065" s="309" t="s">
        <v>280</v>
      </c>
      <c r="F1065" s="194">
        <f>F998+F1013+F1032+F1063</f>
        <v>39993573.500000007</v>
      </c>
      <c r="G1065" s="309"/>
      <c r="H1065" s="402"/>
      <c r="I1065" s="968"/>
      <c r="J1065" s="381">
        <f t="shared" ref="J1065:Q1065" ca="1" si="379">J998+J1013+J1032+J1063</f>
        <v>19713789.410575833</v>
      </c>
      <c r="K1065" s="812">
        <f t="shared" ca="1" si="379"/>
        <v>2750719.7990622539</v>
      </c>
      <c r="L1065" s="812">
        <f t="shared" ca="1" si="379"/>
        <v>10750842.641179133</v>
      </c>
      <c r="M1065" s="812">
        <f t="shared" ca="1" si="379"/>
        <v>452236.05642088241</v>
      </c>
      <c r="N1065" s="812">
        <f t="shared" ca="1" si="379"/>
        <v>3481177.0861694608</v>
      </c>
      <c r="O1065" s="812">
        <f ca="1">O998+O1013+O1032+O1063</f>
        <v>114220.04704807984</v>
      </c>
      <c r="P1065" s="812">
        <f t="shared" ca="1" si="379"/>
        <v>238250.40488556543</v>
      </c>
      <c r="Q1065" s="812">
        <f t="shared" ca="1" si="379"/>
        <v>2447703.776657809</v>
      </c>
      <c r="R1065" s="812">
        <f ca="1">R998+R1013+R1032+R1063</f>
        <v>12613.256729235816</v>
      </c>
      <c r="S1065" s="315">
        <f ca="1">S998+S1013+S1032+S1063</f>
        <v>32021.021271754009</v>
      </c>
      <c r="T1065" s="402"/>
      <c r="U1065" s="315">
        <f ca="1">SUM(I1065:T1065)</f>
        <v>39993573.500000007</v>
      </c>
      <c r="V1065" s="64"/>
      <c r="W1065" s="643">
        <f t="shared" ca="1" si="374"/>
        <v>0</v>
      </c>
    </row>
    <row r="1066" spans="1:23" ht="15.75" x14ac:dyDescent="0.25">
      <c r="A1066" s="45"/>
      <c r="B1066" s="16">
        <f t="shared" si="370"/>
        <v>20</v>
      </c>
      <c r="C1066" s="8"/>
      <c r="D1066" s="233"/>
      <c r="E1066" s="19"/>
      <c r="F1066" s="21"/>
      <c r="G1066" s="19"/>
      <c r="H1066" s="19"/>
      <c r="I1066" s="19"/>
      <c r="J1066" s="961"/>
      <c r="K1066" s="961"/>
      <c r="L1066" s="961"/>
      <c r="M1066" s="961"/>
      <c r="N1066" s="961"/>
      <c r="O1066" s="961"/>
      <c r="P1066" s="961"/>
      <c r="Q1066" s="961"/>
      <c r="R1066" s="961"/>
      <c r="S1066" s="961"/>
      <c r="T1066" s="19"/>
      <c r="U1066" s="235"/>
      <c r="V1066" s="64"/>
      <c r="W1066" s="643">
        <f t="shared" si="374"/>
        <v>0</v>
      </c>
    </row>
    <row r="1067" spans="1:23" ht="15.75" x14ac:dyDescent="0.25">
      <c r="A1067" s="45"/>
      <c r="B1067" s="16">
        <f t="shared" si="370"/>
        <v>21</v>
      </c>
      <c r="C1067" s="8" t="s">
        <v>659</v>
      </c>
      <c r="D1067" s="233"/>
      <c r="E1067" s="19" t="s">
        <v>313</v>
      </c>
      <c r="F1067" s="97">
        <f>' WP II-I-1.4'!I1067</f>
        <v>0</v>
      </c>
      <c r="G1067" s="16">
        <v>10</v>
      </c>
      <c r="H1067" s="45" t="str">
        <f>VLOOKUP(G1067,FactorTable,2)</f>
        <v>CUS U RTL</v>
      </c>
      <c r="I1067" s="913"/>
      <c r="J1067" s="369">
        <f t="shared" ref="J1067:S1068" si="380">$F1067*HLOOKUP(J$1354,FactorTable,$G1067+1)</f>
        <v>0</v>
      </c>
      <c r="K1067" s="369">
        <f t="shared" si="380"/>
        <v>0</v>
      </c>
      <c r="L1067" s="369">
        <f t="shared" si="380"/>
        <v>0</v>
      </c>
      <c r="M1067" s="369">
        <f t="shared" si="380"/>
        <v>0</v>
      </c>
      <c r="N1067" s="369">
        <f t="shared" si="380"/>
        <v>0</v>
      </c>
      <c r="O1067" s="369">
        <f t="shared" si="380"/>
        <v>0</v>
      </c>
      <c r="P1067" s="369">
        <f t="shared" si="380"/>
        <v>0</v>
      </c>
      <c r="Q1067" s="369">
        <f t="shared" si="380"/>
        <v>0</v>
      </c>
      <c r="R1067" s="369">
        <f t="shared" si="380"/>
        <v>0</v>
      </c>
      <c r="S1067" s="369">
        <f t="shared" si="380"/>
        <v>0</v>
      </c>
      <c r="T1067" s="913"/>
      <c r="U1067" s="97">
        <f>SUM(I1067:T1067)</f>
        <v>0</v>
      </c>
      <c r="V1067" s="64"/>
      <c r="W1067" s="643">
        <f t="shared" si="374"/>
        <v>0</v>
      </c>
    </row>
    <row r="1068" spans="1:23" ht="15.75" x14ac:dyDescent="0.25">
      <c r="A1068" s="45"/>
      <c r="B1068" s="16">
        <f t="shared" si="370"/>
        <v>22</v>
      </c>
      <c r="C1068" s="8" t="s">
        <v>660</v>
      </c>
      <c r="D1068" s="233"/>
      <c r="E1068" s="19" t="s">
        <v>316</v>
      </c>
      <c r="F1068" s="97">
        <f>' WP II-I-1.4'!I1068</f>
        <v>0</v>
      </c>
      <c r="G1068" s="16">
        <v>65</v>
      </c>
      <c r="H1068" s="45" t="str">
        <f>VLOOKUP(G1068,FactorTable,2)</f>
        <v>PLT_N XINT</v>
      </c>
      <c r="I1068" s="913"/>
      <c r="J1068" s="369">
        <f t="shared" ca="1" si="380"/>
        <v>0</v>
      </c>
      <c r="K1068" s="369">
        <f t="shared" ca="1" si="380"/>
        <v>0</v>
      </c>
      <c r="L1068" s="369">
        <f t="shared" ca="1" si="380"/>
        <v>0</v>
      </c>
      <c r="M1068" s="369">
        <f t="shared" ca="1" si="380"/>
        <v>0</v>
      </c>
      <c r="N1068" s="369">
        <f t="shared" ca="1" si="380"/>
        <v>0</v>
      </c>
      <c r="O1068" s="369">
        <f t="shared" ca="1" si="380"/>
        <v>0</v>
      </c>
      <c r="P1068" s="369">
        <f t="shared" ca="1" si="380"/>
        <v>0</v>
      </c>
      <c r="Q1068" s="369">
        <f t="shared" ca="1" si="380"/>
        <v>0</v>
      </c>
      <c r="R1068" s="369">
        <f t="shared" ca="1" si="380"/>
        <v>0</v>
      </c>
      <c r="S1068" s="369">
        <f t="shared" ca="1" si="380"/>
        <v>0</v>
      </c>
      <c r="T1068" s="913"/>
      <c r="U1068" s="97">
        <f ca="1">SUM(I1068:T1068)</f>
        <v>0</v>
      </c>
      <c r="V1068" s="64"/>
      <c r="W1068" s="643">
        <f t="shared" ca="1" si="374"/>
        <v>0</v>
      </c>
    </row>
    <row r="1069" spans="1:23" ht="16.5" thickBot="1" x14ac:dyDescent="0.3">
      <c r="A1069" s="45"/>
      <c r="B1069" s="16">
        <f t="shared" si="370"/>
        <v>23</v>
      </c>
      <c r="C1069" s="8"/>
      <c r="D1069" s="233"/>
      <c r="E1069" s="19"/>
      <c r="F1069" s="21"/>
      <c r="G1069" s="19"/>
      <c r="H1069" s="19"/>
      <c r="I1069" s="19"/>
      <c r="J1069" s="961"/>
      <c r="K1069" s="961"/>
      <c r="L1069" s="961"/>
      <c r="M1069" s="961"/>
      <c r="N1069" s="961"/>
      <c r="O1069" s="961"/>
      <c r="P1069" s="961"/>
      <c r="Q1069" s="961"/>
      <c r="R1069" s="961"/>
      <c r="S1069" s="961"/>
      <c r="T1069" s="19"/>
      <c r="U1069" s="235"/>
      <c r="V1069" s="64"/>
      <c r="W1069" s="643">
        <f t="shared" si="374"/>
        <v>0</v>
      </c>
    </row>
    <row r="1070" spans="1:23" ht="16.5" thickBot="1" x14ac:dyDescent="0.3">
      <c r="A1070" s="45"/>
      <c r="B1070" s="16">
        <f t="shared" si="370"/>
        <v>24</v>
      </c>
      <c r="C1070" s="223" t="s">
        <v>661</v>
      </c>
      <c r="D1070" s="224"/>
      <c r="E1070" s="309"/>
      <c r="F1070" s="194">
        <f>SUM(F1065:F1068)</f>
        <v>39993573.500000007</v>
      </c>
      <c r="G1070" s="309"/>
      <c r="H1070" s="402"/>
      <c r="I1070" s="968"/>
      <c r="J1070" s="381">
        <f t="shared" ref="J1070:Q1070" ca="1" si="381">SUM(J1065:J1068)</f>
        <v>19713789.410575833</v>
      </c>
      <c r="K1070" s="812">
        <f t="shared" ca="1" si="381"/>
        <v>2750719.7990622539</v>
      </c>
      <c r="L1070" s="812">
        <f t="shared" ca="1" si="381"/>
        <v>10750842.641179133</v>
      </c>
      <c r="M1070" s="812">
        <f t="shared" ca="1" si="381"/>
        <v>452236.05642088241</v>
      </c>
      <c r="N1070" s="812">
        <f t="shared" ca="1" si="381"/>
        <v>3481177.0861694608</v>
      </c>
      <c r="O1070" s="812">
        <f ca="1">SUM(O1065:O1068)</f>
        <v>114220.04704807984</v>
      </c>
      <c r="P1070" s="812">
        <f t="shared" ca="1" si="381"/>
        <v>238250.40488556543</v>
      </c>
      <c r="Q1070" s="812">
        <f t="shared" ca="1" si="381"/>
        <v>2447703.776657809</v>
      </c>
      <c r="R1070" s="812">
        <f ca="1">SUM(R1065:R1068)</f>
        <v>12613.256729235816</v>
      </c>
      <c r="S1070" s="315">
        <f ca="1">SUM(S1065:S1068)</f>
        <v>32021.021271754009</v>
      </c>
      <c r="T1070" s="402"/>
      <c r="U1070" s="315">
        <f ca="1">SUM(I1070:T1070)</f>
        <v>39993573.500000007</v>
      </c>
      <c r="V1070" s="64"/>
      <c r="W1070" s="643">
        <f t="shared" ca="1" si="374"/>
        <v>0</v>
      </c>
    </row>
    <row r="1071" spans="1:23" ht="15" x14ac:dyDescent="0.2">
      <c r="A1071" s="45"/>
      <c r="B1071" s="64"/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W1071" s="138"/>
    </row>
    <row r="1072" spans="1:23" ht="15" x14ac:dyDescent="0.2">
      <c r="A1072" s="45"/>
      <c r="B1072" s="64"/>
      <c r="C1072" s="64"/>
      <c r="D1072" s="64"/>
      <c r="E1072" s="64"/>
      <c r="F1072" s="64"/>
      <c r="G1072" s="64"/>
      <c r="H1072" s="105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105"/>
      <c r="V1072" s="105">
        <f>$H$2</f>
        <v>0</v>
      </c>
      <c r="W1072" s="138"/>
    </row>
    <row r="1073" spans="1:23" ht="15.75" thickBot="1" x14ac:dyDescent="0.25">
      <c r="A1073" s="45"/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138"/>
    </row>
    <row r="1074" spans="1:23" ht="15.75" x14ac:dyDescent="0.25">
      <c r="A1074" s="45"/>
      <c r="B1074" s="829" t="str">
        <f>+$B$4</f>
        <v>2025 RATE CASE</v>
      </c>
      <c r="C1074" s="844"/>
      <c r="D1074" s="872"/>
      <c r="F1074" s="267"/>
      <c r="U1074" s="105"/>
      <c r="W1074" s="138"/>
    </row>
    <row r="1075" spans="1:23" ht="15.75" x14ac:dyDescent="0.25">
      <c r="A1075" s="45"/>
      <c r="B1075" s="826" t="str">
        <f>+$B$5</f>
        <v>ONCOR ELECTRIC DELIVERY COMPANY LLC</v>
      </c>
      <c r="C1075" s="8"/>
      <c r="D1075" s="873"/>
      <c r="F1075" s="267"/>
      <c r="U1075" s="105"/>
      <c r="V1075" s="64"/>
      <c r="W1075" s="138"/>
    </row>
    <row r="1076" spans="1:23" ht="15.75" x14ac:dyDescent="0.25">
      <c r="A1076" s="45"/>
      <c r="B1076" s="826" t="str">
        <f>+$B$6</f>
        <v>II-I-1-TBILLTDCS:  CLASS REVENUE REQUIREMENT</v>
      </c>
      <c r="C1076" s="82"/>
      <c r="D1076" s="873"/>
      <c r="F1076" s="267"/>
      <c r="U1076" s="267"/>
      <c r="V1076" s="64"/>
      <c r="W1076" s="138"/>
    </row>
    <row r="1077" spans="1:23" ht="15.75" x14ac:dyDescent="0.25">
      <c r="A1077" s="45"/>
      <c r="B1077" s="341" t="str">
        <f>+$B$7</f>
        <v>TEST YEAR ENDING 12/31/2024</v>
      </c>
      <c r="C1077" s="82"/>
      <c r="D1077" s="873"/>
      <c r="F1077" s="267"/>
      <c r="U1077" s="267"/>
      <c r="V1077" s="64"/>
      <c r="W1077" s="138"/>
    </row>
    <row r="1078" spans="1:23" ht="15.75" x14ac:dyDescent="0.25">
      <c r="A1078" s="45"/>
      <c r="B1078" s="341" t="str">
        <f>+$B$8</f>
        <v>SPONSOR:  MATTHEW A. TROXLE</v>
      </c>
      <c r="C1078" s="82"/>
      <c r="D1078" s="873"/>
      <c r="F1078" s="267"/>
      <c r="U1078" s="267"/>
      <c r="V1078" s="64"/>
      <c r="W1078" s="138"/>
    </row>
    <row r="1079" spans="1:23" ht="16.5" thickBot="1" x14ac:dyDescent="0.3">
      <c r="A1079" s="45"/>
      <c r="B1079" s="345"/>
      <c r="C1079" s="843"/>
      <c r="D1079" s="845"/>
      <c r="F1079" s="267"/>
      <c r="U1079" s="267"/>
      <c r="V1079" s="64"/>
      <c r="W1079" s="138"/>
    </row>
    <row r="1080" spans="1:23" ht="15.75" thickBot="1" x14ac:dyDescent="0.25">
      <c r="A1080" s="45"/>
      <c r="B1080" s="12"/>
      <c r="C1080" s="13"/>
      <c r="D1080" s="13"/>
      <c r="E1080" s="13"/>
      <c r="F1080" s="12"/>
      <c r="G1080" s="13"/>
      <c r="H1080" s="13"/>
      <c r="I1080" s="13"/>
      <c r="J1080" s="177"/>
      <c r="K1080" s="177"/>
      <c r="L1080" s="13"/>
      <c r="M1080" s="177"/>
      <c r="N1080" s="177"/>
      <c r="O1080" s="177"/>
      <c r="P1080" s="177"/>
      <c r="Q1080" s="13"/>
      <c r="R1080" s="328" t="str">
        <f>R$10</f>
        <v xml:space="preserve"> </v>
      </c>
      <c r="S1080" s="329"/>
      <c r="T1080" s="177"/>
      <c r="U1080" s="12"/>
      <c r="V1080" s="64"/>
      <c r="W1080" s="138"/>
    </row>
    <row r="1081" spans="1:23" ht="15.75" x14ac:dyDescent="0.25">
      <c r="A1081" s="45"/>
      <c r="B1081" s="14" t="s">
        <v>2</v>
      </c>
      <c r="C1081" s="14" t="s">
        <v>349</v>
      </c>
      <c r="D1081" s="226" t="s">
        <v>287</v>
      </c>
      <c r="E1081" s="14" t="s">
        <v>350</v>
      </c>
      <c r="F1081" s="226" t="str">
        <f>F$11</f>
        <v>TBILLTDCS</v>
      </c>
      <c r="G1081" s="181" t="s">
        <v>688</v>
      </c>
      <c r="H1081" s="181" t="s">
        <v>355</v>
      </c>
      <c r="I1081" s="14"/>
      <c r="J1081" s="181" t="s">
        <v>679</v>
      </c>
      <c r="K1081" s="181" t="s">
        <v>388</v>
      </c>
      <c r="L1081" s="14" t="s">
        <v>388</v>
      </c>
      <c r="M1081" s="181" t="s">
        <v>389</v>
      </c>
      <c r="N1081" s="181" t="s">
        <v>389</v>
      </c>
      <c r="O1081" s="181" t="s">
        <v>389</v>
      </c>
      <c r="P1081" s="181" t="s">
        <v>390</v>
      </c>
      <c r="Q1081" s="14" t="s">
        <v>391</v>
      </c>
      <c r="R1081" s="331" t="str">
        <f>R$11</f>
        <v>Wholesale</v>
      </c>
      <c r="S1081" s="12" t="str">
        <f>S$11</f>
        <v>Wholesale</v>
      </c>
      <c r="T1081" s="181"/>
      <c r="U1081" s="14" t="s">
        <v>10</v>
      </c>
      <c r="V1081" s="64"/>
      <c r="W1081" s="138"/>
    </row>
    <row r="1082" spans="1:23" ht="15" x14ac:dyDescent="0.2">
      <c r="A1082" s="45"/>
      <c r="B1082" s="14"/>
      <c r="C1082" s="14"/>
      <c r="D1082" s="14"/>
      <c r="E1082" s="14"/>
      <c r="F1082" s="14"/>
      <c r="G1082" s="181" t="s">
        <v>689</v>
      </c>
      <c r="H1082" s="181" t="s">
        <v>690</v>
      </c>
      <c r="I1082" s="14"/>
      <c r="J1082" s="181"/>
      <c r="K1082" s="181" t="s">
        <v>680</v>
      </c>
      <c r="L1082" s="14" t="s">
        <v>681</v>
      </c>
      <c r="M1082" s="181" t="s">
        <v>680</v>
      </c>
      <c r="N1082" s="181" t="s">
        <v>681</v>
      </c>
      <c r="O1082" s="181" t="s">
        <v>393</v>
      </c>
      <c r="P1082" s="181"/>
      <c r="Q1082" s="14"/>
      <c r="R1082" s="174" t="str">
        <f>R$12</f>
        <v>XFMR</v>
      </c>
      <c r="S1082" s="14" t="str">
        <f>S$12</f>
        <v>DLS</v>
      </c>
      <c r="T1082" s="181"/>
      <c r="U1082" s="14"/>
      <c r="V1082" s="64"/>
      <c r="W1082" s="138"/>
    </row>
    <row r="1083" spans="1:23" ht="15.75" thickBot="1" x14ac:dyDescent="0.25">
      <c r="A1083" s="45"/>
      <c r="B1083" s="15"/>
      <c r="C1083" s="15"/>
      <c r="D1083" s="15"/>
      <c r="E1083" s="15"/>
      <c r="F1083" s="15" t="s">
        <v>13</v>
      </c>
      <c r="G1083" s="15" t="s">
        <v>14</v>
      </c>
      <c r="H1083" s="15" t="s">
        <v>15</v>
      </c>
      <c r="I1083" s="15"/>
      <c r="J1083" s="182" t="str">
        <f t="shared" ref="J1083:Q1083" si="382">J$13</f>
        <v>(d)</v>
      </c>
      <c r="K1083" s="182" t="str">
        <f t="shared" si="382"/>
        <v>(e)</v>
      </c>
      <c r="L1083" s="15" t="str">
        <f t="shared" si="382"/>
        <v>(f)</v>
      </c>
      <c r="M1083" s="182" t="str">
        <f t="shared" si="382"/>
        <v>(g)</v>
      </c>
      <c r="N1083" s="182" t="str">
        <f t="shared" si="382"/>
        <v>(h)</v>
      </c>
      <c r="O1083" s="182" t="str">
        <f>O$13</f>
        <v>(i)</v>
      </c>
      <c r="P1083" s="182" t="str">
        <f t="shared" si="382"/>
        <v>(j)</v>
      </c>
      <c r="Q1083" s="182" t="str">
        <f t="shared" si="382"/>
        <v>(k)</v>
      </c>
      <c r="R1083" s="182" t="str">
        <f>R$13</f>
        <v>(l)</v>
      </c>
      <c r="S1083" s="15" t="str">
        <f>S$13</f>
        <v>(m)</v>
      </c>
      <c r="T1083" s="15"/>
      <c r="U1083" s="15" t="s">
        <v>683</v>
      </c>
      <c r="V1083" s="64"/>
      <c r="W1083" s="138"/>
    </row>
    <row r="1084" spans="1:23" ht="15" x14ac:dyDescent="0.2">
      <c r="A1084" s="45"/>
      <c r="B1084" s="64"/>
      <c r="C1084" s="268"/>
      <c r="D1084" s="268"/>
      <c r="E1084" s="268"/>
      <c r="F1084" s="268"/>
      <c r="G1084" s="268"/>
      <c r="H1084" s="268"/>
      <c r="I1084" s="268"/>
      <c r="J1084" s="268"/>
      <c r="K1084" s="268"/>
      <c r="L1084" s="268"/>
      <c r="M1084" s="268"/>
      <c r="N1084" s="268"/>
      <c r="O1084" s="268"/>
      <c r="P1084" s="268"/>
      <c r="Q1084" s="268"/>
      <c r="R1084" s="268"/>
      <c r="S1084" s="268"/>
      <c r="T1084" s="268"/>
      <c r="U1084" s="41"/>
      <c r="V1084" s="64"/>
      <c r="W1084" s="138"/>
    </row>
    <row r="1085" spans="1:23" ht="15.75" x14ac:dyDescent="0.25">
      <c r="A1085" s="45"/>
      <c r="B1085" s="16">
        <f t="shared" ref="B1085:B1103" si="383">B1084+1</f>
        <v>1</v>
      </c>
      <c r="C1085" s="301" t="s">
        <v>287</v>
      </c>
      <c r="D1085" s="301"/>
      <c r="E1085" s="19"/>
      <c r="F1085" s="21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8"/>
      <c r="V1085" s="64"/>
      <c r="W1085" s="138"/>
    </row>
    <row r="1086" spans="1:23" ht="15" x14ac:dyDescent="0.2">
      <c r="A1086" s="45"/>
      <c r="B1086" s="16">
        <f t="shared" si="383"/>
        <v>2</v>
      </c>
      <c r="C1086" s="1"/>
      <c r="D1086" s="1"/>
      <c r="E1086" s="16"/>
      <c r="F1086" s="18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"/>
      <c r="V1086" s="64"/>
      <c r="W1086" s="138"/>
    </row>
    <row r="1087" spans="1:23" ht="15.75" x14ac:dyDescent="0.25">
      <c r="A1087" s="45"/>
      <c r="B1087" s="16">
        <f t="shared" si="383"/>
        <v>3</v>
      </c>
      <c r="C1087" s="8" t="s">
        <v>289</v>
      </c>
      <c r="D1087" s="8"/>
      <c r="E1087" s="19" t="s">
        <v>288</v>
      </c>
      <c r="F1087" s="21"/>
      <c r="G1087" s="19"/>
      <c r="H1087" s="19"/>
      <c r="I1087" s="19"/>
      <c r="J1087" s="961"/>
      <c r="K1087" s="961"/>
      <c r="L1087" s="961"/>
      <c r="M1087" s="961"/>
      <c r="N1087" s="961"/>
      <c r="O1087" s="961"/>
      <c r="P1087" s="961"/>
      <c r="Q1087" s="961"/>
      <c r="R1087" s="961"/>
      <c r="S1087" s="961"/>
      <c r="T1087" s="913"/>
      <c r="U1087" s="8"/>
      <c r="V1087" s="64"/>
      <c r="W1087" s="138"/>
    </row>
    <row r="1088" spans="1:23" ht="15" x14ac:dyDescent="0.2">
      <c r="A1088" s="45"/>
      <c r="B1088" s="16">
        <f t="shared" si="383"/>
        <v>4</v>
      </c>
      <c r="C1088" s="1"/>
      <c r="D1088" s="1" t="s">
        <v>290</v>
      </c>
      <c r="E1088" s="16"/>
      <c r="F1088" s="97">
        <f>' WP II-I-1.4'!I1088</f>
        <v>140165.69000000134</v>
      </c>
      <c r="G1088" s="16">
        <v>88</v>
      </c>
      <c r="H1088" s="45" t="str">
        <f>VLOOKUP(G1088,FactorTable,2)</f>
        <v>PAYROLL</v>
      </c>
      <c r="I1088" s="16"/>
      <c r="J1088" s="369">
        <f t="shared" ref="J1088:S1090" ca="1" si="384">$F1088*HLOOKUP(J$1354,FactorTable,$G1088+1)</f>
        <v>72030.635962008906</v>
      </c>
      <c r="K1088" s="369">
        <f t="shared" ca="1" si="384"/>
        <v>8971.3473648686922</v>
      </c>
      <c r="L1088" s="369">
        <f t="shared" ca="1" si="384"/>
        <v>40587.2684898234</v>
      </c>
      <c r="M1088" s="369">
        <f t="shared" ca="1" si="384"/>
        <v>1416.5827783647264</v>
      </c>
      <c r="N1088" s="369">
        <f t="shared" ca="1" si="384"/>
        <v>12398.256938124896</v>
      </c>
      <c r="O1088" s="369">
        <f t="shared" ca="1" si="384"/>
        <v>670.12220069247655</v>
      </c>
      <c r="P1088" s="369">
        <f t="shared" ca="1" si="384"/>
        <v>1584.4942547864589</v>
      </c>
      <c r="Q1088" s="369">
        <f t="shared" ca="1" si="384"/>
        <v>2367.8793545558433</v>
      </c>
      <c r="R1088" s="369">
        <f t="shared" ca="1" si="384"/>
        <v>39.309445620476559</v>
      </c>
      <c r="S1088" s="369">
        <f t="shared" ca="1" si="384"/>
        <v>99.793211155469535</v>
      </c>
      <c r="T1088" s="16"/>
      <c r="U1088" s="97">
        <f ca="1">SUM(I1088:T1088)</f>
        <v>140165.69000000137</v>
      </c>
      <c r="V1088" s="64"/>
      <c r="W1088" s="643">
        <f t="shared" ref="W1088:W1103" ca="1" si="385">F1088-U1088</f>
        <v>0</v>
      </c>
    </row>
    <row r="1089" spans="1:23" ht="15" x14ac:dyDescent="0.2">
      <c r="A1089" s="45"/>
      <c r="B1089" s="16">
        <f t="shared" si="383"/>
        <v>5</v>
      </c>
      <c r="C1089" s="1"/>
      <c r="D1089" s="1" t="s">
        <v>291</v>
      </c>
      <c r="E1089" s="16"/>
      <c r="F1089" s="97">
        <f>' WP II-I-1.4'!I1089</f>
        <v>3042.6300000000047</v>
      </c>
      <c r="G1089" s="16">
        <v>88</v>
      </c>
      <c r="H1089" s="45" t="str">
        <f>VLOOKUP(G1089,FactorTable,2)</f>
        <v>PAYROLL</v>
      </c>
      <c r="I1089" s="16"/>
      <c r="J1089" s="369">
        <f t="shared" ca="1" si="384"/>
        <v>1563.596440020988</v>
      </c>
      <c r="K1089" s="369">
        <f t="shared" ca="1" si="384"/>
        <v>194.74445303105352</v>
      </c>
      <c r="L1089" s="369">
        <f t="shared" ca="1" si="384"/>
        <v>881.04329044568885</v>
      </c>
      <c r="M1089" s="369">
        <f t="shared" ca="1" si="384"/>
        <v>30.750301724593463</v>
      </c>
      <c r="N1089" s="369">
        <f t="shared" ca="1" si="384"/>
        <v>269.13368391113863</v>
      </c>
      <c r="O1089" s="369">
        <f t="shared" ca="1" si="384"/>
        <v>14.546597755077819</v>
      </c>
      <c r="P1089" s="369">
        <f t="shared" ca="1" si="384"/>
        <v>34.395220074476747</v>
      </c>
      <c r="Q1089" s="369">
        <f t="shared" ca="1" si="384"/>
        <v>51.400458703925246</v>
      </c>
      <c r="R1089" s="369">
        <f t="shared" ca="1" si="384"/>
        <v>0.8533051028980746</v>
      </c>
      <c r="S1089" s="369">
        <f t="shared" ca="1" si="384"/>
        <v>2.1662492301644134</v>
      </c>
      <c r="T1089" s="16"/>
      <c r="U1089" s="97">
        <f ca="1">SUM(I1089:T1089)</f>
        <v>3042.6300000000047</v>
      </c>
      <c r="V1089" s="64"/>
      <c r="W1089" s="643">
        <f t="shared" ca="1" si="385"/>
        <v>0</v>
      </c>
    </row>
    <row r="1090" spans="1:23" ht="15" x14ac:dyDescent="0.2">
      <c r="A1090" s="45"/>
      <c r="B1090" s="16">
        <f t="shared" si="383"/>
        <v>6</v>
      </c>
      <c r="C1090" s="1"/>
      <c r="D1090" s="1" t="s">
        <v>292</v>
      </c>
      <c r="E1090" s="16"/>
      <c r="F1090" s="97">
        <f>' WP II-I-1.4'!I1090</f>
        <v>2892.2900000000518</v>
      </c>
      <c r="G1090" s="16">
        <v>88</v>
      </c>
      <c r="H1090" s="45" t="str">
        <f>VLOOKUP(G1090,FactorTable,2)</f>
        <v>PAYROLL</v>
      </c>
      <c r="I1090" s="16"/>
      <c r="J1090" s="370">
        <f t="shared" ca="1" si="384"/>
        <v>1486.3372633242875</v>
      </c>
      <c r="K1090" s="370">
        <f t="shared" ca="1" si="384"/>
        <v>185.12189587862969</v>
      </c>
      <c r="L1090" s="370">
        <f t="shared" ca="1" si="384"/>
        <v>837.50988405530836</v>
      </c>
      <c r="M1090" s="370">
        <f t="shared" ca="1" si="384"/>
        <v>29.230892410521779</v>
      </c>
      <c r="N1090" s="370">
        <f t="shared" ca="1" si="384"/>
        <v>255.83546558055366</v>
      </c>
      <c r="O1090" s="370">
        <f t="shared" ca="1" si="384"/>
        <v>13.827832901481518</v>
      </c>
      <c r="P1090" s="370">
        <f t="shared" ca="1" si="384"/>
        <v>32.695710970183683</v>
      </c>
      <c r="Q1090" s="370">
        <f t="shared" ca="1" si="384"/>
        <v>48.860700349624629</v>
      </c>
      <c r="R1090" s="370">
        <f t="shared" ca="1" si="384"/>
        <v>0.81114227364520586</v>
      </c>
      <c r="S1090" s="370">
        <f t="shared" ca="1" si="384"/>
        <v>2.059212255815638</v>
      </c>
      <c r="T1090" s="16"/>
      <c r="U1090" s="97">
        <f ca="1">SUM(I1090:T1090)</f>
        <v>2892.2900000000518</v>
      </c>
      <c r="V1090" s="64"/>
      <c r="W1090" s="643">
        <f t="shared" ca="1" si="385"/>
        <v>0</v>
      </c>
    </row>
    <row r="1091" spans="1:23" ht="15.75" x14ac:dyDescent="0.25">
      <c r="A1091" s="45"/>
      <c r="B1091" s="16">
        <f t="shared" si="383"/>
        <v>7</v>
      </c>
      <c r="C1091" s="8"/>
      <c r="D1091" s="233" t="s">
        <v>662</v>
      </c>
      <c r="E1091" s="19"/>
      <c r="F1091" s="191">
        <f>SUM(F1088:F1090)</f>
        <v>146100.61000000138</v>
      </c>
      <c r="G1091" s="19"/>
      <c r="H1091" s="19"/>
      <c r="I1091" s="913"/>
      <c r="J1091" s="191">
        <f t="shared" ref="J1091:Q1091" ca="1" si="386">SUM(J1088:J1090)</f>
        <v>75080.569665354182</v>
      </c>
      <c r="K1091" s="191">
        <f t="shared" ca="1" si="386"/>
        <v>9351.2137137783757</v>
      </c>
      <c r="L1091" s="191">
        <f t="shared" ca="1" si="386"/>
        <v>42305.821664324401</v>
      </c>
      <c r="M1091" s="191">
        <f t="shared" ca="1" si="386"/>
        <v>1476.5639724998418</v>
      </c>
      <c r="N1091" s="191">
        <f t="shared" ca="1" si="386"/>
        <v>12923.226087616589</v>
      </c>
      <c r="O1091" s="191">
        <f ca="1">SUM(O1088:O1090)</f>
        <v>698.49663134903597</v>
      </c>
      <c r="P1091" s="191">
        <f t="shared" ca="1" si="386"/>
        <v>1651.5851858311194</v>
      </c>
      <c r="Q1091" s="191">
        <f t="shared" ca="1" si="386"/>
        <v>2468.1405136093931</v>
      </c>
      <c r="R1091" s="191">
        <f ca="1">SUM(R1088:R1090)</f>
        <v>40.973892997019838</v>
      </c>
      <c r="S1091" s="191">
        <f ca="1">SUM(S1088:S1090)</f>
        <v>104.01867264144958</v>
      </c>
      <c r="T1091" s="913"/>
      <c r="U1091" s="235">
        <f ca="1">SUM(I1091:T1091)</f>
        <v>146100.61000000141</v>
      </c>
      <c r="V1091" s="64"/>
      <c r="W1091" s="643">
        <f t="shared" ca="1" si="385"/>
        <v>0</v>
      </c>
    </row>
    <row r="1092" spans="1:23" ht="15" x14ac:dyDescent="0.2">
      <c r="A1092" s="45"/>
      <c r="B1092" s="16">
        <f t="shared" si="383"/>
        <v>8</v>
      </c>
      <c r="C1092" s="1"/>
      <c r="D1092" s="1"/>
      <c r="E1092" s="16"/>
      <c r="F1092" s="18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"/>
      <c r="V1092" s="64"/>
      <c r="W1092" s="643">
        <f t="shared" si="385"/>
        <v>0</v>
      </c>
    </row>
    <row r="1093" spans="1:23" ht="15.75" x14ac:dyDescent="0.25">
      <c r="A1093" s="45"/>
      <c r="B1093" s="16">
        <f t="shared" si="383"/>
        <v>9</v>
      </c>
      <c r="C1093" s="8" t="s">
        <v>293</v>
      </c>
      <c r="D1093" s="8"/>
      <c r="E1093" s="19" t="s">
        <v>288</v>
      </c>
      <c r="F1093" s="21"/>
      <c r="G1093" s="19"/>
      <c r="H1093" s="19"/>
      <c r="I1093" s="913"/>
      <c r="J1093" s="961"/>
      <c r="K1093" s="961"/>
      <c r="L1093" s="961"/>
      <c r="M1093" s="961"/>
      <c r="N1093" s="961"/>
      <c r="O1093" s="961"/>
      <c r="P1093" s="961"/>
      <c r="Q1093" s="961"/>
      <c r="R1093" s="961"/>
      <c r="S1093" s="961"/>
      <c r="T1093" s="913"/>
      <c r="U1093" s="316"/>
      <c r="V1093" s="64"/>
      <c r="W1093" s="643">
        <f t="shared" si="385"/>
        <v>0</v>
      </c>
    </row>
    <row r="1094" spans="1:23" ht="15" x14ac:dyDescent="0.2">
      <c r="A1094" s="540"/>
      <c r="B1094" s="16">
        <f t="shared" si="383"/>
        <v>10</v>
      </c>
      <c r="C1094" s="318"/>
      <c r="D1094" s="1" t="s">
        <v>294</v>
      </c>
      <c r="E1094" s="18"/>
      <c r="F1094" s="97">
        <f>' WP II-I-1.4'!$I$1094</f>
        <v>2771920.8399999966</v>
      </c>
      <c r="G1094" s="16">
        <v>64</v>
      </c>
      <c r="H1094" s="45" t="str">
        <f>VLOOKUP(G1094,FactorTable,2)</f>
        <v>PLANT</v>
      </c>
      <c r="I1094" s="18"/>
      <c r="J1094" s="370">
        <f t="shared" ref="J1094:S1094" ca="1" si="387">$F1094*HLOOKUP(J$1354,FactorTable,$G1094+1)</f>
        <v>1366346.1131460639</v>
      </c>
      <c r="K1094" s="370">
        <f t="shared" ca="1" si="387"/>
        <v>190650.06871719693</v>
      </c>
      <c r="L1094" s="370">
        <f t="shared" ca="1" si="387"/>
        <v>745131.83385938359</v>
      </c>
      <c r="M1094" s="370">
        <f t="shared" ca="1" si="387"/>
        <v>31344.099556206409</v>
      </c>
      <c r="N1094" s="370">
        <f t="shared" ca="1" si="387"/>
        <v>241277.44705992809</v>
      </c>
      <c r="O1094" s="370">
        <f t="shared" ca="1" si="387"/>
        <v>7916.4951028532796</v>
      </c>
      <c r="P1094" s="370">
        <f t="shared" ca="1" si="387"/>
        <v>16512.934570368809</v>
      </c>
      <c r="Q1094" s="370">
        <f t="shared" ca="1" si="387"/>
        <v>169648.28383401345</v>
      </c>
      <c r="R1094" s="370">
        <f t="shared" ca="1" si="387"/>
        <v>874.21418313717231</v>
      </c>
      <c r="S1094" s="370">
        <f t="shared" ca="1" si="387"/>
        <v>2219.349970846145</v>
      </c>
      <c r="T1094" s="18"/>
      <c r="U1094" s="97">
        <f ca="1">SUM(I1094:T1094)</f>
        <v>2771920.8399999975</v>
      </c>
      <c r="V1094" s="317"/>
      <c r="W1094" s="643">
        <f t="shared" ca="1" si="385"/>
        <v>0</v>
      </c>
    </row>
    <row r="1095" spans="1:23" ht="15.75" x14ac:dyDescent="0.25">
      <c r="A1095" s="45"/>
      <c r="B1095" s="16">
        <f t="shared" si="383"/>
        <v>11</v>
      </c>
      <c r="C1095" s="8"/>
      <c r="D1095" s="233" t="s">
        <v>663</v>
      </c>
      <c r="E1095" s="19"/>
      <c r="F1095" s="21">
        <f>+F1094</f>
        <v>2771920.8399999966</v>
      </c>
      <c r="G1095" s="19"/>
      <c r="H1095" s="19"/>
      <c r="I1095" s="913"/>
      <c r="J1095" s="805">
        <f t="shared" ref="J1095:Q1095" ca="1" si="388">+J1094</f>
        <v>1366346.1131460639</v>
      </c>
      <c r="K1095" s="805">
        <f t="shared" ca="1" si="388"/>
        <v>190650.06871719693</v>
      </c>
      <c r="L1095" s="805">
        <f t="shared" ca="1" si="388"/>
        <v>745131.83385938359</v>
      </c>
      <c r="M1095" s="805">
        <f t="shared" ca="1" si="388"/>
        <v>31344.099556206409</v>
      </c>
      <c r="N1095" s="805">
        <f t="shared" ca="1" si="388"/>
        <v>241277.44705992809</v>
      </c>
      <c r="O1095" s="805">
        <f ca="1">+O1094</f>
        <v>7916.4951028532796</v>
      </c>
      <c r="P1095" s="805">
        <f t="shared" ca="1" si="388"/>
        <v>16512.934570368809</v>
      </c>
      <c r="Q1095" s="805">
        <f t="shared" ca="1" si="388"/>
        <v>169648.28383401345</v>
      </c>
      <c r="R1095" s="805">
        <f ca="1">+R1094</f>
        <v>874.21418313717231</v>
      </c>
      <c r="S1095" s="805">
        <f ca="1">+S1094</f>
        <v>2219.349970846145</v>
      </c>
      <c r="T1095" s="913"/>
      <c r="U1095" s="235">
        <f ca="1">SUM(I1095:T1095)</f>
        <v>2771920.8399999975</v>
      </c>
      <c r="V1095" s="64"/>
      <c r="W1095" s="643">
        <f t="shared" ca="1" si="385"/>
        <v>0</v>
      </c>
    </row>
    <row r="1096" spans="1:23" ht="15" x14ac:dyDescent="0.2">
      <c r="A1096" s="45"/>
      <c r="B1096" s="16">
        <f t="shared" si="383"/>
        <v>12</v>
      </c>
      <c r="C1096" s="1"/>
      <c r="D1096" s="1"/>
      <c r="E1096" s="16"/>
      <c r="F1096" s="18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"/>
      <c r="V1096" s="64"/>
      <c r="W1096" s="643">
        <f t="shared" si="385"/>
        <v>0</v>
      </c>
    </row>
    <row r="1097" spans="1:23" ht="15.75" x14ac:dyDescent="0.25">
      <c r="A1097" s="45"/>
      <c r="B1097" s="16">
        <f t="shared" si="383"/>
        <v>13</v>
      </c>
      <c r="C1097" s="8" t="s">
        <v>295</v>
      </c>
      <c r="D1097" s="8"/>
      <c r="E1097" s="19" t="s">
        <v>288</v>
      </c>
      <c r="F1097" s="21"/>
      <c r="G1097" s="19"/>
      <c r="H1097" s="19"/>
      <c r="I1097" s="913"/>
      <c r="J1097" s="961"/>
      <c r="K1097" s="961"/>
      <c r="L1097" s="961"/>
      <c r="M1097" s="961"/>
      <c r="N1097" s="961"/>
      <c r="O1097" s="961"/>
      <c r="P1097" s="961"/>
      <c r="Q1097" s="961"/>
      <c r="R1097" s="961"/>
      <c r="S1097" s="961"/>
      <c r="T1097" s="913"/>
      <c r="U1097" s="8"/>
      <c r="V1097" s="64"/>
      <c r="W1097" s="643">
        <f t="shared" si="385"/>
        <v>0</v>
      </c>
    </row>
    <row r="1098" spans="1:23" ht="15" x14ac:dyDescent="0.2">
      <c r="A1098" s="45"/>
      <c r="B1098" s="16">
        <f t="shared" si="383"/>
        <v>14</v>
      </c>
      <c r="C1098" s="1"/>
      <c r="D1098" s="1" t="s">
        <v>296</v>
      </c>
      <c r="E1098" s="16"/>
      <c r="F1098" s="97">
        <f>' WP II-I-1.4'!I1098</f>
        <v>639188.18000000005</v>
      </c>
      <c r="G1098" s="16">
        <v>91</v>
      </c>
      <c r="H1098" s="45" t="str">
        <f>VLOOKUP(G1098,FactorTable,2)</f>
        <v>TAX INC</v>
      </c>
      <c r="I1098" s="16"/>
      <c r="J1098" s="369">
        <f t="shared" ref="J1098:S1100" ca="1" si="389">$F1098*HLOOKUP(J$1354,FactorTable,$G1098+1)</f>
        <v>313860.68253696105</v>
      </c>
      <c r="K1098" s="369">
        <f t="shared" ca="1" si="389"/>
        <v>44115.655044114064</v>
      </c>
      <c r="L1098" s="369">
        <f t="shared" ca="1" si="389"/>
        <v>171016.93666588425</v>
      </c>
      <c r="M1098" s="369">
        <f t="shared" ca="1" si="389"/>
        <v>7270.8951831659951</v>
      </c>
      <c r="N1098" s="369">
        <f t="shared" ca="1" si="389"/>
        <v>55539.449580236389</v>
      </c>
      <c r="O1098" s="369">
        <f t="shared" ca="1" si="389"/>
        <v>1744.5136431992148</v>
      </c>
      <c r="P1098" s="369">
        <f t="shared" ca="1" si="389"/>
        <v>3672.9621715005114</v>
      </c>
      <c r="Q1098" s="369">
        <f t="shared" ca="1" si="389"/>
        <v>41275.629078987782</v>
      </c>
      <c r="R1098" s="369">
        <f t="shared" ca="1" si="389"/>
        <v>196.01296156122316</v>
      </c>
      <c r="S1098" s="369">
        <f t="shared" ca="1" si="389"/>
        <v>495.44313438958551</v>
      </c>
      <c r="T1098" s="16"/>
      <c r="U1098" s="97">
        <f ca="1">SUM(I1098:T1098)</f>
        <v>639188.18000000005</v>
      </c>
      <c r="V1098" s="64"/>
      <c r="W1098" s="643">
        <f t="shared" ca="1" si="385"/>
        <v>0</v>
      </c>
    </row>
    <row r="1099" spans="1:23" ht="15" x14ac:dyDescent="0.2">
      <c r="A1099" s="45"/>
      <c r="B1099" s="16">
        <f t="shared" si="383"/>
        <v>15</v>
      </c>
      <c r="C1099" s="1"/>
      <c r="D1099" s="1" t="s">
        <v>297</v>
      </c>
      <c r="E1099" s="16"/>
      <c r="F1099" s="97">
        <f>' WP II-I-1.4'!I1099</f>
        <v>0</v>
      </c>
      <c r="G1099" s="16">
        <v>19</v>
      </c>
      <c r="H1099" s="45" t="str">
        <f>VLOOKUP(G1099,FactorTable,2)</f>
        <v>ENERGY ICL</v>
      </c>
      <c r="I1099" s="16"/>
      <c r="J1099" s="369">
        <f t="shared" si="389"/>
        <v>0</v>
      </c>
      <c r="K1099" s="369">
        <f t="shared" si="389"/>
        <v>0</v>
      </c>
      <c r="L1099" s="369">
        <f t="shared" si="389"/>
        <v>0</v>
      </c>
      <c r="M1099" s="369">
        <f t="shared" si="389"/>
        <v>0</v>
      </c>
      <c r="N1099" s="369">
        <f t="shared" si="389"/>
        <v>0</v>
      </c>
      <c r="O1099" s="369">
        <f t="shared" si="389"/>
        <v>0</v>
      </c>
      <c r="P1099" s="369">
        <f t="shared" si="389"/>
        <v>0</v>
      </c>
      <c r="Q1099" s="369">
        <f t="shared" si="389"/>
        <v>0</v>
      </c>
      <c r="R1099" s="369">
        <f t="shared" si="389"/>
        <v>0</v>
      </c>
      <c r="S1099" s="369">
        <f t="shared" si="389"/>
        <v>0</v>
      </c>
      <c r="T1099" s="16"/>
      <c r="U1099" s="97">
        <f>SUM(I1099:T1099)</f>
        <v>0</v>
      </c>
      <c r="V1099" s="64"/>
      <c r="W1099" s="643">
        <f t="shared" si="385"/>
        <v>0</v>
      </c>
    </row>
    <row r="1100" spans="1:23" ht="15" x14ac:dyDescent="0.2">
      <c r="A1100" s="45"/>
      <c r="B1100" s="16">
        <f t="shared" si="383"/>
        <v>16</v>
      </c>
      <c r="C1100" s="1"/>
      <c r="D1100" s="647" t="s">
        <v>1313</v>
      </c>
      <c r="E1100" s="16"/>
      <c r="F1100" s="97">
        <f>' WP II-I-1.4'!I1100</f>
        <v>303.08999999999997</v>
      </c>
      <c r="G1100" s="16">
        <v>19</v>
      </c>
      <c r="H1100" s="45" t="str">
        <f>VLOOKUP(G1100,FactorTable,2)</f>
        <v>ENERGY ICL</v>
      </c>
      <c r="I1100" s="16"/>
      <c r="J1100" s="370">
        <f t="shared" si="389"/>
        <v>118.83513546672057</v>
      </c>
      <c r="K1100" s="370">
        <f t="shared" si="389"/>
        <v>3.6002273495952322</v>
      </c>
      <c r="L1100" s="370">
        <f t="shared" si="389"/>
        <v>126.53143238395894</v>
      </c>
      <c r="M1100" s="370">
        <f t="shared" si="389"/>
        <v>2.4362152039793133E-3</v>
      </c>
      <c r="N1100" s="370">
        <f t="shared" si="389"/>
        <v>20.951593532333053</v>
      </c>
      <c r="O1100" s="370">
        <f t="shared" si="389"/>
        <v>3.9937563809695966</v>
      </c>
      <c r="P1100" s="370">
        <f t="shared" si="389"/>
        <v>27.544694690104986</v>
      </c>
      <c r="Q1100" s="370">
        <f t="shared" si="389"/>
        <v>0.97235041894036323</v>
      </c>
      <c r="R1100" s="370">
        <f t="shared" si="389"/>
        <v>0.30204432505855439</v>
      </c>
      <c r="S1100" s="370">
        <f t="shared" si="389"/>
        <v>0.3563292371145847</v>
      </c>
      <c r="T1100" s="16"/>
      <c r="U1100" s="97">
        <f>SUM(I1100:T1100)</f>
        <v>303.08999999999992</v>
      </c>
      <c r="V1100" s="64"/>
      <c r="W1100" s="643"/>
    </row>
    <row r="1101" spans="1:23" ht="15.75" x14ac:dyDescent="0.25">
      <c r="A1101" s="45"/>
      <c r="B1101" s="16">
        <f t="shared" si="383"/>
        <v>17</v>
      </c>
      <c r="C1101" s="8"/>
      <c r="D1101" s="233" t="s">
        <v>664</v>
      </c>
      <c r="E1101" s="19"/>
      <c r="F1101" s="21">
        <f>SUM(F1098:F1100)</f>
        <v>639491.27</v>
      </c>
      <c r="G1101" s="19"/>
      <c r="H1101" s="19"/>
      <c r="I1101" s="913"/>
      <c r="J1101" s="805">
        <f ca="1">SUM(J1098:J1100)</f>
        <v>313979.51767242776</v>
      </c>
      <c r="K1101" s="805">
        <f t="shared" ref="K1101:S1101" ca="1" si="390">SUM(K1098:K1100)</f>
        <v>44119.255271463662</v>
      </c>
      <c r="L1101" s="805">
        <f t="shared" ca="1" si="390"/>
        <v>171143.4680982682</v>
      </c>
      <c r="M1101" s="805">
        <f t="shared" ca="1" si="390"/>
        <v>7270.8976193811995</v>
      </c>
      <c r="N1101" s="805">
        <f t="shared" ca="1" si="390"/>
        <v>55560.401173768725</v>
      </c>
      <c r="O1101" s="805">
        <f t="shared" ca="1" si="390"/>
        <v>1748.5073995801845</v>
      </c>
      <c r="P1101" s="805">
        <f t="shared" ca="1" si="390"/>
        <v>3700.5068661906166</v>
      </c>
      <c r="Q1101" s="805">
        <f t="shared" ca="1" si="390"/>
        <v>41276.601429406721</v>
      </c>
      <c r="R1101" s="805">
        <f t="shared" ca="1" si="390"/>
        <v>196.31500588628171</v>
      </c>
      <c r="S1101" s="805">
        <f t="shared" ca="1" si="390"/>
        <v>495.79946362670012</v>
      </c>
      <c r="T1101" s="913"/>
      <c r="U1101" s="235">
        <f ca="1">SUM(I1101:T1101)</f>
        <v>639491.2699999999</v>
      </c>
      <c r="V1101" s="64"/>
      <c r="W1101" s="643">
        <f t="shared" ca="1" si="385"/>
        <v>0</v>
      </c>
    </row>
    <row r="1102" spans="1:23" ht="15.75" thickBot="1" x14ac:dyDescent="0.25">
      <c r="A1102" s="45"/>
      <c r="B1102" s="16">
        <f t="shared" si="383"/>
        <v>18</v>
      </c>
      <c r="C1102" s="1"/>
      <c r="D1102" s="1"/>
      <c r="E1102" s="16"/>
      <c r="F1102" s="320"/>
      <c r="G1102" s="16"/>
      <c r="H1102" s="16"/>
      <c r="I1102" s="16"/>
      <c r="J1102" s="320"/>
      <c r="K1102" s="320"/>
      <c r="L1102" s="320"/>
      <c r="M1102" s="320"/>
      <c r="N1102" s="320"/>
      <c r="O1102" s="320"/>
      <c r="P1102" s="320"/>
      <c r="Q1102" s="320"/>
      <c r="R1102" s="320"/>
      <c r="S1102" s="320"/>
      <c r="T1102" s="16"/>
      <c r="U1102" s="320"/>
      <c r="V1102" s="64"/>
      <c r="W1102" s="643">
        <f t="shared" si="385"/>
        <v>0</v>
      </c>
    </row>
    <row r="1103" spans="1:23" ht="16.5" thickBot="1" x14ac:dyDescent="0.3">
      <c r="A1103" s="45"/>
      <c r="B1103" s="16">
        <f t="shared" si="383"/>
        <v>19</v>
      </c>
      <c r="C1103" s="223" t="s">
        <v>665</v>
      </c>
      <c r="D1103" s="224"/>
      <c r="E1103" s="309" t="s">
        <v>288</v>
      </c>
      <c r="F1103" s="194">
        <f>+F1101+F1095+F1091</f>
        <v>3557512.7199999979</v>
      </c>
      <c r="G1103" s="309"/>
      <c r="H1103" s="402"/>
      <c r="I1103" s="403"/>
      <c r="J1103" s="381">
        <f t="shared" ref="J1103:Q1103" ca="1" si="391">+J1101+J1095+J1091</f>
        <v>1755406.2004838458</v>
      </c>
      <c r="K1103" s="812">
        <f t="shared" ca="1" si="391"/>
        <v>244120.53770243897</v>
      </c>
      <c r="L1103" s="812">
        <f t="shared" ca="1" si="391"/>
        <v>958581.12362197612</v>
      </c>
      <c r="M1103" s="812">
        <f t="shared" ca="1" si="391"/>
        <v>40091.56114808745</v>
      </c>
      <c r="N1103" s="812">
        <f t="shared" ca="1" si="391"/>
        <v>309761.07432131341</v>
      </c>
      <c r="O1103" s="812">
        <f ca="1">+O1101+O1095+O1091</f>
        <v>10363.499133782501</v>
      </c>
      <c r="P1103" s="812">
        <f t="shared" ca="1" si="391"/>
        <v>21865.026622390542</v>
      </c>
      <c r="Q1103" s="812">
        <f t="shared" ca="1" si="391"/>
        <v>213393.02577702957</v>
      </c>
      <c r="R1103" s="812">
        <f ca="1">+R1101+R1095+R1091</f>
        <v>1111.5030820204738</v>
      </c>
      <c r="S1103" s="315">
        <f ca="1">+S1101+S1095+S1091</f>
        <v>2819.1681071142948</v>
      </c>
      <c r="T1103" s="309"/>
      <c r="U1103" s="195">
        <f ca="1">SUM(I1103:T1103)</f>
        <v>3557512.7199999988</v>
      </c>
      <c r="V1103" s="64"/>
      <c r="W1103" s="643">
        <f t="shared" ca="1" si="385"/>
        <v>0</v>
      </c>
    </row>
    <row r="1104" spans="1:23" ht="15.75" thickBot="1" x14ac:dyDescent="0.25">
      <c r="A1104" s="45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138"/>
    </row>
    <row r="1105" spans="1:23" ht="15.75" x14ac:dyDescent="0.25">
      <c r="A1105" s="45"/>
      <c r="B1105" s="829" t="str">
        <f>+$B$4</f>
        <v>2025 RATE CASE</v>
      </c>
      <c r="C1105" s="844"/>
      <c r="D1105" s="872"/>
      <c r="F1105" s="267"/>
      <c r="H1105" s="105"/>
      <c r="U1105" s="105"/>
      <c r="V1105" s="105">
        <f>$H$2</f>
        <v>0</v>
      </c>
      <c r="W1105" s="138"/>
    </row>
    <row r="1106" spans="1:23" ht="15.75" x14ac:dyDescent="0.25">
      <c r="A1106" s="45"/>
      <c r="B1106" s="826" t="str">
        <f>+$B$5</f>
        <v>ONCOR ELECTRIC DELIVERY COMPANY LLC</v>
      </c>
      <c r="C1106" s="8"/>
      <c r="D1106" s="873"/>
      <c r="F1106" s="267"/>
      <c r="U1106" s="105"/>
      <c r="V1106" s="64"/>
      <c r="W1106" s="138"/>
    </row>
    <row r="1107" spans="1:23" ht="15.75" x14ac:dyDescent="0.25">
      <c r="A1107" s="45"/>
      <c r="B1107" s="826" t="str">
        <f>+$B$6</f>
        <v>II-I-1-TBILLTDCS:  CLASS REVENUE REQUIREMENT</v>
      </c>
      <c r="C1107" s="82"/>
      <c r="D1107" s="873"/>
      <c r="F1107" s="267"/>
      <c r="U1107" s="267"/>
      <c r="V1107" s="64"/>
      <c r="W1107" s="138"/>
    </row>
    <row r="1108" spans="1:23" ht="15.75" x14ac:dyDescent="0.25">
      <c r="A1108" s="45"/>
      <c r="B1108" s="341" t="str">
        <f>+$B$7</f>
        <v>TEST YEAR ENDING 12/31/2024</v>
      </c>
      <c r="C1108" s="82"/>
      <c r="D1108" s="873"/>
      <c r="F1108" s="18"/>
      <c r="U1108" s="267"/>
      <c r="V1108" s="64"/>
      <c r="W1108" s="138"/>
    </row>
    <row r="1109" spans="1:23" ht="15.75" x14ac:dyDescent="0.25">
      <c r="A1109" s="45"/>
      <c r="B1109" s="341" t="str">
        <f>+$B$8</f>
        <v>SPONSOR:  MATTHEW A. TROXLE</v>
      </c>
      <c r="C1109" s="82"/>
      <c r="D1109" s="873"/>
      <c r="F1109" s="267"/>
      <c r="U1109" s="267"/>
      <c r="V1109" s="64"/>
      <c r="W1109" s="138"/>
    </row>
    <row r="1110" spans="1:23" ht="6.95" customHeight="1" thickBot="1" x14ac:dyDescent="0.3">
      <c r="A1110" s="45"/>
      <c r="B1110" s="345"/>
      <c r="C1110" s="843"/>
      <c r="D1110" s="845"/>
      <c r="F1110" s="267"/>
      <c r="U1110" s="267"/>
      <c r="V1110" s="64"/>
      <c r="W1110" s="138"/>
    </row>
    <row r="1111" spans="1:23" ht="15.75" thickBot="1" x14ac:dyDescent="0.25">
      <c r="A1111" s="45"/>
      <c r="B1111" s="12"/>
      <c r="C1111" s="13"/>
      <c r="D1111" s="13"/>
      <c r="E1111" s="13"/>
      <c r="F1111" s="12"/>
      <c r="G1111" s="13"/>
      <c r="H1111" s="13"/>
      <c r="I1111" s="13"/>
      <c r="J1111" s="177"/>
      <c r="K1111" s="177"/>
      <c r="L1111" s="13"/>
      <c r="M1111" s="177"/>
      <c r="N1111" s="177"/>
      <c r="O1111" s="177"/>
      <c r="P1111" s="177"/>
      <c r="Q1111" s="13"/>
      <c r="R1111" s="328" t="str">
        <f>R$10</f>
        <v xml:space="preserve"> </v>
      </c>
      <c r="S1111" s="329"/>
      <c r="T1111" s="177"/>
      <c r="U1111" s="12"/>
      <c r="V1111" s="64"/>
      <c r="W1111" s="138"/>
    </row>
    <row r="1112" spans="1:23" ht="15.75" x14ac:dyDescent="0.25">
      <c r="A1112" s="45"/>
      <c r="B1112" s="14" t="s">
        <v>2</v>
      </c>
      <c r="C1112" s="14" t="s">
        <v>349</v>
      </c>
      <c r="D1112" s="226" t="s">
        <v>298</v>
      </c>
      <c r="E1112" s="14" t="s">
        <v>350</v>
      </c>
      <c r="F1112" s="226" t="str">
        <f>F$11</f>
        <v>TBILLTDCS</v>
      </c>
      <c r="G1112" s="181" t="s">
        <v>688</v>
      </c>
      <c r="H1112" s="181" t="s">
        <v>355</v>
      </c>
      <c r="I1112" s="14"/>
      <c r="J1112" s="181" t="s">
        <v>679</v>
      </c>
      <c r="K1112" s="181" t="s">
        <v>388</v>
      </c>
      <c r="L1112" s="14" t="s">
        <v>388</v>
      </c>
      <c r="M1112" s="181" t="s">
        <v>389</v>
      </c>
      <c r="N1112" s="181" t="s">
        <v>389</v>
      </c>
      <c r="O1112" s="181" t="s">
        <v>389</v>
      </c>
      <c r="P1112" s="181" t="s">
        <v>390</v>
      </c>
      <c r="Q1112" s="14" t="s">
        <v>391</v>
      </c>
      <c r="R1112" s="331" t="str">
        <f>R$11</f>
        <v>Wholesale</v>
      </c>
      <c r="S1112" s="12" t="str">
        <f>S$11</f>
        <v>Wholesale</v>
      </c>
      <c r="T1112" s="181"/>
      <c r="U1112" s="14" t="s">
        <v>10</v>
      </c>
      <c r="V1112" s="64"/>
      <c r="W1112" s="138"/>
    </row>
    <row r="1113" spans="1:23" ht="15" x14ac:dyDescent="0.2">
      <c r="A1113" s="45"/>
      <c r="B1113" s="14"/>
      <c r="C1113" s="14"/>
      <c r="D1113" s="14"/>
      <c r="E1113" s="14"/>
      <c r="F1113" s="14"/>
      <c r="G1113" s="181" t="s">
        <v>689</v>
      </c>
      <c r="H1113" s="181" t="s">
        <v>690</v>
      </c>
      <c r="I1113" s="14"/>
      <c r="J1113" s="181"/>
      <c r="K1113" s="181" t="s">
        <v>680</v>
      </c>
      <c r="L1113" s="14" t="s">
        <v>681</v>
      </c>
      <c r="M1113" s="181" t="s">
        <v>680</v>
      </c>
      <c r="N1113" s="181" t="s">
        <v>681</v>
      </c>
      <c r="O1113" s="181" t="s">
        <v>393</v>
      </c>
      <c r="P1113" s="181"/>
      <c r="Q1113" s="14"/>
      <c r="R1113" s="174" t="str">
        <f>R$12</f>
        <v>XFMR</v>
      </c>
      <c r="S1113" s="14" t="str">
        <f>S$12</f>
        <v>DLS</v>
      </c>
      <c r="T1113" s="181"/>
      <c r="U1113" s="14"/>
      <c r="V1113" s="64"/>
      <c r="W1113" s="138"/>
    </row>
    <row r="1114" spans="1:23" ht="15.75" thickBot="1" x14ac:dyDescent="0.25">
      <c r="A1114" s="45"/>
      <c r="B1114" s="15"/>
      <c r="C1114" s="15"/>
      <c r="D1114" s="15"/>
      <c r="E1114" s="15"/>
      <c r="F1114" s="15" t="s">
        <v>13</v>
      </c>
      <c r="G1114" s="15" t="s">
        <v>14</v>
      </c>
      <c r="H1114" s="15" t="s">
        <v>15</v>
      </c>
      <c r="I1114" s="15"/>
      <c r="J1114" s="182" t="str">
        <f t="shared" ref="J1114:Q1114" si="392">J$13</f>
        <v>(d)</v>
      </c>
      <c r="K1114" s="182" t="str">
        <f t="shared" si="392"/>
        <v>(e)</v>
      </c>
      <c r="L1114" s="15" t="str">
        <f t="shared" si="392"/>
        <v>(f)</v>
      </c>
      <c r="M1114" s="182" t="str">
        <f t="shared" si="392"/>
        <v>(g)</v>
      </c>
      <c r="N1114" s="182" t="str">
        <f t="shared" si="392"/>
        <v>(h)</v>
      </c>
      <c r="O1114" s="182" t="str">
        <f>O$13</f>
        <v>(i)</v>
      </c>
      <c r="P1114" s="182" t="str">
        <f t="shared" si="392"/>
        <v>(j)</v>
      </c>
      <c r="Q1114" s="182" t="str">
        <f t="shared" si="392"/>
        <v>(k)</v>
      </c>
      <c r="R1114" s="182" t="str">
        <f>R$13</f>
        <v>(l)</v>
      </c>
      <c r="S1114" s="15" t="str">
        <f>S$13</f>
        <v>(m)</v>
      </c>
      <c r="T1114" s="15"/>
      <c r="U1114" s="15" t="s">
        <v>683</v>
      </c>
      <c r="V1114" s="64"/>
      <c r="W1114" s="138"/>
    </row>
    <row r="1115" spans="1:23" ht="8.4499999999999993" customHeight="1" x14ac:dyDescent="0.2">
      <c r="A1115" s="45"/>
      <c r="B1115" s="64"/>
      <c r="C1115" s="268"/>
      <c r="D1115" s="268"/>
      <c r="E1115" s="268"/>
      <c r="F1115" s="268"/>
      <c r="G1115" s="268"/>
      <c r="H1115" s="268"/>
      <c r="I1115" s="268"/>
      <c r="J1115" s="268"/>
      <c r="K1115" s="268"/>
      <c r="L1115" s="268"/>
      <c r="M1115" s="268"/>
      <c r="N1115" s="268"/>
      <c r="O1115" s="268"/>
      <c r="P1115" s="268"/>
      <c r="Q1115" s="268"/>
      <c r="R1115" s="268"/>
      <c r="S1115" s="268"/>
      <c r="T1115" s="268"/>
      <c r="U1115" s="41"/>
      <c r="V1115" s="64"/>
      <c r="W1115" s="138"/>
    </row>
    <row r="1116" spans="1:23" ht="15.75" x14ac:dyDescent="0.25">
      <c r="A1116" s="45"/>
      <c r="B1116" s="16">
        <f t="shared" ref="B1116:B1162" si="393">B1115+1</f>
        <v>1</v>
      </c>
      <c r="C1116" s="301" t="s">
        <v>298</v>
      </c>
      <c r="D1116" s="8"/>
      <c r="E1116" s="19"/>
      <c r="F1116" s="21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8"/>
      <c r="V1116" s="64"/>
      <c r="W1116" s="138"/>
    </row>
    <row r="1117" spans="1:23" ht="6.95" customHeight="1" x14ac:dyDescent="0.2">
      <c r="A1117" s="45"/>
      <c r="B1117" s="16">
        <f t="shared" si="393"/>
        <v>2</v>
      </c>
      <c r="C1117" s="1"/>
      <c r="D1117" s="1"/>
      <c r="E1117" s="16"/>
      <c r="F1117" s="18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"/>
      <c r="V1117" s="64"/>
      <c r="W1117" s="138"/>
    </row>
    <row r="1118" spans="1:23" ht="15.75" x14ac:dyDescent="0.25">
      <c r="A1118" s="45"/>
      <c r="B1118" s="16">
        <f t="shared" si="393"/>
        <v>3</v>
      </c>
      <c r="C1118" s="8"/>
      <c r="D1118" s="32" t="s">
        <v>340</v>
      </c>
      <c r="E1118" s="19" t="s">
        <v>462</v>
      </c>
      <c r="F1118" s="21">
        <f>+F622</f>
        <v>17186005.438984014</v>
      </c>
      <c r="G1118" s="19"/>
      <c r="H1118" s="19"/>
      <c r="I1118" s="19"/>
      <c r="J1118" s="21">
        <f t="shared" ref="J1118:Q1118" ca="1" si="394">+J622</f>
        <v>8471555.3926066272</v>
      </c>
      <c r="K1118" s="21">
        <f t="shared" ca="1" si="394"/>
        <v>1178975.0708231819</v>
      </c>
      <c r="L1118" s="21">
        <f t="shared" ca="1" si="394"/>
        <v>4629668.9748669351</v>
      </c>
      <c r="M1118" s="21">
        <f t="shared" ca="1" si="394"/>
        <v>193678.97595298477</v>
      </c>
      <c r="N1118" s="21">
        <f t="shared" ca="1" si="394"/>
        <v>1495538.8550142425</v>
      </c>
      <c r="O1118" s="21">
        <f ca="1">+O622</f>
        <v>49840.499920072711</v>
      </c>
      <c r="P1118" s="21">
        <f t="shared" ca="1" si="394"/>
        <v>106709.78835241779</v>
      </c>
      <c r="Q1118" s="21">
        <f t="shared" ca="1" si="394"/>
        <v>1041574.9393666257</v>
      </c>
      <c r="R1118" s="21">
        <f ca="1">+R622</f>
        <v>5232.603703505004</v>
      </c>
      <c r="S1118" s="21">
        <f ca="1">+S622</f>
        <v>13230.338377419086</v>
      </c>
      <c r="T1118" s="19"/>
      <c r="U1118" s="20">
        <f ca="1">SUM(I1118:T1118)</f>
        <v>17186005.438984014</v>
      </c>
      <c r="V1118" s="45"/>
      <c r="W1118" s="643">
        <f t="shared" ref="W1118:W1162" ca="1" si="395">F1118-U1118</f>
        <v>0</v>
      </c>
    </row>
    <row r="1119" spans="1:23" ht="15" x14ac:dyDescent="0.2">
      <c r="A1119" s="45"/>
      <c r="B1119" s="16">
        <f t="shared" si="393"/>
        <v>4</v>
      </c>
      <c r="C1119" s="1"/>
      <c r="D1119" s="1"/>
      <c r="E1119" s="16"/>
      <c r="F1119" s="18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7"/>
      <c r="V1119" s="64"/>
      <c r="W1119" s="643">
        <f t="shared" si="395"/>
        <v>0</v>
      </c>
    </row>
    <row r="1120" spans="1:23" ht="15.75" x14ac:dyDescent="0.25">
      <c r="A1120" s="45"/>
      <c r="B1120" s="16">
        <f t="shared" si="393"/>
        <v>5</v>
      </c>
      <c r="C1120" s="1"/>
      <c r="D1120" s="8" t="s">
        <v>300</v>
      </c>
      <c r="E1120" s="19" t="s">
        <v>299</v>
      </c>
      <c r="F1120" s="18"/>
      <c r="G1120" s="19"/>
      <c r="H1120" s="19"/>
      <c r="I1120" s="19"/>
      <c r="J1120" s="961"/>
      <c r="K1120" s="961"/>
      <c r="L1120" s="961"/>
      <c r="M1120" s="961"/>
      <c r="N1120" s="961"/>
      <c r="O1120" s="961"/>
      <c r="P1120" s="961"/>
      <c r="Q1120" s="961"/>
      <c r="R1120" s="961"/>
      <c r="S1120" s="961"/>
      <c r="T1120" s="913"/>
      <c r="U1120" s="17"/>
      <c r="V1120" s="64"/>
      <c r="W1120" s="643">
        <f t="shared" si="395"/>
        <v>0</v>
      </c>
    </row>
    <row r="1121" spans="1:23" ht="15" x14ac:dyDescent="0.2">
      <c r="A1121" s="45"/>
      <c r="B1121" s="16">
        <f t="shared" si="393"/>
        <v>6</v>
      </c>
      <c r="C1121" s="1"/>
      <c r="D1121" s="18" t="s">
        <v>301</v>
      </c>
      <c r="E1121" s="16"/>
      <c r="F1121" s="97">
        <f>' WP II-I-1.4'!I1121</f>
        <v>6257822.5999999996</v>
      </c>
      <c r="G1121" s="16">
        <v>68</v>
      </c>
      <c r="H1121" s="45" t="str">
        <f t="shared" ref="H1121:H1126" si="396">VLOOKUP(G1121,FactorTable,2)</f>
        <v>RATEBASE</v>
      </c>
      <c r="I1121" s="16"/>
      <c r="J1121" s="369">
        <f t="shared" ref="J1121:S1129" ca="1" si="397">$F1121*HLOOKUP(J$1354,FactorTable,$G1121+1)</f>
        <v>3084689.5156190312</v>
      </c>
      <c r="K1121" s="369">
        <f t="shared" ca="1" si="397"/>
        <v>429292.12778545823</v>
      </c>
      <c r="L1121" s="369">
        <f t="shared" ca="1" si="397"/>
        <v>1685769.6946681433</v>
      </c>
      <c r="M1121" s="369">
        <f t="shared" ca="1" si="397"/>
        <v>70523.000656928387</v>
      </c>
      <c r="N1121" s="369">
        <f t="shared" ca="1" si="397"/>
        <v>544560.33307525329</v>
      </c>
      <c r="O1121" s="369">
        <f t="shared" ca="1" si="397"/>
        <v>18148.080303037968</v>
      </c>
      <c r="P1121" s="369">
        <f t="shared" ca="1" si="397"/>
        <v>38855.50528677438</v>
      </c>
      <c r="Q1121" s="369">
        <f t="shared" ca="1" si="397"/>
        <v>379261.55780080013</v>
      </c>
      <c r="R1121" s="369">
        <f t="shared" ca="1" si="397"/>
        <v>1905.3121930451966</v>
      </c>
      <c r="S1121" s="369">
        <f t="shared" ca="1" si="397"/>
        <v>4817.4726115270532</v>
      </c>
      <c r="T1121" s="16"/>
      <c r="U1121" s="17">
        <f t="shared" ref="U1121:U1130" ca="1" si="398">SUM(I1121:T1121)</f>
        <v>6257822.5999999987</v>
      </c>
      <c r="V1121" s="64"/>
      <c r="W1121" s="643">
        <f t="shared" ca="1" si="395"/>
        <v>0</v>
      </c>
    </row>
    <row r="1122" spans="1:23" ht="15" x14ac:dyDescent="0.2">
      <c r="A1122" s="45"/>
      <c r="B1122" s="16">
        <f t="shared" si="393"/>
        <v>7</v>
      </c>
      <c r="C1122" s="1"/>
      <c r="D1122" s="18" t="s">
        <v>302</v>
      </c>
      <c r="E1122" s="16"/>
      <c r="F1122" s="97">
        <f>' WP II-I-1.4'!I1122</f>
        <v>0</v>
      </c>
      <c r="G1122" s="16">
        <v>59</v>
      </c>
      <c r="H1122" s="45" t="str">
        <f t="shared" si="396"/>
        <v>PLANT_N</v>
      </c>
      <c r="I1122" s="16"/>
      <c r="J1122" s="369">
        <f t="shared" ca="1" si="397"/>
        <v>0</v>
      </c>
      <c r="K1122" s="369">
        <f t="shared" ca="1" si="397"/>
        <v>0</v>
      </c>
      <c r="L1122" s="369">
        <f t="shared" ca="1" si="397"/>
        <v>0</v>
      </c>
      <c r="M1122" s="369">
        <f t="shared" ca="1" si="397"/>
        <v>0</v>
      </c>
      <c r="N1122" s="369">
        <f t="shared" ca="1" si="397"/>
        <v>0</v>
      </c>
      <c r="O1122" s="369">
        <f t="shared" ca="1" si="397"/>
        <v>0</v>
      </c>
      <c r="P1122" s="369">
        <f t="shared" ca="1" si="397"/>
        <v>0</v>
      </c>
      <c r="Q1122" s="369">
        <f t="shared" ca="1" si="397"/>
        <v>0</v>
      </c>
      <c r="R1122" s="369">
        <f t="shared" ca="1" si="397"/>
        <v>0</v>
      </c>
      <c r="S1122" s="369">
        <f t="shared" ca="1" si="397"/>
        <v>0</v>
      </c>
      <c r="T1122" s="16"/>
      <c r="U1122" s="17">
        <f t="shared" ca="1" si="398"/>
        <v>0</v>
      </c>
      <c r="V1122" s="64"/>
      <c r="W1122" s="643">
        <f t="shared" ca="1" si="395"/>
        <v>0</v>
      </c>
    </row>
    <row r="1123" spans="1:23" ht="15" x14ac:dyDescent="0.2">
      <c r="A1123" s="45"/>
      <c r="B1123" s="16">
        <f t="shared" si="393"/>
        <v>8</v>
      </c>
      <c r="C1123" s="1"/>
      <c r="D1123" s="18" t="s">
        <v>1128</v>
      </c>
      <c r="E1123" s="16"/>
      <c r="F1123" s="229">
        <f>' WP II-I-1.4'!I1123</f>
        <v>157246.0099999985</v>
      </c>
      <c r="G1123" s="16">
        <v>68</v>
      </c>
      <c r="H1123" s="45" t="str">
        <f t="shared" si="396"/>
        <v>RATEBASE</v>
      </c>
      <c r="I1123" s="16"/>
      <c r="J1123" s="369">
        <f t="shared" ca="1" si="397"/>
        <v>77511.803933195668</v>
      </c>
      <c r="K1123" s="369">
        <f t="shared" ca="1" si="397"/>
        <v>10787.214424818114</v>
      </c>
      <c r="L1123" s="369">
        <f t="shared" ca="1" si="397"/>
        <v>42359.871030137743</v>
      </c>
      <c r="M1123" s="369">
        <f t="shared" ca="1" si="397"/>
        <v>1772.0956913238897</v>
      </c>
      <c r="N1123" s="369">
        <f t="shared" ca="1" si="397"/>
        <v>13683.663640505531</v>
      </c>
      <c r="O1123" s="369">
        <f t="shared" ca="1" si="397"/>
        <v>456.02334857052102</v>
      </c>
      <c r="P1123" s="369">
        <f t="shared" ca="1" si="397"/>
        <v>976.3576827631897</v>
      </c>
      <c r="Q1123" s="369">
        <f t="shared" ca="1" si="397"/>
        <v>9530.050709740417</v>
      </c>
      <c r="R1123" s="369">
        <f t="shared" ca="1" si="397"/>
        <v>47.876515412997499</v>
      </c>
      <c r="S1123" s="369">
        <f t="shared" ca="1" si="397"/>
        <v>121.05302353040527</v>
      </c>
      <c r="T1123" s="16"/>
      <c r="U1123" s="17">
        <f t="shared" ca="1" si="398"/>
        <v>157246.00999999844</v>
      </c>
      <c r="V1123" s="64"/>
      <c r="W1123" s="643">
        <f t="shared" ca="1" si="395"/>
        <v>0</v>
      </c>
    </row>
    <row r="1124" spans="1:23" ht="15" x14ac:dyDescent="0.2">
      <c r="A1124" s="45"/>
      <c r="B1124" s="16">
        <f t="shared" si="393"/>
        <v>9</v>
      </c>
      <c r="C1124" s="1"/>
      <c r="D1124" s="18" t="s">
        <v>1129</v>
      </c>
      <c r="E1124" s="16"/>
      <c r="F1124" s="229">
        <f>' WP II-I-1.4'!I1124</f>
        <v>-252101.1100000001</v>
      </c>
      <c r="G1124" s="16">
        <v>68</v>
      </c>
      <c r="H1124" s="45" t="str">
        <f t="shared" si="396"/>
        <v>RATEBASE</v>
      </c>
      <c r="I1124" s="16"/>
      <c r="J1124" s="369">
        <f t="shared" ca="1" si="397"/>
        <v>-124269.04701531815</v>
      </c>
      <c r="K1124" s="369">
        <f t="shared" ca="1" si="397"/>
        <v>-17294.35761393682</v>
      </c>
      <c r="L1124" s="369">
        <f t="shared" ca="1" si="397"/>
        <v>-67912.505418450208</v>
      </c>
      <c r="M1124" s="369">
        <f t="shared" ca="1" si="397"/>
        <v>-2841.0723477751485</v>
      </c>
      <c r="N1124" s="369">
        <f t="shared" ca="1" si="397"/>
        <v>-21938.02432658304</v>
      </c>
      <c r="O1124" s="369">
        <f t="shared" ca="1" si="397"/>
        <v>-731.109122327151</v>
      </c>
      <c r="P1124" s="369">
        <f t="shared" ca="1" si="397"/>
        <v>-1565.3233781997421</v>
      </c>
      <c r="Q1124" s="369">
        <f t="shared" ca="1" si="397"/>
        <v>-15278.838313810767</v>
      </c>
      <c r="R1124" s="369">
        <f t="shared" ca="1" si="397"/>
        <v>-76.756940786916616</v>
      </c>
      <c r="S1124" s="369">
        <f t="shared" ca="1" si="397"/>
        <v>-194.07552281213108</v>
      </c>
      <c r="T1124" s="16"/>
      <c r="U1124" s="17">
        <f t="shared" ca="1" si="398"/>
        <v>-252101.1100000001</v>
      </c>
      <c r="V1124" s="64"/>
      <c r="W1124" s="643">
        <f t="shared" ca="1" si="395"/>
        <v>0</v>
      </c>
    </row>
    <row r="1125" spans="1:23" ht="15" x14ac:dyDescent="0.2">
      <c r="A1125" s="45"/>
      <c r="B1125" s="16">
        <f t="shared" si="393"/>
        <v>10</v>
      </c>
      <c r="C1125" s="1"/>
      <c r="D1125" s="18" t="s">
        <v>1130</v>
      </c>
      <c r="E1125" s="16"/>
      <c r="F1125" s="229">
        <f>' WP II-I-1.4'!I1125</f>
        <v>-62731.040000000001</v>
      </c>
      <c r="G1125" s="16">
        <v>68</v>
      </c>
      <c r="H1125" s="45" t="str">
        <f t="shared" si="396"/>
        <v>RATEBASE</v>
      </c>
      <c r="I1125" s="16"/>
      <c r="J1125" s="369">
        <f t="shared" ca="1" si="397"/>
        <v>-30922.222274546115</v>
      </c>
      <c r="K1125" s="369">
        <f t="shared" ca="1" si="397"/>
        <v>-4303.4044524999308</v>
      </c>
      <c r="L1125" s="369">
        <f t="shared" ca="1" si="397"/>
        <v>-16898.862896339549</v>
      </c>
      <c r="M1125" s="369">
        <f t="shared" ca="1" si="397"/>
        <v>-706.95215539184528</v>
      </c>
      <c r="N1125" s="369">
        <f t="shared" ca="1" si="397"/>
        <v>-5458.9013176175749</v>
      </c>
      <c r="O1125" s="369">
        <f t="shared" ca="1" si="397"/>
        <v>-181.92397327036514</v>
      </c>
      <c r="P1125" s="369">
        <f t="shared" ca="1" si="397"/>
        <v>-389.5038917154435</v>
      </c>
      <c r="Q1125" s="369">
        <f t="shared" ca="1" si="397"/>
        <v>-3801.8770223470869</v>
      </c>
      <c r="R1125" s="369">
        <f t="shared" ca="1" si="397"/>
        <v>-19.099649036776139</v>
      </c>
      <c r="S1125" s="369">
        <f t="shared" ca="1" si="397"/>
        <v>-48.292367235307701</v>
      </c>
      <c r="T1125" s="16"/>
      <c r="U1125" s="17">
        <f t="shared" ca="1" si="398"/>
        <v>-62731.039999999994</v>
      </c>
      <c r="V1125" s="64"/>
      <c r="W1125" s="643">
        <f t="shared" ca="1" si="395"/>
        <v>0</v>
      </c>
    </row>
    <row r="1126" spans="1:23" ht="15" x14ac:dyDescent="0.2">
      <c r="A1126" s="45"/>
      <c r="B1126" s="16">
        <f t="shared" si="393"/>
        <v>11</v>
      </c>
      <c r="C1126" s="1"/>
      <c r="D1126" t="s">
        <v>1295</v>
      </c>
      <c r="E1126" s="16"/>
      <c r="F1126" s="229">
        <f>' WP II-I-1.4'!I1126</f>
        <v>816.43000000000438</v>
      </c>
      <c r="G1126" s="16">
        <v>68</v>
      </c>
      <c r="H1126" s="45" t="str">
        <f t="shared" si="396"/>
        <v>RATEBASE</v>
      </c>
      <c r="I1126" s="16"/>
      <c r="J1126" s="369">
        <f t="shared" ca="1" si="397"/>
        <v>402.44558246775154</v>
      </c>
      <c r="K1126" s="369">
        <f t="shared" ca="1" si="397"/>
        <v>56.007815224401462</v>
      </c>
      <c r="L1126" s="369">
        <f t="shared" ca="1" si="397"/>
        <v>219.93479837826013</v>
      </c>
      <c r="M1126" s="369">
        <f t="shared" ca="1" si="397"/>
        <v>9.2008190558703848</v>
      </c>
      <c r="N1126" s="369">
        <f t="shared" ca="1" si="397"/>
        <v>71.046340101208912</v>
      </c>
      <c r="O1126" s="369">
        <f t="shared" ca="1" si="397"/>
        <v>2.3676985029600179</v>
      </c>
      <c r="P1126" s="369">
        <f t="shared" ca="1" si="397"/>
        <v>5.0693032080010356</v>
      </c>
      <c r="Q1126" s="369">
        <f t="shared" ca="1" si="397"/>
        <v>49.480551531663572</v>
      </c>
      <c r="R1126" s="369">
        <f t="shared" ca="1" si="397"/>
        <v>0.24857752179933934</v>
      </c>
      <c r="S1126" s="369">
        <f t="shared" ca="1" si="397"/>
        <v>0.62851400808790159</v>
      </c>
      <c r="T1126" s="16"/>
      <c r="U1126" s="17">
        <f t="shared" ca="1" si="398"/>
        <v>816.43000000000427</v>
      </c>
      <c r="V1126" s="64"/>
      <c r="W1126" s="643">
        <f t="shared" ca="1" si="395"/>
        <v>0</v>
      </c>
    </row>
    <row r="1127" spans="1:23" ht="14.45" customHeight="1" x14ac:dyDescent="0.2">
      <c r="A1127" s="45"/>
      <c r="B1127" s="16">
        <f t="shared" si="393"/>
        <v>12</v>
      </c>
      <c r="C1127" s="1"/>
      <c r="D1127" s="321"/>
      <c r="E1127" s="16"/>
      <c r="F1127" s="229"/>
      <c r="G1127" s="16"/>
      <c r="H1127" s="45"/>
      <c r="I1127" s="16"/>
      <c r="J1127" s="369">
        <f t="shared" si="397"/>
        <v>0</v>
      </c>
      <c r="K1127" s="369">
        <f t="shared" si="397"/>
        <v>0</v>
      </c>
      <c r="L1127" s="369">
        <f t="shared" si="397"/>
        <v>0</v>
      </c>
      <c r="M1127" s="369">
        <f t="shared" si="397"/>
        <v>0</v>
      </c>
      <c r="N1127" s="369">
        <f t="shared" si="397"/>
        <v>0</v>
      </c>
      <c r="O1127" s="369">
        <f t="shared" si="397"/>
        <v>0</v>
      </c>
      <c r="P1127" s="369">
        <f t="shared" si="397"/>
        <v>0</v>
      </c>
      <c r="Q1127" s="369">
        <f t="shared" si="397"/>
        <v>0</v>
      </c>
      <c r="R1127" s="369">
        <f t="shared" si="397"/>
        <v>0</v>
      </c>
      <c r="S1127" s="369">
        <f t="shared" si="397"/>
        <v>0</v>
      </c>
      <c r="T1127" s="16"/>
      <c r="U1127" s="17">
        <f t="shared" si="398"/>
        <v>0</v>
      </c>
      <c r="V1127" s="97"/>
      <c r="W1127" s="643">
        <f t="shared" si="395"/>
        <v>0</v>
      </c>
    </row>
    <row r="1128" spans="1:23" ht="15" x14ac:dyDescent="0.2">
      <c r="A1128" s="45"/>
      <c r="B1128" s="16">
        <f t="shared" si="393"/>
        <v>13</v>
      </c>
      <c r="C1128" s="1"/>
      <c r="D1128" s="1"/>
      <c r="E1128" s="16"/>
      <c r="F1128" s="229"/>
      <c r="G1128" s="16"/>
      <c r="H1128" s="45"/>
      <c r="I1128" s="16"/>
      <c r="J1128" s="369">
        <f t="shared" si="397"/>
        <v>0</v>
      </c>
      <c r="K1128" s="369">
        <f t="shared" si="397"/>
        <v>0</v>
      </c>
      <c r="L1128" s="369">
        <f t="shared" si="397"/>
        <v>0</v>
      </c>
      <c r="M1128" s="369">
        <f t="shared" si="397"/>
        <v>0</v>
      </c>
      <c r="N1128" s="369">
        <f t="shared" si="397"/>
        <v>0</v>
      </c>
      <c r="O1128" s="369">
        <f t="shared" si="397"/>
        <v>0</v>
      </c>
      <c r="P1128" s="369">
        <f t="shared" si="397"/>
        <v>0</v>
      </c>
      <c r="Q1128" s="369">
        <f t="shared" si="397"/>
        <v>0</v>
      </c>
      <c r="R1128" s="369">
        <f t="shared" si="397"/>
        <v>0</v>
      </c>
      <c r="S1128" s="369">
        <f t="shared" si="397"/>
        <v>0</v>
      </c>
      <c r="T1128" s="16"/>
      <c r="U1128" s="17">
        <f t="shared" si="398"/>
        <v>0</v>
      </c>
      <c r="V1128" s="64"/>
      <c r="W1128" s="643">
        <f t="shared" si="395"/>
        <v>0</v>
      </c>
    </row>
    <row r="1129" spans="1:23" ht="15" x14ac:dyDescent="0.2">
      <c r="A1129" s="45"/>
      <c r="B1129" s="16">
        <f t="shared" si="393"/>
        <v>14</v>
      </c>
      <c r="C1129" s="1"/>
      <c r="D1129" s="1"/>
      <c r="E1129" s="16"/>
      <c r="F1129" s="229"/>
      <c r="G1129" s="16"/>
      <c r="H1129" s="45"/>
      <c r="I1129" s="16"/>
      <c r="J1129" s="370">
        <f t="shared" si="397"/>
        <v>0</v>
      </c>
      <c r="K1129" s="370">
        <f t="shared" si="397"/>
        <v>0</v>
      </c>
      <c r="L1129" s="370">
        <f t="shared" si="397"/>
        <v>0</v>
      </c>
      <c r="M1129" s="370">
        <f t="shared" si="397"/>
        <v>0</v>
      </c>
      <c r="N1129" s="370">
        <f t="shared" si="397"/>
        <v>0</v>
      </c>
      <c r="O1129" s="370">
        <f t="shared" si="397"/>
        <v>0</v>
      </c>
      <c r="P1129" s="370">
        <f t="shared" si="397"/>
        <v>0</v>
      </c>
      <c r="Q1129" s="370">
        <f t="shared" si="397"/>
        <v>0</v>
      </c>
      <c r="R1129" s="370">
        <f t="shared" si="397"/>
        <v>0</v>
      </c>
      <c r="S1129" s="370">
        <f t="shared" si="397"/>
        <v>0</v>
      </c>
      <c r="T1129" s="16"/>
      <c r="U1129" s="17">
        <f t="shared" si="398"/>
        <v>0</v>
      </c>
      <c r="V1129" s="97"/>
      <c r="W1129" s="643">
        <f t="shared" si="395"/>
        <v>0</v>
      </c>
    </row>
    <row r="1130" spans="1:23" ht="15.75" x14ac:dyDescent="0.25">
      <c r="A1130" s="45"/>
      <c r="B1130" s="16">
        <f t="shared" si="393"/>
        <v>15</v>
      </c>
      <c r="C1130" s="8"/>
      <c r="D1130" s="233" t="s">
        <v>444</v>
      </c>
      <c r="E1130" s="1005"/>
      <c r="F1130" s="805">
        <f>SUM(F1121:F1129)</f>
        <v>6101052.8899999978</v>
      </c>
      <c r="G1130" s="1005"/>
      <c r="H1130" s="1005"/>
      <c r="I1130" s="1005"/>
      <c r="J1130" s="805">
        <f t="shared" ref="J1130:Q1130" ca="1" si="399">SUM(J1121:J1129)</f>
        <v>3007412.4958448303</v>
      </c>
      <c r="K1130" s="805">
        <f t="shared" ca="1" si="399"/>
        <v>418537.587959064</v>
      </c>
      <c r="L1130" s="805">
        <f t="shared" ca="1" si="399"/>
        <v>1643538.1321818696</v>
      </c>
      <c r="M1130" s="805">
        <f t="shared" ca="1" si="399"/>
        <v>68756.272664141157</v>
      </c>
      <c r="N1130" s="805">
        <f t="shared" ca="1" si="399"/>
        <v>530918.11741165933</v>
      </c>
      <c r="O1130" s="805">
        <f ca="1">SUM(O1121:O1129)</f>
        <v>17693.438254513934</v>
      </c>
      <c r="P1130" s="805">
        <f t="shared" ca="1" si="399"/>
        <v>37882.105002830387</v>
      </c>
      <c r="Q1130" s="805">
        <f t="shared" ca="1" si="399"/>
        <v>369760.3737259144</v>
      </c>
      <c r="R1130" s="805">
        <f ca="1">SUM(R1121:R1129)</f>
        <v>1857.5806961563007</v>
      </c>
      <c r="S1130" s="805">
        <f ca="1">SUM(S1121:S1129)</f>
        <v>4696.7862590181076</v>
      </c>
      <c r="T1130" s="913"/>
      <c r="U1130" s="235">
        <f t="shared" ca="1" si="398"/>
        <v>6101052.8899999969</v>
      </c>
      <c r="V1130" s="64"/>
      <c r="W1130" s="643">
        <f t="shared" ca="1" si="395"/>
        <v>0</v>
      </c>
    </row>
    <row r="1131" spans="1:23" ht="15" x14ac:dyDescent="0.2">
      <c r="A1131" s="45"/>
      <c r="B1131" s="16">
        <f t="shared" si="393"/>
        <v>16</v>
      </c>
      <c r="C1131" s="1"/>
      <c r="D1131" s="1"/>
      <c r="E1131" s="16"/>
      <c r="F1131" s="100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00"/>
      <c r="V1131" s="64"/>
      <c r="W1131" s="643">
        <f t="shared" si="395"/>
        <v>0</v>
      </c>
    </row>
    <row r="1132" spans="1:23" ht="15.75" x14ac:dyDescent="0.25">
      <c r="A1132" s="45"/>
      <c r="B1132" s="16">
        <f t="shared" si="393"/>
        <v>17</v>
      </c>
      <c r="C1132" s="8"/>
      <c r="D1132" s="8" t="s">
        <v>304</v>
      </c>
      <c r="E1132" s="1005" t="s">
        <v>299</v>
      </c>
      <c r="F1132" s="805"/>
      <c r="G1132" s="1005"/>
      <c r="H1132" s="1005"/>
      <c r="I1132" s="1005"/>
      <c r="J1132" s="1005"/>
      <c r="K1132" s="961"/>
      <c r="L1132" s="961"/>
      <c r="M1132" s="961"/>
      <c r="N1132" s="961"/>
      <c r="O1132" s="961"/>
      <c r="P1132" s="961"/>
      <c r="Q1132" s="961"/>
      <c r="R1132" s="961"/>
      <c r="S1132" s="961"/>
      <c r="T1132" s="913"/>
      <c r="U1132" s="8"/>
      <c r="V1132" s="64"/>
      <c r="W1132" s="643">
        <f t="shared" si="395"/>
        <v>0</v>
      </c>
    </row>
    <row r="1133" spans="1:23" ht="15" x14ac:dyDescent="0.2">
      <c r="A1133" s="45"/>
      <c r="B1133" s="16">
        <f t="shared" si="393"/>
        <v>18</v>
      </c>
      <c r="C1133" s="1"/>
      <c r="D1133" s="1" t="s">
        <v>306</v>
      </c>
      <c r="E1133" s="16"/>
      <c r="F1133" s="229">
        <f>' WP II-I-1.4'!I1133</f>
        <v>9100.39</v>
      </c>
      <c r="G1133" s="16">
        <v>59</v>
      </c>
      <c r="H1133" s="45" t="str">
        <f t="shared" ref="H1133:H1139" si="400">VLOOKUP(G1133,FactorTable,2)</f>
        <v>PLANT_N</v>
      </c>
      <c r="I1133" s="16"/>
      <c r="J1133" s="369">
        <f t="shared" ref="J1133:S1139" ca="1" si="401">$F1133*HLOOKUP(J$1354,FactorTable,$G1133+1)</f>
        <v>4485.800000195286</v>
      </c>
      <c r="K1133" s="369">
        <f t="shared" ca="1" si="401"/>
        <v>625.91613505575197</v>
      </c>
      <c r="L1133" s="369">
        <f t="shared" ca="1" si="401"/>
        <v>2446.3145525958093</v>
      </c>
      <c r="M1133" s="369">
        <f t="shared" ca="1" si="401"/>
        <v>102.90464505483695</v>
      </c>
      <c r="N1133" s="369">
        <f t="shared" ca="1" si="401"/>
        <v>792.12899400464153</v>
      </c>
      <c r="O1133" s="369">
        <f t="shared" ca="1" si="401"/>
        <v>25.990350023507528</v>
      </c>
      <c r="P1133" s="369">
        <f t="shared" ca="1" si="401"/>
        <v>54.213000049034122</v>
      </c>
      <c r="Q1133" s="369">
        <f t="shared" ca="1" si="401"/>
        <v>556.96595784467615</v>
      </c>
      <c r="R1133" s="369">
        <f t="shared" ca="1" si="401"/>
        <v>2.8701000025959242</v>
      </c>
      <c r="S1133" s="369">
        <f t="shared" ca="1" si="401"/>
        <v>7.2862651738599302</v>
      </c>
      <c r="T1133" s="16"/>
      <c r="U1133" s="17">
        <f t="shared" ref="U1133:U1138" ca="1" si="402">SUM(I1133:T1133)</f>
        <v>9100.3899999999976</v>
      </c>
      <c r="V1133" s="64"/>
      <c r="W1133" s="643">
        <f t="shared" ca="1" si="395"/>
        <v>0</v>
      </c>
    </row>
    <row r="1134" spans="1:23" ht="15" x14ac:dyDescent="0.2">
      <c r="A1134" s="45"/>
      <c r="B1134" s="16">
        <f t="shared" si="393"/>
        <v>19</v>
      </c>
      <c r="C1134" s="1"/>
      <c r="D1134" s="1" t="s">
        <v>1131</v>
      </c>
      <c r="E1134" s="16"/>
      <c r="F1134" s="229">
        <f>' WP II-I-1.4'!I1134</f>
        <v>29664.399999999558</v>
      </c>
      <c r="G1134" s="16">
        <v>68</v>
      </c>
      <c r="H1134" s="45" t="str">
        <f t="shared" si="400"/>
        <v>RATEBASE</v>
      </c>
      <c r="I1134" s="16"/>
      <c r="J1134" s="369">
        <f t="shared" ca="1" si="401"/>
        <v>14622.572341237003</v>
      </c>
      <c r="K1134" s="369">
        <f t="shared" ca="1" si="401"/>
        <v>2035.0038998355046</v>
      </c>
      <c r="L1134" s="369">
        <f t="shared" ca="1" si="401"/>
        <v>7991.1735641903506</v>
      </c>
      <c r="M1134" s="369">
        <f t="shared" ca="1" si="401"/>
        <v>334.30517839980877</v>
      </c>
      <c r="N1134" s="369">
        <f t="shared" ca="1" si="401"/>
        <v>2581.4179431160774</v>
      </c>
      <c r="O1134" s="369">
        <f t="shared" ca="1" si="401"/>
        <v>86.02863132320681</v>
      </c>
      <c r="P1134" s="369">
        <f t="shared" ca="1" si="401"/>
        <v>184.1895056323541</v>
      </c>
      <c r="Q1134" s="369">
        <f t="shared" ca="1" si="401"/>
        <v>1797.8404429722709</v>
      </c>
      <c r="R1134" s="369">
        <f t="shared" ca="1" si="401"/>
        <v>9.0318864295336674</v>
      </c>
      <c r="S1134" s="369">
        <f t="shared" ca="1" si="401"/>
        <v>22.83660686344496</v>
      </c>
      <c r="T1134" s="16"/>
      <c r="U1134" s="17">
        <f t="shared" ca="1" si="402"/>
        <v>29664.399999999558</v>
      </c>
      <c r="V1134" s="64"/>
      <c r="W1134" s="643">
        <f t="shared" ca="1" si="395"/>
        <v>0</v>
      </c>
    </row>
    <row r="1135" spans="1:23" ht="15" x14ac:dyDescent="0.2">
      <c r="A1135" s="45"/>
      <c r="B1135" s="16">
        <f t="shared" si="393"/>
        <v>20</v>
      </c>
      <c r="C1135" s="1"/>
      <c r="D1135" s="1" t="s">
        <v>1132</v>
      </c>
      <c r="E1135" s="16"/>
      <c r="F1135" s="229">
        <f>' WP II-I-1.4'!I1135</f>
        <v>0</v>
      </c>
      <c r="G1135" s="16">
        <v>68</v>
      </c>
      <c r="H1135" s="45" t="str">
        <f t="shared" si="400"/>
        <v>RATEBASE</v>
      </c>
      <c r="I1135" s="16"/>
      <c r="J1135" s="369">
        <f t="shared" ca="1" si="401"/>
        <v>0</v>
      </c>
      <c r="K1135" s="369">
        <f t="shared" ca="1" si="401"/>
        <v>0</v>
      </c>
      <c r="L1135" s="369">
        <f t="shared" ca="1" si="401"/>
        <v>0</v>
      </c>
      <c r="M1135" s="369">
        <f t="shared" ca="1" si="401"/>
        <v>0</v>
      </c>
      <c r="N1135" s="369">
        <f t="shared" ca="1" si="401"/>
        <v>0</v>
      </c>
      <c r="O1135" s="369">
        <f t="shared" ca="1" si="401"/>
        <v>0</v>
      </c>
      <c r="P1135" s="369">
        <f t="shared" ca="1" si="401"/>
        <v>0</v>
      </c>
      <c r="Q1135" s="369">
        <f t="shared" ca="1" si="401"/>
        <v>0</v>
      </c>
      <c r="R1135" s="369">
        <f t="shared" ca="1" si="401"/>
        <v>0</v>
      </c>
      <c r="S1135" s="369">
        <f t="shared" ca="1" si="401"/>
        <v>0</v>
      </c>
      <c r="T1135" s="16"/>
      <c r="U1135" s="17">
        <f t="shared" ca="1" si="402"/>
        <v>0</v>
      </c>
      <c r="V1135" s="64"/>
      <c r="W1135" s="643">
        <f t="shared" ca="1" si="395"/>
        <v>0</v>
      </c>
    </row>
    <row r="1136" spans="1:23" ht="15" x14ac:dyDescent="0.2">
      <c r="A1136" s="45"/>
      <c r="B1136" s="16">
        <f t="shared" si="393"/>
        <v>21</v>
      </c>
      <c r="C1136" s="1"/>
      <c r="D1136" s="1" t="s">
        <v>1133</v>
      </c>
      <c r="E1136" s="16"/>
      <c r="F1136" s="229">
        <f>' WP II-I-1.4'!I1136</f>
        <v>10494.150000000052</v>
      </c>
      <c r="G1136" s="16">
        <v>88</v>
      </c>
      <c r="H1136" s="45" t="str">
        <f t="shared" si="400"/>
        <v>PAYROLL</v>
      </c>
      <c r="I1136" s="16"/>
      <c r="J1136" s="369">
        <f t="shared" ca="1" si="401"/>
        <v>5392.9053421041363</v>
      </c>
      <c r="K1136" s="369">
        <f t="shared" ca="1" si="401"/>
        <v>671.68124345577257</v>
      </c>
      <c r="L1136" s="369">
        <f t="shared" ca="1" si="401"/>
        <v>3038.7528047875217</v>
      </c>
      <c r="M1136" s="369">
        <f t="shared" ca="1" si="401"/>
        <v>106.05899463396588</v>
      </c>
      <c r="N1136" s="369">
        <f t="shared" ca="1" si="401"/>
        <v>928.25261336938286</v>
      </c>
      <c r="O1136" s="369">
        <f t="shared" ca="1" si="401"/>
        <v>50.17178520932562</v>
      </c>
      <c r="P1136" s="369">
        <f t="shared" ca="1" si="401"/>
        <v>118.63046073448675</v>
      </c>
      <c r="Q1136" s="369">
        <f t="shared" ca="1" si="401"/>
        <v>177.2821945842245</v>
      </c>
      <c r="R1136" s="369">
        <f t="shared" ca="1" si="401"/>
        <v>2.9430827098851524</v>
      </c>
      <c r="S1136" s="369">
        <f t="shared" ca="1" si="401"/>
        <v>7.4714784113513506</v>
      </c>
      <c r="T1136" s="16"/>
      <c r="U1136" s="17">
        <f t="shared" ca="1" si="402"/>
        <v>10494.150000000052</v>
      </c>
      <c r="V1136" s="64"/>
      <c r="W1136" s="643">
        <f t="shared" ca="1" si="395"/>
        <v>0</v>
      </c>
    </row>
    <row r="1137" spans="1:23" ht="15" x14ac:dyDescent="0.2">
      <c r="A1137" s="45"/>
      <c r="B1137" s="16">
        <f t="shared" si="393"/>
        <v>22</v>
      </c>
      <c r="C1137" s="1"/>
      <c r="D1137" s="26" t="s">
        <v>1134</v>
      </c>
      <c r="E1137" s="16"/>
      <c r="F1137" s="229">
        <f>' WP II-I-1.4'!I1137</f>
        <v>-936334.28000000259</v>
      </c>
      <c r="G1137" s="16">
        <v>36</v>
      </c>
      <c r="H1137" s="45" t="str">
        <f t="shared" si="400"/>
        <v>OPEB MED</v>
      </c>
      <c r="I1137" s="16"/>
      <c r="J1137" s="369">
        <f t="shared" ca="1" si="401"/>
        <v>-481178.76536996505</v>
      </c>
      <c r="K1137" s="369">
        <f t="shared" ca="1" si="401"/>
        <v>-59930.358674181727</v>
      </c>
      <c r="L1137" s="369">
        <f t="shared" ca="1" si="401"/>
        <v>-271130.90813154931</v>
      </c>
      <c r="M1137" s="369">
        <f t="shared" ca="1" si="401"/>
        <v>-9463.050592770076</v>
      </c>
      <c r="N1137" s="369">
        <f t="shared" ca="1" si="401"/>
        <v>-82822.786256851439</v>
      </c>
      <c r="O1137" s="369">
        <f t="shared" ca="1" si="401"/>
        <v>-4476.5476365678451</v>
      </c>
      <c r="P1137" s="369">
        <f t="shared" ca="1" si="401"/>
        <v>-10584.732163909766</v>
      </c>
      <c r="Q1137" s="369">
        <f t="shared" ca="1" si="401"/>
        <v>-15817.898164485869</v>
      </c>
      <c r="R1137" s="369">
        <f t="shared" ca="1" si="401"/>
        <v>-262.59480092630247</v>
      </c>
      <c r="S1137" s="369">
        <f t="shared" ca="1" si="401"/>
        <v>-666.63820879520449</v>
      </c>
      <c r="T1137" s="16"/>
      <c r="U1137" s="17">
        <f t="shared" ca="1" si="402"/>
        <v>-936334.28000000247</v>
      </c>
      <c r="V1137" s="64"/>
      <c r="W1137" s="643">
        <f t="shared" ca="1" si="395"/>
        <v>0</v>
      </c>
    </row>
    <row r="1138" spans="1:23" ht="15" x14ac:dyDescent="0.2">
      <c r="A1138" s="45"/>
      <c r="B1138" s="16">
        <f t="shared" si="393"/>
        <v>23</v>
      </c>
      <c r="C1138" s="1"/>
      <c r="D1138" t="s">
        <v>1296</v>
      </c>
      <c r="E1138" s="16"/>
      <c r="F1138" s="229">
        <f>' WP II-I-1.4'!I1138</f>
        <v>0</v>
      </c>
      <c r="G1138" s="16">
        <v>68</v>
      </c>
      <c r="H1138" s="45" t="str">
        <f t="shared" si="400"/>
        <v>RATEBASE</v>
      </c>
      <c r="I1138" s="16"/>
      <c r="J1138" s="369">
        <f t="shared" ca="1" si="401"/>
        <v>0</v>
      </c>
      <c r="K1138" s="369">
        <f t="shared" ca="1" si="401"/>
        <v>0</v>
      </c>
      <c r="L1138" s="369">
        <f t="shared" ca="1" si="401"/>
        <v>0</v>
      </c>
      <c r="M1138" s="369">
        <f t="shared" ca="1" si="401"/>
        <v>0</v>
      </c>
      <c r="N1138" s="369">
        <f t="shared" ca="1" si="401"/>
        <v>0</v>
      </c>
      <c r="O1138" s="369">
        <f t="shared" ca="1" si="401"/>
        <v>0</v>
      </c>
      <c r="P1138" s="369">
        <f t="shared" ca="1" si="401"/>
        <v>0</v>
      </c>
      <c r="Q1138" s="369">
        <f t="shared" ca="1" si="401"/>
        <v>0</v>
      </c>
      <c r="R1138" s="369">
        <f t="shared" ca="1" si="401"/>
        <v>0</v>
      </c>
      <c r="S1138" s="369">
        <f t="shared" ca="1" si="401"/>
        <v>0</v>
      </c>
      <c r="T1138" s="16"/>
      <c r="U1138" s="17">
        <f t="shared" ca="1" si="402"/>
        <v>0</v>
      </c>
      <c r="V1138" s="64"/>
      <c r="W1138" s="643"/>
    </row>
    <row r="1139" spans="1:23" x14ac:dyDescent="0.2">
      <c r="A1139" s="45"/>
      <c r="B1139" s="16">
        <f t="shared" si="393"/>
        <v>24</v>
      </c>
      <c r="C1139" s="1"/>
      <c r="D1139" t="s">
        <v>305</v>
      </c>
      <c r="F1139" s="229">
        <f>' WP II-I-1.4'!I1139</f>
        <v>0</v>
      </c>
      <c r="G1139" s="645">
        <v>68</v>
      </c>
      <c r="H1139" s="45" t="str">
        <f t="shared" si="400"/>
        <v>RATEBASE</v>
      </c>
      <c r="J1139" s="370">
        <f t="shared" ca="1" si="401"/>
        <v>0</v>
      </c>
      <c r="K1139" s="370">
        <f t="shared" ca="1" si="401"/>
        <v>0</v>
      </c>
      <c r="L1139" s="370">
        <f t="shared" ca="1" si="401"/>
        <v>0</v>
      </c>
      <c r="M1139" s="370">
        <f t="shared" ca="1" si="401"/>
        <v>0</v>
      </c>
      <c r="N1139" s="370">
        <f t="shared" ca="1" si="401"/>
        <v>0</v>
      </c>
      <c r="O1139" s="370">
        <f t="shared" ca="1" si="401"/>
        <v>0</v>
      </c>
      <c r="P1139" s="370">
        <f t="shared" ca="1" si="401"/>
        <v>0</v>
      </c>
      <c r="Q1139" s="370">
        <f t="shared" ca="1" si="401"/>
        <v>0</v>
      </c>
      <c r="R1139" s="370">
        <f t="shared" ca="1" si="401"/>
        <v>0</v>
      </c>
      <c r="S1139" s="370">
        <f t="shared" ca="1" si="401"/>
        <v>0</v>
      </c>
      <c r="T1139" s="16"/>
      <c r="U1139" s="17">
        <f t="shared" ref="U1139" ca="1" si="403">SUM(I1139:T1139)</f>
        <v>0</v>
      </c>
    </row>
    <row r="1140" spans="1:23" ht="15.75" x14ac:dyDescent="0.25">
      <c r="A1140" s="45"/>
      <c r="B1140" s="16">
        <f t="shared" si="393"/>
        <v>25</v>
      </c>
      <c r="C1140" s="1"/>
      <c r="D1140" s="233" t="s">
        <v>444</v>
      </c>
      <c r="E1140" s="16"/>
      <c r="F1140" s="805">
        <f>SUM(F1133:F1139)</f>
        <v>-887075.34000000299</v>
      </c>
      <c r="G1140" s="16"/>
      <c r="H1140" s="16"/>
      <c r="I1140" s="16"/>
      <c r="J1140" s="805">
        <f ca="1">SUM(J1133:J1139)</f>
        <v>-456677.48768642865</v>
      </c>
      <c r="K1140" s="805">
        <f t="shared" ref="K1140:U1140" ca="1" si="404">SUM(K1133:K1139)</f>
        <v>-56597.757395834698</v>
      </c>
      <c r="L1140" s="805">
        <f t="shared" ca="1" si="404"/>
        <v>-257654.66720997563</v>
      </c>
      <c r="M1140" s="805">
        <f t="shared" ca="1" si="404"/>
        <v>-8919.7817746814653</v>
      </c>
      <c r="N1140" s="805">
        <f t="shared" ca="1" si="404"/>
        <v>-78520.986706361335</v>
      </c>
      <c r="O1140" s="805">
        <f t="shared" ca="1" si="404"/>
        <v>-4314.3568700118049</v>
      </c>
      <c r="P1140" s="805">
        <f t="shared" ca="1" si="404"/>
        <v>-10227.699197493892</v>
      </c>
      <c r="Q1140" s="805">
        <f t="shared" ca="1" si="404"/>
        <v>-13285.809569084697</v>
      </c>
      <c r="R1140" s="805">
        <f t="shared" ca="1" si="404"/>
        <v>-247.74973178428772</v>
      </c>
      <c r="S1140" s="805">
        <f t="shared" ca="1" si="404"/>
        <v>-629.04385834654829</v>
      </c>
      <c r="T1140" s="805">
        <f t="shared" si="404"/>
        <v>0</v>
      </c>
      <c r="U1140" s="805">
        <f t="shared" ca="1" si="404"/>
        <v>-887075.34000000288</v>
      </c>
      <c r="V1140" s="64"/>
      <c r="W1140" s="643">
        <f ca="1">F1140-U1140</f>
        <v>0</v>
      </c>
    </row>
    <row r="1141" spans="1:23" ht="15.75" x14ac:dyDescent="0.25">
      <c r="A1141" s="45"/>
      <c r="B1141" s="16">
        <f t="shared" si="393"/>
        <v>26</v>
      </c>
      <c r="C1141" s="1"/>
      <c r="D1141" s="233"/>
      <c r="E1141" s="16"/>
      <c r="F1141" s="805"/>
      <c r="G1141" s="16"/>
      <c r="H1141" s="16"/>
      <c r="I1141" s="16"/>
      <c r="J1141" s="805"/>
      <c r="K1141" s="805"/>
      <c r="L1141" s="805"/>
      <c r="M1141" s="805"/>
      <c r="N1141" s="805"/>
      <c r="O1141" s="805"/>
      <c r="P1141" s="805"/>
      <c r="Q1141" s="805"/>
      <c r="R1141" s="805"/>
      <c r="S1141" s="805"/>
      <c r="T1141" s="805"/>
      <c r="U1141" s="805"/>
      <c r="V1141" s="64"/>
      <c r="W1141" s="643"/>
    </row>
    <row r="1142" spans="1:23" ht="15.75" x14ac:dyDescent="0.25">
      <c r="A1142" s="45"/>
      <c r="B1142" s="16">
        <f t="shared" si="393"/>
        <v>27</v>
      </c>
      <c r="C1142" s="8"/>
      <c r="D1142" s="8" t="s">
        <v>402</v>
      </c>
      <c r="E1142" s="1005"/>
      <c r="F1142" s="805">
        <f>+F1118-F1130+F1140</f>
        <v>10197877.208984014</v>
      </c>
      <c r="G1142" s="1005"/>
      <c r="H1142" s="1005"/>
      <c r="I1142" s="1005"/>
      <c r="J1142" s="805">
        <f t="shared" ref="J1142:S1142" ca="1" si="405">+J1118-J1130+J1140</f>
        <v>5007465.4090753691</v>
      </c>
      <c r="K1142" s="805">
        <f t="shared" ca="1" si="405"/>
        <v>703839.72546828329</v>
      </c>
      <c r="L1142" s="805">
        <f t="shared" ca="1" si="405"/>
        <v>2728476.1754750898</v>
      </c>
      <c r="M1142" s="805">
        <f t="shared" ca="1" si="405"/>
        <v>116002.92151416214</v>
      </c>
      <c r="N1142" s="805">
        <f t="shared" ca="1" si="405"/>
        <v>886099.75089622184</v>
      </c>
      <c r="O1142" s="805">
        <f t="shared" ca="1" si="405"/>
        <v>27832.704795546972</v>
      </c>
      <c r="P1142" s="805">
        <f t="shared" ca="1" si="405"/>
        <v>58599.984152093508</v>
      </c>
      <c r="Q1142" s="805">
        <f t="shared" ca="1" si="405"/>
        <v>658528.75607162667</v>
      </c>
      <c r="R1142" s="805">
        <f t="shared" ca="1" si="405"/>
        <v>3127.2732755644156</v>
      </c>
      <c r="S1142" s="805">
        <f t="shared" ca="1" si="405"/>
        <v>7904.5082600544292</v>
      </c>
      <c r="T1142" s="913"/>
      <c r="U1142" s="235">
        <f ca="1">SUM(I1142:T1142)</f>
        <v>10197877.208984012</v>
      </c>
      <c r="V1142" s="64"/>
      <c r="W1142" s="643">
        <f t="shared" ca="1" si="395"/>
        <v>0</v>
      </c>
    </row>
    <row r="1143" spans="1:23" ht="15.75" x14ac:dyDescent="0.25">
      <c r="A1143" s="45"/>
      <c r="B1143" s="16">
        <f t="shared" si="393"/>
        <v>28</v>
      </c>
      <c r="C1143" s="8"/>
      <c r="D1143" s="8" t="s">
        <v>403</v>
      </c>
      <c r="E1143" s="1005" t="s">
        <v>299</v>
      </c>
      <c r="F1143" s="99">
        <f>0.21/(1-0.21)</f>
        <v>0.26582278481012656</v>
      </c>
      <c r="G1143" s="1005"/>
      <c r="H1143" s="1005"/>
      <c r="I1143" s="1005"/>
      <c r="J1143" s="99">
        <f t="shared" ref="J1143:S1143" si="406">0.21/(1-0.21)</f>
        <v>0.26582278481012656</v>
      </c>
      <c r="K1143" s="99">
        <f t="shared" si="406"/>
        <v>0.26582278481012656</v>
      </c>
      <c r="L1143" s="99">
        <f t="shared" si="406"/>
        <v>0.26582278481012656</v>
      </c>
      <c r="M1143" s="99">
        <f t="shared" si="406"/>
        <v>0.26582278481012656</v>
      </c>
      <c r="N1143" s="99">
        <f t="shared" si="406"/>
        <v>0.26582278481012656</v>
      </c>
      <c r="O1143" s="99">
        <f t="shared" si="406"/>
        <v>0.26582278481012656</v>
      </c>
      <c r="P1143" s="99">
        <f t="shared" si="406"/>
        <v>0.26582278481012656</v>
      </c>
      <c r="Q1143" s="99">
        <f t="shared" si="406"/>
        <v>0.26582278481012656</v>
      </c>
      <c r="R1143" s="99">
        <f t="shared" si="406"/>
        <v>0.26582278481012656</v>
      </c>
      <c r="S1143" s="99">
        <f t="shared" si="406"/>
        <v>0.26582278481012656</v>
      </c>
      <c r="T1143" s="913"/>
      <c r="U1143" s="99">
        <f ca="1">U1145/U1142</f>
        <v>0.26582278481012661</v>
      </c>
      <c r="V1143" s="64"/>
      <c r="W1143" s="643">
        <f t="shared" ca="1" si="395"/>
        <v>0</v>
      </c>
    </row>
    <row r="1144" spans="1:23" ht="15.75" x14ac:dyDescent="0.25">
      <c r="A1144" s="45"/>
      <c r="B1144" s="16">
        <f t="shared" si="393"/>
        <v>29</v>
      </c>
      <c r="C1144" s="1"/>
      <c r="D1144" s="1"/>
      <c r="E1144" s="16"/>
      <c r="F1144" s="18"/>
      <c r="G1144" s="16"/>
      <c r="H1144" s="16"/>
      <c r="I1144" s="16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6"/>
      <c r="U1144" s="8"/>
      <c r="V1144" s="64"/>
      <c r="W1144" s="643">
        <f t="shared" si="395"/>
        <v>0</v>
      </c>
    </row>
    <row r="1145" spans="1:23" ht="15.75" x14ac:dyDescent="0.25">
      <c r="A1145" s="45"/>
      <c r="B1145" s="16">
        <f t="shared" si="393"/>
        <v>30</v>
      </c>
      <c r="C1145" s="8"/>
      <c r="D1145" s="8" t="s">
        <v>666</v>
      </c>
      <c r="E1145" s="1005"/>
      <c r="F1145" s="805">
        <f>+F1142*F1143</f>
        <v>2710828.1188438516</v>
      </c>
      <c r="G1145" s="1005"/>
      <c r="H1145" s="1005"/>
      <c r="I1145" s="1005"/>
      <c r="J1145" s="805">
        <f t="shared" ref="J1145:Q1145" ca="1" si="407">+J1142*J1143</f>
        <v>1331098.3998807941</v>
      </c>
      <c r="K1145" s="805">
        <f t="shared" ca="1" si="407"/>
        <v>187096.63588397403</v>
      </c>
      <c r="L1145" s="805">
        <f t="shared" ca="1" si="407"/>
        <v>725291.1352528719</v>
      </c>
      <c r="M1145" s="805">
        <f t="shared" ca="1" si="407"/>
        <v>30836.219643005123</v>
      </c>
      <c r="N1145" s="805">
        <f t="shared" ca="1" si="407"/>
        <v>235545.50340279311</v>
      </c>
      <c r="O1145" s="805">
        <f ca="1">+O1142*O1143</f>
        <v>7398.5670975504599</v>
      </c>
      <c r="P1145" s="805">
        <f t="shared" ca="1" si="407"/>
        <v>15577.210977138779</v>
      </c>
      <c r="Q1145" s="805">
        <f t="shared" ca="1" si="407"/>
        <v>175051.94781650833</v>
      </c>
      <c r="R1145" s="805">
        <f ca="1">+R1142*R1143</f>
        <v>831.30049097281926</v>
      </c>
      <c r="S1145" s="805">
        <f ca="1">+S1142*S1143</f>
        <v>2101.1983982423162</v>
      </c>
      <c r="T1145" s="913"/>
      <c r="U1145" s="235">
        <f ca="1">SUM(I1145:T1145)</f>
        <v>2710828.1188438516</v>
      </c>
      <c r="V1145" s="64"/>
      <c r="W1145" s="643">
        <f t="shared" ca="1" si="395"/>
        <v>0</v>
      </c>
    </row>
    <row r="1146" spans="1:23" ht="15" x14ac:dyDescent="0.2">
      <c r="A1146" s="45"/>
      <c r="B1146" s="16">
        <f t="shared" si="393"/>
        <v>31</v>
      </c>
      <c r="C1146" s="1"/>
      <c r="D1146" s="1"/>
      <c r="E1146" s="16"/>
      <c r="F1146" s="18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"/>
      <c r="V1146" s="64"/>
      <c r="W1146" s="643">
        <f t="shared" si="395"/>
        <v>0</v>
      </c>
    </row>
    <row r="1147" spans="1:23" ht="15.75" x14ac:dyDescent="0.25">
      <c r="A1147" s="45"/>
      <c r="B1147" s="16">
        <f t="shared" si="393"/>
        <v>32</v>
      </c>
      <c r="C1147" s="8"/>
      <c r="D1147" s="8" t="s">
        <v>307</v>
      </c>
      <c r="E1147" s="1005" t="s">
        <v>299</v>
      </c>
      <c r="F1147" s="805"/>
      <c r="G1147" s="1005"/>
      <c r="H1147" s="1005"/>
      <c r="I1147" s="1005"/>
      <c r="J1147" s="1005"/>
      <c r="K1147" s="961"/>
      <c r="L1147" s="961"/>
      <c r="M1147" s="961"/>
      <c r="N1147" s="961"/>
      <c r="O1147" s="961"/>
      <c r="P1147" s="961"/>
      <c r="Q1147" s="961"/>
      <c r="R1147" s="961"/>
      <c r="S1147" s="961"/>
      <c r="T1147" s="913"/>
      <c r="U1147" s="8"/>
      <c r="V1147" s="64"/>
      <c r="W1147" s="643">
        <f t="shared" si="395"/>
        <v>0</v>
      </c>
    </row>
    <row r="1148" spans="1:23" ht="15" x14ac:dyDescent="0.2">
      <c r="A1148" s="45"/>
      <c r="B1148" s="16">
        <f t="shared" si="393"/>
        <v>33</v>
      </c>
      <c r="C1148" s="1"/>
      <c r="D1148" s="695" t="s">
        <v>302</v>
      </c>
      <c r="E1148" s="16"/>
      <c r="F1148" s="229">
        <f>' WP II-I-1.4'!I1148</f>
        <v>0</v>
      </c>
      <c r="G1148" s="16">
        <v>59</v>
      </c>
      <c r="H1148" s="45" t="str">
        <f>VLOOKUP(G1148,FactorTable,2)</f>
        <v>PLANT_N</v>
      </c>
      <c r="I1148" s="16"/>
      <c r="J1148" s="369">
        <f t="shared" ref="J1148:S1152" ca="1" si="408">$F1148*HLOOKUP(J$1354,FactorTable,$G1148+1)</f>
        <v>0</v>
      </c>
      <c r="K1148" s="369">
        <f t="shared" ca="1" si="408"/>
        <v>0</v>
      </c>
      <c r="L1148" s="369">
        <f t="shared" ca="1" si="408"/>
        <v>0</v>
      </c>
      <c r="M1148" s="369">
        <f t="shared" ca="1" si="408"/>
        <v>0</v>
      </c>
      <c r="N1148" s="369">
        <f t="shared" ca="1" si="408"/>
        <v>0</v>
      </c>
      <c r="O1148" s="369">
        <f t="shared" ca="1" si="408"/>
        <v>0</v>
      </c>
      <c r="P1148" s="369">
        <f t="shared" ca="1" si="408"/>
        <v>0</v>
      </c>
      <c r="Q1148" s="369">
        <f t="shared" ca="1" si="408"/>
        <v>0</v>
      </c>
      <c r="R1148" s="369">
        <f t="shared" ca="1" si="408"/>
        <v>0</v>
      </c>
      <c r="S1148" s="369">
        <f t="shared" ca="1" si="408"/>
        <v>0</v>
      </c>
      <c r="T1148" s="16"/>
      <c r="U1148" s="17">
        <f ca="1">SUM(I1148:T1148)</f>
        <v>0</v>
      </c>
      <c r="V1148" s="64"/>
      <c r="W1148" s="643">
        <f t="shared" ca="1" si="395"/>
        <v>0</v>
      </c>
    </row>
    <row r="1149" spans="1:23" ht="15" x14ac:dyDescent="0.2">
      <c r="A1149" s="45"/>
      <c r="B1149" s="16">
        <f t="shared" si="393"/>
        <v>34</v>
      </c>
      <c r="C1149" s="1"/>
      <c r="D1149" s="695" t="s">
        <v>1128</v>
      </c>
      <c r="E1149" s="16"/>
      <c r="F1149" s="229">
        <f>' WP II-I-1.4'!I1149</f>
        <v>157246.0099999985</v>
      </c>
      <c r="G1149" s="16">
        <v>68</v>
      </c>
      <c r="H1149" s="45" t="str">
        <f>VLOOKUP(G1149,FactorTable,2)</f>
        <v>RATEBASE</v>
      </c>
      <c r="I1149" s="16"/>
      <c r="J1149" s="369">
        <f t="shared" ca="1" si="408"/>
        <v>77511.803933195668</v>
      </c>
      <c r="K1149" s="369">
        <f t="shared" ca="1" si="408"/>
        <v>10787.214424818114</v>
      </c>
      <c r="L1149" s="369">
        <f t="shared" ca="1" si="408"/>
        <v>42359.871030137743</v>
      </c>
      <c r="M1149" s="369">
        <f t="shared" ca="1" si="408"/>
        <v>1772.0956913238897</v>
      </c>
      <c r="N1149" s="369">
        <f t="shared" ca="1" si="408"/>
        <v>13683.663640505531</v>
      </c>
      <c r="O1149" s="369">
        <f t="shared" ca="1" si="408"/>
        <v>456.02334857052102</v>
      </c>
      <c r="P1149" s="369">
        <f t="shared" ca="1" si="408"/>
        <v>976.3576827631897</v>
      </c>
      <c r="Q1149" s="369">
        <f t="shared" ca="1" si="408"/>
        <v>9530.050709740417</v>
      </c>
      <c r="R1149" s="369">
        <f t="shared" ca="1" si="408"/>
        <v>47.876515412997499</v>
      </c>
      <c r="S1149" s="369">
        <f t="shared" ca="1" si="408"/>
        <v>121.05302353040527</v>
      </c>
      <c r="T1149" s="16"/>
      <c r="U1149" s="17">
        <f ca="1">SUM(I1149:T1149)</f>
        <v>157246.00999999844</v>
      </c>
      <c r="V1149" s="64"/>
      <c r="W1149" s="643">
        <f t="shared" ca="1" si="395"/>
        <v>0</v>
      </c>
    </row>
    <row r="1150" spans="1:23" ht="15" x14ac:dyDescent="0.2">
      <c r="A1150" s="45"/>
      <c r="B1150" s="16">
        <f t="shared" si="393"/>
        <v>35</v>
      </c>
      <c r="C1150" s="1"/>
      <c r="D1150" s="695" t="s">
        <v>1129</v>
      </c>
      <c r="E1150" s="16"/>
      <c r="F1150" s="229">
        <f>' WP II-I-1.4'!I1150</f>
        <v>-252101.1100000001</v>
      </c>
      <c r="G1150" s="16">
        <v>68</v>
      </c>
      <c r="H1150" s="45" t="str">
        <f>VLOOKUP(G1150,FactorTable,2)</f>
        <v>RATEBASE</v>
      </c>
      <c r="I1150" s="16"/>
      <c r="J1150" s="369">
        <f t="shared" ca="1" si="408"/>
        <v>-124269.04701531815</v>
      </c>
      <c r="K1150" s="369">
        <f t="shared" ca="1" si="408"/>
        <v>-17294.35761393682</v>
      </c>
      <c r="L1150" s="369">
        <f t="shared" ca="1" si="408"/>
        <v>-67912.505418450208</v>
      </c>
      <c r="M1150" s="369">
        <f t="shared" ca="1" si="408"/>
        <v>-2841.0723477751485</v>
      </c>
      <c r="N1150" s="369">
        <f t="shared" ca="1" si="408"/>
        <v>-21938.02432658304</v>
      </c>
      <c r="O1150" s="369">
        <f t="shared" ca="1" si="408"/>
        <v>-731.109122327151</v>
      </c>
      <c r="P1150" s="369">
        <f t="shared" ca="1" si="408"/>
        <v>-1565.3233781997421</v>
      </c>
      <c r="Q1150" s="369">
        <f t="shared" ca="1" si="408"/>
        <v>-15278.838313810767</v>
      </c>
      <c r="R1150" s="369">
        <f t="shared" ca="1" si="408"/>
        <v>-76.756940786916616</v>
      </c>
      <c r="S1150" s="369">
        <f t="shared" ca="1" si="408"/>
        <v>-194.07552281213108</v>
      </c>
      <c r="T1150" s="16"/>
      <c r="U1150" s="17">
        <f t="shared" ref="U1150:U1151" ca="1" si="409">SUM(I1150:T1150)</f>
        <v>-252101.1100000001</v>
      </c>
      <c r="V1150" s="64"/>
      <c r="W1150" s="643"/>
    </row>
    <row r="1151" spans="1:23" ht="15" x14ac:dyDescent="0.2">
      <c r="A1151" s="45"/>
      <c r="B1151" s="16">
        <f t="shared" si="393"/>
        <v>36</v>
      </c>
      <c r="C1151" s="1"/>
      <c r="D1151" s="695" t="s">
        <v>1130</v>
      </c>
      <c r="E1151" s="16"/>
      <c r="F1151" s="229">
        <f>' WP II-I-1.4'!I1151</f>
        <v>-62731.040000000001</v>
      </c>
      <c r="G1151" s="16">
        <v>68</v>
      </c>
      <c r="H1151" s="45" t="str">
        <f>VLOOKUP(G1151,FactorTable,2)</f>
        <v>RATEBASE</v>
      </c>
      <c r="I1151" s="16"/>
      <c r="J1151" s="369">
        <f t="shared" ca="1" si="408"/>
        <v>-30922.222274546115</v>
      </c>
      <c r="K1151" s="369">
        <f t="shared" ca="1" si="408"/>
        <v>-4303.4044524999308</v>
      </c>
      <c r="L1151" s="369">
        <f t="shared" ca="1" si="408"/>
        <v>-16898.862896339549</v>
      </c>
      <c r="M1151" s="369">
        <f t="shared" ca="1" si="408"/>
        <v>-706.95215539184528</v>
      </c>
      <c r="N1151" s="369">
        <f t="shared" ca="1" si="408"/>
        <v>-5458.9013176175749</v>
      </c>
      <c r="O1151" s="369">
        <f t="shared" ca="1" si="408"/>
        <v>-181.92397327036514</v>
      </c>
      <c r="P1151" s="369">
        <f t="shared" ca="1" si="408"/>
        <v>-389.5038917154435</v>
      </c>
      <c r="Q1151" s="369">
        <f t="shared" ca="1" si="408"/>
        <v>-3801.8770223470869</v>
      </c>
      <c r="R1151" s="369">
        <f t="shared" ca="1" si="408"/>
        <v>-19.099649036776139</v>
      </c>
      <c r="S1151" s="369">
        <f t="shared" ca="1" si="408"/>
        <v>-48.292367235307701</v>
      </c>
      <c r="T1151" s="16"/>
      <c r="U1151" s="17">
        <f t="shared" ca="1" si="409"/>
        <v>-62731.039999999994</v>
      </c>
      <c r="V1151" s="64"/>
      <c r="W1151" s="643"/>
    </row>
    <row r="1152" spans="1:23" ht="15" x14ac:dyDescent="0.2">
      <c r="A1152" s="45"/>
      <c r="B1152" s="16">
        <f t="shared" si="393"/>
        <v>37</v>
      </c>
      <c r="C1152" s="1"/>
      <c r="D1152" t="s">
        <v>1295</v>
      </c>
      <c r="E1152" s="16"/>
      <c r="F1152" s="229">
        <f>' WP II-I-1.4'!I1152</f>
        <v>816.43</v>
      </c>
      <c r="G1152" s="16">
        <v>68</v>
      </c>
      <c r="H1152" s="45" t="str">
        <f>VLOOKUP(G1152,FactorTable,2)</f>
        <v>RATEBASE</v>
      </c>
      <c r="I1152" s="16"/>
      <c r="J1152" s="370">
        <f t="shared" ca="1" si="408"/>
        <v>402.44558246774932</v>
      </c>
      <c r="K1152" s="370">
        <f t="shared" ca="1" si="408"/>
        <v>56.007815224401156</v>
      </c>
      <c r="L1152" s="370">
        <f t="shared" ca="1" si="408"/>
        <v>219.93479837825893</v>
      </c>
      <c r="M1152" s="370">
        <f t="shared" ca="1" si="408"/>
        <v>9.2008190558703333</v>
      </c>
      <c r="N1152" s="370">
        <f t="shared" ca="1" si="408"/>
        <v>71.046340101208528</v>
      </c>
      <c r="O1152" s="370">
        <f t="shared" ca="1" si="408"/>
        <v>2.3676985029600051</v>
      </c>
      <c r="P1152" s="370">
        <f t="shared" ca="1" si="408"/>
        <v>5.0693032080010081</v>
      </c>
      <c r="Q1152" s="370">
        <f t="shared" ca="1" si="408"/>
        <v>49.480551531663302</v>
      </c>
      <c r="R1152" s="370">
        <f t="shared" ca="1" si="408"/>
        <v>0.24857752179933798</v>
      </c>
      <c r="S1152" s="370">
        <f t="shared" ca="1" si="408"/>
        <v>0.62851400808789815</v>
      </c>
      <c r="T1152" s="16"/>
      <c r="U1152" s="17">
        <f ca="1">SUM(I1152:T1152)</f>
        <v>816.42999999999984</v>
      </c>
      <c r="V1152" s="64"/>
      <c r="W1152" s="643">
        <f t="shared" ca="1" si="395"/>
        <v>0</v>
      </c>
    </row>
    <row r="1153" spans="1:24" ht="15.75" x14ac:dyDescent="0.25">
      <c r="A1153" s="45"/>
      <c r="B1153" s="16">
        <f t="shared" si="393"/>
        <v>38</v>
      </c>
      <c r="C1153" s="1"/>
      <c r="D1153" s="233" t="s">
        <v>444</v>
      </c>
      <c r="E1153" s="16"/>
      <c r="F1153" s="805">
        <f>SUM(F1148:F1152)</f>
        <v>-156769.71000000162</v>
      </c>
      <c r="G1153" s="16"/>
      <c r="H1153" s="16"/>
      <c r="I1153" s="16"/>
      <c r="J1153" s="805">
        <f t="shared" ref="J1153:Q1153" ca="1" si="410">SUM(J1148:J1152)</f>
        <v>-77277.01977420086</v>
      </c>
      <c r="K1153" s="805">
        <f t="shared" ca="1" si="410"/>
        <v>-10754.539826394235</v>
      </c>
      <c r="L1153" s="805">
        <f t="shared" ca="1" si="410"/>
        <v>-42231.562486273753</v>
      </c>
      <c r="M1153" s="805">
        <f t="shared" ca="1" si="410"/>
        <v>-1766.7279927872337</v>
      </c>
      <c r="N1153" s="805">
        <f t="shared" ca="1" si="410"/>
        <v>-13642.215663593874</v>
      </c>
      <c r="O1153" s="805">
        <f ca="1">SUM(O1148:O1152)</f>
        <v>-454.64204852403509</v>
      </c>
      <c r="P1153" s="805">
        <f t="shared" ca="1" si="410"/>
        <v>-973.40028394399496</v>
      </c>
      <c r="Q1153" s="805">
        <f t="shared" ca="1" si="410"/>
        <v>-9501.184074885774</v>
      </c>
      <c r="R1153" s="805">
        <f ca="1">SUM(R1148:R1152)</f>
        <v>-47.731496888895911</v>
      </c>
      <c r="S1153" s="805">
        <f ca="1">SUM(S1148:S1152)</f>
        <v>-120.68635250894562</v>
      </c>
      <c r="T1153" s="16"/>
      <c r="U1153" s="235">
        <f ca="1">SUM(I1153:T1153)</f>
        <v>-156769.71000000159</v>
      </c>
      <c r="V1153" s="64"/>
      <c r="W1153" s="643">
        <f t="shared" ca="1" si="395"/>
        <v>0</v>
      </c>
    </row>
    <row r="1154" spans="1:24" ht="15" x14ac:dyDescent="0.2">
      <c r="A1154" s="45"/>
      <c r="B1154" s="16">
        <f t="shared" si="393"/>
        <v>39</v>
      </c>
      <c r="C1154" s="1"/>
      <c r="D1154" s="1"/>
      <c r="E1154" s="16"/>
      <c r="F1154" s="230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7"/>
      <c r="V1154" s="64"/>
      <c r="W1154" s="643">
        <f t="shared" si="395"/>
        <v>0</v>
      </c>
    </row>
    <row r="1155" spans="1:24" ht="15.75" x14ac:dyDescent="0.25">
      <c r="A1155" s="45"/>
      <c r="B1155" s="16">
        <f t="shared" si="393"/>
        <v>40</v>
      </c>
      <c r="C1155" s="8"/>
      <c r="D1155" s="8" t="s">
        <v>308</v>
      </c>
      <c r="E1155" s="1005" t="s">
        <v>299</v>
      </c>
      <c r="F1155" s="805"/>
      <c r="G1155" s="1005"/>
      <c r="H1155" s="1005"/>
      <c r="I1155" s="1005"/>
      <c r="J1155" s="1005"/>
      <c r="K1155" s="961"/>
      <c r="L1155" s="961"/>
      <c r="M1155" s="961"/>
      <c r="N1155" s="961"/>
      <c r="O1155" s="961"/>
      <c r="P1155" s="961"/>
      <c r="Q1155" s="961"/>
      <c r="R1155" s="961"/>
      <c r="S1155" s="961"/>
      <c r="T1155" s="913"/>
      <c r="U1155" s="17"/>
      <c r="V1155" s="64"/>
      <c r="W1155" s="643">
        <f t="shared" si="395"/>
        <v>0</v>
      </c>
    </row>
    <row r="1156" spans="1:24" ht="15" x14ac:dyDescent="0.2">
      <c r="A1156" s="45"/>
      <c r="B1156" s="16">
        <f t="shared" si="393"/>
        <v>41</v>
      </c>
      <c r="C1156" s="1"/>
      <c r="D1156" s="695" t="s">
        <v>306</v>
      </c>
      <c r="E1156" s="16"/>
      <c r="F1156" s="229">
        <f>' WP II-I-1.4'!I1156</f>
        <v>9100.39</v>
      </c>
      <c r="G1156" s="16">
        <v>68</v>
      </c>
      <c r="H1156" s="45" t="str">
        <f>VLOOKUP(G1156,FactorTable,2)</f>
        <v>RATEBASE</v>
      </c>
      <c r="I1156" s="16"/>
      <c r="J1156" s="369">
        <f t="shared" ref="J1156:S1159" ca="1" si="411">$F1156*HLOOKUP(J$1354,FactorTable,$G1156+1)</f>
        <v>4485.8858129094733</v>
      </c>
      <c r="K1156" s="369">
        <f t="shared" ca="1" si="411"/>
        <v>624.29474858835181</v>
      </c>
      <c r="L1156" s="369">
        <f t="shared" ca="1" si="411"/>
        <v>2451.5175089273102</v>
      </c>
      <c r="M1156" s="369">
        <f t="shared" ca="1" si="411"/>
        <v>102.55752695007757</v>
      </c>
      <c r="N1156" s="369">
        <f t="shared" ca="1" si="411"/>
        <v>791.92264247227206</v>
      </c>
      <c r="O1156" s="369">
        <f t="shared" ca="1" si="411"/>
        <v>26.391705081087419</v>
      </c>
      <c r="P1156" s="369">
        <f t="shared" ca="1" si="411"/>
        <v>56.505317321828315</v>
      </c>
      <c r="Q1156" s="369">
        <f t="shared" ca="1" si="411"/>
        <v>551.53818006838731</v>
      </c>
      <c r="R1156" s="369">
        <f t="shared" ca="1" si="411"/>
        <v>2.7707854851089224</v>
      </c>
      <c r="S1156" s="369">
        <f t="shared" ca="1" si="411"/>
        <v>7.0057721961013533</v>
      </c>
      <c r="T1156" s="16"/>
      <c r="U1156" s="17">
        <f ca="1">SUM(I1156:T1156)</f>
        <v>9100.3899999999976</v>
      </c>
      <c r="V1156" s="64"/>
      <c r="W1156" s="643">
        <f t="shared" ca="1" si="395"/>
        <v>0</v>
      </c>
    </row>
    <row r="1157" spans="1:24" ht="15" x14ac:dyDescent="0.2">
      <c r="A1157" s="45"/>
      <c r="B1157" s="16">
        <f t="shared" si="393"/>
        <v>42</v>
      </c>
      <c r="C1157" s="1"/>
      <c r="D1157" t="s">
        <v>1296</v>
      </c>
      <c r="E1157" s="16"/>
      <c r="F1157" s="229">
        <f>' WP II-I-1.4'!I1157</f>
        <v>0</v>
      </c>
      <c r="G1157" s="16">
        <v>68</v>
      </c>
      <c r="H1157" s="45" t="str">
        <f>VLOOKUP(G1157,FactorTable,2)</f>
        <v>RATEBASE</v>
      </c>
      <c r="I1157" s="16"/>
      <c r="J1157" s="369">
        <f t="shared" ca="1" si="411"/>
        <v>0</v>
      </c>
      <c r="K1157" s="369">
        <f t="shared" ca="1" si="411"/>
        <v>0</v>
      </c>
      <c r="L1157" s="369">
        <f t="shared" ca="1" si="411"/>
        <v>0</v>
      </c>
      <c r="M1157" s="369">
        <f t="shared" ca="1" si="411"/>
        <v>0</v>
      </c>
      <c r="N1157" s="369">
        <f t="shared" ca="1" si="411"/>
        <v>0</v>
      </c>
      <c r="O1157" s="369">
        <f t="shared" ca="1" si="411"/>
        <v>0</v>
      </c>
      <c r="P1157" s="369">
        <f t="shared" ca="1" si="411"/>
        <v>0</v>
      </c>
      <c r="Q1157" s="369">
        <f t="shared" ca="1" si="411"/>
        <v>0</v>
      </c>
      <c r="R1157" s="369">
        <f t="shared" ca="1" si="411"/>
        <v>0</v>
      </c>
      <c r="S1157" s="369">
        <f t="shared" ca="1" si="411"/>
        <v>0</v>
      </c>
      <c r="T1157" s="16"/>
      <c r="U1157" s="17">
        <f ca="1">SUM(I1157:T1157)</f>
        <v>0</v>
      </c>
      <c r="V1157" s="64"/>
      <c r="W1157" s="643">
        <f t="shared" ca="1" si="395"/>
        <v>0</v>
      </c>
    </row>
    <row r="1158" spans="1:24" ht="15" x14ac:dyDescent="0.2">
      <c r="A1158" s="45"/>
      <c r="B1158" s="16">
        <f t="shared" si="393"/>
        <v>43</v>
      </c>
      <c r="C1158" s="1"/>
      <c r="D1158" s="695" t="s">
        <v>309</v>
      </c>
      <c r="E1158" s="16"/>
      <c r="F1158" s="229">
        <f>' WP II-I-1.4'!I1158</f>
        <v>0</v>
      </c>
      <c r="G1158" s="16">
        <v>59</v>
      </c>
      <c r="H1158" s="45" t="str">
        <f>VLOOKUP(G1158,FactorTable,2)</f>
        <v>PLANT_N</v>
      </c>
      <c r="I1158" s="16"/>
      <c r="J1158" s="369">
        <f t="shared" ca="1" si="411"/>
        <v>0</v>
      </c>
      <c r="K1158" s="369">
        <f t="shared" ca="1" si="411"/>
        <v>0</v>
      </c>
      <c r="L1158" s="369">
        <f t="shared" ca="1" si="411"/>
        <v>0</v>
      </c>
      <c r="M1158" s="369">
        <f t="shared" ca="1" si="411"/>
        <v>0</v>
      </c>
      <c r="N1158" s="369">
        <f t="shared" ca="1" si="411"/>
        <v>0</v>
      </c>
      <c r="O1158" s="369">
        <f t="shared" ca="1" si="411"/>
        <v>0</v>
      </c>
      <c r="P1158" s="369">
        <f t="shared" ca="1" si="411"/>
        <v>0</v>
      </c>
      <c r="Q1158" s="369">
        <f t="shared" ca="1" si="411"/>
        <v>0</v>
      </c>
      <c r="R1158" s="369">
        <f t="shared" ca="1" si="411"/>
        <v>0</v>
      </c>
      <c r="S1158" s="369">
        <f t="shared" ca="1" si="411"/>
        <v>0</v>
      </c>
      <c r="T1158" s="16"/>
      <c r="U1158" s="17">
        <f t="shared" ref="U1158:U1159" ca="1" si="412">SUM(I1158:T1158)</f>
        <v>0</v>
      </c>
      <c r="V1158" s="64"/>
      <c r="W1158" s="643">
        <f t="shared" ref="W1158:W1159" ca="1" si="413">F1158-U1158</f>
        <v>0</v>
      </c>
    </row>
    <row r="1159" spans="1:24" ht="15" x14ac:dyDescent="0.2">
      <c r="A1159" s="45"/>
      <c r="B1159" s="16">
        <f t="shared" si="393"/>
        <v>44</v>
      </c>
      <c r="C1159" s="1"/>
      <c r="D1159" s="803"/>
      <c r="E1159" s="16"/>
      <c r="F1159" s="97"/>
      <c r="G1159" s="16"/>
      <c r="H1159" s="45"/>
      <c r="I1159" s="16"/>
      <c r="J1159" s="370">
        <f t="shared" si="411"/>
        <v>0</v>
      </c>
      <c r="K1159" s="370">
        <f t="shared" si="411"/>
        <v>0</v>
      </c>
      <c r="L1159" s="370">
        <f t="shared" si="411"/>
        <v>0</v>
      </c>
      <c r="M1159" s="370">
        <f t="shared" si="411"/>
        <v>0</v>
      </c>
      <c r="N1159" s="370">
        <f t="shared" si="411"/>
        <v>0</v>
      </c>
      <c r="O1159" s="370">
        <f t="shared" si="411"/>
        <v>0</v>
      </c>
      <c r="P1159" s="370">
        <f t="shared" si="411"/>
        <v>0</v>
      </c>
      <c r="Q1159" s="370">
        <f t="shared" si="411"/>
        <v>0</v>
      </c>
      <c r="R1159" s="370">
        <f t="shared" si="411"/>
        <v>0</v>
      </c>
      <c r="S1159" s="370">
        <f t="shared" si="411"/>
        <v>0</v>
      </c>
      <c r="T1159" s="16"/>
      <c r="U1159" s="17">
        <f t="shared" si="412"/>
        <v>0</v>
      </c>
      <c r="V1159" s="64"/>
      <c r="W1159" s="643">
        <f t="shared" si="413"/>
        <v>0</v>
      </c>
    </row>
    <row r="1160" spans="1:24" ht="15.75" x14ac:dyDescent="0.25">
      <c r="A1160" s="45"/>
      <c r="B1160" s="16">
        <f t="shared" si="393"/>
        <v>45</v>
      </c>
      <c r="C1160" s="1"/>
      <c r="D1160" s="233" t="s">
        <v>444</v>
      </c>
      <c r="E1160" s="16"/>
      <c r="F1160" s="21">
        <f>SUM(F1156:F1157)</f>
        <v>9100.39</v>
      </c>
      <c r="G1160" s="16"/>
      <c r="H1160" s="16"/>
      <c r="I1160" s="16"/>
      <c r="J1160" s="805">
        <f t="shared" ref="J1160:S1160" ca="1" si="414">SUM(J1156:J1157)</f>
        <v>4485.8858129094733</v>
      </c>
      <c r="K1160" s="805">
        <f t="shared" ca="1" si="414"/>
        <v>624.29474858835181</v>
      </c>
      <c r="L1160" s="805">
        <f t="shared" ca="1" si="414"/>
        <v>2451.5175089273102</v>
      </c>
      <c r="M1160" s="805">
        <f t="shared" ca="1" si="414"/>
        <v>102.55752695007757</v>
      </c>
      <c r="N1160" s="805">
        <f t="shared" ca="1" si="414"/>
        <v>791.92264247227206</v>
      </c>
      <c r="O1160" s="805">
        <f t="shared" ca="1" si="414"/>
        <v>26.391705081087419</v>
      </c>
      <c r="P1160" s="805">
        <f t="shared" ca="1" si="414"/>
        <v>56.505317321828315</v>
      </c>
      <c r="Q1160" s="805">
        <f t="shared" ca="1" si="414"/>
        <v>551.53818006838731</v>
      </c>
      <c r="R1160" s="805">
        <f t="shared" ca="1" si="414"/>
        <v>2.7707854851089224</v>
      </c>
      <c r="S1160" s="805">
        <f t="shared" ca="1" si="414"/>
        <v>7.0057721961013533</v>
      </c>
      <c r="T1160" s="16"/>
      <c r="U1160" s="235">
        <f ca="1">SUM(I1160:T1160)</f>
        <v>9100.3899999999976</v>
      </c>
      <c r="V1160" s="64"/>
      <c r="W1160" s="643">
        <f t="shared" ca="1" si="395"/>
        <v>0</v>
      </c>
    </row>
    <row r="1161" spans="1:24" ht="15.75" thickBot="1" x14ac:dyDescent="0.25">
      <c r="A1161" s="45"/>
      <c r="B1161" s="16">
        <f t="shared" si="393"/>
        <v>46</v>
      </c>
      <c r="C1161" s="1"/>
      <c r="D1161" s="1"/>
      <c r="E1161" s="16"/>
      <c r="F1161" s="18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"/>
      <c r="V1161" s="64"/>
      <c r="W1161" s="643">
        <f t="shared" si="395"/>
        <v>0</v>
      </c>
    </row>
    <row r="1162" spans="1:24" ht="16.5" thickBot="1" x14ac:dyDescent="0.3">
      <c r="A1162" s="45"/>
      <c r="B1162" s="16">
        <f t="shared" si="393"/>
        <v>47</v>
      </c>
      <c r="C1162" s="223" t="s">
        <v>667</v>
      </c>
      <c r="D1162" s="224"/>
      <c r="E1162" s="309" t="s">
        <v>299</v>
      </c>
      <c r="F1162" s="194">
        <f>+F1145-SUM(F1148:F1152)+SUM(F1156:F1157)</f>
        <v>2876698.2188438536</v>
      </c>
      <c r="G1162" s="309"/>
      <c r="H1162" s="402"/>
      <c r="I1162" s="968"/>
      <c r="J1162" s="381">
        <f t="shared" ref="J1162:S1162" ca="1" si="415">+J1145-SUM(J1148:J1152)+SUM(J1156:J1157)</f>
        <v>1412861.3054679045</v>
      </c>
      <c r="K1162" s="812">
        <f t="shared" ca="1" si="415"/>
        <v>198475.47045895661</v>
      </c>
      <c r="L1162" s="812">
        <f t="shared" ca="1" si="415"/>
        <v>769974.21524807287</v>
      </c>
      <c r="M1162" s="812">
        <f t="shared" ca="1" si="415"/>
        <v>32705.505162742433</v>
      </c>
      <c r="N1162" s="812">
        <f t="shared" ca="1" si="415"/>
        <v>249979.64170885924</v>
      </c>
      <c r="O1162" s="812">
        <f t="shared" ca="1" si="415"/>
        <v>7879.6008511555829</v>
      </c>
      <c r="P1162" s="812">
        <f t="shared" ca="1" si="415"/>
        <v>16607.116578404602</v>
      </c>
      <c r="Q1162" s="812">
        <f t="shared" ca="1" si="415"/>
        <v>185104.67007146249</v>
      </c>
      <c r="R1162" s="812">
        <f t="shared" ca="1" si="415"/>
        <v>881.8027733468241</v>
      </c>
      <c r="S1162" s="315">
        <f t="shared" ca="1" si="415"/>
        <v>2228.890522947363</v>
      </c>
      <c r="T1162" s="402"/>
      <c r="U1162" s="315">
        <f ca="1">SUM(I1162:T1162)</f>
        <v>2876698.2188438526</v>
      </c>
      <c r="V1162" s="64"/>
      <c r="W1162" s="643">
        <f t="shared" ca="1" si="395"/>
        <v>0</v>
      </c>
      <c r="X1162" s="612">
        <f ca="1">'WP II-I-1.1'!$I$498-U1162</f>
        <v>0</v>
      </c>
    </row>
    <row r="1163" spans="1:24" ht="15" x14ac:dyDescent="0.2">
      <c r="A1163" s="45"/>
      <c r="B1163" s="64"/>
      <c r="C1163" s="64"/>
      <c r="D1163" s="64"/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W1163" s="138"/>
    </row>
    <row r="1164" spans="1:24" ht="15" x14ac:dyDescent="0.2">
      <c r="A1164" s="45"/>
      <c r="B1164" s="64"/>
      <c r="C1164" s="64"/>
      <c r="D1164" s="64"/>
      <c r="E1164" s="64"/>
      <c r="F1164" s="64"/>
      <c r="G1164" s="64"/>
      <c r="H1164" s="105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105"/>
      <c r="V1164" s="105">
        <f>$H$2</f>
        <v>0</v>
      </c>
      <c r="W1164" s="138"/>
    </row>
    <row r="1165" spans="1:24" ht="15.75" thickBot="1" x14ac:dyDescent="0.25">
      <c r="A1165" s="45"/>
      <c r="B1165" s="64"/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138"/>
    </row>
    <row r="1166" spans="1:24" ht="15.75" x14ac:dyDescent="0.25">
      <c r="A1166" s="45"/>
      <c r="B1166" s="829" t="str">
        <f>+$B$4</f>
        <v>2025 RATE CASE</v>
      </c>
      <c r="C1166" s="844"/>
      <c r="D1166" s="872"/>
      <c r="F1166" s="267"/>
      <c r="U1166" s="105"/>
      <c r="W1166" s="138"/>
    </row>
    <row r="1167" spans="1:24" ht="15.75" x14ac:dyDescent="0.25">
      <c r="A1167" s="45"/>
      <c r="B1167" s="826" t="str">
        <f>+$B$5</f>
        <v>ONCOR ELECTRIC DELIVERY COMPANY LLC</v>
      </c>
      <c r="C1167" s="8"/>
      <c r="D1167" s="873"/>
      <c r="F1167" s="267"/>
      <c r="U1167" s="105"/>
      <c r="V1167" s="64"/>
      <c r="W1167" s="138"/>
    </row>
    <row r="1168" spans="1:24" ht="15.75" x14ac:dyDescent="0.25">
      <c r="A1168" s="45"/>
      <c r="B1168" s="826" t="str">
        <f>+$B$6</f>
        <v>II-I-1-TBILLTDCS:  CLASS REVENUE REQUIREMENT</v>
      </c>
      <c r="C1168" s="82"/>
      <c r="D1168" s="873"/>
      <c r="F1168" s="267"/>
      <c r="U1168" s="267"/>
      <c r="V1168" s="64"/>
      <c r="W1168" s="138"/>
    </row>
    <row r="1169" spans="1:23" ht="15.75" x14ac:dyDescent="0.25">
      <c r="A1169" s="45"/>
      <c r="B1169" s="341" t="str">
        <f>+$B$7</f>
        <v>TEST YEAR ENDING 12/31/2024</v>
      </c>
      <c r="C1169" s="82"/>
      <c r="D1169" s="873"/>
      <c r="F1169" s="267"/>
      <c r="U1169" s="267"/>
      <c r="V1169" s="64"/>
      <c r="W1169" s="138"/>
    </row>
    <row r="1170" spans="1:23" ht="15.75" x14ac:dyDescent="0.25">
      <c r="A1170" s="45"/>
      <c r="B1170" s="341" t="str">
        <f>+$B$8</f>
        <v>SPONSOR:  MATTHEW A. TROXLE</v>
      </c>
      <c r="C1170" s="82"/>
      <c r="D1170" s="873"/>
      <c r="F1170" s="267"/>
      <c r="U1170" s="267"/>
      <c r="V1170" s="64"/>
      <c r="W1170" s="138"/>
    </row>
    <row r="1171" spans="1:23" ht="16.5" thickBot="1" x14ac:dyDescent="0.3">
      <c r="A1171" s="45"/>
      <c r="B1171" s="345"/>
      <c r="C1171" s="843"/>
      <c r="D1171" s="845"/>
      <c r="F1171" s="267"/>
      <c r="U1171" s="267"/>
      <c r="V1171" s="64"/>
      <c r="W1171" s="138"/>
    </row>
    <row r="1172" spans="1:23" ht="15.75" thickBot="1" x14ac:dyDescent="0.25">
      <c r="A1172" s="45"/>
      <c r="B1172" s="12"/>
      <c r="C1172" s="13"/>
      <c r="D1172" s="13"/>
      <c r="E1172" s="13"/>
      <c r="F1172" s="12"/>
      <c r="G1172" s="13"/>
      <c r="H1172" s="13"/>
      <c r="I1172" s="13"/>
      <c r="J1172" s="177"/>
      <c r="K1172" s="177"/>
      <c r="L1172" s="13"/>
      <c r="M1172" s="177"/>
      <c r="N1172" s="177"/>
      <c r="O1172" s="177"/>
      <c r="P1172" s="177"/>
      <c r="Q1172" s="13"/>
      <c r="R1172" s="328" t="str">
        <f>R$10</f>
        <v xml:space="preserve"> </v>
      </c>
      <c r="S1172" s="329"/>
      <c r="T1172" s="177"/>
      <c r="U1172" s="12"/>
      <c r="V1172" s="64"/>
      <c r="W1172" s="138"/>
    </row>
    <row r="1173" spans="1:23" ht="15.75" x14ac:dyDescent="0.25">
      <c r="A1173" s="45"/>
      <c r="B1173" s="14" t="s">
        <v>2</v>
      </c>
      <c r="C1173" s="14" t="s">
        <v>349</v>
      </c>
      <c r="D1173" s="226" t="s">
        <v>668</v>
      </c>
      <c r="E1173" s="14" t="s">
        <v>350</v>
      </c>
      <c r="F1173" s="226" t="str">
        <f>F$11</f>
        <v>TBILLTDCS</v>
      </c>
      <c r="G1173" s="181" t="s">
        <v>688</v>
      </c>
      <c r="H1173" s="181" t="s">
        <v>355</v>
      </c>
      <c r="I1173" s="14"/>
      <c r="J1173" s="181" t="s">
        <v>679</v>
      </c>
      <c r="K1173" s="181" t="s">
        <v>388</v>
      </c>
      <c r="L1173" s="14" t="s">
        <v>388</v>
      </c>
      <c r="M1173" s="181" t="s">
        <v>389</v>
      </c>
      <c r="N1173" s="181" t="s">
        <v>389</v>
      </c>
      <c r="O1173" s="181" t="s">
        <v>389</v>
      </c>
      <c r="P1173" s="181" t="s">
        <v>390</v>
      </c>
      <c r="Q1173" s="14" t="s">
        <v>391</v>
      </c>
      <c r="R1173" s="331" t="str">
        <f>R$11</f>
        <v>Wholesale</v>
      </c>
      <c r="S1173" s="12" t="str">
        <f>S$11</f>
        <v>Wholesale</v>
      </c>
      <c r="T1173" s="181"/>
      <c r="U1173" s="14" t="s">
        <v>10</v>
      </c>
      <c r="V1173" s="64"/>
      <c r="W1173" s="138"/>
    </row>
    <row r="1174" spans="1:23" ht="15" x14ac:dyDescent="0.2">
      <c r="A1174" s="45"/>
      <c r="B1174" s="14"/>
      <c r="C1174" s="14"/>
      <c r="D1174" s="14"/>
      <c r="E1174" s="14"/>
      <c r="F1174" s="14"/>
      <c r="G1174" s="181" t="s">
        <v>689</v>
      </c>
      <c r="H1174" s="181" t="s">
        <v>690</v>
      </c>
      <c r="I1174" s="14"/>
      <c r="J1174" s="181"/>
      <c r="K1174" s="181" t="s">
        <v>680</v>
      </c>
      <c r="L1174" s="14" t="s">
        <v>681</v>
      </c>
      <c r="M1174" s="181" t="s">
        <v>680</v>
      </c>
      <c r="N1174" s="181" t="s">
        <v>681</v>
      </c>
      <c r="O1174" s="181" t="s">
        <v>393</v>
      </c>
      <c r="P1174" s="181"/>
      <c r="Q1174" s="14"/>
      <c r="R1174" s="174" t="str">
        <f>R$12</f>
        <v>XFMR</v>
      </c>
      <c r="S1174" s="14" t="str">
        <f>S$12</f>
        <v>DLS</v>
      </c>
      <c r="T1174" s="181"/>
      <c r="U1174" s="14"/>
      <c r="V1174" s="64"/>
      <c r="W1174" s="138"/>
    </row>
    <row r="1175" spans="1:23" ht="15.75" thickBot="1" x14ac:dyDescent="0.25">
      <c r="A1175" s="45"/>
      <c r="B1175" s="15"/>
      <c r="C1175" s="15"/>
      <c r="D1175" s="15"/>
      <c r="E1175" s="15"/>
      <c r="F1175" s="15" t="s">
        <v>13</v>
      </c>
      <c r="G1175" s="15" t="s">
        <v>14</v>
      </c>
      <c r="H1175" s="15" t="s">
        <v>15</v>
      </c>
      <c r="I1175" s="15"/>
      <c r="J1175" s="182" t="str">
        <f t="shared" ref="J1175:Q1175" si="416">J$13</f>
        <v>(d)</v>
      </c>
      <c r="K1175" s="182" t="str">
        <f t="shared" si="416"/>
        <v>(e)</v>
      </c>
      <c r="L1175" s="15" t="str">
        <f t="shared" si="416"/>
        <v>(f)</v>
      </c>
      <c r="M1175" s="182" t="str">
        <f t="shared" si="416"/>
        <v>(g)</v>
      </c>
      <c r="N1175" s="182" t="str">
        <f t="shared" si="416"/>
        <v>(h)</v>
      </c>
      <c r="O1175" s="182" t="str">
        <f>O$13</f>
        <v>(i)</v>
      </c>
      <c r="P1175" s="182" t="str">
        <f t="shared" si="416"/>
        <v>(j)</v>
      </c>
      <c r="Q1175" s="182" t="str">
        <f t="shared" si="416"/>
        <v>(k)</v>
      </c>
      <c r="R1175" s="182" t="str">
        <f>R$13</f>
        <v>(l)</v>
      </c>
      <c r="S1175" s="15" t="str">
        <f>S$13</f>
        <v>(m)</v>
      </c>
      <c r="T1175" s="15"/>
      <c r="U1175" s="15" t="s">
        <v>683</v>
      </c>
      <c r="V1175" s="64"/>
      <c r="W1175" s="138"/>
    </row>
    <row r="1176" spans="1:23" ht="15" x14ac:dyDescent="0.2">
      <c r="A1176" s="45"/>
      <c r="B1176" s="64"/>
      <c r="C1176" s="268"/>
      <c r="D1176" s="268"/>
      <c r="E1176" s="268"/>
      <c r="F1176" s="268"/>
      <c r="G1176" s="268"/>
      <c r="H1176" s="268"/>
      <c r="I1176" s="268"/>
      <c r="J1176" s="268"/>
      <c r="K1176" s="268"/>
      <c r="L1176" s="268"/>
      <c r="M1176" s="268"/>
      <c r="N1176" s="268"/>
      <c r="O1176" s="268"/>
      <c r="P1176" s="268"/>
      <c r="Q1176" s="268"/>
      <c r="R1176" s="268"/>
      <c r="S1176" s="268"/>
      <c r="T1176" s="268"/>
      <c r="U1176" s="41"/>
      <c r="V1176" s="64"/>
      <c r="W1176" s="138"/>
    </row>
    <row r="1177" spans="1:23" ht="15.75" x14ac:dyDescent="0.25">
      <c r="A1177" s="45"/>
      <c r="B1177" s="16">
        <f t="shared" ref="B1177:B1188" si="417">B1176+1</f>
        <v>1</v>
      </c>
      <c r="C1177" s="301" t="s">
        <v>668</v>
      </c>
      <c r="D1177" s="8"/>
      <c r="E1177" s="19"/>
      <c r="F1177" s="21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8"/>
      <c r="V1177" s="64"/>
      <c r="W1177" s="138"/>
    </row>
    <row r="1178" spans="1:23" ht="15" x14ac:dyDescent="0.2">
      <c r="A1178" s="45"/>
      <c r="B1178" s="16">
        <f t="shared" si="417"/>
        <v>2</v>
      </c>
      <c r="D1178" s="1"/>
      <c r="E1178" s="16"/>
      <c r="F1178" s="18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"/>
      <c r="V1178" s="64"/>
      <c r="W1178" s="138"/>
    </row>
    <row r="1179" spans="1:23" ht="15.75" x14ac:dyDescent="0.25">
      <c r="A1179" s="45"/>
      <c r="B1179" s="16">
        <f t="shared" si="417"/>
        <v>3</v>
      </c>
      <c r="C1179" s="8" t="s">
        <v>669</v>
      </c>
      <c r="D1179" s="8"/>
      <c r="E1179" s="19"/>
      <c r="F1179" s="21"/>
      <c r="G1179" s="19"/>
      <c r="H1179" s="19"/>
      <c r="I1179" s="913"/>
      <c r="J1179" s="961"/>
      <c r="K1179" s="961"/>
      <c r="L1179" s="961"/>
      <c r="M1179" s="961"/>
      <c r="N1179" s="961"/>
      <c r="O1179" s="961"/>
      <c r="P1179" s="961"/>
      <c r="Q1179" s="961"/>
      <c r="R1179" s="961"/>
      <c r="S1179" s="961"/>
      <c r="T1179" s="19"/>
      <c r="U1179" s="8"/>
      <c r="V1179" s="64"/>
      <c r="W1179" s="138"/>
    </row>
    <row r="1180" spans="1:23" ht="15.75" x14ac:dyDescent="0.25">
      <c r="A1180" s="45"/>
      <c r="B1180" s="16">
        <f t="shared" si="417"/>
        <v>4</v>
      </c>
      <c r="C1180" s="647" t="s">
        <v>311</v>
      </c>
      <c r="D1180" s="1" t="s">
        <v>312</v>
      </c>
      <c r="E1180" s="19" t="s">
        <v>313</v>
      </c>
      <c r="F1180" s="97">
        <f>' WP II-I-1.4'!$I$1181</f>
        <v>0</v>
      </c>
      <c r="G1180" s="16">
        <v>10</v>
      </c>
      <c r="H1180" s="45" t="str">
        <f>VLOOKUP(G1180,FactorTable,2)</f>
        <v>CUS U RTL</v>
      </c>
      <c r="I1180" s="913"/>
      <c r="J1180" s="369">
        <f t="shared" ref="J1180:Q1180" si="418">$F1180*HLOOKUP(J$1354,FactorTable,$G1180+1)</f>
        <v>0</v>
      </c>
      <c r="K1180" s="369">
        <f t="shared" si="418"/>
        <v>0</v>
      </c>
      <c r="L1180" s="369">
        <f t="shared" si="418"/>
        <v>0</v>
      </c>
      <c r="M1180" s="369">
        <f t="shared" si="418"/>
        <v>0</v>
      </c>
      <c r="N1180" s="369">
        <f t="shared" si="418"/>
        <v>0</v>
      </c>
      <c r="O1180" s="369">
        <f>$F1180*HLOOKUP(O$1354,FactorTable,$G1180+1)</f>
        <v>0</v>
      </c>
      <c r="P1180" s="369">
        <f t="shared" si="418"/>
        <v>0</v>
      </c>
      <c r="Q1180" s="369">
        <f t="shared" si="418"/>
        <v>0</v>
      </c>
      <c r="R1180" s="369">
        <f>$F1180*HLOOKUP(R$1354,FactorTable,$G1180+1)</f>
        <v>0</v>
      </c>
      <c r="S1180" s="369">
        <f>$F1180*HLOOKUP(S$1354,FactorTable,$G1180+1)</f>
        <v>0</v>
      </c>
      <c r="T1180" s="913"/>
      <c r="U1180" s="97">
        <f>SUM(I1180:T1180)</f>
        <v>0</v>
      </c>
      <c r="V1180" s="64"/>
      <c r="W1180" s="643">
        <f t="shared" ref="W1180" si="419">F1180-U1180</f>
        <v>0</v>
      </c>
    </row>
    <row r="1181" spans="1:23" ht="15.75" thickBot="1" x14ac:dyDescent="0.25">
      <c r="A1181" s="45"/>
      <c r="B1181" s="16">
        <f t="shared" si="417"/>
        <v>5</v>
      </c>
      <c r="C1181" s="1"/>
      <c r="D1181" s="1"/>
      <c r="E1181" s="16"/>
      <c r="F1181" s="18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"/>
      <c r="V1181" s="64"/>
      <c r="W1181" s="138"/>
    </row>
    <row r="1182" spans="1:23" ht="16.5" thickBot="1" x14ac:dyDescent="0.3">
      <c r="A1182" s="45"/>
      <c r="B1182" s="16">
        <f t="shared" si="417"/>
        <v>6</v>
      </c>
      <c r="C1182" s="223" t="s">
        <v>670</v>
      </c>
      <c r="D1182" s="271"/>
      <c r="E1182" s="272"/>
      <c r="F1182" s="217">
        <f>+F1180+F1103+F1070-F1068-F1067</f>
        <v>43551086.220000006</v>
      </c>
      <c r="G1182" s="272"/>
      <c r="H1182" s="392"/>
      <c r="I1182" s="393"/>
      <c r="J1182" s="291">
        <f t="shared" ref="J1182:S1182" ca="1" si="420">+J1180+J1103+J1070-J1068-J1067</f>
        <v>21469195.611059681</v>
      </c>
      <c r="K1182" s="814">
        <f t="shared" ca="1" si="420"/>
        <v>2994840.3367646928</v>
      </c>
      <c r="L1182" s="814">
        <f t="shared" ca="1" si="420"/>
        <v>11709423.764801109</v>
      </c>
      <c r="M1182" s="814">
        <f t="shared" ca="1" si="420"/>
        <v>492327.61756896984</v>
      </c>
      <c r="N1182" s="814">
        <f t="shared" ca="1" si="420"/>
        <v>3790938.1604907741</v>
      </c>
      <c r="O1182" s="814">
        <f t="shared" ca="1" si="420"/>
        <v>124583.54618186234</v>
      </c>
      <c r="P1182" s="814">
        <f t="shared" ca="1" si="420"/>
        <v>260115.43150795597</v>
      </c>
      <c r="Q1182" s="814">
        <f t="shared" ca="1" si="420"/>
        <v>2661096.8024348384</v>
      </c>
      <c r="R1182" s="814">
        <f t="shared" ca="1" si="420"/>
        <v>13724.75981125629</v>
      </c>
      <c r="S1182" s="218">
        <f t="shared" ca="1" si="420"/>
        <v>34840.189378868301</v>
      </c>
      <c r="T1182" s="393"/>
      <c r="U1182" s="218">
        <f ca="1">SUM(I1182:T1182)</f>
        <v>43551086.220000006</v>
      </c>
      <c r="V1182" s="64"/>
      <c r="W1182" s="643">
        <f t="shared" ref="W1182:W1188" ca="1" si="421">F1182-U1182</f>
        <v>0</v>
      </c>
    </row>
    <row r="1183" spans="1:23" ht="16.5" thickBot="1" x14ac:dyDescent="0.3">
      <c r="A1183" s="45"/>
      <c r="B1183" s="16">
        <f t="shared" si="417"/>
        <v>7</v>
      </c>
      <c r="C1183" s="8"/>
      <c r="D1183" s="34"/>
      <c r="E1183" s="35"/>
      <c r="F1183" s="37"/>
      <c r="G1183" s="35"/>
      <c r="H1183" s="35"/>
      <c r="I1183" s="35"/>
      <c r="J1183" s="37"/>
      <c r="K1183" s="37"/>
      <c r="L1183" s="807"/>
      <c r="M1183" s="807"/>
      <c r="N1183" s="37"/>
      <c r="O1183" s="37"/>
      <c r="P1183" s="37"/>
      <c r="Q1183" s="37"/>
      <c r="R1183" s="37"/>
      <c r="S1183" s="37"/>
      <c r="T1183" s="35"/>
      <c r="U1183" s="229"/>
      <c r="V1183" s="45"/>
      <c r="W1183" s="643">
        <f t="shared" si="421"/>
        <v>0</v>
      </c>
    </row>
    <row r="1184" spans="1:23" ht="16.5" thickBot="1" x14ac:dyDescent="0.3">
      <c r="A1184" s="45"/>
      <c r="B1184" s="16">
        <f t="shared" si="417"/>
        <v>8</v>
      </c>
      <c r="C1184" s="223" t="s">
        <v>671</v>
      </c>
      <c r="D1184" s="271"/>
      <c r="E1184" s="272"/>
      <c r="F1184" s="217">
        <f>F1182+F1162</f>
        <v>46427784.438843861</v>
      </c>
      <c r="G1184" s="272"/>
      <c r="H1184" s="392"/>
      <c r="I1184" s="393"/>
      <c r="J1184" s="291">
        <f t="shared" ref="J1184:Q1184" ca="1" si="422">J1182+J1162</f>
        <v>22882056.916527584</v>
      </c>
      <c r="K1184" s="814">
        <f t="shared" ca="1" si="422"/>
        <v>3193315.8072236492</v>
      </c>
      <c r="L1184" s="814">
        <f t="shared" ca="1" si="422"/>
        <v>12479397.980049182</v>
      </c>
      <c r="M1184" s="814">
        <f t="shared" ca="1" si="422"/>
        <v>525033.1227317123</v>
      </c>
      <c r="N1184" s="814">
        <f t="shared" ca="1" si="422"/>
        <v>4040917.8021996333</v>
      </c>
      <c r="O1184" s="814">
        <f ca="1">O1182+O1162</f>
        <v>132463.14703301791</v>
      </c>
      <c r="P1184" s="814">
        <f t="shared" ca="1" si="422"/>
        <v>276722.54808636056</v>
      </c>
      <c r="Q1184" s="814">
        <f t="shared" ca="1" si="422"/>
        <v>2846201.472506301</v>
      </c>
      <c r="R1184" s="814">
        <f ca="1">R1182+R1162</f>
        <v>14606.562584603114</v>
      </c>
      <c r="S1184" s="218">
        <f ca="1">S1182+S1162</f>
        <v>37069.079901815661</v>
      </c>
      <c r="T1184" s="393"/>
      <c r="U1184" s="218">
        <f ca="1">SUM(I1184:T1184)</f>
        <v>46427784.438843854</v>
      </c>
      <c r="V1184" s="64"/>
      <c r="W1184" s="643">
        <f t="shared" ca="1" si="421"/>
        <v>0</v>
      </c>
    </row>
    <row r="1185" spans="1:23" ht="16.5" thickBot="1" x14ac:dyDescent="0.3">
      <c r="A1185" s="45"/>
      <c r="B1185" s="16">
        <f t="shared" si="417"/>
        <v>9</v>
      </c>
      <c r="C1185" s="8"/>
      <c r="D1185" s="34"/>
      <c r="E1185" s="35"/>
      <c r="F1185" s="37"/>
      <c r="G1185" s="35"/>
      <c r="H1185" s="35"/>
      <c r="I1185" s="35"/>
      <c r="J1185" s="37"/>
      <c r="K1185" s="37"/>
      <c r="L1185" s="807"/>
      <c r="M1185" s="807"/>
      <c r="N1185" s="37"/>
      <c r="O1185" s="37"/>
      <c r="P1185" s="37"/>
      <c r="Q1185" s="37"/>
      <c r="R1185" s="37"/>
      <c r="S1185" s="37"/>
      <c r="T1185" s="35"/>
      <c r="U1185" s="229"/>
      <c r="V1185" s="45"/>
      <c r="W1185" s="643">
        <f t="shared" si="421"/>
        <v>0</v>
      </c>
    </row>
    <row r="1186" spans="1:23" ht="16.5" thickBot="1" x14ac:dyDescent="0.3">
      <c r="A1186" s="45"/>
      <c r="B1186" s="16">
        <f t="shared" si="417"/>
        <v>10</v>
      </c>
      <c r="C1186" s="223" t="s">
        <v>672</v>
      </c>
      <c r="D1186" s="271"/>
      <c r="E1186" s="272"/>
      <c r="F1186" s="217">
        <f>F1162+F1103+F1070+F785</f>
        <v>104564123.46884386</v>
      </c>
      <c r="G1186" s="272"/>
      <c r="H1186" s="392"/>
      <c r="I1186" s="393"/>
      <c r="J1186" s="291">
        <f t="shared" ref="J1186:S1186" ca="1" si="423">J1162+J1103+J1070+J785</f>
        <v>53015171.06820859</v>
      </c>
      <c r="K1186" s="814">
        <f t="shared" ca="1" si="423"/>
        <v>6899158.1510527926</v>
      </c>
      <c r="L1186" s="814">
        <f t="shared" ca="1" si="423"/>
        <v>29276936.923634887</v>
      </c>
      <c r="M1186" s="814">
        <f t="shared" ca="1" si="423"/>
        <v>1103099.6660708264</v>
      </c>
      <c r="N1186" s="814">
        <f t="shared" ca="1" si="423"/>
        <v>9144559.684574632</v>
      </c>
      <c r="O1186" s="814">
        <f t="shared" ca="1" si="423"/>
        <v>415549.68028636486</v>
      </c>
      <c r="P1186" s="814">
        <f t="shared" ca="1" si="423"/>
        <v>949196.92874094332</v>
      </c>
      <c r="Q1186" s="814">
        <f t="shared" ca="1" si="423"/>
        <v>3652073.0785182412</v>
      </c>
      <c r="R1186" s="814">
        <f t="shared" ca="1" si="423"/>
        <v>30630.344609684853</v>
      </c>
      <c r="S1186" s="218">
        <f t="shared" ca="1" si="423"/>
        <v>77747.943146890379</v>
      </c>
      <c r="T1186" s="393"/>
      <c r="U1186" s="218">
        <f ca="1">SUM(I1186:T1186)</f>
        <v>104564123.46884383</v>
      </c>
      <c r="V1186" s="64"/>
      <c r="W1186" s="643">
        <f t="shared" ca="1" si="421"/>
        <v>0</v>
      </c>
    </row>
    <row r="1187" spans="1:23" ht="16.5" thickBot="1" x14ac:dyDescent="0.3">
      <c r="A1187" s="45"/>
      <c r="B1187" s="16">
        <f t="shared" si="417"/>
        <v>11</v>
      </c>
      <c r="C1187" s="8"/>
      <c r="D1187" s="34"/>
      <c r="E1187" s="35"/>
      <c r="F1187" s="37"/>
      <c r="G1187" s="35"/>
      <c r="H1187" s="35"/>
      <c r="I1187" s="35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5"/>
      <c r="U1187" s="229"/>
      <c r="V1187" s="45"/>
      <c r="W1187" s="643">
        <f t="shared" si="421"/>
        <v>0</v>
      </c>
    </row>
    <row r="1188" spans="1:23" ht="16.5" thickBot="1" x14ac:dyDescent="0.3">
      <c r="A1188" s="45"/>
      <c r="B1188" s="16">
        <f t="shared" si="417"/>
        <v>12</v>
      </c>
      <c r="C1188" s="223" t="s">
        <v>1146</v>
      </c>
      <c r="D1188" s="271"/>
      <c r="E1188" s="272"/>
      <c r="F1188" s="217">
        <f>F1186-F645</f>
        <v>104564123.46884386</v>
      </c>
      <c r="G1188" s="272"/>
      <c r="H1188" s="392"/>
      <c r="I1188" s="393"/>
      <c r="J1188" s="814">
        <f t="shared" ref="J1188:S1188" ca="1" si="424">J1186-J645</f>
        <v>53015171.06820859</v>
      </c>
      <c r="K1188" s="814">
        <f t="shared" ca="1" si="424"/>
        <v>6899158.1510527926</v>
      </c>
      <c r="L1188" s="814">
        <f t="shared" ca="1" si="424"/>
        <v>29276936.923634887</v>
      </c>
      <c r="M1188" s="814">
        <f t="shared" ca="1" si="424"/>
        <v>1103099.6660708264</v>
      </c>
      <c r="N1188" s="814">
        <f t="shared" ca="1" si="424"/>
        <v>9144559.684574632</v>
      </c>
      <c r="O1188" s="814">
        <f t="shared" ca="1" si="424"/>
        <v>415549.68028636486</v>
      </c>
      <c r="P1188" s="814">
        <f t="shared" ca="1" si="424"/>
        <v>949196.92874094332</v>
      </c>
      <c r="Q1188" s="814">
        <f t="shared" ca="1" si="424"/>
        <v>3652073.0785182412</v>
      </c>
      <c r="R1188" s="814">
        <f t="shared" ca="1" si="424"/>
        <v>30630.344609684853</v>
      </c>
      <c r="S1188" s="814">
        <f t="shared" ca="1" si="424"/>
        <v>77747.943146890379</v>
      </c>
      <c r="T1188" s="393"/>
      <c r="U1188" s="218">
        <f ca="1">SUM(I1188:T1188)</f>
        <v>104564123.46884383</v>
      </c>
      <c r="V1188" s="64"/>
      <c r="W1188" s="643">
        <f t="shared" ca="1" si="421"/>
        <v>0</v>
      </c>
    </row>
    <row r="1189" spans="1:23" ht="15" x14ac:dyDescent="0.2">
      <c r="A1189" s="45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138"/>
    </row>
    <row r="1190" spans="1:23" ht="15" x14ac:dyDescent="0.2">
      <c r="A1190" s="45"/>
      <c r="B1190" s="64"/>
      <c r="C1190" s="64"/>
      <c r="D1190" s="64"/>
      <c r="E1190" s="64"/>
      <c r="F1190" s="64"/>
      <c r="G1190" s="64"/>
      <c r="H1190" s="105"/>
      <c r="I1190" s="64"/>
      <c r="J1190" s="64"/>
      <c r="K1190" s="64"/>
      <c r="L1190" s="64"/>
      <c r="M1190" s="64"/>
      <c r="N1190" s="64"/>
      <c r="O1190" s="64"/>
      <c r="P1190" s="64"/>
      <c r="Q1190" s="64"/>
      <c r="R1190" s="64"/>
      <c r="S1190" s="64"/>
      <c r="T1190" s="64"/>
      <c r="U1190" s="105"/>
      <c r="V1190" s="105">
        <f>$H$2</f>
        <v>0</v>
      </c>
      <c r="W1190" s="138"/>
    </row>
    <row r="1191" spans="1:23" ht="15.75" thickBot="1" x14ac:dyDescent="0.25">
      <c r="A1191" s="45"/>
      <c r="B1191" s="64"/>
      <c r="C1191" s="64"/>
      <c r="D1191" s="64"/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W1191" s="138"/>
    </row>
    <row r="1192" spans="1:23" ht="15.75" x14ac:dyDescent="0.25">
      <c r="A1192" s="45"/>
      <c r="B1192" s="829" t="str">
        <f>+$B$4</f>
        <v>2025 RATE CASE</v>
      </c>
      <c r="C1192" s="844"/>
      <c r="D1192" s="547"/>
      <c r="F1192" s="11"/>
      <c r="U1192" s="105"/>
      <c r="W1192" s="138"/>
    </row>
    <row r="1193" spans="1:23" ht="15.75" x14ac:dyDescent="0.25">
      <c r="A1193" s="45"/>
      <c r="B1193" s="826" t="str">
        <f>+$B$5</f>
        <v>ONCOR ELECTRIC DELIVERY COMPANY LLC</v>
      </c>
      <c r="C1193" s="8"/>
      <c r="D1193" s="548"/>
      <c r="F1193" s="11"/>
      <c r="U1193" s="105"/>
      <c r="V1193" s="64"/>
      <c r="W1193" s="138"/>
    </row>
    <row r="1194" spans="1:23" ht="15.75" x14ac:dyDescent="0.25">
      <c r="A1194" s="45"/>
      <c r="B1194" s="826" t="str">
        <f>+$B$6</f>
        <v>II-I-1-TBILLTDCS:  CLASS REVENUE REQUIREMENT</v>
      </c>
      <c r="C1194" s="82"/>
      <c r="D1194" s="548"/>
      <c r="F1194" s="11"/>
      <c r="U1194" s="11"/>
      <c r="V1194" s="64"/>
      <c r="W1194" s="138"/>
    </row>
    <row r="1195" spans="1:23" ht="15.75" x14ac:dyDescent="0.25">
      <c r="A1195" s="45"/>
      <c r="B1195" s="341" t="str">
        <f>+$B$7</f>
        <v>TEST YEAR ENDING 12/31/2024</v>
      </c>
      <c r="C1195" s="82"/>
      <c r="D1195" s="548"/>
      <c r="F1195" s="11"/>
      <c r="U1195" s="11"/>
      <c r="V1195" s="64"/>
      <c r="W1195" s="138"/>
    </row>
    <row r="1196" spans="1:23" ht="15.75" x14ac:dyDescent="0.25">
      <c r="A1196" s="45"/>
      <c r="B1196" s="341" t="str">
        <f>+$B$8</f>
        <v>SPONSOR:  MATTHEW A. TROXLE</v>
      </c>
      <c r="C1196" s="82"/>
      <c r="D1196" s="548"/>
      <c r="F1196" s="11"/>
      <c r="U1196" s="11"/>
      <c r="V1196" s="64"/>
      <c r="W1196" s="138"/>
    </row>
    <row r="1197" spans="1:23" ht="16.5" thickBot="1" x14ac:dyDescent="0.3">
      <c r="A1197" s="45"/>
      <c r="B1197" s="345"/>
      <c r="C1197" s="843"/>
      <c r="D1197" s="549"/>
      <c r="F1197" s="11"/>
      <c r="U1197" s="11"/>
      <c r="V1197" s="64"/>
      <c r="W1197" s="138"/>
    </row>
    <row r="1198" spans="1:23" ht="15.75" thickBot="1" x14ac:dyDescent="0.25">
      <c r="A1198" s="45"/>
      <c r="B1198" s="12"/>
      <c r="C1198" s="13"/>
      <c r="D1198" s="13"/>
      <c r="E1198" s="13"/>
      <c r="F1198" s="12"/>
      <c r="G1198" s="13"/>
      <c r="H1198" s="13"/>
      <c r="I1198" s="13"/>
      <c r="J1198" s="177"/>
      <c r="K1198" s="177"/>
      <c r="L1198" s="13"/>
      <c r="M1198" s="177"/>
      <c r="N1198" s="177"/>
      <c r="O1198" s="177"/>
      <c r="P1198" s="177"/>
      <c r="Q1198" s="13"/>
      <c r="R1198" s="328" t="str">
        <f>R$10</f>
        <v xml:space="preserve"> </v>
      </c>
      <c r="S1198" s="329"/>
      <c r="T1198" s="177"/>
      <c r="U1198" s="12"/>
      <c r="V1198" s="64"/>
      <c r="W1198" s="138"/>
    </row>
    <row r="1199" spans="1:23" ht="15.75" x14ac:dyDescent="0.25">
      <c r="A1199" s="45"/>
      <c r="B1199" s="14" t="s">
        <v>2</v>
      </c>
      <c r="C1199" s="14" t="s">
        <v>349</v>
      </c>
      <c r="D1199" s="226" t="s">
        <v>317</v>
      </c>
      <c r="E1199" s="14" t="s">
        <v>350</v>
      </c>
      <c r="F1199" s="226" t="str">
        <f>F$11</f>
        <v>TBILLTDCS</v>
      </c>
      <c r="G1199" s="181" t="s">
        <v>688</v>
      </c>
      <c r="H1199" s="181" t="s">
        <v>355</v>
      </c>
      <c r="I1199" s="14"/>
      <c r="J1199" s="181" t="s">
        <v>679</v>
      </c>
      <c r="K1199" s="181" t="s">
        <v>388</v>
      </c>
      <c r="L1199" s="14" t="s">
        <v>388</v>
      </c>
      <c r="M1199" s="181" t="s">
        <v>389</v>
      </c>
      <c r="N1199" s="181" t="s">
        <v>389</v>
      </c>
      <c r="O1199" s="181" t="s">
        <v>389</v>
      </c>
      <c r="P1199" s="181" t="s">
        <v>390</v>
      </c>
      <c r="Q1199" s="14" t="s">
        <v>391</v>
      </c>
      <c r="R1199" s="331" t="str">
        <f>R$11</f>
        <v>Wholesale</v>
      </c>
      <c r="S1199" s="12" t="str">
        <f>S$11</f>
        <v>Wholesale</v>
      </c>
      <c r="T1199" s="181"/>
      <c r="U1199" s="14" t="s">
        <v>10</v>
      </c>
      <c r="V1199" s="64"/>
      <c r="W1199" s="138"/>
    </row>
    <row r="1200" spans="1:23" ht="15" x14ac:dyDescent="0.2">
      <c r="A1200" s="45"/>
      <c r="B1200" s="14"/>
      <c r="C1200" s="14"/>
      <c r="D1200" s="14"/>
      <c r="E1200" s="14"/>
      <c r="F1200" s="14"/>
      <c r="G1200" s="181" t="s">
        <v>689</v>
      </c>
      <c r="H1200" s="181" t="s">
        <v>690</v>
      </c>
      <c r="I1200" s="14"/>
      <c r="J1200" s="181"/>
      <c r="K1200" s="181" t="s">
        <v>680</v>
      </c>
      <c r="L1200" s="14" t="s">
        <v>681</v>
      </c>
      <c r="M1200" s="181" t="s">
        <v>680</v>
      </c>
      <c r="N1200" s="181" t="s">
        <v>681</v>
      </c>
      <c r="O1200" s="181" t="s">
        <v>393</v>
      </c>
      <c r="P1200" s="181"/>
      <c r="Q1200" s="14"/>
      <c r="R1200" s="174" t="str">
        <f>R$12</f>
        <v>XFMR</v>
      </c>
      <c r="S1200" s="14" t="str">
        <f>S$12</f>
        <v>DLS</v>
      </c>
      <c r="T1200" s="181"/>
      <c r="U1200" s="14"/>
      <c r="V1200" s="64"/>
      <c r="W1200" s="138"/>
    </row>
    <row r="1201" spans="1:23" ht="15.75" thickBot="1" x14ac:dyDescent="0.25">
      <c r="A1201" s="45"/>
      <c r="B1201" s="15"/>
      <c r="C1201" s="15"/>
      <c r="D1201" s="15"/>
      <c r="E1201" s="15"/>
      <c r="F1201" s="15" t="s">
        <v>13</v>
      </c>
      <c r="G1201" s="15" t="s">
        <v>14</v>
      </c>
      <c r="H1201" s="15" t="s">
        <v>15</v>
      </c>
      <c r="I1201" s="15"/>
      <c r="J1201" s="182" t="str">
        <f t="shared" ref="J1201:Q1201" si="425">J$13</f>
        <v>(d)</v>
      </c>
      <c r="K1201" s="182" t="str">
        <f t="shared" si="425"/>
        <v>(e)</v>
      </c>
      <c r="L1201" s="15" t="str">
        <f t="shared" si="425"/>
        <v>(f)</v>
      </c>
      <c r="M1201" s="182" t="str">
        <f t="shared" si="425"/>
        <v>(g)</v>
      </c>
      <c r="N1201" s="182" t="str">
        <f t="shared" si="425"/>
        <v>(h)</v>
      </c>
      <c r="O1201" s="182" t="str">
        <f>O$13</f>
        <v>(i)</v>
      </c>
      <c r="P1201" s="182" t="str">
        <f t="shared" si="425"/>
        <v>(j)</v>
      </c>
      <c r="Q1201" s="182" t="str">
        <f t="shared" si="425"/>
        <v>(k)</v>
      </c>
      <c r="R1201" s="182" t="str">
        <f>R$13</f>
        <v>(l)</v>
      </c>
      <c r="S1201" s="15" t="str">
        <f>S$13</f>
        <v>(m)</v>
      </c>
      <c r="T1201" s="15"/>
      <c r="U1201" s="15" t="s">
        <v>683</v>
      </c>
      <c r="V1201" s="64"/>
      <c r="W1201" s="138"/>
    </row>
    <row r="1202" spans="1:23" ht="15" x14ac:dyDescent="0.2">
      <c r="A1202" s="45"/>
      <c r="B1202" s="64"/>
      <c r="C1202" s="96"/>
      <c r="D1202" s="96"/>
      <c r="E1202" s="251"/>
      <c r="F1202" s="308"/>
      <c r="G1202" s="16"/>
      <c r="H1202" s="251"/>
      <c r="I1202" s="251"/>
      <c r="J1202" s="251"/>
      <c r="K1202" s="251"/>
      <c r="L1202" s="251"/>
      <c r="M1202" s="251"/>
      <c r="N1202" s="251"/>
      <c r="O1202" s="251"/>
      <c r="P1202" s="251"/>
      <c r="Q1202" s="251"/>
      <c r="R1202" s="251"/>
      <c r="S1202" s="251"/>
      <c r="T1202" s="251"/>
      <c r="U1202" s="1"/>
      <c r="V1202" s="64"/>
      <c r="W1202" s="138"/>
    </row>
    <row r="1203" spans="1:23" ht="15.75" x14ac:dyDescent="0.25">
      <c r="A1203" s="45"/>
      <c r="B1203" s="16">
        <f t="shared" ref="B1203:B1206" si="426">B1202+1</f>
        <v>1</v>
      </c>
      <c r="C1203" s="8" t="s">
        <v>673</v>
      </c>
      <c r="D1203" s="8"/>
      <c r="E1203" s="19" t="s">
        <v>318</v>
      </c>
      <c r="F1203" s="21"/>
      <c r="G1203" s="16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8"/>
      <c r="V1203" s="64"/>
      <c r="W1203" s="138"/>
    </row>
    <row r="1204" spans="1:23" ht="15.75" x14ac:dyDescent="0.25">
      <c r="A1204" s="45"/>
      <c r="B1204" s="16">
        <f t="shared" si="426"/>
        <v>2</v>
      </c>
      <c r="C1204" s="8" t="s">
        <v>319</v>
      </c>
      <c r="D1204" s="8"/>
      <c r="E1204" s="19"/>
      <c r="F1204" s="21"/>
      <c r="G1204" s="16"/>
      <c r="H1204" s="19"/>
      <c r="I1204" s="913"/>
      <c r="J1204" s="961"/>
      <c r="K1204" s="961"/>
      <c r="L1204" s="961"/>
      <c r="M1204" s="961"/>
      <c r="N1204" s="961"/>
      <c r="O1204" s="961"/>
      <c r="P1204" s="961"/>
      <c r="Q1204" s="961"/>
      <c r="R1204" s="961"/>
      <c r="S1204" s="961"/>
      <c r="T1204" s="913"/>
      <c r="U1204" s="8"/>
      <c r="V1204" s="64"/>
      <c r="W1204" s="643">
        <f t="shared" ref="W1204:W1230" si="427">F1204-U1204</f>
        <v>0</v>
      </c>
    </row>
    <row r="1205" spans="1:23" ht="15" x14ac:dyDescent="0.2">
      <c r="A1205" s="45"/>
      <c r="B1205" s="16">
        <f t="shared" si="426"/>
        <v>3</v>
      </c>
      <c r="C1205" s="1" t="s">
        <v>320</v>
      </c>
      <c r="D1205" s="1" t="s">
        <v>321</v>
      </c>
      <c r="E1205" s="16"/>
      <c r="F1205" s="97">
        <f>' WP II-I-1.4'!I1206</f>
        <v>0</v>
      </c>
      <c r="G1205" s="16">
        <v>26</v>
      </c>
      <c r="H1205" s="45" t="str">
        <f t="shared" ref="H1205:H1217" si="428">VLOOKUP(G1205,FactorTable,2)</f>
        <v>NCP ALL</v>
      </c>
      <c r="I1205" s="16"/>
      <c r="J1205" s="369">
        <f t="shared" ref="J1205:S1207" si="429">$F1205*HLOOKUP(J$1354,FactorTable,$G1205+1)</f>
        <v>0</v>
      </c>
      <c r="K1205" s="369">
        <f t="shared" si="429"/>
        <v>0</v>
      </c>
      <c r="L1205" s="369">
        <f t="shared" si="429"/>
        <v>0</v>
      </c>
      <c r="M1205" s="369">
        <f t="shared" si="429"/>
        <v>0</v>
      </c>
      <c r="N1205" s="369">
        <f t="shared" si="429"/>
        <v>0</v>
      </c>
      <c r="O1205" s="369">
        <f t="shared" si="429"/>
        <v>0</v>
      </c>
      <c r="P1205" s="369">
        <f t="shared" si="429"/>
        <v>0</v>
      </c>
      <c r="Q1205" s="369">
        <f t="shared" si="429"/>
        <v>0</v>
      </c>
      <c r="R1205" s="369">
        <f t="shared" si="429"/>
        <v>0</v>
      </c>
      <c r="S1205" s="369">
        <f t="shared" si="429"/>
        <v>0</v>
      </c>
      <c r="T1205" s="16"/>
      <c r="U1205" s="97">
        <f t="shared" ref="U1205:U1220" si="430">SUM(I1205:T1205)</f>
        <v>0</v>
      </c>
      <c r="V1205" s="64"/>
      <c r="W1205" s="643">
        <f t="shared" si="427"/>
        <v>0</v>
      </c>
    </row>
    <row r="1206" spans="1:23" ht="15" x14ac:dyDescent="0.2">
      <c r="A1206" s="45"/>
      <c r="B1206" s="16">
        <f t="shared" si="426"/>
        <v>4</v>
      </c>
      <c r="C1206" s="1" t="s">
        <v>322</v>
      </c>
      <c r="D1206" s="1" t="s">
        <v>323</v>
      </c>
      <c r="E1206" s="16"/>
      <c r="F1206" s="229">
        <f>' WP II-I-1.4'!I1207</f>
        <v>0</v>
      </c>
      <c r="G1206" s="16">
        <v>92</v>
      </c>
      <c r="H1206" s="45" t="str">
        <f t="shared" si="428"/>
        <v>RCOS x565</v>
      </c>
      <c r="I1206" s="16"/>
      <c r="J1206" s="369">
        <f t="shared" ca="1" si="429"/>
        <v>0</v>
      </c>
      <c r="K1206" s="369">
        <f t="shared" ca="1" si="429"/>
        <v>0</v>
      </c>
      <c r="L1206" s="369">
        <f t="shared" ca="1" si="429"/>
        <v>0</v>
      </c>
      <c r="M1206" s="369">
        <f t="shared" ca="1" si="429"/>
        <v>0</v>
      </c>
      <c r="N1206" s="369">
        <f t="shared" ca="1" si="429"/>
        <v>0</v>
      </c>
      <c r="O1206" s="369">
        <f t="shared" ca="1" si="429"/>
        <v>0</v>
      </c>
      <c r="P1206" s="369">
        <f t="shared" ca="1" si="429"/>
        <v>0</v>
      </c>
      <c r="Q1206" s="369">
        <f t="shared" ca="1" si="429"/>
        <v>0</v>
      </c>
      <c r="R1206" s="369">
        <f t="shared" si="429"/>
        <v>0</v>
      </c>
      <c r="S1206" s="369">
        <f t="shared" si="429"/>
        <v>0</v>
      </c>
      <c r="T1206" s="16"/>
      <c r="U1206" s="97">
        <f t="shared" ca="1" si="430"/>
        <v>0</v>
      </c>
      <c r="V1206" s="64"/>
      <c r="W1206" s="643">
        <f t="shared" ca="1" si="427"/>
        <v>0</v>
      </c>
    </row>
    <row r="1207" spans="1:23" ht="15" x14ac:dyDescent="0.2">
      <c r="A1207" s="45"/>
      <c r="B1207" s="16">
        <f>B1206+1</f>
        <v>5</v>
      </c>
      <c r="C1207" s="321" t="s">
        <v>322</v>
      </c>
      <c r="D1207" s="321" t="s">
        <v>1297</v>
      </c>
      <c r="E1207" s="321"/>
      <c r="F1207" s="229">
        <f>' WP II-I-1.4'!I1208</f>
        <v>0</v>
      </c>
      <c r="G1207" s="16">
        <v>6</v>
      </c>
      <c r="H1207" s="45" t="str">
        <f t="shared" ref="H1207" si="431">VLOOKUP(G1207,FactorTable,2)</f>
        <v>CUS W ALL</v>
      </c>
      <c r="I1207" s="16"/>
      <c r="J1207" s="369">
        <f t="shared" si="429"/>
        <v>0</v>
      </c>
      <c r="K1207" s="369">
        <f t="shared" si="429"/>
        <v>0</v>
      </c>
      <c r="L1207" s="369">
        <f t="shared" si="429"/>
        <v>0</v>
      </c>
      <c r="M1207" s="369">
        <f t="shared" si="429"/>
        <v>0</v>
      </c>
      <c r="N1207" s="369">
        <f t="shared" si="429"/>
        <v>0</v>
      </c>
      <c r="O1207" s="369">
        <f t="shared" si="429"/>
        <v>0</v>
      </c>
      <c r="P1207" s="369">
        <f t="shared" si="429"/>
        <v>0</v>
      </c>
      <c r="Q1207" s="369">
        <f t="shared" si="429"/>
        <v>0</v>
      </c>
      <c r="R1207" s="369">
        <f t="shared" si="429"/>
        <v>0</v>
      </c>
      <c r="S1207" s="369">
        <f t="shared" si="429"/>
        <v>0</v>
      </c>
      <c r="T1207" s="16"/>
      <c r="U1207" s="97">
        <f t="shared" ref="U1207" si="432">SUM(I1207:T1207)</f>
        <v>0</v>
      </c>
      <c r="V1207" s="64"/>
      <c r="W1207" s="643">
        <f t="shared" ref="W1207" si="433">F1207-U1207</f>
        <v>0</v>
      </c>
    </row>
    <row r="1208" spans="1:23" ht="17.100000000000001" customHeight="1" x14ac:dyDescent="0.2">
      <c r="A1208" s="45"/>
      <c r="B1208" s="16">
        <f t="shared" ref="B1208:B1230" si="434">B1207+1</f>
        <v>6</v>
      </c>
      <c r="C1208" s="1" t="s">
        <v>674</v>
      </c>
      <c r="D1208" s="26" t="s">
        <v>324</v>
      </c>
      <c r="E1208" s="16"/>
      <c r="F1208" s="229">
        <f>' WP II-I-1.4'!I1209</f>
        <v>85782</v>
      </c>
      <c r="G1208" s="16">
        <v>10</v>
      </c>
      <c r="H1208" s="45" t="str">
        <f t="shared" si="428"/>
        <v>CUS U RTL</v>
      </c>
      <c r="I1208" s="16"/>
      <c r="J1208" s="369">
        <f t="shared" ref="J1208:S1216" si="435">$F1208*HLOOKUP(J$1354,FactorTable,$G1208+1)</f>
        <v>73406.182311487879</v>
      </c>
      <c r="K1208" s="369">
        <f t="shared" si="435"/>
        <v>6088.8709227171576</v>
      </c>
      <c r="L1208" s="369">
        <f t="shared" si="435"/>
        <v>4974.9858428528742</v>
      </c>
      <c r="M1208" s="369">
        <f t="shared" si="435"/>
        <v>66.470538219749315</v>
      </c>
      <c r="N1208" s="369">
        <f t="shared" si="435"/>
        <v>148.80071362877214</v>
      </c>
      <c r="O1208" s="369">
        <f t="shared" si="435"/>
        <v>3.4560439329566628</v>
      </c>
      <c r="P1208" s="369">
        <f t="shared" si="435"/>
        <v>7.2089259951243276</v>
      </c>
      <c r="Q1208" s="369">
        <f t="shared" si="435"/>
        <v>1086.0247011654799</v>
      </c>
      <c r="R1208" s="369">
        <f t="shared" si="435"/>
        <v>0</v>
      </c>
      <c r="S1208" s="369">
        <f t="shared" si="435"/>
        <v>0</v>
      </c>
      <c r="T1208" s="16"/>
      <c r="U1208" s="97">
        <f t="shared" si="430"/>
        <v>85781.999999999985</v>
      </c>
      <c r="V1208" s="64"/>
      <c r="W1208" s="643">
        <f t="shared" si="427"/>
        <v>0</v>
      </c>
    </row>
    <row r="1209" spans="1:23" ht="15" x14ac:dyDescent="0.2">
      <c r="A1209" s="45"/>
      <c r="B1209" s="16">
        <f t="shared" si="434"/>
        <v>7</v>
      </c>
      <c r="C1209" s="1" t="s">
        <v>674</v>
      </c>
      <c r="D1209" s="1" t="s">
        <v>325</v>
      </c>
      <c r="E1209" s="16"/>
      <c r="F1209" s="229">
        <f>' WP II-I-1.4'!I1210</f>
        <v>0</v>
      </c>
      <c r="G1209" s="16">
        <v>58</v>
      </c>
      <c r="H1209" s="45" t="str">
        <f t="shared" si="428"/>
        <v>PLTDIST_N</v>
      </c>
      <c r="I1209" s="16"/>
      <c r="J1209" s="369">
        <f t="shared" ca="1" si="435"/>
        <v>0</v>
      </c>
      <c r="K1209" s="369">
        <f t="shared" ca="1" si="435"/>
        <v>0</v>
      </c>
      <c r="L1209" s="369">
        <f t="shared" ca="1" si="435"/>
        <v>0</v>
      </c>
      <c r="M1209" s="369">
        <f t="shared" ca="1" si="435"/>
        <v>0</v>
      </c>
      <c r="N1209" s="369">
        <f t="shared" ca="1" si="435"/>
        <v>0</v>
      </c>
      <c r="O1209" s="369">
        <f t="shared" ca="1" si="435"/>
        <v>0</v>
      </c>
      <c r="P1209" s="369">
        <f t="shared" ca="1" si="435"/>
        <v>0</v>
      </c>
      <c r="Q1209" s="369">
        <f t="shared" ca="1" si="435"/>
        <v>0</v>
      </c>
      <c r="R1209" s="369">
        <f t="shared" ca="1" si="435"/>
        <v>0</v>
      </c>
      <c r="S1209" s="369">
        <f t="shared" ca="1" si="435"/>
        <v>0</v>
      </c>
      <c r="T1209" s="16"/>
      <c r="U1209" s="97">
        <f t="shared" ca="1" si="430"/>
        <v>0</v>
      </c>
      <c r="V1209" s="64"/>
      <c r="W1209" s="643">
        <f t="shared" ca="1" si="427"/>
        <v>0</v>
      </c>
    </row>
    <row r="1210" spans="1:23" ht="15" x14ac:dyDescent="0.2">
      <c r="A1210" s="45"/>
      <c r="B1210" s="16">
        <f t="shared" si="434"/>
        <v>8</v>
      </c>
      <c r="C1210" s="1" t="s">
        <v>326</v>
      </c>
      <c r="D1210" s="1" t="s">
        <v>327</v>
      </c>
      <c r="E1210" s="16"/>
      <c r="F1210" s="229">
        <f>' WP II-I-1.4'!I1211</f>
        <v>0</v>
      </c>
      <c r="G1210" s="16">
        <v>45</v>
      </c>
      <c r="H1210" s="45" t="str">
        <f t="shared" si="428"/>
        <v>PLT 364</v>
      </c>
      <c r="I1210" s="16"/>
      <c r="J1210" s="369">
        <f t="shared" si="435"/>
        <v>0</v>
      </c>
      <c r="K1210" s="369">
        <f t="shared" si="435"/>
        <v>0</v>
      </c>
      <c r="L1210" s="369">
        <f t="shared" si="435"/>
        <v>0</v>
      </c>
      <c r="M1210" s="369">
        <f t="shared" si="435"/>
        <v>0</v>
      </c>
      <c r="N1210" s="369">
        <f t="shared" si="435"/>
        <v>0</v>
      </c>
      <c r="O1210" s="369">
        <f t="shared" si="435"/>
        <v>0</v>
      </c>
      <c r="P1210" s="369">
        <f t="shared" si="435"/>
        <v>0</v>
      </c>
      <c r="Q1210" s="369">
        <f t="shared" si="435"/>
        <v>0</v>
      </c>
      <c r="R1210" s="369">
        <f t="shared" si="435"/>
        <v>0</v>
      </c>
      <c r="S1210" s="369">
        <f t="shared" si="435"/>
        <v>0</v>
      </c>
      <c r="T1210" s="16"/>
      <c r="U1210" s="97">
        <f t="shared" si="430"/>
        <v>0</v>
      </c>
      <c r="V1210" s="64"/>
      <c r="W1210" s="643">
        <f t="shared" si="427"/>
        <v>0</v>
      </c>
    </row>
    <row r="1211" spans="1:23" ht="15" x14ac:dyDescent="0.2">
      <c r="A1211" s="45"/>
      <c r="B1211" s="16">
        <f t="shared" si="434"/>
        <v>9</v>
      </c>
      <c r="C1211" s="1" t="s">
        <v>351</v>
      </c>
      <c r="D1211" s="1" t="s">
        <v>900</v>
      </c>
      <c r="E1211" s="16" t="s">
        <v>902</v>
      </c>
      <c r="F1211" s="229">
        <f>' WP II-I-1.4'!I1212</f>
        <v>0</v>
      </c>
      <c r="G1211" s="16">
        <v>45</v>
      </c>
      <c r="H1211" s="45" t="str">
        <f t="shared" si="428"/>
        <v>PLT 364</v>
      </c>
      <c r="I1211" s="16"/>
      <c r="J1211" s="369">
        <f t="shared" si="435"/>
        <v>0</v>
      </c>
      <c r="K1211" s="369">
        <f t="shared" si="435"/>
        <v>0</v>
      </c>
      <c r="L1211" s="369">
        <f t="shared" si="435"/>
        <v>0</v>
      </c>
      <c r="M1211" s="369">
        <f t="shared" si="435"/>
        <v>0</v>
      </c>
      <c r="N1211" s="369">
        <f t="shared" si="435"/>
        <v>0</v>
      </c>
      <c r="O1211" s="369">
        <f t="shared" si="435"/>
        <v>0</v>
      </c>
      <c r="P1211" s="369">
        <f t="shared" si="435"/>
        <v>0</v>
      </c>
      <c r="Q1211" s="369">
        <f t="shared" si="435"/>
        <v>0</v>
      </c>
      <c r="R1211" s="369">
        <f t="shared" si="435"/>
        <v>0</v>
      </c>
      <c r="S1211" s="369">
        <f t="shared" si="435"/>
        <v>0</v>
      </c>
      <c r="T1211" s="16"/>
      <c r="U1211" s="97">
        <f t="shared" si="430"/>
        <v>0</v>
      </c>
      <c r="V1211" s="64"/>
      <c r="W1211" s="643">
        <f t="shared" si="427"/>
        <v>0</v>
      </c>
    </row>
    <row r="1212" spans="1:23" ht="15" x14ac:dyDescent="0.2">
      <c r="A1212" s="45"/>
      <c r="B1212" s="16">
        <f t="shared" si="434"/>
        <v>10</v>
      </c>
      <c r="C1212" s="1" t="s">
        <v>353</v>
      </c>
      <c r="D1212" s="1" t="s">
        <v>901</v>
      </c>
      <c r="E1212" s="16" t="s">
        <v>902</v>
      </c>
      <c r="F1212" s="229">
        <f>' WP II-I-1.4'!I1213</f>
        <v>0</v>
      </c>
      <c r="G1212" s="16">
        <v>47</v>
      </c>
      <c r="H1212" s="45" t="str">
        <f t="shared" si="428"/>
        <v>PLT 366</v>
      </c>
      <c r="I1212" s="16"/>
      <c r="J1212" s="369">
        <f t="shared" si="435"/>
        <v>0</v>
      </c>
      <c r="K1212" s="369">
        <f t="shared" si="435"/>
        <v>0</v>
      </c>
      <c r="L1212" s="369">
        <f t="shared" si="435"/>
        <v>0</v>
      </c>
      <c r="M1212" s="369">
        <f t="shared" si="435"/>
        <v>0</v>
      </c>
      <c r="N1212" s="369">
        <f t="shared" si="435"/>
        <v>0</v>
      </c>
      <c r="O1212" s="369">
        <f t="shared" si="435"/>
        <v>0</v>
      </c>
      <c r="P1212" s="369">
        <f t="shared" si="435"/>
        <v>0</v>
      </c>
      <c r="Q1212" s="369">
        <f t="shared" si="435"/>
        <v>0</v>
      </c>
      <c r="R1212" s="369">
        <f t="shared" si="435"/>
        <v>0</v>
      </c>
      <c r="S1212" s="369">
        <f t="shared" si="435"/>
        <v>0</v>
      </c>
      <c r="T1212" s="16"/>
      <c r="U1212" s="97">
        <f>SUM(I1212:T1212)</f>
        <v>0</v>
      </c>
      <c r="V1212" s="64"/>
      <c r="W1212" s="643">
        <f t="shared" si="427"/>
        <v>0</v>
      </c>
    </row>
    <row r="1213" spans="1:23" ht="15" x14ac:dyDescent="0.2">
      <c r="A1213" s="45"/>
      <c r="B1213" s="16">
        <f t="shared" si="434"/>
        <v>11</v>
      </c>
      <c r="C1213" s="1" t="s">
        <v>330</v>
      </c>
      <c r="D1213" s="1" t="s">
        <v>331</v>
      </c>
      <c r="E1213" s="16"/>
      <c r="F1213" s="229">
        <f>' WP II-I-1.4'!I1214</f>
        <v>0</v>
      </c>
      <c r="G1213" s="16">
        <v>45</v>
      </c>
      <c r="H1213" s="45" t="str">
        <f t="shared" si="428"/>
        <v>PLT 364</v>
      </c>
      <c r="I1213" s="16"/>
      <c r="J1213" s="369">
        <f t="shared" si="435"/>
        <v>0</v>
      </c>
      <c r="K1213" s="369">
        <f t="shared" si="435"/>
        <v>0</v>
      </c>
      <c r="L1213" s="369">
        <f t="shared" si="435"/>
        <v>0</v>
      </c>
      <c r="M1213" s="369">
        <f t="shared" si="435"/>
        <v>0</v>
      </c>
      <c r="N1213" s="369">
        <f t="shared" si="435"/>
        <v>0</v>
      </c>
      <c r="O1213" s="369">
        <f t="shared" si="435"/>
        <v>0</v>
      </c>
      <c r="P1213" s="369">
        <f t="shared" si="435"/>
        <v>0</v>
      </c>
      <c r="Q1213" s="369">
        <f t="shared" si="435"/>
        <v>0</v>
      </c>
      <c r="R1213" s="369">
        <f t="shared" si="435"/>
        <v>0</v>
      </c>
      <c r="S1213" s="369">
        <f t="shared" si="435"/>
        <v>0</v>
      </c>
      <c r="T1213" s="16"/>
      <c r="U1213" s="97">
        <f t="shared" si="430"/>
        <v>0</v>
      </c>
      <c r="V1213" s="64"/>
      <c r="W1213" s="643">
        <f t="shared" si="427"/>
        <v>0</v>
      </c>
    </row>
    <row r="1214" spans="1:23" ht="15" x14ac:dyDescent="0.2">
      <c r="A1214" s="45"/>
      <c r="B1214" s="16">
        <f t="shared" si="434"/>
        <v>12</v>
      </c>
      <c r="C1214" s="1" t="s">
        <v>332</v>
      </c>
      <c r="D1214" s="647" t="s">
        <v>1304</v>
      </c>
      <c r="E1214" s="16"/>
      <c r="F1214" s="229">
        <f>' WP II-I-1.4'!I1215</f>
        <v>0</v>
      </c>
      <c r="G1214" s="16">
        <v>62</v>
      </c>
      <c r="H1214" s="45" t="str">
        <f t="shared" si="428"/>
        <v>PLTGEN</v>
      </c>
      <c r="I1214" s="16"/>
      <c r="J1214" s="369">
        <f t="shared" ca="1" si="435"/>
        <v>0</v>
      </c>
      <c r="K1214" s="369">
        <f t="shared" ca="1" si="435"/>
        <v>0</v>
      </c>
      <c r="L1214" s="369">
        <f t="shared" ca="1" si="435"/>
        <v>0</v>
      </c>
      <c r="M1214" s="369">
        <f t="shared" ca="1" si="435"/>
        <v>0</v>
      </c>
      <c r="N1214" s="369">
        <f t="shared" ca="1" si="435"/>
        <v>0</v>
      </c>
      <c r="O1214" s="369">
        <f t="shared" ca="1" si="435"/>
        <v>0</v>
      </c>
      <c r="P1214" s="369">
        <f t="shared" ca="1" si="435"/>
        <v>0</v>
      </c>
      <c r="Q1214" s="369">
        <f t="shared" ca="1" si="435"/>
        <v>0</v>
      </c>
      <c r="R1214" s="369">
        <f t="shared" ca="1" si="435"/>
        <v>0</v>
      </c>
      <c r="S1214" s="369">
        <f t="shared" ca="1" si="435"/>
        <v>0</v>
      </c>
      <c r="T1214" s="16"/>
      <c r="U1214" s="97">
        <f t="shared" ca="1" si="430"/>
        <v>0</v>
      </c>
      <c r="V1214" s="64"/>
      <c r="W1214" s="643">
        <f t="shared" ca="1" si="427"/>
        <v>0</v>
      </c>
    </row>
    <row r="1215" spans="1:23" ht="15" x14ac:dyDescent="0.2">
      <c r="A1215" s="45"/>
      <c r="B1215" s="16">
        <f t="shared" si="434"/>
        <v>13</v>
      </c>
      <c r="C1215" s="321" t="s">
        <v>1135</v>
      </c>
      <c r="D1215" s="321" t="s">
        <v>1305</v>
      </c>
      <c r="E1215" s="321"/>
      <c r="F1215" s="229">
        <f>' WP II-I-1.4'!I1216</f>
        <v>0</v>
      </c>
      <c r="G1215" s="16">
        <v>6</v>
      </c>
      <c r="H1215" s="45" t="str">
        <f t="shared" si="428"/>
        <v>CUS W ALL</v>
      </c>
      <c r="I1215" s="16"/>
      <c r="J1215" s="369">
        <f t="shared" si="435"/>
        <v>0</v>
      </c>
      <c r="K1215" s="369">
        <f t="shared" si="435"/>
        <v>0</v>
      </c>
      <c r="L1215" s="369">
        <f t="shared" si="435"/>
        <v>0</v>
      </c>
      <c r="M1215" s="369">
        <f t="shared" si="435"/>
        <v>0</v>
      </c>
      <c r="N1215" s="369">
        <f t="shared" si="435"/>
        <v>0</v>
      </c>
      <c r="O1215" s="369">
        <f t="shared" si="435"/>
        <v>0</v>
      </c>
      <c r="P1215" s="369">
        <f t="shared" si="435"/>
        <v>0</v>
      </c>
      <c r="Q1215" s="369">
        <f t="shared" si="435"/>
        <v>0</v>
      </c>
      <c r="R1215" s="369">
        <f t="shared" si="435"/>
        <v>0</v>
      </c>
      <c r="S1215" s="369">
        <f t="shared" si="435"/>
        <v>0</v>
      </c>
      <c r="T1215" s="16"/>
      <c r="U1215" s="97">
        <f t="shared" si="430"/>
        <v>0</v>
      </c>
      <c r="V1215" s="64"/>
      <c r="W1215" s="643">
        <f t="shared" si="427"/>
        <v>0</v>
      </c>
    </row>
    <row r="1216" spans="1:23" ht="15" x14ac:dyDescent="0.2">
      <c r="A1216" s="45"/>
      <c r="B1216" s="16">
        <f t="shared" si="434"/>
        <v>14</v>
      </c>
      <c r="C1216" s="321" t="s">
        <v>1135</v>
      </c>
      <c r="D1216" s="321" t="s">
        <v>1306</v>
      </c>
      <c r="E1216" s="321"/>
      <c r="F1216" s="229">
        <f>' WP II-I-1.4'!I1217</f>
        <v>0</v>
      </c>
      <c r="G1216" s="16">
        <v>6</v>
      </c>
      <c r="H1216" s="45" t="str">
        <f t="shared" ref="H1216" si="436">VLOOKUP(G1216,FactorTable,2)</f>
        <v>CUS W ALL</v>
      </c>
      <c r="I1216" s="16"/>
      <c r="J1216" s="369">
        <f t="shared" si="435"/>
        <v>0</v>
      </c>
      <c r="K1216" s="369">
        <f t="shared" si="435"/>
        <v>0</v>
      </c>
      <c r="L1216" s="369">
        <f t="shared" si="435"/>
        <v>0</v>
      </c>
      <c r="M1216" s="369">
        <f t="shared" si="435"/>
        <v>0</v>
      </c>
      <c r="N1216" s="369">
        <f t="shared" si="435"/>
        <v>0</v>
      </c>
      <c r="O1216" s="369">
        <f t="shared" si="435"/>
        <v>0</v>
      </c>
      <c r="P1216" s="369">
        <f t="shared" si="435"/>
        <v>0</v>
      </c>
      <c r="Q1216" s="369">
        <f t="shared" si="435"/>
        <v>0</v>
      </c>
      <c r="R1216" s="369">
        <f t="shared" si="435"/>
        <v>0</v>
      </c>
      <c r="S1216" s="369">
        <f t="shared" si="435"/>
        <v>0</v>
      </c>
      <c r="T1216" s="16"/>
      <c r="U1216" s="97">
        <f t="shared" ref="U1216" si="437">SUM(I1216:T1216)</f>
        <v>0</v>
      </c>
      <c r="V1216" s="64"/>
      <c r="W1216" s="643">
        <f t="shared" ref="W1216" si="438">F1216-U1216</f>
        <v>0</v>
      </c>
    </row>
    <row r="1217" spans="1:23" ht="15" x14ac:dyDescent="0.2">
      <c r="A1217" s="45"/>
      <c r="B1217" s="16">
        <f t="shared" si="434"/>
        <v>15</v>
      </c>
      <c r="C1217" s="1" t="s">
        <v>334</v>
      </c>
      <c r="D1217" s="1" t="s">
        <v>335</v>
      </c>
      <c r="E1217" s="16"/>
      <c r="F1217" s="229">
        <f>' WP II-I-1.4'!I1218</f>
        <v>0</v>
      </c>
      <c r="G1217" s="16">
        <v>58</v>
      </c>
      <c r="H1217" s="45" t="str">
        <f t="shared" si="428"/>
        <v>PLTDIST_N</v>
      </c>
      <c r="I1217" s="16"/>
      <c r="J1217" s="369">
        <f t="shared" ref="J1217:S1219" ca="1" si="439">$F1217*HLOOKUP(J$1354,FactorTable,$G1217+1)</f>
        <v>0</v>
      </c>
      <c r="K1217" s="369">
        <f t="shared" ca="1" si="439"/>
        <v>0</v>
      </c>
      <c r="L1217" s="369">
        <f t="shared" ca="1" si="439"/>
        <v>0</v>
      </c>
      <c r="M1217" s="369">
        <f t="shared" ca="1" si="439"/>
        <v>0</v>
      </c>
      <c r="N1217" s="369">
        <f t="shared" ca="1" si="439"/>
        <v>0</v>
      </c>
      <c r="O1217" s="369">
        <f t="shared" ca="1" si="439"/>
        <v>0</v>
      </c>
      <c r="P1217" s="369">
        <f t="shared" ca="1" si="439"/>
        <v>0</v>
      </c>
      <c r="Q1217" s="369">
        <f t="shared" ca="1" si="439"/>
        <v>0</v>
      </c>
      <c r="R1217" s="369">
        <f t="shared" ca="1" si="439"/>
        <v>0</v>
      </c>
      <c r="S1217" s="369">
        <f t="shared" ca="1" si="439"/>
        <v>0</v>
      </c>
      <c r="T1217" s="16"/>
      <c r="U1217" s="97">
        <f t="shared" ca="1" si="430"/>
        <v>0</v>
      </c>
      <c r="V1217" s="64"/>
      <c r="W1217" s="643">
        <f t="shared" ca="1" si="427"/>
        <v>0</v>
      </c>
    </row>
    <row r="1218" spans="1:23" ht="15" x14ac:dyDescent="0.2">
      <c r="A1218" s="45"/>
      <c r="B1218" s="16">
        <f t="shared" si="434"/>
        <v>16</v>
      </c>
      <c r="C1218" s="321" t="s">
        <v>334</v>
      </c>
      <c r="D1218" s="321" t="s">
        <v>1301</v>
      </c>
      <c r="E1218" s="321"/>
      <c r="F1218" s="229">
        <f>' WP II-I-1.4'!I1219</f>
        <v>0</v>
      </c>
      <c r="G1218" s="16">
        <v>6</v>
      </c>
      <c r="H1218" s="45" t="str">
        <f t="shared" ref="H1218:H1219" si="440">VLOOKUP(G1218,FactorTable,2)</f>
        <v>CUS W ALL</v>
      </c>
      <c r="I1218" s="16"/>
      <c r="J1218" s="369">
        <f t="shared" si="439"/>
        <v>0</v>
      </c>
      <c r="K1218" s="369">
        <f t="shared" si="439"/>
        <v>0</v>
      </c>
      <c r="L1218" s="369">
        <f t="shared" si="439"/>
        <v>0</v>
      </c>
      <c r="M1218" s="369">
        <f t="shared" si="439"/>
        <v>0</v>
      </c>
      <c r="N1218" s="369">
        <f t="shared" si="439"/>
        <v>0</v>
      </c>
      <c r="O1218" s="369">
        <f t="shared" si="439"/>
        <v>0</v>
      </c>
      <c r="P1218" s="369">
        <f t="shared" si="439"/>
        <v>0</v>
      </c>
      <c r="Q1218" s="369">
        <f t="shared" si="439"/>
        <v>0</v>
      </c>
      <c r="R1218" s="369">
        <f t="shared" si="439"/>
        <v>0</v>
      </c>
      <c r="S1218" s="369">
        <f t="shared" si="439"/>
        <v>0</v>
      </c>
      <c r="T1218" s="16"/>
      <c r="U1218" s="97">
        <f t="shared" ref="U1218:U1219" si="441">SUM(I1218:T1218)</f>
        <v>0</v>
      </c>
      <c r="V1218" s="64"/>
      <c r="W1218" s="643">
        <f t="shared" ref="W1218:W1219" si="442">F1218-U1218</f>
        <v>0</v>
      </c>
    </row>
    <row r="1219" spans="1:23" ht="15" x14ac:dyDescent="0.2">
      <c r="A1219" s="45"/>
      <c r="B1219" s="16">
        <f t="shared" si="434"/>
        <v>17</v>
      </c>
      <c r="C1219" s="321" t="s">
        <v>334</v>
      </c>
      <c r="D1219" s="321" t="s">
        <v>1302</v>
      </c>
      <c r="E1219" s="321"/>
      <c r="F1219" s="229">
        <f>' WP II-I-1.4'!I1220</f>
        <v>0</v>
      </c>
      <c r="G1219" s="16">
        <v>6</v>
      </c>
      <c r="H1219" s="45" t="str">
        <f t="shared" si="440"/>
        <v>CUS W ALL</v>
      </c>
      <c r="I1219" s="16"/>
      <c r="J1219" s="369">
        <f t="shared" si="439"/>
        <v>0</v>
      </c>
      <c r="K1219" s="369">
        <f t="shared" si="439"/>
        <v>0</v>
      </c>
      <c r="L1219" s="369">
        <f t="shared" si="439"/>
        <v>0</v>
      </c>
      <c r="M1219" s="369">
        <f t="shared" si="439"/>
        <v>0</v>
      </c>
      <c r="N1219" s="369">
        <f t="shared" si="439"/>
        <v>0</v>
      </c>
      <c r="O1219" s="369">
        <f t="shared" si="439"/>
        <v>0</v>
      </c>
      <c r="P1219" s="369">
        <f t="shared" si="439"/>
        <v>0</v>
      </c>
      <c r="Q1219" s="369">
        <f t="shared" si="439"/>
        <v>0</v>
      </c>
      <c r="R1219" s="369">
        <f t="shared" si="439"/>
        <v>0</v>
      </c>
      <c r="S1219" s="369">
        <f t="shared" si="439"/>
        <v>0</v>
      </c>
      <c r="T1219" s="16"/>
      <c r="U1219" s="97">
        <f t="shared" si="441"/>
        <v>0</v>
      </c>
      <c r="V1219" s="64"/>
      <c r="W1219" s="643">
        <f t="shared" si="442"/>
        <v>0</v>
      </c>
    </row>
    <row r="1220" spans="1:23" ht="15.75" x14ac:dyDescent="0.25">
      <c r="A1220" s="45"/>
      <c r="B1220" s="16">
        <f t="shared" si="434"/>
        <v>18</v>
      </c>
      <c r="C1220" s="191"/>
      <c r="D1220" s="323" t="s">
        <v>444</v>
      </c>
      <c r="E1220" s="191"/>
      <c r="F1220" s="21">
        <f>SUM(F1205:F1219)</f>
        <v>85782</v>
      </c>
      <c r="G1220" s="191"/>
      <c r="H1220" s="191"/>
      <c r="I1220" s="191"/>
      <c r="J1220" s="805">
        <f t="shared" ref="J1220:S1220" ca="1" si="443">SUM(J1205:J1219)</f>
        <v>73406.182311487879</v>
      </c>
      <c r="K1220" s="805">
        <f t="shared" ca="1" si="443"/>
        <v>6088.8709227171576</v>
      </c>
      <c r="L1220" s="805">
        <f t="shared" ca="1" si="443"/>
        <v>4974.9858428528742</v>
      </c>
      <c r="M1220" s="805">
        <f t="shared" ca="1" si="443"/>
        <v>66.470538219749315</v>
      </c>
      <c r="N1220" s="805">
        <f t="shared" ca="1" si="443"/>
        <v>148.80071362877214</v>
      </c>
      <c r="O1220" s="805">
        <f t="shared" ca="1" si="443"/>
        <v>3.4560439329566628</v>
      </c>
      <c r="P1220" s="805">
        <f t="shared" ca="1" si="443"/>
        <v>7.2089259951243276</v>
      </c>
      <c r="Q1220" s="805">
        <f t="shared" ca="1" si="443"/>
        <v>1086.0247011654799</v>
      </c>
      <c r="R1220" s="805">
        <f t="shared" ca="1" si="443"/>
        <v>0</v>
      </c>
      <c r="S1220" s="805">
        <f t="shared" ca="1" si="443"/>
        <v>0</v>
      </c>
      <c r="T1220" s="191"/>
      <c r="U1220" s="21">
        <f t="shared" ca="1" si="430"/>
        <v>85781.999999999985</v>
      </c>
      <c r="V1220" s="64"/>
      <c r="W1220" s="643">
        <f t="shared" ca="1" si="427"/>
        <v>0</v>
      </c>
    </row>
    <row r="1221" spans="1:23" ht="15.75" thickBot="1" x14ac:dyDescent="0.25">
      <c r="A1221" s="45"/>
      <c r="B1221" s="16">
        <f t="shared" si="434"/>
        <v>19</v>
      </c>
      <c r="C1221" s="1"/>
      <c r="D1221" s="1"/>
      <c r="E1221" s="16"/>
      <c r="F1221" s="18"/>
      <c r="G1221" s="16"/>
      <c r="H1221" s="16"/>
      <c r="I1221" s="16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6"/>
      <c r="U1221" s="23"/>
      <c r="V1221" s="64"/>
      <c r="W1221" s="643">
        <f t="shared" si="427"/>
        <v>0</v>
      </c>
    </row>
    <row r="1222" spans="1:23" ht="16.5" thickBot="1" x14ac:dyDescent="0.3">
      <c r="A1222" s="45"/>
      <c r="B1222" s="16">
        <f t="shared" si="434"/>
        <v>20</v>
      </c>
      <c r="C1222" s="223" t="s">
        <v>676</v>
      </c>
      <c r="D1222" s="252"/>
      <c r="E1222" s="252" t="s">
        <v>318</v>
      </c>
      <c r="F1222" s="194">
        <f>+F1220</f>
        <v>85782</v>
      </c>
      <c r="G1222" s="252"/>
      <c r="H1222" s="379"/>
      <c r="I1222" s="963"/>
      <c r="J1222" s="381">
        <f t="shared" ref="J1222:Q1222" ca="1" si="444">+J1220</f>
        <v>73406.182311487879</v>
      </c>
      <c r="K1222" s="812">
        <f t="shared" ca="1" si="444"/>
        <v>6088.8709227171576</v>
      </c>
      <c r="L1222" s="812">
        <f t="shared" ca="1" si="444"/>
        <v>4974.9858428528742</v>
      </c>
      <c r="M1222" s="812">
        <f t="shared" ca="1" si="444"/>
        <v>66.470538219749315</v>
      </c>
      <c r="N1222" s="812">
        <f t="shared" ca="1" si="444"/>
        <v>148.80071362877214</v>
      </c>
      <c r="O1222" s="812">
        <f ca="1">+O1220</f>
        <v>3.4560439329566628</v>
      </c>
      <c r="P1222" s="812">
        <f t="shared" ca="1" si="444"/>
        <v>7.2089259951243276</v>
      </c>
      <c r="Q1222" s="812">
        <f t="shared" ca="1" si="444"/>
        <v>1086.0247011654799</v>
      </c>
      <c r="R1222" s="812">
        <f ca="1">+R1220</f>
        <v>0</v>
      </c>
      <c r="S1222" s="315">
        <f ca="1">+S1220</f>
        <v>0</v>
      </c>
      <c r="T1222" s="379"/>
      <c r="U1222" s="195">
        <f ca="1">SUM(I1222:T1222)</f>
        <v>85781.999999999985</v>
      </c>
      <c r="V1222" s="64"/>
      <c r="W1222" s="643">
        <f t="shared" ca="1" si="427"/>
        <v>0</v>
      </c>
    </row>
    <row r="1223" spans="1:23" ht="15.75" thickBot="1" x14ac:dyDescent="0.25">
      <c r="A1223" s="45"/>
      <c r="B1223" s="16">
        <f t="shared" si="434"/>
        <v>21</v>
      </c>
      <c r="C1223" s="64"/>
      <c r="D1223" s="64"/>
      <c r="E1223" s="64"/>
      <c r="F1223" s="64"/>
      <c r="G1223" s="64"/>
      <c r="H1223" s="64"/>
      <c r="I1223" s="64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64"/>
      <c r="U1223" s="64"/>
      <c r="V1223" s="64"/>
      <c r="W1223" s="643">
        <f t="shared" si="427"/>
        <v>0</v>
      </c>
    </row>
    <row r="1224" spans="1:23" ht="16.5" thickBot="1" x14ac:dyDescent="0.3">
      <c r="A1224" s="130"/>
      <c r="B1224" s="16">
        <f t="shared" si="434"/>
        <v>22</v>
      </c>
      <c r="C1224" s="223" t="s">
        <v>463</v>
      </c>
      <c r="D1224" s="252"/>
      <c r="E1224" s="252"/>
      <c r="F1224" s="194">
        <f>F622+F1186</f>
        <v>121750128.90782788</v>
      </c>
      <c r="G1224" s="252"/>
      <c r="H1224" s="379"/>
      <c r="I1224" s="963"/>
      <c r="J1224" s="381">
        <f t="shared" ref="J1224:S1224" ca="1" si="445">J622+J1186</f>
        <v>61486726.460815221</v>
      </c>
      <c r="K1224" s="812">
        <f t="shared" ca="1" si="445"/>
        <v>8078133.2218759749</v>
      </c>
      <c r="L1224" s="812">
        <f t="shared" ca="1" si="445"/>
        <v>33906605.898501821</v>
      </c>
      <c r="M1224" s="812">
        <f t="shared" ca="1" si="445"/>
        <v>1296778.6420238111</v>
      </c>
      <c r="N1224" s="812">
        <f t="shared" ca="1" si="445"/>
        <v>10640098.539588874</v>
      </c>
      <c r="O1224" s="812">
        <f t="shared" ca="1" si="445"/>
        <v>465390.1802064376</v>
      </c>
      <c r="P1224" s="812">
        <f t="shared" ca="1" si="445"/>
        <v>1055906.7170933611</v>
      </c>
      <c r="Q1224" s="812">
        <f t="shared" ca="1" si="445"/>
        <v>4693648.0178848673</v>
      </c>
      <c r="R1224" s="812">
        <f t="shared" ca="1" si="445"/>
        <v>35862.94831318986</v>
      </c>
      <c r="S1224" s="315">
        <f t="shared" ca="1" si="445"/>
        <v>90978.281524309466</v>
      </c>
      <c r="T1224" s="379"/>
      <c r="U1224" s="195">
        <f ca="1">SUM(I1224:T1224)</f>
        <v>121750128.90782788</v>
      </c>
      <c r="V1224" s="101"/>
      <c r="W1224" s="643">
        <f t="shared" ca="1" si="427"/>
        <v>0</v>
      </c>
    </row>
    <row r="1225" spans="1:23" ht="15.75" thickBot="1" x14ac:dyDescent="0.25">
      <c r="A1225" s="45"/>
      <c r="B1225" s="16">
        <f t="shared" si="434"/>
        <v>23</v>
      </c>
      <c r="C1225" s="64"/>
      <c r="D1225" s="64"/>
      <c r="E1225" s="64"/>
      <c r="F1225" s="64"/>
      <c r="G1225" s="64"/>
      <c r="H1225" s="64"/>
      <c r="I1225" s="64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64"/>
      <c r="U1225" s="64"/>
      <c r="V1225" s="64"/>
      <c r="W1225" s="643">
        <f t="shared" si="427"/>
        <v>0</v>
      </c>
    </row>
    <row r="1226" spans="1:23" ht="16.5" thickBot="1" x14ac:dyDescent="0.3">
      <c r="A1226" s="130"/>
      <c r="B1226" s="16">
        <f t="shared" si="434"/>
        <v>24</v>
      </c>
      <c r="C1226" s="223" t="s">
        <v>677</v>
      </c>
      <c r="D1226" s="252"/>
      <c r="E1226" s="252"/>
      <c r="F1226" s="194">
        <f>F1224-F1222</f>
        <v>121664346.90782788</v>
      </c>
      <c r="G1226" s="252"/>
      <c r="H1226" s="379"/>
      <c r="I1226" s="963"/>
      <c r="J1226" s="381">
        <f t="shared" ref="J1226:Q1226" ca="1" si="446">J1224-J1222</f>
        <v>61413320.278503731</v>
      </c>
      <c r="K1226" s="812">
        <f t="shared" ca="1" si="446"/>
        <v>8072044.3509532576</v>
      </c>
      <c r="L1226" s="812">
        <f t="shared" ca="1" si="446"/>
        <v>33901630.912658967</v>
      </c>
      <c r="M1226" s="812">
        <f t="shared" ca="1" si="446"/>
        <v>1296712.1714855914</v>
      </c>
      <c r="N1226" s="812">
        <f t="shared" ca="1" si="446"/>
        <v>10639949.738875246</v>
      </c>
      <c r="O1226" s="812">
        <f ca="1">O1224-O1222</f>
        <v>465386.72416250466</v>
      </c>
      <c r="P1226" s="812">
        <f t="shared" ca="1" si="446"/>
        <v>1055899.508167366</v>
      </c>
      <c r="Q1226" s="812">
        <f t="shared" ca="1" si="446"/>
        <v>4692561.9931837022</v>
      </c>
      <c r="R1226" s="812">
        <f ca="1">R1224-R1222</f>
        <v>35862.94831318986</v>
      </c>
      <c r="S1226" s="315">
        <f ca="1">S1224-S1222</f>
        <v>90978.281524309466</v>
      </c>
      <c r="T1226" s="379"/>
      <c r="U1226" s="195">
        <f ca="1">SUM(I1226:T1226)</f>
        <v>121664346.90782787</v>
      </c>
      <c r="V1226" s="101"/>
      <c r="W1226" s="643">
        <f t="shared" ca="1" si="427"/>
        <v>0</v>
      </c>
    </row>
    <row r="1227" spans="1:23" ht="15.75" thickBot="1" x14ac:dyDescent="0.25">
      <c r="A1227" s="45"/>
      <c r="B1227" s="16">
        <f t="shared" si="434"/>
        <v>25</v>
      </c>
      <c r="C1227" s="64"/>
      <c r="D1227" s="64"/>
      <c r="E1227" s="64"/>
      <c r="F1227" s="64"/>
      <c r="G1227" s="64"/>
      <c r="H1227" s="64"/>
      <c r="I1227" s="64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64"/>
      <c r="U1227" s="64"/>
      <c r="V1227" s="64"/>
      <c r="W1227" s="643">
        <f t="shared" si="427"/>
        <v>0</v>
      </c>
    </row>
    <row r="1228" spans="1:23" ht="15.75" x14ac:dyDescent="0.25">
      <c r="A1228" s="130"/>
      <c r="B1228" s="16">
        <f t="shared" si="434"/>
        <v>26</v>
      </c>
      <c r="C1228" s="255" t="s">
        <v>1150</v>
      </c>
      <c r="D1228" s="241"/>
      <c r="E1228" s="241"/>
      <c r="F1228" s="242">
        <f>F1224-F645</f>
        <v>121750128.90782788</v>
      </c>
      <c r="G1228" s="241"/>
      <c r="H1228" s="372"/>
      <c r="I1228" s="769"/>
      <c r="J1228" s="374">
        <f t="shared" ref="J1228:S1228" ca="1" si="447">J1224-J645</f>
        <v>61486726.460815221</v>
      </c>
      <c r="K1228" s="817">
        <f t="shared" ca="1" si="447"/>
        <v>8078133.2218759749</v>
      </c>
      <c r="L1228" s="817">
        <f t="shared" ca="1" si="447"/>
        <v>33906605.898501821</v>
      </c>
      <c r="M1228" s="817">
        <f t="shared" ca="1" si="447"/>
        <v>1296778.6420238111</v>
      </c>
      <c r="N1228" s="817">
        <f t="shared" ca="1" si="447"/>
        <v>10640098.539588874</v>
      </c>
      <c r="O1228" s="817">
        <f t="shared" ca="1" si="447"/>
        <v>465390.1802064376</v>
      </c>
      <c r="P1228" s="817">
        <f t="shared" ca="1" si="447"/>
        <v>1055906.7170933611</v>
      </c>
      <c r="Q1228" s="817">
        <f t="shared" ca="1" si="447"/>
        <v>4693648.0178848673</v>
      </c>
      <c r="R1228" s="817">
        <f t="shared" ca="1" si="447"/>
        <v>35862.94831318986</v>
      </c>
      <c r="S1228" s="566">
        <f t="shared" ca="1" si="447"/>
        <v>90978.281524309466</v>
      </c>
      <c r="T1228" s="372"/>
      <c r="U1228" s="243">
        <f ca="1">SUM(I1228:T1228)</f>
        <v>121750128.90782788</v>
      </c>
      <c r="V1228" s="101"/>
      <c r="W1228" s="643">
        <f t="shared" ca="1" si="427"/>
        <v>0</v>
      </c>
    </row>
    <row r="1229" spans="1:23" ht="15" x14ac:dyDescent="0.2">
      <c r="A1229" s="45"/>
      <c r="B1229" s="16">
        <f t="shared" si="434"/>
        <v>27</v>
      </c>
      <c r="C1229" s="324"/>
      <c r="D1229" s="325"/>
      <c r="E1229" s="325"/>
      <c r="F1229" s="325"/>
      <c r="G1229" s="325"/>
      <c r="H1229" s="237"/>
      <c r="I1229" s="324"/>
      <c r="J1229" s="324"/>
      <c r="K1229" s="325"/>
      <c r="L1229" s="325"/>
      <c r="M1229" s="325"/>
      <c r="N1229" s="325"/>
      <c r="O1229" s="325"/>
      <c r="P1229" s="325"/>
      <c r="Q1229" s="325"/>
      <c r="R1229" s="325"/>
      <c r="S1229" s="237"/>
      <c r="T1229" s="237"/>
      <c r="U1229" s="237"/>
      <c r="V1229" s="64"/>
      <c r="W1229" s="643">
        <f t="shared" si="427"/>
        <v>0</v>
      </c>
    </row>
    <row r="1230" spans="1:23" ht="16.5" thickBot="1" x14ac:dyDescent="0.3">
      <c r="A1230" s="130"/>
      <c r="B1230" s="16">
        <f t="shared" si="434"/>
        <v>28</v>
      </c>
      <c r="C1230" s="262" t="s">
        <v>1148</v>
      </c>
      <c r="D1230" s="247"/>
      <c r="E1230" s="247"/>
      <c r="F1230" s="248">
        <f>F1228-F1222</f>
        <v>121664346.90782788</v>
      </c>
      <c r="G1230" s="247"/>
      <c r="H1230" s="375"/>
      <c r="I1230" s="964"/>
      <c r="J1230" s="377">
        <f t="shared" ref="J1230:Q1230" ca="1" si="448">J1228-J1222</f>
        <v>61413320.278503731</v>
      </c>
      <c r="K1230" s="248">
        <f t="shared" ca="1" si="448"/>
        <v>8072044.3509532576</v>
      </c>
      <c r="L1230" s="248">
        <f t="shared" ca="1" si="448"/>
        <v>33901630.912658967</v>
      </c>
      <c r="M1230" s="248">
        <f t="shared" ca="1" si="448"/>
        <v>1296712.1714855914</v>
      </c>
      <c r="N1230" s="248">
        <f t="shared" ca="1" si="448"/>
        <v>10639949.738875246</v>
      </c>
      <c r="O1230" s="248">
        <f ca="1">O1228-O1222</f>
        <v>465386.72416250466</v>
      </c>
      <c r="P1230" s="248">
        <f t="shared" ca="1" si="448"/>
        <v>1055899.508167366</v>
      </c>
      <c r="Q1230" s="248">
        <f t="shared" ca="1" si="448"/>
        <v>4692561.9931837022</v>
      </c>
      <c r="R1230" s="248">
        <f ca="1">R1228-R1222</f>
        <v>35862.94831318986</v>
      </c>
      <c r="S1230" s="378">
        <f ca="1">S1228-S1222</f>
        <v>90978.281524309466</v>
      </c>
      <c r="T1230" s="375"/>
      <c r="U1230" s="249">
        <f ca="1">SUM(I1230:T1230)</f>
        <v>121664346.90782787</v>
      </c>
      <c r="V1230" s="101"/>
      <c r="W1230" s="643">
        <f t="shared" ca="1" si="427"/>
        <v>0</v>
      </c>
    </row>
    <row r="1231" spans="1:23" ht="15" x14ac:dyDescent="0.2">
      <c r="A1231" s="321"/>
      <c r="B1231" s="16"/>
      <c r="U1231" s="172"/>
      <c r="W1231" s="138"/>
    </row>
    <row r="1232" spans="1:23" x14ac:dyDescent="0.2">
      <c r="A1232" s="321"/>
      <c r="B1232" s="16"/>
      <c r="U1232" s="172"/>
    </row>
    <row r="1233" spans="1:22" x14ac:dyDescent="0.2">
      <c r="A1233" s="321"/>
      <c r="B1233" s="16"/>
      <c r="C1233" s="64"/>
      <c r="F1233" s="327"/>
      <c r="U1233" s="327"/>
    </row>
    <row r="1234" spans="1:22" x14ac:dyDescent="0.2">
      <c r="A1234" s="321"/>
      <c r="U1234" s="172"/>
    </row>
    <row r="1235" spans="1:22" ht="15" thickBot="1" x14ac:dyDescent="0.25">
      <c r="A1235" s="321"/>
      <c r="H1235" s="105"/>
      <c r="U1235" s="105"/>
    </row>
    <row r="1236" spans="1:22" ht="15" x14ac:dyDescent="0.25">
      <c r="A1236" s="45"/>
      <c r="B1236" s="829" t="str">
        <f>+$B$4</f>
        <v>2025 RATE CASE</v>
      </c>
      <c r="C1236" s="844"/>
      <c r="D1236" s="547"/>
      <c r="F1236" s="11"/>
      <c r="U1236" s="105"/>
    </row>
    <row r="1237" spans="1:22" ht="15" x14ac:dyDescent="0.25">
      <c r="A1237" s="45"/>
      <c r="B1237" s="826" t="str">
        <f>+$B$5</f>
        <v>ONCOR ELECTRIC DELIVERY COMPANY LLC</v>
      </c>
      <c r="C1237" s="8"/>
      <c r="D1237" s="548"/>
      <c r="F1237" s="11"/>
      <c r="U1237" s="105"/>
      <c r="V1237" s="64"/>
    </row>
    <row r="1238" spans="1:22" ht="15" x14ac:dyDescent="0.25">
      <c r="A1238" s="45"/>
      <c r="B1238" s="826" t="s">
        <v>905</v>
      </c>
      <c r="C1238" s="82"/>
      <c r="D1238" s="548"/>
      <c r="F1238" s="11"/>
      <c r="U1238" s="11"/>
      <c r="V1238" s="64"/>
    </row>
    <row r="1239" spans="1:22" ht="15" x14ac:dyDescent="0.25">
      <c r="A1239" s="45"/>
      <c r="B1239" s="341" t="str">
        <f>+$B$7</f>
        <v>TEST YEAR ENDING 12/31/2024</v>
      </c>
      <c r="C1239" s="82"/>
      <c r="D1239" s="548"/>
      <c r="F1239" s="11"/>
      <c r="U1239" s="11"/>
      <c r="V1239" s="64"/>
    </row>
    <row r="1240" spans="1:22" ht="15" x14ac:dyDescent="0.25">
      <c r="A1240" s="45"/>
      <c r="B1240" s="341" t="str">
        <f>+$B$8</f>
        <v>SPONSOR:  MATTHEW A. TROXLE</v>
      </c>
      <c r="C1240" s="82"/>
      <c r="D1240" s="548"/>
      <c r="F1240" s="11"/>
      <c r="U1240" s="11"/>
      <c r="V1240" s="64"/>
    </row>
    <row r="1241" spans="1:22" ht="15.75" thickBot="1" x14ac:dyDescent="0.3">
      <c r="A1241" s="45"/>
      <c r="B1241" s="345"/>
      <c r="C1241" s="82"/>
      <c r="D1241" s="548"/>
      <c r="F1241" s="11"/>
      <c r="U1241" s="11"/>
      <c r="V1241" s="64"/>
    </row>
    <row r="1242" spans="1:22" ht="15.75" thickBot="1" x14ac:dyDescent="0.3">
      <c r="A1242" s="45"/>
      <c r="B1242" s="331"/>
      <c r="C1242" s="405"/>
      <c r="D1242" s="406"/>
      <c r="E1242" s="406"/>
      <c r="F1242" s="176"/>
      <c r="G1242" s="177"/>
      <c r="H1242" s="373" t="str">
        <f>F$11</f>
        <v>TBILLTDCS</v>
      </c>
      <c r="I1242" s="13"/>
      <c r="J1242" s="13"/>
      <c r="K1242" s="177"/>
      <c r="L1242" s="13"/>
      <c r="M1242" s="13"/>
      <c r="N1242" s="177"/>
      <c r="O1242" s="177"/>
      <c r="P1242" s="177"/>
      <c r="Q1242" s="13"/>
      <c r="R1242" s="328" t="str">
        <f>R$10</f>
        <v xml:space="preserve"> </v>
      </c>
      <c r="S1242" s="329"/>
      <c r="T1242" s="177"/>
      <c r="U1242" s="12"/>
      <c r="V1242" s="64"/>
    </row>
    <row r="1243" spans="1:22" ht="15" x14ac:dyDescent="0.25">
      <c r="A1243" s="45"/>
      <c r="B1243" s="174" t="s">
        <v>2</v>
      </c>
      <c r="C1243" s="174"/>
      <c r="D1243" s="407" t="s">
        <v>691</v>
      </c>
      <c r="E1243" s="330"/>
      <c r="F1243" s="181"/>
      <c r="G1243" s="181" t="s">
        <v>688</v>
      </c>
      <c r="H1243" s="14" t="s">
        <v>355</v>
      </c>
      <c r="I1243" s="14"/>
      <c r="J1243" s="14" t="s">
        <v>679</v>
      </c>
      <c r="K1243" s="181" t="s">
        <v>388</v>
      </c>
      <c r="L1243" s="14" t="s">
        <v>388</v>
      </c>
      <c r="M1243" s="14" t="s">
        <v>389</v>
      </c>
      <c r="N1243" s="181" t="s">
        <v>389</v>
      </c>
      <c r="O1243" s="181" t="s">
        <v>389</v>
      </c>
      <c r="P1243" s="181" t="s">
        <v>390</v>
      </c>
      <c r="Q1243" s="14" t="s">
        <v>391</v>
      </c>
      <c r="R1243" s="331" t="str">
        <f>R$11</f>
        <v>Wholesale</v>
      </c>
      <c r="S1243" s="12" t="str">
        <f>S$11</f>
        <v>Wholesale</v>
      </c>
      <c r="T1243" s="181"/>
      <c r="U1243" s="14" t="s">
        <v>10</v>
      </c>
      <c r="V1243" s="64"/>
    </row>
    <row r="1244" spans="1:22" x14ac:dyDescent="0.2">
      <c r="A1244" s="45"/>
      <c r="B1244" s="174"/>
      <c r="C1244" s="174"/>
      <c r="D1244" s="330"/>
      <c r="E1244" s="330"/>
      <c r="F1244" s="181"/>
      <c r="G1244" s="181" t="s">
        <v>689</v>
      </c>
      <c r="H1244" s="14" t="s">
        <v>690</v>
      </c>
      <c r="I1244" s="14"/>
      <c r="J1244" s="14"/>
      <c r="K1244" s="181" t="s">
        <v>680</v>
      </c>
      <c r="L1244" s="14" t="s">
        <v>681</v>
      </c>
      <c r="M1244" s="14" t="s">
        <v>680</v>
      </c>
      <c r="N1244" s="181" t="s">
        <v>681</v>
      </c>
      <c r="O1244" s="181" t="s">
        <v>393</v>
      </c>
      <c r="P1244" s="181"/>
      <c r="Q1244" s="14"/>
      <c r="R1244" s="174" t="str">
        <f>R$12</f>
        <v>XFMR</v>
      </c>
      <c r="S1244" s="14" t="str">
        <f>S$12</f>
        <v>DLS</v>
      </c>
      <c r="T1244" s="181"/>
      <c r="U1244" s="14"/>
      <c r="V1244" s="64"/>
    </row>
    <row r="1245" spans="1:22" ht="15" thickBot="1" x14ac:dyDescent="0.25">
      <c r="A1245" s="45"/>
      <c r="B1245" s="182"/>
      <c r="C1245" s="182"/>
      <c r="D1245" s="408" t="s">
        <v>13</v>
      </c>
      <c r="E1245" s="408"/>
      <c r="F1245" s="184"/>
      <c r="G1245" s="184" t="s">
        <v>14</v>
      </c>
      <c r="H1245" s="15" t="s">
        <v>15</v>
      </c>
      <c r="I1245" s="15"/>
      <c r="J1245" s="15" t="str">
        <f t="shared" ref="J1245:Q1245" si="449">J$13</f>
        <v>(d)</v>
      </c>
      <c r="K1245" s="182" t="str">
        <f t="shared" si="449"/>
        <v>(e)</v>
      </c>
      <c r="L1245" s="15" t="str">
        <f t="shared" si="449"/>
        <v>(f)</v>
      </c>
      <c r="M1245" s="15" t="str">
        <f t="shared" si="449"/>
        <v>(g)</v>
      </c>
      <c r="N1245" s="182" t="str">
        <f t="shared" si="449"/>
        <v>(h)</v>
      </c>
      <c r="O1245" s="182" t="str">
        <f>O$13</f>
        <v>(i)</v>
      </c>
      <c r="P1245" s="182" t="str">
        <f t="shared" si="449"/>
        <v>(j)</v>
      </c>
      <c r="Q1245" s="182" t="str">
        <f t="shared" si="449"/>
        <v>(k)</v>
      </c>
      <c r="R1245" s="182" t="str">
        <f>R$13</f>
        <v>(l)</v>
      </c>
      <c r="S1245" s="15" t="str">
        <f>S$13</f>
        <v>(m)</v>
      </c>
      <c r="T1245" s="15"/>
      <c r="U1245" s="15" t="s">
        <v>683</v>
      </c>
      <c r="V1245" s="64"/>
    </row>
    <row r="1246" spans="1:22" x14ac:dyDescent="0.2">
      <c r="A1246" s="321"/>
      <c r="B1246" s="16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321"/>
      <c r="U1246" s="172"/>
    </row>
    <row r="1247" spans="1:22" x14ac:dyDescent="0.2">
      <c r="A1247" s="321"/>
      <c r="B1247" s="16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321"/>
      <c r="U1247" s="172"/>
    </row>
    <row r="1248" spans="1:22" x14ac:dyDescent="0.2">
      <c r="A1248" s="321"/>
      <c r="B1248" s="16">
        <f t="shared" ref="B1248:B1311" si="450">B1247+1</f>
        <v>1</v>
      </c>
      <c r="D1248" s="64" t="s">
        <v>692</v>
      </c>
      <c r="G1248" s="16">
        <f t="shared" ref="G1248:G1311" si="451">G1247+1</f>
        <v>1</v>
      </c>
      <c r="H1248" s="64" t="str">
        <f>VLOOKUP(G1248,FactorTable,2)</f>
        <v>ASSIGNED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321"/>
      <c r="U1248" s="409">
        <v>0</v>
      </c>
    </row>
    <row r="1249" spans="1:21" x14ac:dyDescent="0.2">
      <c r="A1249" s="321"/>
      <c r="B1249" s="16">
        <f t="shared" si="450"/>
        <v>2</v>
      </c>
      <c r="D1249" s="64" t="s">
        <v>693</v>
      </c>
      <c r="G1249" s="16">
        <f t="shared" si="451"/>
        <v>2</v>
      </c>
      <c r="H1249" s="64" t="str">
        <f>VLOOKUP(G1249,FactorTable,2)</f>
        <v>N / A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321"/>
      <c r="U1249" s="409">
        <v>0</v>
      </c>
    </row>
    <row r="1250" spans="1:21" x14ac:dyDescent="0.2">
      <c r="A1250" s="321"/>
      <c r="B1250" s="16">
        <f t="shared" si="450"/>
        <v>3</v>
      </c>
      <c r="G1250" s="16">
        <f t="shared" si="451"/>
        <v>3</v>
      </c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321"/>
      <c r="U1250" s="172"/>
    </row>
    <row r="1251" spans="1:21" x14ac:dyDescent="0.2">
      <c r="A1251" s="321"/>
      <c r="B1251" s="16">
        <f t="shared" si="450"/>
        <v>4</v>
      </c>
      <c r="G1251" s="16">
        <f t="shared" si="451"/>
        <v>4</v>
      </c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321"/>
      <c r="U1251" s="172"/>
    </row>
    <row r="1252" spans="1:21" x14ac:dyDescent="0.2">
      <c r="A1252" s="321"/>
      <c r="B1252" s="16">
        <f t="shared" si="450"/>
        <v>5</v>
      </c>
      <c r="G1252" s="16">
        <f t="shared" si="451"/>
        <v>5</v>
      </c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321"/>
      <c r="U1252" s="172"/>
    </row>
    <row r="1253" spans="1:21" x14ac:dyDescent="0.2">
      <c r="A1253" s="321"/>
      <c r="B1253" s="16">
        <f t="shared" si="450"/>
        <v>6</v>
      </c>
      <c r="D1253" s="64" t="s">
        <v>694</v>
      </c>
      <c r="E1253" t="s">
        <v>0</v>
      </c>
      <c r="G1253" s="16">
        <f t="shared" si="451"/>
        <v>6</v>
      </c>
      <c r="H1253" s="45" t="str">
        <f>VLOOKUP(G1253,FactorTable,2)</f>
        <v>CUS W ALL</v>
      </c>
      <c r="J1253" s="410">
        <f>'WP II-I-2.2'!E17</f>
        <v>0.5220434734948457</v>
      </c>
      <c r="K1253" s="410">
        <f>'WP II-I-2.2'!F17</f>
        <v>7.3234910219164243E-2</v>
      </c>
      <c r="L1253" s="410">
        <f>'WP II-I-2.2'!G17</f>
        <v>0.28800912921560134</v>
      </c>
      <c r="M1253" s="410">
        <f>'WP II-I-2.2'!H17</f>
        <v>1.2128655972860062E-2</v>
      </c>
      <c r="N1253" s="410">
        <f>'WP II-I-2.2'!I17</f>
        <v>9.3397053702985858E-2</v>
      </c>
      <c r="O1253" s="410">
        <f>'WP II-I-2.2'!J17</f>
        <v>3.0645626579865848E-3</v>
      </c>
      <c r="P1253" s="410">
        <f>'WP II-I-2.2'!K17</f>
        <v>6.3923392865977858E-3</v>
      </c>
      <c r="Q1253" s="410">
        <f>'WP II-I-2.2'!L17</f>
        <v>5.3233524815684392E-4</v>
      </c>
      <c r="R1253" s="410">
        <f>'WP II-I-2.2'!M17</f>
        <v>3.3841796223164748E-4</v>
      </c>
      <c r="S1253" s="410">
        <f>'WP II-I-2.2'!N17</f>
        <v>8.5912223956998443E-4</v>
      </c>
      <c r="T1253" s="321"/>
      <c r="U1253" s="411">
        <f>MAX(0.0000001,SUM(I1253:T1253))</f>
        <v>1.0000000000000002</v>
      </c>
    </row>
    <row r="1254" spans="1:21" x14ac:dyDescent="0.2">
      <c r="A1254" s="321"/>
      <c r="B1254" s="16">
        <f t="shared" si="450"/>
        <v>7</v>
      </c>
      <c r="D1254" s="64" t="s">
        <v>695</v>
      </c>
      <c r="G1254" s="16">
        <f t="shared" si="451"/>
        <v>7</v>
      </c>
      <c r="H1254" s="64" t="str">
        <f>VLOOKUP(G1254,FactorTable,2)</f>
        <v>CUS W SEC</v>
      </c>
      <c r="J1254" s="45">
        <f>J1253</f>
        <v>0.5220434734948457</v>
      </c>
      <c r="K1254" s="45">
        <f>K1253</f>
        <v>7.3234910219164243E-2</v>
      </c>
      <c r="L1254" s="45">
        <f>L1253</f>
        <v>0.28800912921560134</v>
      </c>
      <c r="M1254" s="17">
        <v>0</v>
      </c>
      <c r="N1254" s="17">
        <v>0</v>
      </c>
      <c r="O1254" s="17">
        <v>0</v>
      </c>
      <c r="P1254" s="17">
        <v>0</v>
      </c>
      <c r="Q1254" s="45">
        <f>Q1253</f>
        <v>5.3233524815684392E-4</v>
      </c>
      <c r="R1254" s="17">
        <v>0</v>
      </c>
      <c r="S1254" s="17">
        <v>0</v>
      </c>
      <c r="T1254" s="321"/>
      <c r="U1254" s="411">
        <f>MAX(0.0000001,SUM(I1254:T1254))</f>
        <v>0.88381984817776826</v>
      </c>
    </row>
    <row r="1255" spans="1:21" x14ac:dyDescent="0.2">
      <c r="A1255" s="321"/>
      <c r="B1255" s="16">
        <f t="shared" si="450"/>
        <v>8</v>
      </c>
      <c r="D1255" s="64" t="s">
        <v>696</v>
      </c>
      <c r="G1255" s="16">
        <f t="shared" si="451"/>
        <v>8</v>
      </c>
      <c r="H1255" s="64" t="str">
        <f>VLOOKUP(G1255,FactorTable,2)</f>
        <v>CUS W RTL</v>
      </c>
      <c r="J1255" s="45">
        <f t="shared" ref="J1255:Q1255" si="452">J1253</f>
        <v>0.5220434734948457</v>
      </c>
      <c r="K1255" s="45">
        <f t="shared" si="452"/>
        <v>7.3234910219164243E-2</v>
      </c>
      <c r="L1255" s="45">
        <f t="shared" si="452"/>
        <v>0.28800912921560134</v>
      </c>
      <c r="M1255" s="45">
        <f t="shared" si="452"/>
        <v>1.2128655972860062E-2</v>
      </c>
      <c r="N1255" s="45">
        <f t="shared" si="452"/>
        <v>9.3397053702985858E-2</v>
      </c>
      <c r="O1255" s="45">
        <f>O1253</f>
        <v>3.0645626579865848E-3</v>
      </c>
      <c r="P1255" s="45">
        <f t="shared" si="452"/>
        <v>6.3923392865977858E-3</v>
      </c>
      <c r="Q1255" s="45">
        <f t="shared" si="452"/>
        <v>5.3233524815684392E-4</v>
      </c>
      <c r="R1255" s="25"/>
      <c r="S1255" s="25"/>
      <c r="T1255" s="321"/>
      <c r="U1255" s="411">
        <f>MAX(0.0000001,SUM(I1255:T1255))</f>
        <v>0.99880245979819859</v>
      </c>
    </row>
    <row r="1256" spans="1:21" x14ac:dyDescent="0.2">
      <c r="A1256" s="321"/>
      <c r="B1256" s="16">
        <f t="shared" si="450"/>
        <v>9</v>
      </c>
      <c r="D1256" s="64" t="s">
        <v>697</v>
      </c>
      <c r="G1256" s="16">
        <f t="shared" si="451"/>
        <v>9</v>
      </c>
      <c r="H1256" s="64" t="str">
        <f>VLOOKUP(G1256,FactorTable,2)</f>
        <v>CUS U ALL</v>
      </c>
      <c r="J1256" s="412">
        <f>'WP II-I-2.2'!E14</f>
        <v>3462111</v>
      </c>
      <c r="K1256" s="412">
        <f>'WP II-I-2.2'!F14</f>
        <v>287174</v>
      </c>
      <c r="L1256" s="412">
        <f>'WP II-I-2.2'!G14</f>
        <v>234639</v>
      </c>
      <c r="M1256" s="412">
        <f>'WP II-I-2.2'!H14</f>
        <v>3135</v>
      </c>
      <c r="N1256" s="412">
        <f>'WP II-I-2.2'!I14</f>
        <v>7018</v>
      </c>
      <c r="O1256" s="412">
        <f>'WP II-I-2.2'!J14</f>
        <v>163</v>
      </c>
      <c r="P1256" s="412">
        <f>'WP II-I-2.2'!K14</f>
        <v>340</v>
      </c>
      <c r="Q1256" s="412">
        <f>'WP II-I-2.2'!L14</f>
        <v>51221</v>
      </c>
      <c r="R1256" s="412">
        <f>'WP II-I-2.2'!M14</f>
        <v>18</v>
      </c>
      <c r="S1256" s="412">
        <f>'WP II-I-2.2'!N14</f>
        <v>52</v>
      </c>
      <c r="T1256" s="321"/>
      <c r="U1256" s="48">
        <f>MAX(0.0000001,SUM(I1256:T1256))</f>
        <v>4045871</v>
      </c>
    </row>
    <row r="1257" spans="1:21" x14ac:dyDescent="0.2">
      <c r="A1257" s="321"/>
      <c r="B1257" s="16">
        <f t="shared" si="450"/>
        <v>10</v>
      </c>
      <c r="D1257" s="64" t="s">
        <v>698</v>
      </c>
      <c r="G1257" s="16">
        <f t="shared" si="451"/>
        <v>10</v>
      </c>
      <c r="H1257" s="64" t="str">
        <f>VLOOKUP(G1257,FactorTable,2)</f>
        <v>CUS U RTL</v>
      </c>
      <c r="J1257" s="18">
        <f t="shared" ref="J1257:Q1257" si="453">J1256</f>
        <v>3462111</v>
      </c>
      <c r="K1257" s="18">
        <f t="shared" si="453"/>
        <v>287174</v>
      </c>
      <c r="L1257" s="18">
        <f t="shared" si="453"/>
        <v>234639</v>
      </c>
      <c r="M1257" s="18">
        <f t="shared" si="453"/>
        <v>3135</v>
      </c>
      <c r="N1257" s="18">
        <f t="shared" si="453"/>
        <v>7018</v>
      </c>
      <c r="O1257" s="18">
        <f>O1256</f>
        <v>163</v>
      </c>
      <c r="P1257" s="18">
        <f t="shared" si="453"/>
        <v>340</v>
      </c>
      <c r="Q1257" s="18">
        <f t="shared" si="453"/>
        <v>51221</v>
      </c>
      <c r="R1257" s="17">
        <v>0</v>
      </c>
      <c r="S1257" s="17">
        <v>0</v>
      </c>
      <c r="T1257" s="321"/>
      <c r="U1257" s="48">
        <f>MAX(0.0000001,SUM(I1257:T1257))</f>
        <v>4045801</v>
      </c>
    </row>
    <row r="1258" spans="1:21" x14ac:dyDescent="0.2">
      <c r="A1258" s="321"/>
      <c r="B1258" s="16">
        <f t="shared" si="450"/>
        <v>11</v>
      </c>
      <c r="D1258" s="64"/>
      <c r="G1258" s="16">
        <f t="shared" si="451"/>
        <v>11</v>
      </c>
      <c r="H1258" s="64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321"/>
      <c r="U1258" s="172"/>
    </row>
    <row r="1259" spans="1:21" x14ac:dyDescent="0.2">
      <c r="A1259" s="321"/>
      <c r="B1259" s="16">
        <f t="shared" si="450"/>
        <v>12</v>
      </c>
      <c r="D1259" s="64"/>
      <c r="G1259" s="16">
        <f t="shared" si="451"/>
        <v>12</v>
      </c>
      <c r="H1259" s="64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321"/>
      <c r="U1259" s="172"/>
    </row>
    <row r="1260" spans="1:21" x14ac:dyDescent="0.2">
      <c r="A1260" s="321"/>
      <c r="B1260" s="16">
        <f t="shared" si="450"/>
        <v>13</v>
      </c>
      <c r="D1260" s="64"/>
      <c r="G1260" s="16">
        <f t="shared" si="451"/>
        <v>13</v>
      </c>
      <c r="H1260" s="64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321"/>
      <c r="U1260" s="172"/>
    </row>
    <row r="1261" spans="1:21" x14ac:dyDescent="0.2">
      <c r="A1261" s="321"/>
      <c r="B1261" s="16">
        <f t="shared" si="450"/>
        <v>14</v>
      </c>
      <c r="D1261" s="45" t="s">
        <v>699</v>
      </c>
      <c r="G1261" s="16">
        <f t="shared" si="451"/>
        <v>14</v>
      </c>
      <c r="H1261" s="64" t="str">
        <f>VLOOKUP(G1261,FactorTable,2)</f>
        <v>REVENUE</v>
      </c>
      <c r="J1261" s="412">
        <f>'WP II-I-2.2'!E77</f>
        <v>2580905272.3055363</v>
      </c>
      <c r="K1261" s="412">
        <f>'WP II-I-2.2'!F77</f>
        <v>93725156.992601186</v>
      </c>
      <c r="L1261" s="412">
        <f>'WP II-I-2.2'!G77</f>
        <v>1772278110.3614011</v>
      </c>
      <c r="M1261" s="412">
        <f>'WP II-I-2.2'!H77</f>
        <v>1756235.0368453022</v>
      </c>
      <c r="N1261" s="412">
        <f>'WP II-I-2.2'!I77</f>
        <v>388717915.32085443</v>
      </c>
      <c r="O1261" s="412">
        <f>'WP II-I-2.2'!J77</f>
        <v>78824110.817420691</v>
      </c>
      <c r="P1261" s="412">
        <f>'WP II-I-2.2'!K77</f>
        <v>211271320.41081285</v>
      </c>
      <c r="Q1261" s="412">
        <f>'WP II-I-2.2'!L77</f>
        <v>64581935.083779074</v>
      </c>
      <c r="R1261" s="412">
        <f>'WP II-I-2.2'!M77</f>
        <v>1796210.6128</v>
      </c>
      <c r="S1261" s="412">
        <f>'WP II-I-2.2'!N77</f>
        <v>8861400.7717400007</v>
      </c>
      <c r="T1261" s="321"/>
      <c r="U1261" s="48">
        <f>MAX(0.0000001,SUM(I1261:T1261))</f>
        <v>5202717667.7137909</v>
      </c>
    </row>
    <row r="1262" spans="1:21" x14ac:dyDescent="0.2">
      <c r="A1262" s="321"/>
      <c r="B1262" s="16">
        <f t="shared" si="450"/>
        <v>15</v>
      </c>
      <c r="D1262" s="64" t="s">
        <v>700</v>
      </c>
      <c r="G1262" s="16">
        <f t="shared" si="451"/>
        <v>15</v>
      </c>
      <c r="H1262" s="64" t="str">
        <f>VLOOKUP(G1262,FactorTable,2)</f>
        <v>REVENUE RTL</v>
      </c>
      <c r="J1262" s="18">
        <f t="shared" ref="J1262:Q1262" si="454">J1261</f>
        <v>2580905272.3055363</v>
      </c>
      <c r="K1262" s="18">
        <f t="shared" si="454"/>
        <v>93725156.992601186</v>
      </c>
      <c r="L1262" s="18">
        <f t="shared" si="454"/>
        <v>1772278110.3614011</v>
      </c>
      <c r="M1262" s="18">
        <f t="shared" si="454"/>
        <v>1756235.0368453022</v>
      </c>
      <c r="N1262" s="18">
        <f t="shared" si="454"/>
        <v>388717915.32085443</v>
      </c>
      <c r="O1262" s="18">
        <f>O1261</f>
        <v>78824110.817420691</v>
      </c>
      <c r="P1262" s="18">
        <f t="shared" si="454"/>
        <v>211271320.41081285</v>
      </c>
      <c r="Q1262" s="18">
        <f t="shared" si="454"/>
        <v>64581935.083779074</v>
      </c>
      <c r="R1262" s="25"/>
      <c r="S1262" s="25"/>
      <c r="T1262" s="321"/>
      <c r="U1262" s="48">
        <f>MAX(0.0000001,SUM(I1262:T1262))</f>
        <v>5192060056.3292513</v>
      </c>
    </row>
    <row r="1263" spans="1:21" x14ac:dyDescent="0.2">
      <c r="A1263" s="321"/>
      <c r="B1263" s="16">
        <f t="shared" si="450"/>
        <v>16</v>
      </c>
      <c r="D1263" s="64"/>
      <c r="G1263" s="16">
        <f t="shared" si="451"/>
        <v>16</v>
      </c>
      <c r="H1263" s="64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321"/>
      <c r="U1263" s="172"/>
    </row>
    <row r="1264" spans="1:21" x14ac:dyDescent="0.2">
      <c r="A1264" s="321"/>
      <c r="B1264" s="16">
        <f t="shared" si="450"/>
        <v>17</v>
      </c>
      <c r="D1264" s="589" t="s">
        <v>969</v>
      </c>
      <c r="G1264" s="16">
        <f t="shared" si="451"/>
        <v>17</v>
      </c>
      <c r="H1264" s="589" t="s">
        <v>968</v>
      </c>
      <c r="J1264" s="45">
        <v>1763132764.6525154</v>
      </c>
      <c r="K1264" s="45">
        <v>85777399.683401302</v>
      </c>
      <c r="L1264" s="45">
        <v>1315632476.0922151</v>
      </c>
      <c r="M1264" s="45">
        <v>1119414.9323867427</v>
      </c>
      <c r="N1264" s="45">
        <v>195186930.40355563</v>
      </c>
      <c r="O1264" s="45">
        <v>26040677.805835228</v>
      </c>
      <c r="P1264" s="45">
        <v>97405783.661392704</v>
      </c>
      <c r="Q1264" s="45">
        <v>58143116.429203786</v>
      </c>
      <c r="R1264" s="45">
        <v>1058649.2683363492</v>
      </c>
      <c r="S1264" s="45">
        <v>4712912.5541264359</v>
      </c>
      <c r="T1264" s="321"/>
      <c r="U1264" s="48">
        <f>MAX(0.0000001,SUM(I1264:T1264))</f>
        <v>3548210125.4829688</v>
      </c>
    </row>
    <row r="1265" spans="1:21" x14ac:dyDescent="0.2">
      <c r="A1265" s="321"/>
      <c r="B1265" s="16">
        <f t="shared" si="450"/>
        <v>18</v>
      </c>
      <c r="D1265" s="45"/>
      <c r="G1265" s="16">
        <f t="shared" si="451"/>
        <v>18</v>
      </c>
      <c r="H1265" s="64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321"/>
      <c r="U1265" s="172"/>
    </row>
    <row r="1266" spans="1:21" x14ac:dyDescent="0.2">
      <c r="A1266" s="321"/>
      <c r="B1266" s="16">
        <f t="shared" si="450"/>
        <v>19</v>
      </c>
      <c r="D1266" s="64" t="s">
        <v>701</v>
      </c>
      <c r="G1266" s="16">
        <f t="shared" si="451"/>
        <v>19</v>
      </c>
      <c r="H1266" s="64" t="str">
        <f>VLOOKUP(G1266,FactorTable,2)</f>
        <v>ENERGY ICL</v>
      </c>
      <c r="J1266" s="413">
        <f>'WP II-I-2.2'!E20</f>
        <v>40817970.445</v>
      </c>
      <c r="K1266" s="413">
        <f>'WP II-I-2.2'!F20</f>
        <v>1236620.575</v>
      </c>
      <c r="L1266" s="413">
        <f>'WP II-I-2.2'!G20</f>
        <v>43461525.475000001</v>
      </c>
      <c r="M1266" s="413">
        <f>'WP II-I-2.2'!H20</f>
        <v>836.80100000000004</v>
      </c>
      <c r="N1266" s="413">
        <f>'WP II-I-2.2'!I20</f>
        <v>7196537.642</v>
      </c>
      <c r="O1266" s="413">
        <f>'WP II-I-2.2'!J20</f>
        <v>1371791.51</v>
      </c>
      <c r="P1266" s="413">
        <f>'WP II-I-2.2'!K20</f>
        <v>9461162.5539999995</v>
      </c>
      <c r="Q1266" s="413">
        <f>'WP II-I-2.2'!L20</f>
        <v>333986.83399999997</v>
      </c>
      <c r="R1266" s="413">
        <f>'WP II-I-2.2'!M20</f>
        <v>103747.4</v>
      </c>
      <c r="S1266" s="413">
        <f>'WP II-I-2.2'!N20</f>
        <v>122393.4</v>
      </c>
      <c r="T1266" s="321"/>
      <c r="U1266" s="48">
        <f>MAX(0.0000001,SUM(I1266:T1266))</f>
        <v>104106572.63600004</v>
      </c>
    </row>
    <row r="1267" spans="1:21" x14ac:dyDescent="0.2">
      <c r="A1267" s="321"/>
      <c r="B1267" s="16">
        <f t="shared" si="450"/>
        <v>20</v>
      </c>
      <c r="D1267" s="64"/>
      <c r="G1267" s="16">
        <f t="shared" si="451"/>
        <v>20</v>
      </c>
      <c r="H1267" s="64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321"/>
      <c r="U1267" s="172"/>
    </row>
    <row r="1268" spans="1:21" x14ac:dyDescent="0.2">
      <c r="A1268" s="321"/>
      <c r="B1268" s="16">
        <f t="shared" si="450"/>
        <v>21</v>
      </c>
      <c r="D1268" s="64"/>
      <c r="G1268" s="16">
        <f t="shared" si="451"/>
        <v>21</v>
      </c>
      <c r="H1268" s="64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321"/>
      <c r="U1268" s="172"/>
    </row>
    <row r="1269" spans="1:21" x14ac:dyDescent="0.2">
      <c r="A1269" s="321"/>
      <c r="B1269" s="16">
        <f t="shared" si="450"/>
        <v>22</v>
      </c>
      <c r="D1269" s="45"/>
      <c r="G1269" s="16">
        <f t="shared" si="451"/>
        <v>22</v>
      </c>
      <c r="H1269" s="64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321"/>
      <c r="U1269" s="172"/>
    </row>
    <row r="1270" spans="1:21" x14ac:dyDescent="0.2">
      <c r="A1270" s="321"/>
      <c r="B1270" s="16">
        <f t="shared" si="450"/>
        <v>23</v>
      </c>
      <c r="D1270" s="64" t="s">
        <v>702</v>
      </c>
      <c r="G1270" s="16">
        <f t="shared" si="451"/>
        <v>23</v>
      </c>
      <c r="H1270" s="64" t="str">
        <f>VLOOKUP(G1270,FactorTable,2)</f>
        <v>4CP RTL</v>
      </c>
      <c r="J1270" s="413">
        <f>'WP II-I-2.2'!E40</f>
        <v>12679094.989879329</v>
      </c>
      <c r="K1270" s="413">
        <f>'WP II-I-2.2'!F40</f>
        <v>255601.64743040886</v>
      </c>
      <c r="L1270" s="413">
        <f>'WP II-I-2.2'!G40</f>
        <v>8826874.5016730912</v>
      </c>
      <c r="M1270" s="413">
        <f>'WP II-I-2.2'!H40</f>
        <v>2792.4322421174811</v>
      </c>
      <c r="N1270" s="413">
        <f>'WP II-I-2.2'!I40</f>
        <v>2744545.7438364113</v>
      </c>
      <c r="O1270" s="413">
        <f>'WP II-I-2.2'!J40</f>
        <v>996379.58746995602</v>
      </c>
      <c r="P1270" s="413">
        <f>'WP II-I-2.2'!K40</f>
        <v>3403571.9674686831</v>
      </c>
      <c r="Q1270" s="413">
        <f>'WP II-I-2.2'!L40</f>
        <v>0</v>
      </c>
      <c r="R1270" s="25">
        <v>0</v>
      </c>
      <c r="S1270" s="25">
        <v>0</v>
      </c>
      <c r="T1270" s="321"/>
      <c r="U1270" s="48">
        <f>MAX(0.0000001,SUM(I1270:T1270))</f>
        <v>28908860.869999997</v>
      </c>
    </row>
    <row r="1271" spans="1:21" x14ac:dyDescent="0.2">
      <c r="A1271" s="321"/>
      <c r="B1271" s="16">
        <f t="shared" si="450"/>
        <v>24</v>
      </c>
      <c r="D1271" s="64"/>
      <c r="G1271" s="16">
        <f t="shared" si="451"/>
        <v>24</v>
      </c>
      <c r="H1271" s="64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321"/>
      <c r="U1271" s="172"/>
    </row>
    <row r="1272" spans="1:21" x14ac:dyDescent="0.2">
      <c r="A1272" s="321"/>
      <c r="B1272" s="16">
        <f t="shared" si="450"/>
        <v>25</v>
      </c>
      <c r="D1272" s="64"/>
      <c r="G1272" s="16">
        <f t="shared" si="451"/>
        <v>25</v>
      </c>
      <c r="H1272" s="64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321"/>
      <c r="U1272" s="172"/>
    </row>
    <row r="1273" spans="1:21" x14ac:dyDescent="0.2">
      <c r="A1273" s="321"/>
      <c r="B1273" s="16">
        <f t="shared" si="450"/>
        <v>26</v>
      </c>
      <c r="D1273" s="64" t="s">
        <v>703</v>
      </c>
      <c r="G1273" s="16">
        <f t="shared" si="451"/>
        <v>26</v>
      </c>
      <c r="H1273" s="64" t="str">
        <f t="shared" ref="H1273:H1280" si="455">VLOOKUP(G1273,FactorTable,2)</f>
        <v>NCP ALL</v>
      </c>
      <c r="J1273" s="412">
        <f>'WP II-I-2.2'!E37</f>
        <v>15919713.533920208</v>
      </c>
      <c r="K1273" s="412">
        <f>'WP II-I-2.2'!F37</f>
        <v>300765.84980009048</v>
      </c>
      <c r="L1273" s="412">
        <f>'WP II-I-2.2'!G37</f>
        <v>10225299.230063109</v>
      </c>
      <c r="M1273" s="412">
        <f>'WP II-I-2.2'!H37</f>
        <v>4784.8338942797454</v>
      </c>
      <c r="N1273" s="412">
        <f>'WP II-I-2.2'!I37</f>
        <v>3007684.7612368348</v>
      </c>
      <c r="O1273" s="412">
        <f>'WP II-I-2.2'!J37</f>
        <v>1292762.1114743971</v>
      </c>
      <c r="P1273" s="412">
        <f>'WP II-I-2.2'!K37</f>
        <v>4728173.3532934133</v>
      </c>
      <c r="Q1273" s="412">
        <f>'WP II-I-2.2'!L37</f>
        <v>90934.292990564922</v>
      </c>
      <c r="R1273" s="412">
        <f>'WP II-I-2.2'!M37</f>
        <v>89360.767768842663</v>
      </c>
      <c r="S1273" s="412">
        <f>'WP II-I-2.2'!N37</f>
        <v>115405.61806833629</v>
      </c>
      <c r="T1273" s="321"/>
      <c r="U1273" s="48">
        <f t="shared" ref="U1273:U1280" si="456">MAX(0.0000001,SUM(I1273:T1273))</f>
        <v>35774884.35251008</v>
      </c>
    </row>
    <row r="1274" spans="1:21" x14ac:dyDescent="0.2">
      <c r="A1274" s="321"/>
      <c r="B1274" s="16">
        <f t="shared" si="450"/>
        <v>27</v>
      </c>
      <c r="D1274" s="64"/>
      <c r="G1274" s="16">
        <f>G1273+1</f>
        <v>27</v>
      </c>
      <c r="H1274" s="64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321"/>
      <c r="U1274" s="172"/>
    </row>
    <row r="1275" spans="1:21" x14ac:dyDescent="0.2">
      <c r="A1275" s="321"/>
      <c r="B1275" s="16">
        <f t="shared" si="450"/>
        <v>28</v>
      </c>
      <c r="D1275" s="64" t="s">
        <v>704</v>
      </c>
      <c r="G1275" s="16">
        <f t="shared" si="451"/>
        <v>28</v>
      </c>
      <c r="H1275" s="64" t="str">
        <f t="shared" si="455"/>
        <v>NCP XHV</v>
      </c>
      <c r="J1275" s="750">
        <f t="shared" ref="J1275:O1275" si="457">J1273</f>
        <v>15919713.533920208</v>
      </c>
      <c r="K1275" s="750">
        <f t="shared" si="457"/>
        <v>300765.84980009048</v>
      </c>
      <c r="L1275" s="750">
        <f t="shared" si="457"/>
        <v>10225299.230063109</v>
      </c>
      <c r="M1275" s="750">
        <f t="shared" si="457"/>
        <v>4784.8338942797454</v>
      </c>
      <c r="N1275" s="750">
        <f t="shared" si="457"/>
        <v>3007684.7612368348</v>
      </c>
      <c r="O1275" s="750">
        <f t="shared" si="457"/>
        <v>1292762.1114743971</v>
      </c>
      <c r="P1275" s="17">
        <v>0</v>
      </c>
      <c r="Q1275" s="750">
        <f>Q1273</f>
        <v>90934.292990564922</v>
      </c>
      <c r="R1275" s="414">
        <f>R1273</f>
        <v>89360.767768842663</v>
      </c>
      <c r="S1275" s="414">
        <f>S1273</f>
        <v>115405.61806833629</v>
      </c>
      <c r="T1275" s="321"/>
      <c r="U1275" s="48">
        <f t="shared" si="456"/>
        <v>31046710.999216665</v>
      </c>
    </row>
    <row r="1276" spans="1:21" x14ac:dyDescent="0.2">
      <c r="A1276" s="321"/>
      <c r="B1276" s="16">
        <f t="shared" si="450"/>
        <v>29</v>
      </c>
      <c r="D1276" s="64"/>
      <c r="G1276" s="16">
        <f>G1275+1</f>
        <v>29</v>
      </c>
      <c r="H1276" s="64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321"/>
      <c r="U1276" s="172"/>
    </row>
    <row r="1277" spans="1:21" x14ac:dyDescent="0.2">
      <c r="A1277" s="321"/>
      <c r="B1277" s="16">
        <f t="shared" si="450"/>
        <v>30</v>
      </c>
      <c r="D1277" s="64" t="s">
        <v>705</v>
      </c>
      <c r="G1277" s="16">
        <f t="shared" si="451"/>
        <v>30</v>
      </c>
      <c r="H1277" s="64" t="str">
        <f t="shared" si="455"/>
        <v>NCP XSS</v>
      </c>
      <c r="J1277" s="750">
        <f>J1273</f>
        <v>15919713.533920208</v>
      </c>
      <c r="K1277" s="750">
        <f>K1273</f>
        <v>300765.84980009048</v>
      </c>
      <c r="L1277" s="750">
        <f>L1273</f>
        <v>10225299.230063109</v>
      </c>
      <c r="M1277" s="750">
        <f>M1273</f>
        <v>4784.8338942797454</v>
      </c>
      <c r="N1277" s="750">
        <f>N1273</f>
        <v>3007684.7612368348</v>
      </c>
      <c r="O1277" s="17">
        <v>0</v>
      </c>
      <c r="P1277" s="17">
        <v>0</v>
      </c>
      <c r="Q1277" s="750">
        <f>Q1273</f>
        <v>90934.292990564922</v>
      </c>
      <c r="R1277" s="17">
        <v>0</v>
      </c>
      <c r="S1277" s="414">
        <f>S1273</f>
        <v>115405.61806833629</v>
      </c>
      <c r="T1277" s="321"/>
      <c r="U1277" s="48">
        <f t="shared" si="456"/>
        <v>29664588.119973425</v>
      </c>
    </row>
    <row r="1278" spans="1:21" x14ac:dyDescent="0.2">
      <c r="A1278" s="321"/>
      <c r="B1278" s="16">
        <f t="shared" si="450"/>
        <v>31</v>
      </c>
      <c r="D1278" s="64"/>
      <c r="G1278" s="16">
        <f>G1277+1</f>
        <v>31</v>
      </c>
      <c r="H1278" s="64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321"/>
      <c r="U1278" s="172"/>
    </row>
    <row r="1279" spans="1:21" x14ac:dyDescent="0.2">
      <c r="A1279" s="321"/>
      <c r="B1279" s="16">
        <f t="shared" si="450"/>
        <v>32</v>
      </c>
      <c r="D1279" s="64" t="s">
        <v>706</v>
      </c>
      <c r="G1279" s="16">
        <f t="shared" si="451"/>
        <v>32</v>
      </c>
      <c r="H1279" s="64" t="str">
        <f t="shared" si="455"/>
        <v>NCP SEC</v>
      </c>
      <c r="J1279" s="750">
        <f>J1273</f>
        <v>15919713.533920208</v>
      </c>
      <c r="K1279" s="750">
        <f>K1273</f>
        <v>300765.84980009048</v>
      </c>
      <c r="L1279" s="750">
        <f>L1273</f>
        <v>10225299.230063109</v>
      </c>
      <c r="M1279" s="17">
        <v>0</v>
      </c>
      <c r="N1279" s="17">
        <v>0</v>
      </c>
      <c r="O1279" s="17">
        <v>0</v>
      </c>
      <c r="P1279" s="17">
        <v>0</v>
      </c>
      <c r="Q1279" s="750">
        <f>Q1273</f>
        <v>90934.292990564922</v>
      </c>
      <c r="R1279" s="17">
        <v>0</v>
      </c>
      <c r="S1279" s="17">
        <v>0</v>
      </c>
      <c r="U1279" s="48">
        <f t="shared" si="456"/>
        <v>26536712.906773973</v>
      </c>
    </row>
    <row r="1280" spans="1:21" x14ac:dyDescent="0.2">
      <c r="A1280" s="321"/>
      <c r="B1280" s="16">
        <f t="shared" si="450"/>
        <v>33</v>
      </c>
      <c r="D1280" s="64" t="s">
        <v>707</v>
      </c>
      <c r="G1280" s="16">
        <f t="shared" si="451"/>
        <v>33</v>
      </c>
      <c r="H1280" s="64" t="str">
        <f t="shared" si="455"/>
        <v>NCP LGT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750">
        <f>Q1273</f>
        <v>90934.292990564922</v>
      </c>
      <c r="R1280" s="17">
        <v>0</v>
      </c>
      <c r="S1280" s="17">
        <v>0</v>
      </c>
      <c r="U1280" s="48">
        <f t="shared" si="456"/>
        <v>90934.292990564922</v>
      </c>
    </row>
    <row r="1281" spans="1:21" x14ac:dyDescent="0.2">
      <c r="A1281" s="321"/>
      <c r="B1281" s="16">
        <f t="shared" si="450"/>
        <v>34</v>
      </c>
      <c r="D1281" s="45"/>
      <c r="E1281" s="321"/>
      <c r="F1281" s="321"/>
      <c r="G1281" s="16">
        <f t="shared" si="451"/>
        <v>34</v>
      </c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U1281" s="172"/>
    </row>
    <row r="1282" spans="1:21" x14ac:dyDescent="0.2">
      <c r="A1282" s="321"/>
      <c r="B1282" s="16">
        <f t="shared" si="450"/>
        <v>35</v>
      </c>
      <c r="G1282" s="16">
        <f t="shared" si="451"/>
        <v>35</v>
      </c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  <c r="U1282" s="172"/>
    </row>
    <row r="1283" spans="1:21" x14ac:dyDescent="0.2">
      <c r="A1283" s="321"/>
      <c r="B1283" s="16">
        <f t="shared" si="450"/>
        <v>36</v>
      </c>
      <c r="D1283" s="45" t="s">
        <v>881</v>
      </c>
      <c r="G1283" s="16">
        <f t="shared" si="451"/>
        <v>36</v>
      </c>
      <c r="H1283" s="64" t="str">
        <f>VLOOKUP(G1283,FactorTable,2)</f>
        <v>OPEB MED</v>
      </c>
      <c r="J1283" s="412">
        <f ca="1">J1335</f>
        <v>11564961.747054666</v>
      </c>
      <c r="K1283" s="412">
        <f t="shared" ref="K1283:Q1283" ca="1" si="458">K1335</f>
        <v>1440405.0125139623</v>
      </c>
      <c r="L1283" s="412">
        <f t="shared" ca="1" si="458"/>
        <v>6516535.6550484328</v>
      </c>
      <c r="M1283" s="412">
        <f t="shared" ca="1" si="458"/>
        <v>227441.0800977131</v>
      </c>
      <c r="N1283" s="412">
        <f t="shared" ca="1" si="458"/>
        <v>1990616.4273656455</v>
      </c>
      <c r="O1283" s="412">
        <f ca="1">O1335</f>
        <v>107592.24201419142</v>
      </c>
      <c r="P1283" s="412">
        <f t="shared" ca="1" si="458"/>
        <v>254400.30065399167</v>
      </c>
      <c r="Q1283" s="412">
        <f t="shared" ca="1" si="458"/>
        <v>380177.5979254464</v>
      </c>
      <c r="R1283" s="412">
        <f ca="1">R1335*(1-'WP II-I-2.2'!$G$42)</f>
        <v>6311.3733320154633</v>
      </c>
      <c r="S1283" s="412">
        <f ca="1">S1335*(1-'WP II-I-2.2'!$G$42)</f>
        <v>16022.413993921466</v>
      </c>
      <c r="U1283" s="48">
        <f ca="1">MAX(0.0000001,SUM(I1283:T1283))</f>
        <v>22504463.849999987</v>
      </c>
    </row>
    <row r="1284" spans="1:21" x14ac:dyDescent="0.2">
      <c r="A1284" s="321"/>
      <c r="B1284" s="16">
        <f t="shared" si="450"/>
        <v>37</v>
      </c>
      <c r="D1284" t="s">
        <v>890</v>
      </c>
      <c r="G1284" s="16">
        <f t="shared" si="451"/>
        <v>37</v>
      </c>
      <c r="H1284" s="64" t="str">
        <f>VLOOKUP(G1284,FactorTable,2)</f>
        <v>OPEB TOTAL</v>
      </c>
      <c r="J1284" s="412">
        <f ca="1">J1335</f>
        <v>11564961.747054666</v>
      </c>
      <c r="K1284" s="412">
        <f t="shared" ref="K1284:Q1284" ca="1" si="459">K1335</f>
        <v>1440405.0125139623</v>
      </c>
      <c r="L1284" s="412">
        <f t="shared" ca="1" si="459"/>
        <v>6516535.6550484328</v>
      </c>
      <c r="M1284" s="412">
        <f t="shared" ca="1" si="459"/>
        <v>227441.0800977131</v>
      </c>
      <c r="N1284" s="412">
        <f t="shared" ca="1" si="459"/>
        <v>1990616.4273656455</v>
      </c>
      <c r="O1284" s="412">
        <f ca="1">O1335</f>
        <v>107592.24201419142</v>
      </c>
      <c r="P1284" s="412">
        <f t="shared" ca="1" si="459"/>
        <v>254400.30065399167</v>
      </c>
      <c r="Q1284" s="412">
        <f t="shared" ca="1" si="459"/>
        <v>380177.5979254464</v>
      </c>
      <c r="R1284" s="412">
        <f ca="1">R1335*(1-'WP II-I-2.2'!$K$42)</f>
        <v>6311.3733320154633</v>
      </c>
      <c r="S1284" s="412">
        <f ca="1">S1335*(1-'WP II-I-2.2'!$K$42)</f>
        <v>16022.413993921466</v>
      </c>
      <c r="U1284" s="48">
        <f ca="1">MAX(0.0000001,SUM(I1284:T1284))</f>
        <v>22504463.849999987</v>
      </c>
    </row>
    <row r="1285" spans="1:21" x14ac:dyDescent="0.2">
      <c r="A1285" s="321"/>
      <c r="B1285" s="16">
        <f t="shared" si="450"/>
        <v>38</v>
      </c>
      <c r="D1285" s="64"/>
      <c r="G1285" s="16">
        <f t="shared" si="451"/>
        <v>38</v>
      </c>
      <c r="H1285" s="64"/>
      <c r="J1285" s="416"/>
      <c r="K1285" s="416"/>
      <c r="L1285" s="416"/>
      <c r="M1285" s="416"/>
      <c r="N1285" s="416"/>
      <c r="O1285" s="416"/>
      <c r="P1285" s="416"/>
      <c r="Q1285" s="416"/>
      <c r="R1285" s="416"/>
      <c r="S1285" s="416"/>
      <c r="U1285" s="48"/>
    </row>
    <row r="1286" spans="1:21" x14ac:dyDescent="0.2">
      <c r="A1286" s="321"/>
      <c r="B1286" s="16">
        <f t="shared" si="450"/>
        <v>39</v>
      </c>
      <c r="D1286" s="64" t="s">
        <v>708</v>
      </c>
      <c r="G1286" s="16">
        <f t="shared" si="451"/>
        <v>39</v>
      </c>
      <c r="H1286" s="64" t="str">
        <f t="shared" ref="H1286:H1301" si="460">VLOOKUP(G1286,FactorTable,2)</f>
        <v>NOT USED</v>
      </c>
      <c r="J1286" s="415"/>
      <c r="K1286" s="415"/>
      <c r="L1286" s="415"/>
      <c r="M1286" s="415"/>
      <c r="N1286" s="415"/>
      <c r="O1286" s="415"/>
      <c r="P1286" s="415"/>
      <c r="Q1286" s="415"/>
      <c r="R1286" s="415"/>
      <c r="S1286" s="415"/>
      <c r="U1286" s="48"/>
    </row>
    <row r="1287" spans="1:21" x14ac:dyDescent="0.2">
      <c r="A1287" s="321"/>
      <c r="B1287" s="16">
        <f t="shared" si="450"/>
        <v>40</v>
      </c>
      <c r="D1287" s="64" t="s">
        <v>898</v>
      </c>
      <c r="G1287" s="16">
        <f t="shared" si="451"/>
        <v>40</v>
      </c>
      <c r="H1287" s="64" t="str">
        <f>VLOOKUP(G1287,FactorTable,2)</f>
        <v>PLT 360</v>
      </c>
      <c r="J1287" s="415">
        <f t="shared" ref="J1287:S1287" ca="1" si="461">J136</f>
        <v>0</v>
      </c>
      <c r="K1287" s="415">
        <f t="shared" ca="1" si="461"/>
        <v>0</v>
      </c>
      <c r="L1287" s="415">
        <f t="shared" ca="1" si="461"/>
        <v>0</v>
      </c>
      <c r="M1287" s="415">
        <f t="shared" ca="1" si="461"/>
        <v>0</v>
      </c>
      <c r="N1287" s="415">
        <f t="shared" ca="1" si="461"/>
        <v>0</v>
      </c>
      <c r="O1287" s="415">
        <f t="shared" ca="1" si="461"/>
        <v>0</v>
      </c>
      <c r="P1287" s="415">
        <f t="shared" ca="1" si="461"/>
        <v>0</v>
      </c>
      <c r="Q1287" s="415">
        <f t="shared" ca="1" si="461"/>
        <v>0</v>
      </c>
      <c r="R1287" s="415">
        <f t="shared" ca="1" si="461"/>
        <v>0</v>
      </c>
      <c r="S1287" s="415">
        <f t="shared" ca="1" si="461"/>
        <v>0</v>
      </c>
      <c r="U1287" s="48">
        <f ca="1">MAX(0.0000001,SUM(I1287:T1287))</f>
        <v>9.9999999999999995E-8</v>
      </c>
    </row>
    <row r="1288" spans="1:21" ht="11.1" customHeight="1" x14ac:dyDescent="0.2">
      <c r="A1288" s="321"/>
      <c r="B1288" s="16">
        <f t="shared" si="450"/>
        <v>41</v>
      </c>
      <c r="D1288" s="64" t="s">
        <v>709</v>
      </c>
      <c r="G1288" s="16">
        <f t="shared" si="451"/>
        <v>41</v>
      </c>
      <c r="H1288" s="64" t="str">
        <f t="shared" si="460"/>
        <v>PLT 353</v>
      </c>
      <c r="J1288" s="415">
        <f t="shared" ref="J1288:S1288" si="462">J114</f>
        <v>0</v>
      </c>
      <c r="K1288" s="415">
        <f t="shared" si="462"/>
        <v>0</v>
      </c>
      <c r="L1288" s="415">
        <f t="shared" si="462"/>
        <v>0</v>
      </c>
      <c r="M1288" s="415">
        <f t="shared" si="462"/>
        <v>0</v>
      </c>
      <c r="N1288" s="415">
        <f t="shared" si="462"/>
        <v>0</v>
      </c>
      <c r="O1288" s="415">
        <f t="shared" si="462"/>
        <v>0</v>
      </c>
      <c r="P1288" s="415">
        <f t="shared" si="462"/>
        <v>0</v>
      </c>
      <c r="Q1288" s="415">
        <f t="shared" si="462"/>
        <v>0</v>
      </c>
      <c r="R1288" s="415">
        <f t="shared" si="462"/>
        <v>0</v>
      </c>
      <c r="S1288" s="415">
        <f t="shared" si="462"/>
        <v>0</v>
      </c>
      <c r="U1288" s="48">
        <f t="shared" ref="U1288:U1301" si="463">MAX(0.0000001,SUM(I1288:T1288))</f>
        <v>9.9999999999999995E-8</v>
      </c>
    </row>
    <row r="1289" spans="1:21" x14ac:dyDescent="0.2">
      <c r="A1289" s="321"/>
      <c r="B1289" s="16">
        <f t="shared" si="450"/>
        <v>42</v>
      </c>
      <c r="D1289" s="64" t="s">
        <v>710</v>
      </c>
      <c r="G1289" s="16">
        <f t="shared" si="451"/>
        <v>42</v>
      </c>
      <c r="H1289" s="64" t="str">
        <f t="shared" si="460"/>
        <v>PLT 352-358</v>
      </c>
      <c r="J1289" s="415">
        <f t="shared" ref="J1289:S1289" si="464">SUM(J113:J119)</f>
        <v>0</v>
      </c>
      <c r="K1289" s="415">
        <f t="shared" si="464"/>
        <v>0</v>
      </c>
      <c r="L1289" s="415">
        <f t="shared" si="464"/>
        <v>0</v>
      </c>
      <c r="M1289" s="415">
        <f t="shared" si="464"/>
        <v>0</v>
      </c>
      <c r="N1289" s="415">
        <f t="shared" si="464"/>
        <v>0</v>
      </c>
      <c r="O1289" s="415">
        <f t="shared" si="464"/>
        <v>0</v>
      </c>
      <c r="P1289" s="415">
        <f t="shared" si="464"/>
        <v>0</v>
      </c>
      <c r="Q1289" s="415">
        <f t="shared" si="464"/>
        <v>0</v>
      </c>
      <c r="R1289" s="415">
        <f t="shared" si="464"/>
        <v>0</v>
      </c>
      <c r="S1289" s="415">
        <f t="shared" si="464"/>
        <v>0</v>
      </c>
      <c r="U1289" s="48">
        <f t="shared" si="463"/>
        <v>9.9999999999999995E-8</v>
      </c>
    </row>
    <row r="1290" spans="1:21" ht="11.45" customHeight="1" x14ac:dyDescent="0.2">
      <c r="A1290" s="321"/>
      <c r="B1290" s="16">
        <f t="shared" si="450"/>
        <v>43</v>
      </c>
      <c r="D1290" s="64" t="s">
        <v>711</v>
      </c>
      <c r="G1290" s="16">
        <f t="shared" si="451"/>
        <v>43</v>
      </c>
      <c r="H1290" s="64" t="str">
        <f t="shared" si="460"/>
        <v>PLT 361</v>
      </c>
      <c r="J1290" s="415">
        <f t="shared" ref="J1290:S1290" ca="1" si="465">J137</f>
        <v>0</v>
      </c>
      <c r="K1290" s="415">
        <f t="shared" ca="1" si="465"/>
        <v>0</v>
      </c>
      <c r="L1290" s="415">
        <f t="shared" ca="1" si="465"/>
        <v>0</v>
      </c>
      <c r="M1290" s="415">
        <f t="shared" ca="1" si="465"/>
        <v>0</v>
      </c>
      <c r="N1290" s="415">
        <f t="shared" ca="1" si="465"/>
        <v>0</v>
      </c>
      <c r="O1290" s="415">
        <f t="shared" ca="1" si="465"/>
        <v>0</v>
      </c>
      <c r="P1290" s="415">
        <f t="shared" ca="1" si="465"/>
        <v>0</v>
      </c>
      <c r="Q1290" s="415">
        <f t="shared" ca="1" si="465"/>
        <v>0</v>
      </c>
      <c r="R1290" s="415">
        <f t="shared" ca="1" si="465"/>
        <v>0</v>
      </c>
      <c r="S1290" s="415">
        <f t="shared" ca="1" si="465"/>
        <v>0</v>
      </c>
      <c r="U1290" s="48">
        <f t="shared" ca="1" si="463"/>
        <v>9.9999999999999995E-8</v>
      </c>
    </row>
    <row r="1291" spans="1:21" x14ac:dyDescent="0.2">
      <c r="A1291" s="321"/>
      <c r="B1291" s="16">
        <f t="shared" si="450"/>
        <v>44</v>
      </c>
      <c r="D1291" s="64" t="s">
        <v>712</v>
      </c>
      <c r="G1291" s="16">
        <f t="shared" si="451"/>
        <v>44</v>
      </c>
      <c r="H1291" s="64" t="str">
        <f t="shared" si="460"/>
        <v>PLT 362</v>
      </c>
      <c r="J1291" s="415">
        <f t="shared" ref="J1291:S1291" si="466">J138</f>
        <v>0</v>
      </c>
      <c r="K1291" s="415">
        <f t="shared" si="466"/>
        <v>0</v>
      </c>
      <c r="L1291" s="415">
        <f t="shared" si="466"/>
        <v>0</v>
      </c>
      <c r="M1291" s="415">
        <f t="shared" si="466"/>
        <v>0</v>
      </c>
      <c r="N1291" s="415">
        <f t="shared" si="466"/>
        <v>0</v>
      </c>
      <c r="O1291" s="415">
        <f t="shared" si="466"/>
        <v>0</v>
      </c>
      <c r="P1291" s="415">
        <f t="shared" si="466"/>
        <v>0</v>
      </c>
      <c r="Q1291" s="415">
        <f t="shared" si="466"/>
        <v>0</v>
      </c>
      <c r="R1291" s="415">
        <f t="shared" si="466"/>
        <v>0</v>
      </c>
      <c r="S1291" s="415">
        <f t="shared" si="466"/>
        <v>0</v>
      </c>
      <c r="U1291" s="48">
        <f t="shared" si="463"/>
        <v>9.9999999999999995E-8</v>
      </c>
    </row>
    <row r="1292" spans="1:21" x14ac:dyDescent="0.2">
      <c r="A1292" s="321"/>
      <c r="B1292" s="16">
        <f t="shared" si="450"/>
        <v>45</v>
      </c>
      <c r="D1292" s="64" t="s">
        <v>713</v>
      </c>
      <c r="G1292" s="16">
        <f t="shared" si="451"/>
        <v>45</v>
      </c>
      <c r="H1292" s="64" t="str">
        <f t="shared" si="460"/>
        <v>PLT 364</v>
      </c>
      <c r="J1292" s="415">
        <f t="shared" ref="J1292:S1292" si="467">J161</f>
        <v>0</v>
      </c>
      <c r="K1292" s="415">
        <f t="shared" si="467"/>
        <v>0</v>
      </c>
      <c r="L1292" s="415">
        <f t="shared" si="467"/>
        <v>0</v>
      </c>
      <c r="M1292" s="415">
        <f t="shared" si="467"/>
        <v>0</v>
      </c>
      <c r="N1292" s="415">
        <f t="shared" si="467"/>
        <v>0</v>
      </c>
      <c r="O1292" s="415">
        <f t="shared" si="467"/>
        <v>0</v>
      </c>
      <c r="P1292" s="415">
        <f t="shared" si="467"/>
        <v>0</v>
      </c>
      <c r="Q1292" s="415">
        <f t="shared" si="467"/>
        <v>0</v>
      </c>
      <c r="R1292" s="415">
        <f t="shared" si="467"/>
        <v>0</v>
      </c>
      <c r="S1292" s="415">
        <f t="shared" si="467"/>
        <v>0</v>
      </c>
      <c r="U1292" s="48">
        <f t="shared" si="463"/>
        <v>9.9999999999999995E-8</v>
      </c>
    </row>
    <row r="1293" spans="1:21" x14ac:dyDescent="0.2">
      <c r="A1293" s="321"/>
      <c r="B1293" s="16">
        <f t="shared" si="450"/>
        <v>46</v>
      </c>
      <c r="D1293" s="64" t="s">
        <v>714</v>
      </c>
      <c r="G1293" s="16">
        <f t="shared" si="451"/>
        <v>46</v>
      </c>
      <c r="H1293" s="64" t="str">
        <f t="shared" si="460"/>
        <v>PLT 365</v>
      </c>
      <c r="J1293" s="415">
        <f t="shared" ref="J1293:S1293" si="468">J162</f>
        <v>0</v>
      </c>
      <c r="K1293" s="415">
        <f t="shared" si="468"/>
        <v>0</v>
      </c>
      <c r="L1293" s="415">
        <f t="shared" si="468"/>
        <v>0</v>
      </c>
      <c r="M1293" s="415">
        <f t="shared" si="468"/>
        <v>0</v>
      </c>
      <c r="N1293" s="415">
        <f t="shared" si="468"/>
        <v>0</v>
      </c>
      <c r="O1293" s="415">
        <f t="shared" si="468"/>
        <v>0</v>
      </c>
      <c r="P1293" s="415">
        <f t="shared" si="468"/>
        <v>0</v>
      </c>
      <c r="Q1293" s="415">
        <f t="shared" si="468"/>
        <v>0</v>
      </c>
      <c r="R1293" s="415">
        <f t="shared" si="468"/>
        <v>0</v>
      </c>
      <c r="S1293" s="415">
        <f t="shared" si="468"/>
        <v>0</v>
      </c>
      <c r="U1293" s="48">
        <f t="shared" si="463"/>
        <v>9.9999999999999995E-8</v>
      </c>
    </row>
    <row r="1294" spans="1:21" x14ac:dyDescent="0.2">
      <c r="A1294" s="321"/>
      <c r="B1294" s="16">
        <f t="shared" si="450"/>
        <v>47</v>
      </c>
      <c r="D1294" s="64" t="s">
        <v>715</v>
      </c>
      <c r="G1294" s="16">
        <f t="shared" si="451"/>
        <v>47</v>
      </c>
      <c r="H1294" s="64" t="str">
        <f t="shared" si="460"/>
        <v>PLT 366</v>
      </c>
      <c r="J1294" s="415">
        <f t="shared" ref="J1294:S1294" si="469">J163</f>
        <v>0</v>
      </c>
      <c r="K1294" s="415">
        <f t="shared" si="469"/>
        <v>0</v>
      </c>
      <c r="L1294" s="415">
        <f t="shared" si="469"/>
        <v>0</v>
      </c>
      <c r="M1294" s="415">
        <f t="shared" si="469"/>
        <v>0</v>
      </c>
      <c r="N1294" s="415">
        <f t="shared" si="469"/>
        <v>0</v>
      </c>
      <c r="O1294" s="415">
        <f t="shared" si="469"/>
        <v>0</v>
      </c>
      <c r="P1294" s="415">
        <f t="shared" si="469"/>
        <v>0</v>
      </c>
      <c r="Q1294" s="415">
        <f t="shared" si="469"/>
        <v>0</v>
      </c>
      <c r="R1294" s="415">
        <f t="shared" si="469"/>
        <v>0</v>
      </c>
      <c r="S1294" s="415">
        <f t="shared" si="469"/>
        <v>0</v>
      </c>
      <c r="U1294" s="48">
        <f t="shared" si="463"/>
        <v>9.9999999999999995E-8</v>
      </c>
    </row>
    <row r="1295" spans="1:21" x14ac:dyDescent="0.2">
      <c r="A1295" s="321"/>
      <c r="B1295" s="16">
        <f t="shared" si="450"/>
        <v>48</v>
      </c>
      <c r="D1295" s="64" t="s">
        <v>716</v>
      </c>
      <c r="G1295" s="16">
        <f t="shared" si="451"/>
        <v>48</v>
      </c>
      <c r="H1295" s="64" t="str">
        <f t="shared" si="460"/>
        <v>PLT 367</v>
      </c>
      <c r="J1295" s="415">
        <f t="shared" ref="J1295:S1295" si="470">J164</f>
        <v>0</v>
      </c>
      <c r="K1295" s="415">
        <f t="shared" si="470"/>
        <v>0</v>
      </c>
      <c r="L1295" s="415">
        <f t="shared" si="470"/>
        <v>0</v>
      </c>
      <c r="M1295" s="415">
        <f t="shared" si="470"/>
        <v>0</v>
      </c>
      <c r="N1295" s="415">
        <f t="shared" si="470"/>
        <v>0</v>
      </c>
      <c r="O1295" s="415">
        <f t="shared" si="470"/>
        <v>0</v>
      </c>
      <c r="P1295" s="415">
        <f t="shared" si="470"/>
        <v>0</v>
      </c>
      <c r="Q1295" s="415">
        <f t="shared" si="470"/>
        <v>0</v>
      </c>
      <c r="R1295" s="415">
        <f t="shared" si="470"/>
        <v>0</v>
      </c>
      <c r="S1295" s="415">
        <f t="shared" si="470"/>
        <v>0</v>
      </c>
      <c r="U1295" s="48">
        <f t="shared" si="463"/>
        <v>9.9999999999999995E-8</v>
      </c>
    </row>
    <row r="1296" spans="1:21" x14ac:dyDescent="0.2">
      <c r="A1296" s="321"/>
      <c r="B1296" s="16">
        <f t="shared" si="450"/>
        <v>49</v>
      </c>
      <c r="D1296" s="64" t="s">
        <v>717</v>
      </c>
      <c r="G1296" s="16">
        <f t="shared" si="451"/>
        <v>49</v>
      </c>
      <c r="H1296" s="64" t="str">
        <f t="shared" si="460"/>
        <v>PLT 368</v>
      </c>
      <c r="J1296" s="415">
        <f t="shared" ref="J1296:S1296" si="471">J165</f>
        <v>0</v>
      </c>
      <c r="K1296" s="415">
        <f t="shared" si="471"/>
        <v>0</v>
      </c>
      <c r="L1296" s="415">
        <f t="shared" si="471"/>
        <v>0</v>
      </c>
      <c r="M1296" s="415">
        <f t="shared" si="471"/>
        <v>0</v>
      </c>
      <c r="N1296" s="415">
        <f t="shared" si="471"/>
        <v>0</v>
      </c>
      <c r="O1296" s="415">
        <f t="shared" si="471"/>
        <v>0</v>
      </c>
      <c r="P1296" s="415">
        <f t="shared" si="471"/>
        <v>0</v>
      </c>
      <c r="Q1296" s="415">
        <f t="shared" si="471"/>
        <v>0</v>
      </c>
      <c r="R1296" s="415">
        <f t="shared" si="471"/>
        <v>0</v>
      </c>
      <c r="S1296" s="415">
        <f t="shared" si="471"/>
        <v>0</v>
      </c>
      <c r="U1296" s="48">
        <f t="shared" si="463"/>
        <v>9.9999999999999995E-8</v>
      </c>
    </row>
    <row r="1297" spans="1:21" x14ac:dyDescent="0.2">
      <c r="A1297" s="321"/>
      <c r="B1297" s="16">
        <f t="shared" si="450"/>
        <v>50</v>
      </c>
      <c r="D1297" s="64" t="s">
        <v>718</v>
      </c>
      <c r="G1297" s="16">
        <f t="shared" si="451"/>
        <v>50</v>
      </c>
      <c r="H1297" s="64" t="str">
        <f t="shared" si="460"/>
        <v>PLT 369</v>
      </c>
      <c r="J1297" s="415">
        <f t="shared" ref="J1297:S1297" si="472">J153</f>
        <v>0</v>
      </c>
      <c r="K1297" s="415">
        <f t="shared" si="472"/>
        <v>0</v>
      </c>
      <c r="L1297" s="415">
        <f t="shared" si="472"/>
        <v>0</v>
      </c>
      <c r="M1297" s="415">
        <f t="shared" si="472"/>
        <v>0</v>
      </c>
      <c r="N1297" s="415">
        <f t="shared" si="472"/>
        <v>0</v>
      </c>
      <c r="O1297" s="415">
        <f t="shared" si="472"/>
        <v>0</v>
      </c>
      <c r="P1297" s="415">
        <f t="shared" si="472"/>
        <v>0</v>
      </c>
      <c r="Q1297" s="415">
        <f t="shared" si="472"/>
        <v>0</v>
      </c>
      <c r="R1297" s="415">
        <f t="shared" si="472"/>
        <v>0</v>
      </c>
      <c r="S1297" s="415">
        <f t="shared" si="472"/>
        <v>0</v>
      </c>
      <c r="U1297" s="48">
        <f t="shared" si="463"/>
        <v>9.9999999999999995E-8</v>
      </c>
    </row>
    <row r="1298" spans="1:21" x14ac:dyDescent="0.2">
      <c r="A1298" s="321"/>
      <c r="B1298" s="16">
        <f t="shared" si="450"/>
        <v>51</v>
      </c>
      <c r="D1298" s="64" t="s">
        <v>719</v>
      </c>
      <c r="G1298" s="16">
        <f t="shared" si="451"/>
        <v>51</v>
      </c>
      <c r="H1298" s="64" t="str">
        <f t="shared" si="460"/>
        <v>PLT 370</v>
      </c>
      <c r="J1298" s="415">
        <f t="shared" ref="J1298:S1298" si="473">J154</f>
        <v>0</v>
      </c>
      <c r="K1298" s="415">
        <f t="shared" si="473"/>
        <v>0</v>
      </c>
      <c r="L1298" s="415">
        <f t="shared" si="473"/>
        <v>0</v>
      </c>
      <c r="M1298" s="415">
        <f t="shared" si="473"/>
        <v>0</v>
      </c>
      <c r="N1298" s="415">
        <f t="shared" si="473"/>
        <v>0</v>
      </c>
      <c r="O1298" s="415">
        <f t="shared" si="473"/>
        <v>0</v>
      </c>
      <c r="P1298" s="415">
        <f t="shared" si="473"/>
        <v>0</v>
      </c>
      <c r="Q1298" s="415">
        <f t="shared" si="473"/>
        <v>0</v>
      </c>
      <c r="R1298" s="415">
        <f t="shared" si="473"/>
        <v>0</v>
      </c>
      <c r="S1298" s="415">
        <f t="shared" si="473"/>
        <v>0</v>
      </c>
      <c r="U1298" s="48">
        <f t="shared" si="463"/>
        <v>9.9999999999999995E-8</v>
      </c>
    </row>
    <row r="1299" spans="1:21" s="321" customFormat="1" x14ac:dyDescent="0.2">
      <c r="B1299" s="16">
        <f t="shared" si="450"/>
        <v>52</v>
      </c>
      <c r="D1299" s="45" t="s">
        <v>720</v>
      </c>
      <c r="G1299" s="16">
        <f t="shared" si="451"/>
        <v>52</v>
      </c>
      <c r="H1299" s="45" t="str">
        <f t="shared" si="460"/>
        <v>PLT OH</v>
      </c>
      <c r="J1299" s="750">
        <f t="shared" ref="J1299:S1299" si="474">SUM(J161:J162)</f>
        <v>0</v>
      </c>
      <c r="K1299" s="750">
        <f t="shared" si="474"/>
        <v>0</v>
      </c>
      <c r="L1299" s="750">
        <f t="shared" si="474"/>
        <v>0</v>
      </c>
      <c r="M1299" s="750">
        <f t="shared" si="474"/>
        <v>0</v>
      </c>
      <c r="N1299" s="750">
        <f t="shared" si="474"/>
        <v>0</v>
      </c>
      <c r="O1299" s="750">
        <f t="shared" si="474"/>
        <v>0</v>
      </c>
      <c r="P1299" s="750">
        <f t="shared" si="474"/>
        <v>0</v>
      </c>
      <c r="Q1299" s="750">
        <f t="shared" si="474"/>
        <v>0</v>
      </c>
      <c r="R1299" s="750">
        <f t="shared" si="474"/>
        <v>0</v>
      </c>
      <c r="S1299" s="750">
        <f t="shared" si="474"/>
        <v>0</v>
      </c>
      <c r="U1299" s="18">
        <f t="shared" si="463"/>
        <v>9.9999999999999995E-8</v>
      </c>
    </row>
    <row r="1300" spans="1:21" x14ac:dyDescent="0.2">
      <c r="A1300" s="321"/>
      <c r="B1300" s="16">
        <f t="shared" si="450"/>
        <v>53</v>
      </c>
      <c r="D1300" s="64" t="s">
        <v>721</v>
      </c>
      <c r="G1300" s="16">
        <f t="shared" si="451"/>
        <v>53</v>
      </c>
      <c r="H1300" s="64" t="str">
        <f t="shared" si="460"/>
        <v>PLT UG</v>
      </c>
      <c r="J1300" s="415">
        <f t="shared" ref="J1300:S1300" si="475">SUM(J163:J164)</f>
        <v>0</v>
      </c>
      <c r="K1300" s="415">
        <f t="shared" si="475"/>
        <v>0</v>
      </c>
      <c r="L1300" s="415">
        <f t="shared" si="475"/>
        <v>0</v>
      </c>
      <c r="M1300" s="415">
        <f t="shared" si="475"/>
        <v>0</v>
      </c>
      <c r="N1300" s="415">
        <f t="shared" si="475"/>
        <v>0</v>
      </c>
      <c r="O1300" s="415">
        <f t="shared" si="475"/>
        <v>0</v>
      </c>
      <c r="P1300" s="415">
        <f t="shared" si="475"/>
        <v>0</v>
      </c>
      <c r="Q1300" s="415">
        <f t="shared" si="475"/>
        <v>0</v>
      </c>
      <c r="R1300" s="415">
        <f t="shared" si="475"/>
        <v>0</v>
      </c>
      <c r="S1300" s="415">
        <f t="shared" si="475"/>
        <v>0</v>
      </c>
      <c r="U1300" s="48">
        <f t="shared" si="463"/>
        <v>9.9999999999999995E-8</v>
      </c>
    </row>
    <row r="1301" spans="1:21" x14ac:dyDescent="0.2">
      <c r="A1301" s="321"/>
      <c r="B1301" s="16">
        <f t="shared" si="450"/>
        <v>54</v>
      </c>
      <c r="D1301" s="64" t="s">
        <v>722</v>
      </c>
      <c r="G1301" s="16">
        <f t="shared" si="451"/>
        <v>54</v>
      </c>
      <c r="H1301" s="64" t="str">
        <f t="shared" si="460"/>
        <v>PLT 362-373</v>
      </c>
      <c r="J1301" s="415">
        <f t="shared" ref="J1301:S1301" ca="1" si="476">SUM(J138:J157)</f>
        <v>165067031.26775223</v>
      </c>
      <c r="K1301" s="415">
        <f t="shared" ca="1" si="476"/>
        <v>23032261.409724146</v>
      </c>
      <c r="L1301" s="415">
        <f t="shared" ca="1" si="476"/>
        <v>90018699.167709321</v>
      </c>
      <c r="M1301" s="415">
        <f t="shared" ca="1" si="476"/>
        <v>3786652.160623353</v>
      </c>
      <c r="N1301" s="415">
        <f t="shared" ca="1" si="476"/>
        <v>29148508.942834057</v>
      </c>
      <c r="O1301" s="415">
        <f t="shared" ca="1" si="476"/>
        <v>956384.57349934755</v>
      </c>
      <c r="P1301" s="415">
        <f t="shared" ca="1" si="476"/>
        <v>1994912.6072992531</v>
      </c>
      <c r="Q1301" s="415">
        <f t="shared" ca="1" si="476"/>
        <v>20495054.878643345</v>
      </c>
      <c r="R1301" s="415">
        <f t="shared" ca="1" si="476"/>
        <v>105613.02038643106</v>
      </c>
      <c r="S1301" s="415">
        <f t="shared" ca="1" si="476"/>
        <v>268117.65152844792</v>
      </c>
      <c r="U1301" s="48">
        <f t="shared" ca="1" si="463"/>
        <v>334873235.68000001</v>
      </c>
    </row>
    <row r="1302" spans="1:21" ht="11.45" customHeight="1" x14ac:dyDescent="0.2">
      <c r="A1302" s="321"/>
      <c r="B1302" s="16">
        <f t="shared" si="450"/>
        <v>55</v>
      </c>
      <c r="D1302" s="64"/>
      <c r="G1302" s="16">
        <f>G1301+1</f>
        <v>55</v>
      </c>
      <c r="H1302" s="64"/>
      <c r="J1302" s="415"/>
      <c r="K1302" s="415"/>
      <c r="L1302" s="415"/>
      <c r="M1302" s="415"/>
      <c r="N1302" s="415"/>
      <c r="O1302" s="415"/>
      <c r="P1302" s="415"/>
      <c r="Q1302" s="415"/>
      <c r="R1302" s="415"/>
      <c r="S1302" s="415"/>
      <c r="U1302" s="172"/>
    </row>
    <row r="1303" spans="1:21" x14ac:dyDescent="0.2">
      <c r="A1303" s="321"/>
      <c r="B1303" s="16">
        <f t="shared" si="450"/>
        <v>56</v>
      </c>
      <c r="D1303" s="64" t="s">
        <v>400</v>
      </c>
      <c r="G1303" s="16">
        <f>G1302+1</f>
        <v>56</v>
      </c>
      <c r="H1303" s="64" t="str">
        <f t="shared" ref="H1303:H1315" si="477">VLOOKUP(G1303,FactorTable,2)</f>
        <v>PLTDIST</v>
      </c>
      <c r="J1303" s="415">
        <f t="shared" ref="J1303:S1303" ca="1" si="478">J159</f>
        <v>165067031.26775223</v>
      </c>
      <c r="K1303" s="415">
        <f t="shared" ca="1" si="478"/>
        <v>23032261.409724146</v>
      </c>
      <c r="L1303" s="415">
        <f t="shared" ca="1" si="478"/>
        <v>90018699.167709321</v>
      </c>
      <c r="M1303" s="415">
        <f t="shared" ca="1" si="478"/>
        <v>3786652.160623353</v>
      </c>
      <c r="N1303" s="415">
        <f t="shared" ca="1" si="478"/>
        <v>29148508.942834057</v>
      </c>
      <c r="O1303" s="415">
        <f t="shared" ca="1" si="478"/>
        <v>956384.57349934755</v>
      </c>
      <c r="P1303" s="415">
        <f t="shared" ca="1" si="478"/>
        <v>1994912.6072992531</v>
      </c>
      <c r="Q1303" s="415">
        <f t="shared" ca="1" si="478"/>
        <v>20495054.878643345</v>
      </c>
      <c r="R1303" s="415">
        <f t="shared" ca="1" si="478"/>
        <v>105613.02038643106</v>
      </c>
      <c r="S1303" s="415">
        <f t="shared" ca="1" si="478"/>
        <v>268117.65152844792</v>
      </c>
      <c r="U1303" s="48">
        <f ca="1">MAX(0.0000001,SUM(I1303:T1303))</f>
        <v>334873235.68000001</v>
      </c>
    </row>
    <row r="1304" spans="1:21" x14ac:dyDescent="0.2">
      <c r="A1304" s="321"/>
      <c r="B1304" s="16">
        <f t="shared" si="450"/>
        <v>57</v>
      </c>
      <c r="C1304" s="321"/>
      <c r="D1304" s="64" t="s">
        <v>886</v>
      </c>
      <c r="G1304" s="16">
        <f t="shared" si="451"/>
        <v>57</v>
      </c>
      <c r="H1304" s="64" t="str">
        <f>VLOOKUP(G1304,FactorTable,2)</f>
        <v>PLTDIST_N xWHL</v>
      </c>
      <c r="J1304" s="415">
        <f t="shared" ref="J1304:Q1304" ca="1" si="479">J325</f>
        <v>111415711.71624911</v>
      </c>
      <c r="K1304" s="415">
        <f t="shared" ca="1" si="479"/>
        <v>15546143.755603142</v>
      </c>
      <c r="L1304" s="415">
        <f t="shared" ca="1" si="479"/>
        <v>60760149.125554875</v>
      </c>
      <c r="M1304" s="415">
        <f t="shared" ca="1" si="479"/>
        <v>2555886.1891287006</v>
      </c>
      <c r="N1304" s="415">
        <f t="shared" ca="1" si="479"/>
        <v>19674442.827201709</v>
      </c>
      <c r="O1304" s="415">
        <f t="shared" ca="1" si="479"/>
        <v>645533.31523863284</v>
      </c>
      <c r="P1304" s="415">
        <f t="shared" ca="1" si="479"/>
        <v>1346511.2097002161</v>
      </c>
      <c r="Q1304" s="415">
        <f t="shared" ca="1" si="479"/>
        <v>13833599.044158338</v>
      </c>
      <c r="R1304" s="750">
        <v>0</v>
      </c>
      <c r="S1304" s="750">
        <v>0</v>
      </c>
      <c r="U1304" s="48">
        <f ca="1">MAX(0.0000001,SUM(I1304:T1304))</f>
        <v>225777977.18283471</v>
      </c>
    </row>
    <row r="1305" spans="1:21" x14ac:dyDescent="0.2">
      <c r="A1305" s="321"/>
      <c r="B1305" s="16">
        <f t="shared" si="450"/>
        <v>58</v>
      </c>
      <c r="C1305" s="321"/>
      <c r="D1305" s="64" t="s">
        <v>723</v>
      </c>
      <c r="G1305" s="16">
        <f t="shared" si="451"/>
        <v>58</v>
      </c>
      <c r="H1305" s="64" t="str">
        <f t="shared" si="477"/>
        <v>PLTDIST_N</v>
      </c>
      <c r="J1305" s="415">
        <f t="shared" ref="J1305:S1305" ca="1" si="480">J325</f>
        <v>111415711.71624911</v>
      </c>
      <c r="K1305" s="415">
        <f t="shared" ca="1" si="480"/>
        <v>15546143.755603142</v>
      </c>
      <c r="L1305" s="415">
        <f t="shared" ca="1" si="480"/>
        <v>60760149.125554875</v>
      </c>
      <c r="M1305" s="415">
        <f t="shared" ca="1" si="480"/>
        <v>2555886.1891287006</v>
      </c>
      <c r="N1305" s="415">
        <f t="shared" ca="1" si="480"/>
        <v>19674442.827201709</v>
      </c>
      <c r="O1305" s="415">
        <f t="shared" ca="1" si="480"/>
        <v>645533.31523863284</v>
      </c>
      <c r="P1305" s="415">
        <f t="shared" ca="1" si="480"/>
        <v>1346511.2097002161</v>
      </c>
      <c r="Q1305" s="415">
        <f t="shared" ca="1" si="480"/>
        <v>13833599.044158338</v>
      </c>
      <c r="R1305" s="415">
        <f t="shared" ca="1" si="480"/>
        <v>71285.887572364387</v>
      </c>
      <c r="S1305" s="415">
        <f t="shared" ca="1" si="480"/>
        <v>180972.04959284462</v>
      </c>
      <c r="U1305" s="48">
        <f t="shared" ref="U1305:U1316" ca="1" si="481">MAX(0.0000001,SUM(I1305:T1305))</f>
        <v>226030235.11999995</v>
      </c>
    </row>
    <row r="1306" spans="1:21" x14ac:dyDescent="0.2">
      <c r="A1306" s="321"/>
      <c r="B1306" s="16">
        <f t="shared" si="450"/>
        <v>59</v>
      </c>
      <c r="C1306" s="321"/>
      <c r="D1306" s="64" t="s">
        <v>882</v>
      </c>
      <c r="G1306" s="16">
        <f t="shared" si="451"/>
        <v>59</v>
      </c>
      <c r="H1306" s="64" t="str">
        <f>VLOOKUP(G1306,FactorTable,2)</f>
        <v>PLANT_N</v>
      </c>
      <c r="J1306" s="415">
        <f t="shared" ref="J1306:S1306" ca="1" si="482">J366</f>
        <v>137231870.76665196</v>
      </c>
      <c r="K1306" s="415">
        <f t="shared" ca="1" si="482"/>
        <v>19148344.142180625</v>
      </c>
      <c r="L1306" s="415">
        <f t="shared" ca="1" si="482"/>
        <v>74838896.634222046</v>
      </c>
      <c r="M1306" s="415">
        <f t="shared" ca="1" si="482"/>
        <v>3148111.1397830476</v>
      </c>
      <c r="N1306" s="415">
        <f t="shared" ca="1" si="482"/>
        <v>24233212.299039327</v>
      </c>
      <c r="O1306" s="415">
        <f t="shared" ca="1" si="482"/>
        <v>795109.98159765522</v>
      </c>
      <c r="P1306" s="415">
        <f t="shared" ca="1" si="482"/>
        <v>1658511.6180564591</v>
      </c>
      <c r="Q1306" s="415">
        <f t="shared" ca="1" si="482"/>
        <v>17038985.319237959</v>
      </c>
      <c r="R1306" s="415">
        <f t="shared" ca="1" si="482"/>
        <v>87803.556250047841</v>
      </c>
      <c r="S1306" s="415">
        <f t="shared" ca="1" si="482"/>
        <v>222905.12298077773</v>
      </c>
      <c r="T1306" s="321"/>
      <c r="U1306" s="48">
        <f t="shared" ca="1" si="481"/>
        <v>278403750.57999992</v>
      </c>
    </row>
    <row r="1307" spans="1:21" x14ac:dyDescent="0.2">
      <c r="A1307" s="321"/>
      <c r="B1307" s="16">
        <f t="shared" si="450"/>
        <v>60</v>
      </c>
      <c r="C1307" s="321"/>
      <c r="D1307" s="64" t="s">
        <v>724</v>
      </c>
      <c r="G1307" s="16">
        <f t="shared" si="451"/>
        <v>60</v>
      </c>
      <c r="H1307" s="64" t="str">
        <f t="shared" si="477"/>
        <v>PLTOPER</v>
      </c>
      <c r="J1307" s="415">
        <f t="shared" ref="J1307:S1307" ca="1" si="483">J168</f>
        <v>165067031.26775223</v>
      </c>
      <c r="K1307" s="415">
        <f t="shared" ca="1" si="483"/>
        <v>23032261.409724146</v>
      </c>
      <c r="L1307" s="415">
        <f t="shared" ca="1" si="483"/>
        <v>90018699.167709321</v>
      </c>
      <c r="M1307" s="415">
        <f t="shared" ca="1" si="483"/>
        <v>3786652.160623353</v>
      </c>
      <c r="N1307" s="415">
        <f t="shared" ca="1" si="483"/>
        <v>29148508.942834057</v>
      </c>
      <c r="O1307" s="415">
        <f t="shared" ca="1" si="483"/>
        <v>956384.57349934755</v>
      </c>
      <c r="P1307" s="415">
        <f t="shared" ca="1" si="483"/>
        <v>1994912.6072992531</v>
      </c>
      <c r="Q1307" s="415">
        <f t="shared" ca="1" si="483"/>
        <v>20495054.878643345</v>
      </c>
      <c r="R1307" s="415">
        <f t="shared" ca="1" si="483"/>
        <v>105613.02038643106</v>
      </c>
      <c r="S1307" s="415">
        <f t="shared" ca="1" si="483"/>
        <v>268117.65152844792</v>
      </c>
      <c r="U1307" s="48">
        <f t="shared" ca="1" si="481"/>
        <v>334873235.68000001</v>
      </c>
    </row>
    <row r="1308" spans="1:21" x14ac:dyDescent="0.2">
      <c r="A1308" s="321"/>
      <c r="B1308" s="16">
        <f t="shared" si="450"/>
        <v>61</v>
      </c>
      <c r="C1308" s="321"/>
      <c r="D1308" s="64" t="s">
        <v>725</v>
      </c>
      <c r="G1308" s="16">
        <f t="shared" si="451"/>
        <v>61</v>
      </c>
      <c r="H1308" s="64" t="str">
        <f t="shared" si="477"/>
        <v>PLTOPER_N</v>
      </c>
      <c r="J1308" s="415">
        <f t="shared" ref="J1308:S1308" ca="1" si="484">J326</f>
        <v>111415711.71624911</v>
      </c>
      <c r="K1308" s="415">
        <f t="shared" ca="1" si="484"/>
        <v>15546143.755603142</v>
      </c>
      <c r="L1308" s="415">
        <f t="shared" ca="1" si="484"/>
        <v>60760149.125554875</v>
      </c>
      <c r="M1308" s="415">
        <f t="shared" ca="1" si="484"/>
        <v>2555886.1891287006</v>
      </c>
      <c r="N1308" s="415">
        <f t="shared" ca="1" si="484"/>
        <v>19674442.827201709</v>
      </c>
      <c r="O1308" s="415">
        <f t="shared" ca="1" si="484"/>
        <v>645533.31523863284</v>
      </c>
      <c r="P1308" s="415">
        <f t="shared" ca="1" si="484"/>
        <v>1346511.2097002161</v>
      </c>
      <c r="Q1308" s="415">
        <f t="shared" ca="1" si="484"/>
        <v>13833599.044158338</v>
      </c>
      <c r="R1308" s="415">
        <f t="shared" ca="1" si="484"/>
        <v>71285.887572364387</v>
      </c>
      <c r="S1308" s="415">
        <f t="shared" ca="1" si="484"/>
        <v>180972.04959284462</v>
      </c>
      <c r="U1308" s="48">
        <f t="shared" ca="1" si="481"/>
        <v>226030235.11999995</v>
      </c>
    </row>
    <row r="1309" spans="1:21" x14ac:dyDescent="0.2">
      <c r="A1309" s="321"/>
      <c r="B1309" s="16">
        <f t="shared" si="450"/>
        <v>62</v>
      </c>
      <c r="C1309" s="321"/>
      <c r="D1309" s="45" t="s">
        <v>726</v>
      </c>
      <c r="G1309" s="16">
        <f t="shared" si="451"/>
        <v>62</v>
      </c>
      <c r="H1309" s="64" t="str">
        <f t="shared" si="477"/>
        <v>PLTGEN</v>
      </c>
      <c r="J1309" s="415">
        <f t="shared" ref="J1309:S1309" ca="1" si="485">J199</f>
        <v>10768016.465092374</v>
      </c>
      <c r="K1309" s="415">
        <f t="shared" ca="1" si="485"/>
        <v>1502491.2496664817</v>
      </c>
      <c r="L1309" s="415">
        <f t="shared" ca="1" si="485"/>
        <v>5872298.2255116133</v>
      </c>
      <c r="M1309" s="415">
        <f t="shared" ca="1" si="485"/>
        <v>247019.2412137705</v>
      </c>
      <c r="N1309" s="415">
        <f t="shared" ca="1" si="485"/>
        <v>1901479.7916865905</v>
      </c>
      <c r="O1309" s="415">
        <f t="shared" ca="1" si="485"/>
        <v>62388.986797106343</v>
      </c>
      <c r="P1309" s="415">
        <f t="shared" ca="1" si="485"/>
        <v>130136.53687739976</v>
      </c>
      <c r="Q1309" s="415">
        <f t="shared" ca="1" si="485"/>
        <v>1336978.6000950388</v>
      </c>
      <c r="R1309" s="415">
        <f t="shared" ca="1" si="485"/>
        <v>6889.5813640976367</v>
      </c>
      <c r="S1309" s="415">
        <f t="shared" ca="1" si="485"/>
        <v>17490.441695514135</v>
      </c>
      <c r="U1309" s="48">
        <f t="shared" ca="1" si="481"/>
        <v>21845189.119999986</v>
      </c>
    </row>
    <row r="1310" spans="1:21" x14ac:dyDescent="0.2">
      <c r="A1310" s="321"/>
      <c r="B1310" s="16">
        <f t="shared" si="450"/>
        <v>63</v>
      </c>
      <c r="C1310" s="321"/>
      <c r="D1310" s="45" t="s">
        <v>727</v>
      </c>
      <c r="G1310" s="16">
        <f t="shared" si="451"/>
        <v>63</v>
      </c>
      <c r="H1310" s="64" t="str">
        <f t="shared" si="477"/>
        <v>PLTGEN_N</v>
      </c>
      <c r="J1310" s="415">
        <f t="shared" ref="J1310:S1310" ca="1" si="486">J364</f>
        <v>25771074.995486762</v>
      </c>
      <c r="K1310" s="415">
        <f t="shared" ca="1" si="486"/>
        <v>3595909.6831568</v>
      </c>
      <c r="L1310" s="415">
        <f t="shared" ca="1" si="486"/>
        <v>14054161.084924141</v>
      </c>
      <c r="M1310" s="415">
        <f t="shared" ca="1" si="486"/>
        <v>591190.71848426096</v>
      </c>
      <c r="N1310" s="415">
        <f t="shared" ca="1" si="486"/>
        <v>4550808.2637889339</v>
      </c>
      <c r="O1310" s="415">
        <f t="shared" ca="1" si="486"/>
        <v>149315.4531155212</v>
      </c>
      <c r="P1310" s="415">
        <f t="shared" ca="1" si="486"/>
        <v>311455.54637593398</v>
      </c>
      <c r="Q1310" s="415">
        <f t="shared" ca="1" si="486"/>
        <v>3199788.5480679907</v>
      </c>
      <c r="R1310" s="415">
        <f t="shared" ca="1" si="486"/>
        <v>16488.823043431803</v>
      </c>
      <c r="S1310" s="415">
        <f t="shared" ca="1" si="486"/>
        <v>41859.843556193577</v>
      </c>
      <c r="U1310" s="48">
        <f t="shared" ca="1" si="481"/>
        <v>52282052.959999956</v>
      </c>
    </row>
    <row r="1311" spans="1:21" x14ac:dyDescent="0.2">
      <c r="A1311" s="321"/>
      <c r="B1311" s="16">
        <f t="shared" si="450"/>
        <v>64</v>
      </c>
      <c r="C1311" s="321"/>
      <c r="D1311" s="64" t="s">
        <v>728</v>
      </c>
      <c r="G1311" s="16">
        <f t="shared" si="451"/>
        <v>64</v>
      </c>
      <c r="H1311" s="64" t="str">
        <f t="shared" si="477"/>
        <v>PLANT</v>
      </c>
      <c r="J1311" s="415">
        <f t="shared" ref="J1311:S1311" ca="1" si="487">J223</f>
        <v>201225384.21351403</v>
      </c>
      <c r="K1311" s="415">
        <f t="shared" ca="1" si="487"/>
        <v>28077536.83992783</v>
      </c>
      <c r="L1311" s="415">
        <f t="shared" ca="1" si="487"/>
        <v>109737524.12764107</v>
      </c>
      <c r="M1311" s="415">
        <f t="shared" ca="1" si="487"/>
        <v>4616127.945430778</v>
      </c>
      <c r="N1311" s="415">
        <f t="shared" ca="1" si="487"/>
        <v>35533563.948082648</v>
      </c>
      <c r="O1311" s="415">
        <f t="shared" ca="1" si="487"/>
        <v>1165883.0463008462</v>
      </c>
      <c r="P1311" s="415">
        <f t="shared" ca="1" si="487"/>
        <v>2431903.2867625016</v>
      </c>
      <c r="Q1311" s="415">
        <f t="shared" ca="1" si="487"/>
        <v>24984548.766388081</v>
      </c>
      <c r="R1311" s="415">
        <f t="shared" ca="1" si="487"/>
        <v>128747.82106389717</v>
      </c>
      <c r="S1311" s="415">
        <f t="shared" ca="1" si="487"/>
        <v>326849.50488824333</v>
      </c>
      <c r="U1311" s="48">
        <f t="shared" ca="1" si="481"/>
        <v>408228069.49999976</v>
      </c>
    </row>
    <row r="1312" spans="1:21" x14ac:dyDescent="0.2">
      <c r="A1312" s="321"/>
      <c r="B1312" s="16">
        <f t="shared" ref="B1312:B1341" si="488">B1311+1</f>
        <v>65</v>
      </c>
      <c r="C1312" s="321"/>
      <c r="D1312" s="64" t="s">
        <v>729</v>
      </c>
      <c r="G1312" s="16">
        <f t="shared" ref="G1312:G1341" si="489">G1311+1</f>
        <v>65</v>
      </c>
      <c r="H1312" s="64" t="str">
        <f t="shared" si="477"/>
        <v>PLT_N XINT</v>
      </c>
      <c r="J1312" s="415">
        <f t="shared" ref="J1312:S1312" ca="1" si="490">J368</f>
        <v>137186786.71173587</v>
      </c>
      <c r="K1312" s="415">
        <f t="shared" ca="1" si="490"/>
        <v>19142053.438759942</v>
      </c>
      <c r="L1312" s="415">
        <f t="shared" ca="1" si="490"/>
        <v>74814310.210479021</v>
      </c>
      <c r="M1312" s="415">
        <f t="shared" ca="1" si="490"/>
        <v>3147076.9076129617</v>
      </c>
      <c r="N1312" s="415">
        <f t="shared" ca="1" si="490"/>
        <v>24225251.090990644</v>
      </c>
      <c r="O1312" s="415">
        <f t="shared" ca="1" si="490"/>
        <v>794848.76835415408</v>
      </c>
      <c r="P1312" s="415">
        <f t="shared" ca="1" si="490"/>
        <v>1657966.7560761501</v>
      </c>
      <c r="Q1312" s="415">
        <f t="shared" ca="1" si="490"/>
        <v>17033387.592226326</v>
      </c>
      <c r="R1312" s="415">
        <f t="shared" ca="1" si="490"/>
        <v>87774.710615796183</v>
      </c>
      <c r="S1312" s="415">
        <f t="shared" ca="1" si="490"/>
        <v>222831.89314903819</v>
      </c>
      <c r="U1312" s="48">
        <f t="shared" ca="1" si="481"/>
        <v>278312288.07999986</v>
      </c>
    </row>
    <row r="1313" spans="1:21" x14ac:dyDescent="0.2">
      <c r="A1313" s="321"/>
      <c r="B1313" s="16">
        <f t="shared" si="488"/>
        <v>66</v>
      </c>
      <c r="C1313" s="321"/>
      <c r="D1313" s="64" t="s">
        <v>730</v>
      </c>
      <c r="G1313" s="16">
        <f t="shared" si="489"/>
        <v>66</v>
      </c>
      <c r="H1313" s="64" t="str">
        <f t="shared" si="477"/>
        <v>PLT INT_N</v>
      </c>
      <c r="J1313" s="415">
        <f t="shared" ref="J1313:S1313" ca="1" si="491">J323</f>
        <v>45084.054916092748</v>
      </c>
      <c r="K1313" s="415">
        <f t="shared" ca="1" si="491"/>
        <v>6290.7034206816097</v>
      </c>
      <c r="L1313" s="415">
        <f t="shared" ca="1" si="491"/>
        <v>24586.423743025767</v>
      </c>
      <c r="M1313" s="415">
        <f t="shared" ca="1" si="491"/>
        <v>1034.2321700859002</v>
      </c>
      <c r="N1313" s="415">
        <f t="shared" ca="1" si="491"/>
        <v>7961.208048682478</v>
      </c>
      <c r="O1313" s="415">
        <f t="shared" ca="1" si="491"/>
        <v>261.21324350110899</v>
      </c>
      <c r="P1313" s="415">
        <f t="shared" ca="1" si="491"/>
        <v>544.86198030906189</v>
      </c>
      <c r="Q1313" s="415">
        <f t="shared" ca="1" si="491"/>
        <v>5597.7270116301243</v>
      </c>
      <c r="R1313" s="415">
        <f t="shared" ca="1" si="491"/>
        <v>28.845634251656218</v>
      </c>
      <c r="S1313" s="415">
        <f t="shared" ca="1" si="491"/>
        <v>73.229831739536877</v>
      </c>
      <c r="U1313" s="48">
        <f t="shared" ca="1" si="481"/>
        <v>91462.5</v>
      </c>
    </row>
    <row r="1314" spans="1:21" x14ac:dyDescent="0.2">
      <c r="A1314" s="321"/>
      <c r="B1314" s="16">
        <f t="shared" si="488"/>
        <v>67</v>
      </c>
      <c r="C1314" s="321"/>
      <c r="D1314" s="64" t="s">
        <v>731</v>
      </c>
      <c r="G1314" s="16">
        <f t="shared" si="489"/>
        <v>67</v>
      </c>
      <c r="H1314" s="64" t="str">
        <f t="shared" si="477"/>
        <v>PLTTRAN_N</v>
      </c>
      <c r="J1314" s="415">
        <f t="shared" ref="J1314:S1314" ca="1" si="492">J324</f>
        <v>0</v>
      </c>
      <c r="K1314" s="415">
        <f t="shared" ca="1" si="492"/>
        <v>0</v>
      </c>
      <c r="L1314" s="415">
        <f t="shared" ca="1" si="492"/>
        <v>0</v>
      </c>
      <c r="M1314" s="415">
        <f t="shared" ca="1" si="492"/>
        <v>0</v>
      </c>
      <c r="N1314" s="415">
        <f t="shared" ca="1" si="492"/>
        <v>0</v>
      </c>
      <c r="O1314" s="415">
        <f t="shared" ca="1" si="492"/>
        <v>0</v>
      </c>
      <c r="P1314" s="415">
        <f t="shared" ca="1" si="492"/>
        <v>0</v>
      </c>
      <c r="Q1314" s="415">
        <f t="shared" ca="1" si="492"/>
        <v>0</v>
      </c>
      <c r="R1314" s="415">
        <f t="shared" ca="1" si="492"/>
        <v>0</v>
      </c>
      <c r="S1314" s="415">
        <f t="shared" ca="1" si="492"/>
        <v>0</v>
      </c>
      <c r="U1314" s="48">
        <f t="shared" ca="1" si="481"/>
        <v>9.9999999999999995E-8</v>
      </c>
    </row>
    <row r="1315" spans="1:21" x14ac:dyDescent="0.2">
      <c r="A1315" s="321"/>
      <c r="B1315" s="16">
        <f t="shared" si="488"/>
        <v>68</v>
      </c>
      <c r="C1315" s="321"/>
      <c r="D1315" s="64" t="s">
        <v>732</v>
      </c>
      <c r="G1315" s="16">
        <f t="shared" si="489"/>
        <v>68</v>
      </c>
      <c r="H1315" s="64" t="str">
        <f t="shared" si="477"/>
        <v>RATEBASE</v>
      </c>
      <c r="J1315" s="415">
        <f t="shared" ref="J1315:S1315" ca="1" si="493">J618</f>
        <v>113407702.71227078</v>
      </c>
      <c r="K1315" s="415">
        <f t="shared" ca="1" si="493"/>
        <v>15782798.80620056</v>
      </c>
      <c r="L1315" s="415">
        <f t="shared" ca="1" si="493"/>
        <v>61976826.972783595</v>
      </c>
      <c r="M1315" s="415">
        <f t="shared" ca="1" si="493"/>
        <v>2592757.3755419645</v>
      </c>
      <c r="N1315" s="415">
        <f t="shared" ca="1" si="493"/>
        <v>20020600.468731493</v>
      </c>
      <c r="O1315" s="415">
        <f t="shared" ca="1" si="493"/>
        <v>667208.83427138836</v>
      </c>
      <c r="P1315" s="415">
        <f t="shared" ca="1" si="493"/>
        <v>1428511.2229239328</v>
      </c>
      <c r="Q1315" s="415">
        <f t="shared" ca="1" si="493"/>
        <v>13943439.61668843</v>
      </c>
      <c r="R1315" s="415">
        <f t="shared" ca="1" si="493"/>
        <v>70048.242349464577</v>
      </c>
      <c r="S1315" s="415">
        <f t="shared" ca="1" si="493"/>
        <v>177112.96355313368</v>
      </c>
      <c r="U1315" s="48">
        <f t="shared" ca="1" si="481"/>
        <v>230067007.21531475</v>
      </c>
    </row>
    <row r="1316" spans="1:21" x14ac:dyDescent="0.2">
      <c r="A1316" s="321"/>
      <c r="B1316" s="16">
        <f t="shared" si="488"/>
        <v>69</v>
      </c>
      <c r="C1316" s="321"/>
      <c r="D1316" s="64" t="s">
        <v>884</v>
      </c>
      <c r="G1316" s="16">
        <f t="shared" si="489"/>
        <v>69</v>
      </c>
      <c r="H1316" s="64" t="str">
        <f>VLOOKUP(G1316,FactorTable,2)</f>
        <v>PLANT_xWHL</v>
      </c>
      <c r="J1316" s="415">
        <f ca="1">J1311</f>
        <v>201225384.21351403</v>
      </c>
      <c r="K1316" s="415">
        <f t="shared" ref="K1316:Q1316" ca="1" si="494">K1311</f>
        <v>28077536.83992783</v>
      </c>
      <c r="L1316" s="415">
        <f t="shared" ca="1" si="494"/>
        <v>109737524.12764107</v>
      </c>
      <c r="M1316" s="415">
        <f t="shared" ca="1" si="494"/>
        <v>4616127.945430778</v>
      </c>
      <c r="N1316" s="415">
        <f t="shared" ca="1" si="494"/>
        <v>35533563.948082648</v>
      </c>
      <c r="O1316" s="415">
        <f ca="1">O1311</f>
        <v>1165883.0463008462</v>
      </c>
      <c r="P1316" s="415">
        <f t="shared" ca="1" si="494"/>
        <v>2431903.2867625016</v>
      </c>
      <c r="Q1316" s="415">
        <f t="shared" ca="1" si="494"/>
        <v>24984548.766388081</v>
      </c>
      <c r="R1316" s="409">
        <v>0</v>
      </c>
      <c r="S1316" s="409">
        <v>0</v>
      </c>
      <c r="U1316" s="48">
        <f t="shared" ca="1" si="481"/>
        <v>407772472.17404765</v>
      </c>
    </row>
    <row r="1317" spans="1:21" ht="8.4499999999999993" customHeight="1" x14ac:dyDescent="0.2">
      <c r="A1317" s="321"/>
      <c r="B1317" s="16">
        <f t="shared" si="488"/>
        <v>70</v>
      </c>
      <c r="C1317" s="321"/>
      <c r="D1317" s="64"/>
      <c r="G1317" s="16">
        <f t="shared" si="489"/>
        <v>70</v>
      </c>
      <c r="H1317" s="64"/>
      <c r="J1317" s="415"/>
      <c r="K1317" s="415"/>
      <c r="L1317" s="415"/>
      <c r="M1317" s="415"/>
      <c r="N1317" s="415"/>
      <c r="O1317" s="415"/>
      <c r="P1317" s="415"/>
      <c r="Q1317" s="415"/>
      <c r="R1317" s="415"/>
      <c r="S1317" s="415"/>
      <c r="U1317" s="172"/>
    </row>
    <row r="1318" spans="1:21" x14ac:dyDescent="0.2">
      <c r="A1318" s="321"/>
      <c r="B1318" s="16">
        <f t="shared" si="488"/>
        <v>71</v>
      </c>
      <c r="C1318" s="321"/>
      <c r="D1318" s="64" t="s">
        <v>733</v>
      </c>
      <c r="G1318" s="16">
        <f t="shared" si="489"/>
        <v>71</v>
      </c>
      <c r="H1318" s="64" t="str">
        <f t="shared" ref="H1318:H1324" si="495">VLOOKUP(G1318,FactorTable,2)</f>
        <v>DIST OPS</v>
      </c>
      <c r="J1318" s="415">
        <f t="shared" ref="J1318:S1318" si="496">J692</f>
        <v>0</v>
      </c>
      <c r="K1318" s="415">
        <f t="shared" si="496"/>
        <v>0</v>
      </c>
      <c r="L1318" s="415">
        <f t="shared" si="496"/>
        <v>0</v>
      </c>
      <c r="M1318" s="415">
        <f t="shared" si="496"/>
        <v>0</v>
      </c>
      <c r="N1318" s="415">
        <f t="shared" si="496"/>
        <v>0</v>
      </c>
      <c r="O1318" s="415">
        <f t="shared" si="496"/>
        <v>0</v>
      </c>
      <c r="P1318" s="415">
        <f t="shared" si="496"/>
        <v>0</v>
      </c>
      <c r="Q1318" s="415">
        <f t="shared" si="496"/>
        <v>0</v>
      </c>
      <c r="R1318" s="415">
        <f t="shared" si="496"/>
        <v>0</v>
      </c>
      <c r="S1318" s="415">
        <f t="shared" si="496"/>
        <v>0</v>
      </c>
      <c r="U1318" s="48">
        <f t="shared" ref="U1318:U1324" si="497">MAX(0.0000001,SUM(I1318:T1318))</f>
        <v>9.9999999999999995E-8</v>
      </c>
    </row>
    <row r="1319" spans="1:21" x14ac:dyDescent="0.2">
      <c r="A1319" s="321"/>
      <c r="B1319" s="16">
        <f t="shared" si="488"/>
        <v>72</v>
      </c>
      <c r="D1319" s="64" t="s">
        <v>734</v>
      </c>
      <c r="G1319" s="16">
        <f t="shared" si="489"/>
        <v>72</v>
      </c>
      <c r="H1319" s="64" t="str">
        <f t="shared" si="495"/>
        <v>DIST MAINT</v>
      </c>
      <c r="J1319" s="415">
        <f t="shared" ref="J1319:S1319" ca="1" si="498">J707</f>
        <v>0</v>
      </c>
      <c r="K1319" s="415">
        <f t="shared" ca="1" si="498"/>
        <v>0</v>
      </c>
      <c r="L1319" s="415">
        <f t="shared" ca="1" si="498"/>
        <v>0</v>
      </c>
      <c r="M1319" s="415">
        <f t="shared" ca="1" si="498"/>
        <v>0</v>
      </c>
      <c r="N1319" s="415">
        <f t="shared" ca="1" si="498"/>
        <v>0</v>
      </c>
      <c r="O1319" s="415">
        <f t="shared" ca="1" si="498"/>
        <v>0</v>
      </c>
      <c r="P1319" s="415">
        <f t="shared" ca="1" si="498"/>
        <v>0</v>
      </c>
      <c r="Q1319" s="415">
        <f t="shared" ca="1" si="498"/>
        <v>0</v>
      </c>
      <c r="R1319" s="415">
        <f t="shared" ca="1" si="498"/>
        <v>0</v>
      </c>
      <c r="S1319" s="415">
        <f t="shared" ca="1" si="498"/>
        <v>0</v>
      </c>
      <c r="U1319" s="48">
        <f t="shared" ca="1" si="497"/>
        <v>9.9999999999999995E-8</v>
      </c>
    </row>
    <row r="1320" spans="1:21" x14ac:dyDescent="0.2">
      <c r="A1320" s="321"/>
      <c r="B1320" s="16">
        <f t="shared" si="488"/>
        <v>73</v>
      </c>
      <c r="D1320" s="45" t="s">
        <v>735</v>
      </c>
      <c r="G1320" s="16">
        <f t="shared" si="489"/>
        <v>73</v>
      </c>
      <c r="H1320" s="64" t="str">
        <f t="shared" si="495"/>
        <v>CUS ACCT</v>
      </c>
      <c r="J1320" s="415">
        <f t="shared" ref="J1320:S1320" si="499">J731</f>
        <v>7405067.906634165</v>
      </c>
      <c r="K1320" s="415">
        <f t="shared" si="499"/>
        <v>1038820.5405167697</v>
      </c>
      <c r="L1320" s="415">
        <f t="shared" si="499"/>
        <v>4085343.9758464079</v>
      </c>
      <c r="M1320" s="415">
        <f t="shared" si="499"/>
        <v>172042.22570578611</v>
      </c>
      <c r="N1320" s="415">
        <f t="shared" si="499"/>
        <v>1324815.9589471368</v>
      </c>
      <c r="O1320" s="415">
        <f t="shared" si="499"/>
        <v>43470.124115535</v>
      </c>
      <c r="P1320" s="415">
        <f t="shared" si="499"/>
        <v>90673.878523201871</v>
      </c>
      <c r="Q1320" s="415">
        <f t="shared" si="499"/>
        <v>7551.0543888358734</v>
      </c>
      <c r="R1320" s="415">
        <f t="shared" si="499"/>
        <v>4800.3818041695113</v>
      </c>
      <c r="S1320" s="415">
        <f t="shared" si="499"/>
        <v>12186.453517990723</v>
      </c>
      <c r="U1320" s="48">
        <f t="shared" si="497"/>
        <v>14184772.499999998</v>
      </c>
    </row>
    <row r="1321" spans="1:21" x14ac:dyDescent="0.2">
      <c r="A1321" s="321"/>
      <c r="B1321" s="16">
        <f t="shared" si="488"/>
        <v>74</v>
      </c>
      <c r="D1321" s="64" t="s">
        <v>888</v>
      </c>
      <c r="G1321" s="16">
        <f t="shared" si="489"/>
        <v>74</v>
      </c>
      <c r="H1321" s="64" t="str">
        <f t="shared" si="495"/>
        <v>CUS SVC INFO</v>
      </c>
      <c r="J1321" s="415">
        <f t="shared" ref="J1321:S1321" si="500">J741</f>
        <v>139475.44311134488</v>
      </c>
      <c r="K1321" s="415">
        <f t="shared" si="500"/>
        <v>11569.161387389762</v>
      </c>
      <c r="L1321" s="415">
        <f t="shared" si="500"/>
        <v>9452.7236406351076</v>
      </c>
      <c r="M1321" s="415">
        <f t="shared" si="500"/>
        <v>126.29737005950017</v>
      </c>
      <c r="N1321" s="415">
        <f t="shared" si="500"/>
        <v>282.72884946653022</v>
      </c>
      <c r="O1321" s="415">
        <f t="shared" si="500"/>
        <v>6.5666575182451439</v>
      </c>
      <c r="P1321" s="415">
        <f t="shared" si="500"/>
        <v>13.697322430695392</v>
      </c>
      <c r="Q1321" s="415">
        <f t="shared" si="500"/>
        <v>2063.5016241842609</v>
      </c>
      <c r="R1321" s="415">
        <f t="shared" si="500"/>
        <v>0.72515236397799143</v>
      </c>
      <c r="S1321" s="415">
        <f t="shared" si="500"/>
        <v>2.0948846070475309</v>
      </c>
      <c r="U1321" s="48">
        <f t="shared" si="497"/>
        <v>162992.94</v>
      </c>
    </row>
    <row r="1322" spans="1:21" x14ac:dyDescent="0.2">
      <c r="A1322" s="321"/>
      <c r="B1322" s="16">
        <f t="shared" si="488"/>
        <v>75</v>
      </c>
      <c r="C1322" s="64"/>
      <c r="D1322" s="45" t="s">
        <v>736</v>
      </c>
      <c r="F1322" s="64"/>
      <c r="G1322" s="16">
        <f t="shared" si="489"/>
        <v>75</v>
      </c>
      <c r="H1322" s="64" t="str">
        <f t="shared" si="495"/>
        <v>SALES EXP</v>
      </c>
      <c r="J1322" s="415">
        <f t="shared" ref="J1322:S1322" si="501">J751</f>
        <v>0</v>
      </c>
      <c r="K1322" s="415">
        <f t="shared" si="501"/>
        <v>0</v>
      </c>
      <c r="L1322" s="415">
        <f t="shared" si="501"/>
        <v>0</v>
      </c>
      <c r="M1322" s="415">
        <f t="shared" si="501"/>
        <v>0</v>
      </c>
      <c r="N1322" s="415">
        <f t="shared" si="501"/>
        <v>0</v>
      </c>
      <c r="O1322" s="415">
        <f t="shared" si="501"/>
        <v>0</v>
      </c>
      <c r="P1322" s="415">
        <f t="shared" si="501"/>
        <v>0</v>
      </c>
      <c r="Q1322" s="415">
        <f t="shared" si="501"/>
        <v>0</v>
      </c>
      <c r="R1322" s="415">
        <f t="shared" si="501"/>
        <v>0</v>
      </c>
      <c r="S1322" s="415">
        <f t="shared" si="501"/>
        <v>0</v>
      </c>
      <c r="U1322" s="48">
        <f t="shared" si="497"/>
        <v>9.9999999999999995E-8</v>
      </c>
    </row>
    <row r="1323" spans="1:21" x14ac:dyDescent="0.2">
      <c r="A1323" s="321"/>
      <c r="B1323" s="16">
        <f t="shared" si="488"/>
        <v>76</v>
      </c>
      <c r="D1323" s="64" t="s">
        <v>737</v>
      </c>
      <c r="G1323" s="16">
        <f t="shared" si="489"/>
        <v>76</v>
      </c>
      <c r="H1323" s="64" t="str">
        <f t="shared" si="495"/>
        <v>O&amp;M</v>
      </c>
      <c r="J1323" s="415">
        <f t="shared" ref="J1323:S1323" ca="1" si="502">J753</f>
        <v>8911370.7336819302</v>
      </c>
      <c r="K1323" s="415">
        <f t="shared" ca="1" si="502"/>
        <v>1100132.3275318516</v>
      </c>
      <c r="L1323" s="415">
        <f t="shared" ca="1" si="502"/>
        <v>5033130.0205659596</v>
      </c>
      <c r="M1323" s="415">
        <f t="shared" ca="1" si="502"/>
        <v>173119.83803650603</v>
      </c>
      <c r="N1323" s="415">
        <f t="shared" ca="1" si="502"/>
        <v>1530958.7116752709</v>
      </c>
      <c r="O1323" s="415">
        <f t="shared" ca="1" si="502"/>
        <v>85193.4648461873</v>
      </c>
      <c r="P1323" s="415">
        <f t="shared" ca="1" si="502"/>
        <v>202491.26270646564</v>
      </c>
      <c r="Q1323" s="415">
        <f t="shared" ca="1" si="502"/>
        <v>233418.80149116274</v>
      </c>
      <c r="R1323" s="415">
        <f t="shared" ca="1" si="502"/>
        <v>4801.8718517825346</v>
      </c>
      <c r="S1323" s="415">
        <f t="shared" ca="1" si="502"/>
        <v>12190.297612882327</v>
      </c>
      <c r="U1323" s="48">
        <f t="shared" ca="1" si="497"/>
        <v>17286807.330000002</v>
      </c>
    </row>
    <row r="1324" spans="1:21" x14ac:dyDescent="0.2">
      <c r="A1324" s="321"/>
      <c r="B1324" s="16">
        <f t="shared" si="488"/>
        <v>77</v>
      </c>
      <c r="D1324" s="64" t="s">
        <v>738</v>
      </c>
      <c r="G1324" s="16">
        <f t="shared" si="489"/>
        <v>77</v>
      </c>
      <c r="H1324" s="64" t="str">
        <f t="shared" si="495"/>
        <v>O&amp;M x565</v>
      </c>
      <c r="J1324" s="415">
        <f t="shared" ref="J1324:S1324" ca="1" si="503">J754</f>
        <v>8911370.7336819302</v>
      </c>
      <c r="K1324" s="415">
        <f t="shared" ca="1" si="503"/>
        <v>1100132.3275318516</v>
      </c>
      <c r="L1324" s="415">
        <f t="shared" ca="1" si="503"/>
        <v>5033130.0205659596</v>
      </c>
      <c r="M1324" s="415">
        <f t="shared" ca="1" si="503"/>
        <v>173119.83803650603</v>
      </c>
      <c r="N1324" s="415">
        <f t="shared" ca="1" si="503"/>
        <v>1530958.7116752709</v>
      </c>
      <c r="O1324" s="415">
        <f t="shared" ca="1" si="503"/>
        <v>85193.4648461873</v>
      </c>
      <c r="P1324" s="415">
        <f t="shared" ca="1" si="503"/>
        <v>202491.26270646564</v>
      </c>
      <c r="Q1324" s="415">
        <f t="shared" ca="1" si="503"/>
        <v>233418.80149116274</v>
      </c>
      <c r="R1324" s="415">
        <f t="shared" ca="1" si="503"/>
        <v>4801.8718517825346</v>
      </c>
      <c r="S1324" s="415">
        <f t="shared" ca="1" si="503"/>
        <v>12190.297612882327</v>
      </c>
      <c r="U1324" s="48">
        <f t="shared" ca="1" si="497"/>
        <v>17286807.330000002</v>
      </c>
    </row>
    <row r="1325" spans="1:21" ht="12.95" customHeight="1" x14ac:dyDescent="0.2">
      <c r="A1325" s="321"/>
      <c r="B1325" s="16">
        <f t="shared" si="488"/>
        <v>78</v>
      </c>
      <c r="G1325" s="16">
        <f t="shared" si="489"/>
        <v>78</v>
      </c>
      <c r="U1325" s="172"/>
    </row>
    <row r="1326" spans="1:21" ht="9.9499999999999993" customHeight="1" x14ac:dyDescent="0.2">
      <c r="A1326" s="321"/>
      <c r="B1326" s="16">
        <f t="shared" si="488"/>
        <v>79</v>
      </c>
      <c r="D1326" s="64"/>
      <c r="G1326" s="16">
        <f t="shared" si="489"/>
        <v>79</v>
      </c>
      <c r="H1326" s="64"/>
      <c r="J1326" s="415"/>
      <c r="K1326" s="415"/>
      <c r="L1326" s="415"/>
      <c r="M1326" s="415"/>
      <c r="N1326" s="415"/>
      <c r="O1326" s="415"/>
      <c r="P1326" s="415"/>
      <c r="Q1326" s="415"/>
      <c r="R1326" s="415"/>
      <c r="S1326" s="415"/>
      <c r="U1326" s="172"/>
    </row>
    <row r="1327" spans="1:21" x14ac:dyDescent="0.2">
      <c r="A1327" s="321"/>
      <c r="B1327" s="16">
        <f t="shared" si="488"/>
        <v>80</v>
      </c>
      <c r="D1327" s="64" t="s">
        <v>739</v>
      </c>
      <c r="G1327" s="16">
        <f t="shared" si="489"/>
        <v>80</v>
      </c>
      <c r="H1327" s="64" t="str">
        <f t="shared" ref="H1327:H1335" si="504">VLOOKUP(G1327,FactorTable,2)</f>
        <v>PAY TR OPS</v>
      </c>
      <c r="J1327" s="415">
        <f t="shared" ref="J1327:S1327" si="505">J814</f>
        <v>0</v>
      </c>
      <c r="K1327" s="415">
        <f t="shared" si="505"/>
        <v>0</v>
      </c>
      <c r="L1327" s="415">
        <f t="shared" si="505"/>
        <v>0</v>
      </c>
      <c r="M1327" s="415">
        <f t="shared" si="505"/>
        <v>0</v>
      </c>
      <c r="N1327" s="415">
        <f t="shared" si="505"/>
        <v>0</v>
      </c>
      <c r="O1327" s="415">
        <f t="shared" si="505"/>
        <v>0</v>
      </c>
      <c r="P1327" s="415">
        <f t="shared" si="505"/>
        <v>0</v>
      </c>
      <c r="Q1327" s="415">
        <f t="shared" si="505"/>
        <v>0</v>
      </c>
      <c r="R1327" s="415">
        <f t="shared" si="505"/>
        <v>0</v>
      </c>
      <c r="S1327" s="415">
        <f t="shared" si="505"/>
        <v>0</v>
      </c>
      <c r="U1327" s="48">
        <f t="shared" ref="U1327:U1335" si="506">MAX(0.0000001,SUM(I1327:T1327))</f>
        <v>9.9999999999999995E-8</v>
      </c>
    </row>
    <row r="1328" spans="1:21" x14ac:dyDescent="0.2">
      <c r="A1328" s="321"/>
      <c r="B1328" s="16">
        <f t="shared" si="488"/>
        <v>81</v>
      </c>
      <c r="D1328" s="64" t="s">
        <v>740</v>
      </c>
      <c r="G1328" s="16">
        <f t="shared" si="489"/>
        <v>81</v>
      </c>
      <c r="H1328" s="64" t="str">
        <f t="shared" si="504"/>
        <v>PAY TR MNT</v>
      </c>
      <c r="J1328" s="415">
        <f t="shared" ref="J1328:S1328" si="507">J825</f>
        <v>0</v>
      </c>
      <c r="K1328" s="415">
        <f t="shared" si="507"/>
        <v>0</v>
      </c>
      <c r="L1328" s="415">
        <f t="shared" si="507"/>
        <v>0</v>
      </c>
      <c r="M1328" s="415">
        <f t="shared" si="507"/>
        <v>0</v>
      </c>
      <c r="N1328" s="415">
        <f t="shared" si="507"/>
        <v>0</v>
      </c>
      <c r="O1328" s="415">
        <f t="shared" si="507"/>
        <v>0</v>
      </c>
      <c r="P1328" s="415">
        <f t="shared" si="507"/>
        <v>0</v>
      </c>
      <c r="Q1328" s="415">
        <f t="shared" si="507"/>
        <v>0</v>
      </c>
      <c r="R1328" s="415">
        <f t="shared" si="507"/>
        <v>0</v>
      </c>
      <c r="S1328" s="415">
        <f t="shared" si="507"/>
        <v>0</v>
      </c>
      <c r="U1328" s="48">
        <f t="shared" si="506"/>
        <v>9.9999999999999995E-8</v>
      </c>
    </row>
    <row r="1329" spans="1:22" x14ac:dyDescent="0.2">
      <c r="A1329" s="321" t="s">
        <v>0</v>
      </c>
      <c r="B1329" s="16">
        <f t="shared" si="488"/>
        <v>82</v>
      </c>
      <c r="D1329" s="64" t="s">
        <v>741</v>
      </c>
      <c r="G1329" s="16">
        <f t="shared" si="489"/>
        <v>82</v>
      </c>
      <c r="H1329" s="64" t="str">
        <f t="shared" si="504"/>
        <v>PAY DISTR OPS</v>
      </c>
      <c r="J1329" s="415">
        <f t="shared" ref="J1329:S1329" si="508">J853</f>
        <v>0</v>
      </c>
      <c r="K1329" s="415">
        <f t="shared" si="508"/>
        <v>0</v>
      </c>
      <c r="L1329" s="415">
        <f t="shared" si="508"/>
        <v>0</v>
      </c>
      <c r="M1329" s="415">
        <f t="shared" si="508"/>
        <v>0</v>
      </c>
      <c r="N1329" s="415">
        <f t="shared" si="508"/>
        <v>0</v>
      </c>
      <c r="O1329" s="415">
        <f t="shared" si="508"/>
        <v>0</v>
      </c>
      <c r="P1329" s="415">
        <f t="shared" si="508"/>
        <v>0</v>
      </c>
      <c r="Q1329" s="415">
        <f t="shared" si="508"/>
        <v>56400.22</v>
      </c>
      <c r="R1329" s="415">
        <f t="shared" si="508"/>
        <v>0</v>
      </c>
      <c r="S1329" s="415">
        <f t="shared" si="508"/>
        <v>0</v>
      </c>
      <c r="U1329" s="48">
        <f t="shared" si="506"/>
        <v>56400.22</v>
      </c>
    </row>
    <row r="1330" spans="1:22" x14ac:dyDescent="0.2">
      <c r="A1330" s="321"/>
      <c r="B1330" s="16">
        <f t="shared" si="488"/>
        <v>83</v>
      </c>
      <c r="D1330" s="64" t="s">
        <v>742</v>
      </c>
      <c r="G1330" s="16">
        <f t="shared" si="489"/>
        <v>83</v>
      </c>
      <c r="H1330" s="64" t="str">
        <f t="shared" si="504"/>
        <v>PAY DISTR MNT</v>
      </c>
      <c r="J1330" s="415">
        <f t="shared" ref="J1330:S1330" ca="1" si="509">J868</f>
        <v>0</v>
      </c>
      <c r="K1330" s="415">
        <f t="shared" ca="1" si="509"/>
        <v>0</v>
      </c>
      <c r="L1330" s="415">
        <f t="shared" ca="1" si="509"/>
        <v>0</v>
      </c>
      <c r="M1330" s="415">
        <f t="shared" ca="1" si="509"/>
        <v>0</v>
      </c>
      <c r="N1330" s="415">
        <f t="shared" ca="1" si="509"/>
        <v>0</v>
      </c>
      <c r="O1330" s="415">
        <f t="shared" ca="1" si="509"/>
        <v>0</v>
      </c>
      <c r="P1330" s="415">
        <f t="shared" ca="1" si="509"/>
        <v>0</v>
      </c>
      <c r="Q1330" s="415">
        <f t="shared" ca="1" si="509"/>
        <v>0</v>
      </c>
      <c r="R1330" s="415">
        <f t="shared" ca="1" si="509"/>
        <v>0</v>
      </c>
      <c r="S1330" s="415">
        <f t="shared" ca="1" si="509"/>
        <v>0</v>
      </c>
      <c r="U1330" s="48">
        <f t="shared" ca="1" si="506"/>
        <v>9.9999999999999995E-8</v>
      </c>
    </row>
    <row r="1331" spans="1:22" x14ac:dyDescent="0.2">
      <c r="A1331" s="321"/>
      <c r="B1331" s="16">
        <f t="shared" si="488"/>
        <v>84</v>
      </c>
      <c r="D1331" s="64" t="s">
        <v>743</v>
      </c>
      <c r="G1331" s="16">
        <f t="shared" si="489"/>
        <v>84</v>
      </c>
      <c r="H1331" s="64" t="str">
        <f t="shared" si="504"/>
        <v>PAY CUS ACCT</v>
      </c>
      <c r="J1331" s="415">
        <f t="shared" ref="J1331:S1331" si="510">J890</f>
        <v>772361.12123260065</v>
      </c>
      <c r="K1331" s="415">
        <f t="shared" si="510"/>
        <v>108350.74135028146</v>
      </c>
      <c r="L1331" s="415">
        <f t="shared" si="510"/>
        <v>426108.2941560481</v>
      </c>
      <c r="M1331" s="415">
        <f t="shared" si="510"/>
        <v>17944.295450204812</v>
      </c>
      <c r="N1331" s="415">
        <f t="shared" si="510"/>
        <v>138180.54775197146</v>
      </c>
      <c r="O1331" s="415">
        <f t="shared" si="510"/>
        <v>4534.0075506823605</v>
      </c>
      <c r="P1331" s="415">
        <f t="shared" si="510"/>
        <v>9457.4390627730245</v>
      </c>
      <c r="Q1331" s="415">
        <f t="shared" si="510"/>
        <v>787.58775851665564</v>
      </c>
      <c r="R1331" s="415">
        <f t="shared" si="510"/>
        <v>500.68795038210141</v>
      </c>
      <c r="S1331" s="415">
        <f t="shared" si="510"/>
        <v>1271.067736539163</v>
      </c>
      <c r="U1331" s="48">
        <f t="shared" si="506"/>
        <v>1479495.7899999998</v>
      </c>
    </row>
    <row r="1332" spans="1:22" x14ac:dyDescent="0.2">
      <c r="A1332" s="321"/>
      <c r="B1332" s="16">
        <f t="shared" si="488"/>
        <v>85</v>
      </c>
      <c r="D1332" s="64" t="s">
        <v>744</v>
      </c>
      <c r="G1332" s="16">
        <f t="shared" si="489"/>
        <v>85</v>
      </c>
      <c r="H1332" s="64" t="str">
        <f t="shared" si="504"/>
        <v>PAY CUS SV INF</v>
      </c>
      <c r="J1332" s="415">
        <f t="shared" ref="J1332:S1332" si="511">J903</f>
        <v>10268.57554281884</v>
      </c>
      <c r="K1332" s="415">
        <f t="shared" si="511"/>
        <v>851.75429468710206</v>
      </c>
      <c r="L1332" s="415">
        <f t="shared" si="511"/>
        <v>695.93617789593395</v>
      </c>
      <c r="M1332" s="415">
        <f t="shared" si="511"/>
        <v>9.29836863310768</v>
      </c>
      <c r="N1332" s="415">
        <f t="shared" si="511"/>
        <v>20.815295396219998</v>
      </c>
      <c r="O1332" s="415">
        <f t="shared" si="511"/>
        <v>0.48345584918550294</v>
      </c>
      <c r="P1332" s="415">
        <f t="shared" si="511"/>
        <v>1.0084355136384724</v>
      </c>
      <c r="Q1332" s="415">
        <f t="shared" si="511"/>
        <v>151.92081012963587</v>
      </c>
      <c r="R1332" s="415">
        <f t="shared" si="511"/>
        <v>5.3387762486742658E-2</v>
      </c>
      <c r="S1332" s="415">
        <f t="shared" si="511"/>
        <v>0.15423131385058991</v>
      </c>
      <c r="U1332" s="48">
        <f t="shared" si="506"/>
        <v>12000.000000000002</v>
      </c>
    </row>
    <row r="1333" spans="1:22" x14ac:dyDescent="0.2">
      <c r="A1333" s="321"/>
      <c r="B1333" s="16">
        <f t="shared" si="488"/>
        <v>86</v>
      </c>
      <c r="D1333" s="64" t="s">
        <v>745</v>
      </c>
      <c r="G1333" s="16">
        <f t="shared" si="489"/>
        <v>86</v>
      </c>
      <c r="H1333" s="64" t="str">
        <f t="shared" si="504"/>
        <v>PAY SALES</v>
      </c>
      <c r="J1333" s="415">
        <f t="shared" ref="J1333:S1333" si="512">J915</f>
        <v>0</v>
      </c>
      <c r="K1333" s="415">
        <f t="shared" si="512"/>
        <v>0</v>
      </c>
      <c r="L1333" s="415">
        <f t="shared" si="512"/>
        <v>0</v>
      </c>
      <c r="M1333" s="415">
        <f t="shared" si="512"/>
        <v>0</v>
      </c>
      <c r="N1333" s="415">
        <f t="shared" si="512"/>
        <v>0</v>
      </c>
      <c r="O1333" s="415">
        <f t="shared" si="512"/>
        <v>0</v>
      </c>
      <c r="P1333" s="415">
        <f t="shared" si="512"/>
        <v>0</v>
      </c>
      <c r="Q1333" s="415">
        <f t="shared" si="512"/>
        <v>0</v>
      </c>
      <c r="R1333" s="415">
        <f t="shared" si="512"/>
        <v>0</v>
      </c>
      <c r="S1333" s="415">
        <f t="shared" si="512"/>
        <v>0</v>
      </c>
      <c r="U1333" s="48">
        <f t="shared" si="506"/>
        <v>9.9999999999999995E-8</v>
      </c>
    </row>
    <row r="1334" spans="1:22" x14ac:dyDescent="0.2">
      <c r="A1334" s="321"/>
      <c r="B1334" s="16">
        <f t="shared" si="488"/>
        <v>87</v>
      </c>
      <c r="D1334" s="45" t="s">
        <v>746</v>
      </c>
      <c r="G1334" s="16">
        <f t="shared" si="489"/>
        <v>87</v>
      </c>
      <c r="H1334" s="64" t="str">
        <f t="shared" si="504"/>
        <v>PAYROLL XAG</v>
      </c>
      <c r="J1334" s="415">
        <f t="shared" ref="J1334:S1334" ca="1" si="513">J925</f>
        <v>782629.69677541952</v>
      </c>
      <c r="K1334" s="415">
        <f t="shared" ca="1" si="513"/>
        <v>109202.49564496856</v>
      </c>
      <c r="L1334" s="415">
        <f t="shared" ca="1" si="513"/>
        <v>426804.23033394403</v>
      </c>
      <c r="M1334" s="415">
        <f t="shared" ca="1" si="513"/>
        <v>17953.593818837919</v>
      </c>
      <c r="N1334" s="415">
        <f t="shared" ca="1" si="513"/>
        <v>138201.36304736769</v>
      </c>
      <c r="O1334" s="415">
        <f t="shared" ca="1" si="513"/>
        <v>4534.4910065315462</v>
      </c>
      <c r="P1334" s="415">
        <f t="shared" ca="1" si="513"/>
        <v>9458.4474982866632</v>
      </c>
      <c r="Q1334" s="415">
        <f t="shared" ca="1" si="513"/>
        <v>97172.87856864628</v>
      </c>
      <c r="R1334" s="415">
        <f t="shared" ca="1" si="513"/>
        <v>500.74133814458816</v>
      </c>
      <c r="S1334" s="415">
        <f t="shared" ca="1" si="513"/>
        <v>1271.2219678530137</v>
      </c>
      <c r="U1334" s="48">
        <f t="shared" ca="1" si="506"/>
        <v>1587729.1599999997</v>
      </c>
    </row>
    <row r="1335" spans="1:22" x14ac:dyDescent="0.2">
      <c r="A1335" s="321"/>
      <c r="B1335" s="16">
        <f t="shared" si="488"/>
        <v>88</v>
      </c>
      <c r="D1335" s="64" t="s">
        <v>662</v>
      </c>
      <c r="G1335" s="16">
        <f t="shared" si="489"/>
        <v>88</v>
      </c>
      <c r="H1335" s="64" t="str">
        <f t="shared" si="504"/>
        <v>PAYROLL</v>
      </c>
      <c r="J1335" s="415">
        <f t="shared" ref="J1335:S1335" ca="1" si="514">J957</f>
        <v>11564961.747054666</v>
      </c>
      <c r="K1335" s="415">
        <f t="shared" ca="1" si="514"/>
        <v>1440405.0125139623</v>
      </c>
      <c r="L1335" s="415">
        <f t="shared" ca="1" si="514"/>
        <v>6516535.6550484328</v>
      </c>
      <c r="M1335" s="415">
        <f t="shared" ca="1" si="514"/>
        <v>227441.0800977131</v>
      </c>
      <c r="N1335" s="415">
        <f t="shared" ca="1" si="514"/>
        <v>1990616.4273656455</v>
      </c>
      <c r="O1335" s="415">
        <f t="shared" ca="1" si="514"/>
        <v>107592.24201419142</v>
      </c>
      <c r="P1335" s="415">
        <f t="shared" ca="1" si="514"/>
        <v>254400.30065399167</v>
      </c>
      <c r="Q1335" s="415">
        <f t="shared" ca="1" si="514"/>
        <v>380177.5979254464</v>
      </c>
      <c r="R1335" s="415">
        <f t="shared" ca="1" si="514"/>
        <v>6311.3733320154633</v>
      </c>
      <c r="S1335" s="415">
        <f t="shared" ca="1" si="514"/>
        <v>16022.413993921466</v>
      </c>
      <c r="U1335" s="48">
        <f t="shared" ca="1" si="506"/>
        <v>22504463.849999987</v>
      </c>
    </row>
    <row r="1336" spans="1:22" ht="11.1" customHeight="1" x14ac:dyDescent="0.2">
      <c r="A1336" s="321"/>
      <c r="B1336" s="16">
        <f t="shared" si="488"/>
        <v>89</v>
      </c>
      <c r="D1336" s="64"/>
      <c r="G1336" s="16">
        <f t="shared" si="489"/>
        <v>89</v>
      </c>
      <c r="H1336" s="64"/>
      <c r="J1336" s="415"/>
      <c r="K1336" s="415"/>
      <c r="L1336" s="415"/>
      <c r="M1336" s="415"/>
      <c r="N1336" s="415"/>
      <c r="O1336" s="415"/>
      <c r="P1336" s="415"/>
      <c r="Q1336" s="415"/>
      <c r="R1336" s="415"/>
      <c r="S1336" s="415"/>
      <c r="U1336" s="172"/>
    </row>
    <row r="1337" spans="1:22" ht="11.45" customHeight="1" x14ac:dyDescent="0.2">
      <c r="A1337" s="321"/>
      <c r="B1337" s="16">
        <f t="shared" si="488"/>
        <v>90</v>
      </c>
      <c r="G1337" s="16">
        <f t="shared" si="489"/>
        <v>90</v>
      </c>
      <c r="J1337" s="415"/>
      <c r="K1337" s="415"/>
      <c r="L1337" s="415"/>
      <c r="M1337" s="415"/>
      <c r="N1337" s="415"/>
      <c r="O1337" s="415"/>
      <c r="P1337" s="415"/>
      <c r="Q1337" s="415"/>
      <c r="R1337" s="415"/>
      <c r="S1337" s="415"/>
      <c r="U1337" s="48">
        <f>SUM(I1337:T1337)</f>
        <v>0</v>
      </c>
    </row>
    <row r="1338" spans="1:22" x14ac:dyDescent="0.2">
      <c r="A1338" s="321"/>
      <c r="B1338" s="16">
        <f t="shared" si="488"/>
        <v>91</v>
      </c>
      <c r="D1338" s="64" t="s">
        <v>747</v>
      </c>
      <c r="G1338" s="16">
        <f t="shared" si="489"/>
        <v>91</v>
      </c>
      <c r="H1338" s="64" t="str">
        <f>VLOOKUP(G1338,FactorTable,2)</f>
        <v>TAX INC</v>
      </c>
      <c r="J1338" s="415">
        <f t="shared" ref="J1338:S1338" ca="1" si="515">J1142</f>
        <v>5007465.4090753691</v>
      </c>
      <c r="K1338" s="415">
        <f t="shared" ca="1" si="515"/>
        <v>703839.72546828329</v>
      </c>
      <c r="L1338" s="415">
        <f t="shared" ca="1" si="515"/>
        <v>2728476.1754750898</v>
      </c>
      <c r="M1338" s="415">
        <f t="shared" ca="1" si="515"/>
        <v>116002.92151416214</v>
      </c>
      <c r="N1338" s="415">
        <f t="shared" ca="1" si="515"/>
        <v>886099.75089622184</v>
      </c>
      <c r="O1338" s="415">
        <f t="shared" ca="1" si="515"/>
        <v>27832.704795546972</v>
      </c>
      <c r="P1338" s="415">
        <f t="shared" ca="1" si="515"/>
        <v>58599.984152093508</v>
      </c>
      <c r="Q1338" s="415">
        <f t="shared" ca="1" si="515"/>
        <v>658528.75607162667</v>
      </c>
      <c r="R1338" s="415">
        <f t="shared" ca="1" si="515"/>
        <v>3127.2732755644156</v>
      </c>
      <c r="S1338" s="415">
        <f t="shared" ca="1" si="515"/>
        <v>7904.5082600544292</v>
      </c>
      <c r="U1338" s="48">
        <f ca="1">MAX(0.0000001,SUM(I1338:T1338))</f>
        <v>10197877.208984012</v>
      </c>
    </row>
    <row r="1339" spans="1:22" x14ac:dyDescent="0.2">
      <c r="A1339" s="321"/>
      <c r="B1339" s="16">
        <f t="shared" si="488"/>
        <v>92</v>
      </c>
      <c r="D1339" s="64" t="s">
        <v>748</v>
      </c>
      <c r="G1339" s="16">
        <f t="shared" si="489"/>
        <v>92</v>
      </c>
      <c r="H1339" s="64" t="str">
        <f>VLOOKUP(G1339,FactorTable,2)</f>
        <v>RCOS x565</v>
      </c>
      <c r="J1339" s="415">
        <f t="shared" ref="J1339:Q1339" ca="1" si="516">J1228</f>
        <v>61486726.460815221</v>
      </c>
      <c r="K1339" s="415">
        <f t="shared" ca="1" si="516"/>
        <v>8078133.2218759749</v>
      </c>
      <c r="L1339" s="415">
        <f t="shared" ca="1" si="516"/>
        <v>33906605.898501821</v>
      </c>
      <c r="M1339" s="415">
        <f t="shared" ca="1" si="516"/>
        <v>1296778.6420238111</v>
      </c>
      <c r="N1339" s="415">
        <f t="shared" ca="1" si="516"/>
        <v>10640098.539588874</v>
      </c>
      <c r="O1339" s="415">
        <f ca="1">O1228</f>
        <v>465390.1802064376</v>
      </c>
      <c r="P1339" s="415">
        <f t="shared" ca="1" si="516"/>
        <v>1055906.7170933611</v>
      </c>
      <c r="Q1339" s="415">
        <f t="shared" ca="1" si="516"/>
        <v>4693648.0178848673</v>
      </c>
      <c r="R1339" s="17">
        <v>0</v>
      </c>
      <c r="S1339" s="17">
        <v>0</v>
      </c>
      <c r="T1339" s="321" t="s">
        <v>0</v>
      </c>
      <c r="U1339" s="48">
        <f ca="1">MAX(0.0000001,SUM(I1339:T1339))</f>
        <v>121623287.67799038</v>
      </c>
    </row>
    <row r="1340" spans="1:22" x14ac:dyDescent="0.2">
      <c r="A1340" s="321"/>
      <c r="B1340" s="16">
        <f t="shared" si="488"/>
        <v>93</v>
      </c>
      <c r="G1340" s="16">
        <f t="shared" si="489"/>
        <v>93</v>
      </c>
      <c r="U1340" s="172"/>
    </row>
    <row r="1341" spans="1:22" x14ac:dyDescent="0.2">
      <c r="A1341" s="321"/>
      <c r="B1341" s="16">
        <f t="shared" si="488"/>
        <v>94</v>
      </c>
      <c r="G1341" s="16">
        <f t="shared" si="489"/>
        <v>94</v>
      </c>
      <c r="U1341" s="172"/>
    </row>
    <row r="1342" spans="1:22" ht="15" thickBot="1" x14ac:dyDescent="0.25">
      <c r="A1342" s="321"/>
      <c r="H1342" s="105"/>
      <c r="U1342" s="105"/>
    </row>
    <row r="1343" spans="1:22" ht="15" x14ac:dyDescent="0.25">
      <c r="A1343" s="45"/>
      <c r="B1343" s="829" t="str">
        <f>+$B$4</f>
        <v>2025 RATE CASE</v>
      </c>
      <c r="C1343" s="844"/>
      <c r="D1343" s="547"/>
      <c r="F1343" s="11"/>
      <c r="U1343" s="105"/>
    </row>
    <row r="1344" spans="1:22" ht="15" x14ac:dyDescent="0.25">
      <c r="A1344" s="45"/>
      <c r="B1344" s="826" t="str">
        <f>+$B$5</f>
        <v>ONCOR ELECTRIC DELIVERY COMPANY LLC</v>
      </c>
      <c r="C1344" s="8"/>
      <c r="D1344" s="548"/>
      <c r="F1344" s="11"/>
      <c r="U1344" s="105"/>
      <c r="V1344" s="64"/>
    </row>
    <row r="1345" spans="1:22" ht="15" x14ac:dyDescent="0.25">
      <c r="A1345" s="45"/>
      <c r="B1345" s="826" t="str">
        <f>B1238</f>
        <v>II-I-2-TBILLTDCS:  CLASS ALLOCATION FACTORS</v>
      </c>
      <c r="C1345" s="82"/>
      <c r="D1345" s="548"/>
      <c r="F1345" s="11"/>
      <c r="U1345" s="11"/>
      <c r="V1345" s="64"/>
    </row>
    <row r="1346" spans="1:22" ht="15" x14ac:dyDescent="0.25">
      <c r="A1346" s="45"/>
      <c r="B1346" s="341" t="str">
        <f>+$B$7</f>
        <v>TEST YEAR ENDING 12/31/2024</v>
      </c>
      <c r="C1346" s="82"/>
      <c r="D1346" s="548"/>
      <c r="F1346" s="11"/>
      <c r="U1346" s="11"/>
      <c r="V1346" s="64"/>
    </row>
    <row r="1347" spans="1:22" ht="15" x14ac:dyDescent="0.25">
      <c r="A1347" s="45"/>
      <c r="B1347" s="341" t="str">
        <f>+$B$8</f>
        <v>SPONSOR:  MATTHEW A. TROXLE</v>
      </c>
      <c r="C1347" s="82"/>
      <c r="D1347" s="548"/>
      <c r="F1347" s="11"/>
      <c r="U1347" s="11"/>
      <c r="V1347" s="64"/>
    </row>
    <row r="1348" spans="1:22" ht="15.75" thickBot="1" x14ac:dyDescent="0.3">
      <c r="A1348" s="45"/>
      <c r="B1348" s="345"/>
      <c r="C1348" s="82"/>
      <c r="D1348" s="548"/>
      <c r="F1348" s="11"/>
      <c r="U1348" s="11"/>
      <c r="V1348" s="64"/>
    </row>
    <row r="1349" spans="1:22" ht="15.75" thickBot="1" x14ac:dyDescent="0.3">
      <c r="A1349" s="45"/>
      <c r="B1349" s="331"/>
      <c r="C1349" s="405"/>
      <c r="D1349" s="406"/>
      <c r="E1349" s="406"/>
      <c r="F1349" s="176"/>
      <c r="G1349" s="177"/>
      <c r="H1349" s="373" t="str">
        <f>F$11</f>
        <v>TBILLTDCS</v>
      </c>
      <c r="I1349" s="13"/>
      <c r="J1349" s="177"/>
      <c r="K1349" s="177"/>
      <c r="L1349" s="13"/>
      <c r="M1349" s="13"/>
      <c r="N1349" s="177"/>
      <c r="O1349" s="177"/>
      <c r="P1349" s="177"/>
      <c r="Q1349" s="13"/>
      <c r="R1349" s="328" t="str">
        <f>R$10</f>
        <v xml:space="preserve"> </v>
      </c>
      <c r="S1349" s="329"/>
      <c r="T1349" s="177"/>
      <c r="U1349" s="12"/>
      <c r="V1349" s="64"/>
    </row>
    <row r="1350" spans="1:22" ht="15" x14ac:dyDescent="0.25">
      <c r="A1350" s="45"/>
      <c r="B1350" s="174" t="s">
        <v>2</v>
      </c>
      <c r="C1350" s="174"/>
      <c r="D1350" s="407" t="s">
        <v>749</v>
      </c>
      <c r="E1350" s="330"/>
      <c r="F1350" s="181"/>
      <c r="G1350" s="181" t="s">
        <v>688</v>
      </c>
      <c r="H1350" s="181" t="s">
        <v>355</v>
      </c>
      <c r="I1350" s="14"/>
      <c r="J1350" s="181" t="s">
        <v>679</v>
      </c>
      <c r="K1350" s="181" t="s">
        <v>388</v>
      </c>
      <c r="L1350" s="14" t="s">
        <v>388</v>
      </c>
      <c r="M1350" s="14" t="s">
        <v>389</v>
      </c>
      <c r="N1350" s="181" t="s">
        <v>389</v>
      </c>
      <c r="O1350" s="181" t="s">
        <v>389</v>
      </c>
      <c r="P1350" s="181" t="s">
        <v>390</v>
      </c>
      <c r="Q1350" s="14" t="s">
        <v>391</v>
      </c>
      <c r="R1350" s="331" t="str">
        <f>R$11</f>
        <v>Wholesale</v>
      </c>
      <c r="S1350" s="12" t="str">
        <f>S$11</f>
        <v>Wholesale</v>
      </c>
      <c r="T1350" s="181"/>
      <c r="U1350" s="14" t="s">
        <v>10</v>
      </c>
      <c r="V1350" s="64"/>
    </row>
    <row r="1351" spans="1:22" x14ac:dyDescent="0.2">
      <c r="A1351" s="45"/>
      <c r="B1351" s="174"/>
      <c r="C1351" s="174"/>
      <c r="D1351" s="330"/>
      <c r="E1351" s="330"/>
      <c r="F1351" s="181"/>
      <c r="G1351" s="181" t="s">
        <v>689</v>
      </c>
      <c r="H1351" s="181" t="s">
        <v>690</v>
      </c>
      <c r="I1351" s="14"/>
      <c r="J1351" s="181"/>
      <c r="K1351" s="181" t="s">
        <v>680</v>
      </c>
      <c r="L1351" s="14" t="s">
        <v>681</v>
      </c>
      <c r="M1351" s="14" t="s">
        <v>680</v>
      </c>
      <c r="N1351" s="181" t="s">
        <v>681</v>
      </c>
      <c r="O1351" s="181" t="s">
        <v>393</v>
      </c>
      <c r="P1351" s="181"/>
      <c r="Q1351" s="14"/>
      <c r="R1351" s="174" t="str">
        <f>R$12</f>
        <v>XFMR</v>
      </c>
      <c r="S1351" s="14" t="str">
        <f>S$12</f>
        <v>DLS</v>
      </c>
      <c r="T1351" s="181"/>
      <c r="U1351" s="14"/>
      <c r="V1351" s="64"/>
    </row>
    <row r="1352" spans="1:22" ht="15" thickBot="1" x14ac:dyDescent="0.25">
      <c r="A1352" s="45"/>
      <c r="B1352" s="182"/>
      <c r="C1352" s="182"/>
      <c r="D1352" s="408" t="s">
        <v>13</v>
      </c>
      <c r="E1352" s="408"/>
      <c r="F1352" s="184"/>
      <c r="G1352" s="184" t="s">
        <v>14</v>
      </c>
      <c r="H1352" s="15" t="s">
        <v>15</v>
      </c>
      <c r="I1352" s="15"/>
      <c r="J1352" s="182" t="str">
        <f t="shared" ref="J1352:Q1352" si="517">J$13</f>
        <v>(d)</v>
      </c>
      <c r="K1352" s="182" t="str">
        <f t="shared" si="517"/>
        <v>(e)</v>
      </c>
      <c r="L1352" s="15" t="str">
        <f t="shared" si="517"/>
        <v>(f)</v>
      </c>
      <c r="M1352" s="15" t="str">
        <f t="shared" si="517"/>
        <v>(g)</v>
      </c>
      <c r="N1352" s="182" t="str">
        <f t="shared" si="517"/>
        <v>(h)</v>
      </c>
      <c r="O1352" s="182" t="str">
        <f>O$13</f>
        <v>(i)</v>
      </c>
      <c r="P1352" s="182" t="str">
        <f t="shared" si="517"/>
        <v>(j)</v>
      </c>
      <c r="Q1352" s="182" t="str">
        <f t="shared" si="517"/>
        <v>(k)</v>
      </c>
      <c r="R1352" s="182" t="str">
        <f>R$13</f>
        <v>(l)</v>
      </c>
      <c r="S1352" s="15" t="str">
        <f>S$13</f>
        <v>(m)</v>
      </c>
      <c r="T1352" s="15"/>
      <c r="U1352" s="15" t="s">
        <v>683</v>
      </c>
      <c r="V1352" s="64"/>
    </row>
    <row r="1353" spans="1:22" x14ac:dyDescent="0.2">
      <c r="A1353" s="321"/>
      <c r="B1353" s="16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  <c r="U1353" s="172"/>
    </row>
    <row r="1354" spans="1:22" x14ac:dyDescent="0.2">
      <c r="A1354" s="321"/>
      <c r="B1354" s="16"/>
      <c r="G1354" s="16">
        <f>0</f>
        <v>0</v>
      </c>
      <c r="H1354" s="64">
        <v>-1</v>
      </c>
      <c r="I1354" s="64">
        <f>H1354+1</f>
        <v>0</v>
      </c>
      <c r="J1354" s="64">
        <f>I1354+1</f>
        <v>1</v>
      </c>
      <c r="K1354" s="64">
        <f t="shared" ref="K1354:Q1354" si="518">J1354+1</f>
        <v>2</v>
      </c>
      <c r="L1354" s="64">
        <f t="shared" si="518"/>
        <v>3</v>
      </c>
      <c r="M1354" s="64">
        <f t="shared" si="518"/>
        <v>4</v>
      </c>
      <c r="N1354" s="64">
        <f t="shared" si="518"/>
        <v>5</v>
      </c>
      <c r="O1354" s="64">
        <f t="shared" si="518"/>
        <v>6</v>
      </c>
      <c r="P1354" s="64">
        <f t="shared" si="518"/>
        <v>7</v>
      </c>
      <c r="Q1354" s="64">
        <f t="shared" si="518"/>
        <v>8</v>
      </c>
      <c r="R1354" s="64">
        <f>Q1354+1</f>
        <v>9</v>
      </c>
      <c r="S1354" s="64">
        <f>R1354+1</f>
        <v>10</v>
      </c>
      <c r="T1354">
        <f>S1354+1</f>
        <v>11</v>
      </c>
      <c r="U1354" s="172"/>
    </row>
    <row r="1355" spans="1:22" x14ac:dyDescent="0.2">
      <c r="A1355" s="321"/>
      <c r="B1355" s="16">
        <f t="shared" ref="B1355:B1418" si="519">B1354+1</f>
        <v>1</v>
      </c>
      <c r="D1355" s="64" t="s">
        <v>692</v>
      </c>
      <c r="G1355" s="16">
        <f t="shared" ref="G1355:G1418" si="520">G1354+1</f>
        <v>1</v>
      </c>
      <c r="H1355" s="64" t="s">
        <v>750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30"/>
      <c r="U1355" s="17"/>
    </row>
    <row r="1356" spans="1:22" x14ac:dyDescent="0.2">
      <c r="A1356" s="321"/>
      <c r="B1356" s="16">
        <f t="shared" si="519"/>
        <v>2</v>
      </c>
      <c r="D1356" s="64" t="s">
        <v>693</v>
      </c>
      <c r="G1356" s="16">
        <f t="shared" si="520"/>
        <v>2</v>
      </c>
      <c r="H1356" s="64" t="s">
        <v>751</v>
      </c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30"/>
      <c r="U1356" s="17"/>
    </row>
    <row r="1357" spans="1:22" x14ac:dyDescent="0.2">
      <c r="A1357" s="321"/>
      <c r="B1357" s="16">
        <f t="shared" si="519"/>
        <v>3</v>
      </c>
      <c r="G1357" s="16">
        <f t="shared" si="520"/>
        <v>3</v>
      </c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  <c r="U1357" s="172"/>
    </row>
    <row r="1358" spans="1:22" x14ac:dyDescent="0.2">
      <c r="A1358" s="321"/>
      <c r="B1358" s="16">
        <f t="shared" si="519"/>
        <v>4</v>
      </c>
      <c r="G1358" s="16">
        <f t="shared" si="520"/>
        <v>4</v>
      </c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  <c r="U1358" s="172"/>
    </row>
    <row r="1359" spans="1:22" x14ac:dyDescent="0.2">
      <c r="A1359" s="321"/>
      <c r="B1359" s="16">
        <f t="shared" si="519"/>
        <v>5</v>
      </c>
      <c r="G1359" s="16">
        <f t="shared" si="520"/>
        <v>5</v>
      </c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  <c r="U1359" s="172"/>
    </row>
    <row r="1360" spans="1:22" x14ac:dyDescent="0.2">
      <c r="A1360" s="321"/>
      <c r="B1360" s="16">
        <f t="shared" si="519"/>
        <v>6</v>
      </c>
      <c r="D1360" s="64" t="s">
        <v>694</v>
      </c>
      <c r="G1360" s="16">
        <f t="shared" si="520"/>
        <v>6</v>
      </c>
      <c r="H1360" s="64" t="s">
        <v>752</v>
      </c>
      <c r="J1360" s="411">
        <f t="shared" ref="J1360:Q1360" si="521">J1253/$U1253</f>
        <v>0.52204347349484559</v>
      </c>
      <c r="K1360" s="411">
        <f t="shared" si="521"/>
        <v>7.3234910219164229E-2</v>
      </c>
      <c r="L1360" s="411">
        <f t="shared" si="521"/>
        <v>0.28800912921560129</v>
      </c>
      <c r="M1360" s="411">
        <f t="shared" si="521"/>
        <v>1.2128655972860058E-2</v>
      </c>
      <c r="N1360" s="411">
        <f t="shared" si="521"/>
        <v>9.3397053702985844E-2</v>
      </c>
      <c r="O1360" s="411">
        <f t="shared" si="521"/>
        <v>3.0645626579865839E-3</v>
      </c>
      <c r="P1360" s="411">
        <f t="shared" si="521"/>
        <v>6.3923392865977841E-3</v>
      </c>
      <c r="Q1360" s="411">
        <f t="shared" si="521"/>
        <v>5.3233524815684381E-4</v>
      </c>
      <c r="R1360" s="411">
        <f>R1253/$U1253</f>
        <v>3.3841796223164742E-4</v>
      </c>
      <c r="S1360" s="411">
        <f>S1253/$U1253</f>
        <v>8.5912223956998422E-4</v>
      </c>
      <c r="T1360" s="101"/>
      <c r="U1360" s="411">
        <f>ROUND(SUM(I1360:T1360),6)</f>
        <v>1</v>
      </c>
    </row>
    <row r="1361" spans="1:21" x14ac:dyDescent="0.2">
      <c r="A1361" s="321"/>
      <c r="B1361" s="16">
        <f t="shared" si="519"/>
        <v>7</v>
      </c>
      <c r="D1361" s="64" t="s">
        <v>695</v>
      </c>
      <c r="G1361" s="16">
        <f t="shared" si="520"/>
        <v>7</v>
      </c>
      <c r="H1361" s="64" t="s">
        <v>753</v>
      </c>
      <c r="J1361" s="411">
        <f t="shared" ref="J1361:L1364" si="522">J1254/$U1254</f>
        <v>0.59066728878195973</v>
      </c>
      <c r="K1361" s="411">
        <f t="shared" si="522"/>
        <v>8.2861807607237672E-2</v>
      </c>
      <c r="L1361" s="411">
        <f t="shared" si="522"/>
        <v>0.32586859166990811</v>
      </c>
      <c r="M1361" s="17">
        <v>0</v>
      </c>
      <c r="N1361" s="17">
        <v>0</v>
      </c>
      <c r="O1361" s="17">
        <v>0</v>
      </c>
      <c r="P1361" s="17">
        <v>0</v>
      </c>
      <c r="Q1361" s="411">
        <f>Q1254/$U1254</f>
        <v>6.0231194089428502E-4</v>
      </c>
      <c r="R1361" s="17">
        <v>0</v>
      </c>
      <c r="S1361" s="17">
        <v>0</v>
      </c>
      <c r="T1361" s="101"/>
      <c r="U1361" s="411">
        <f>ROUND(SUM(I1361:T1361),6)</f>
        <v>1</v>
      </c>
    </row>
    <row r="1362" spans="1:21" x14ac:dyDescent="0.2">
      <c r="A1362" s="321"/>
      <c r="B1362" s="16">
        <f t="shared" si="519"/>
        <v>8</v>
      </c>
      <c r="D1362" s="64" t="s">
        <v>696</v>
      </c>
      <c r="G1362" s="16">
        <f t="shared" si="520"/>
        <v>8</v>
      </c>
      <c r="H1362" s="64" t="s">
        <v>754</v>
      </c>
      <c r="J1362" s="411">
        <f t="shared" si="522"/>
        <v>0.52266939110294253</v>
      </c>
      <c r="K1362" s="411">
        <f t="shared" si="522"/>
        <v>7.3322717120621494E-2</v>
      </c>
      <c r="L1362" s="411">
        <f t="shared" si="522"/>
        <v>0.28835444525616372</v>
      </c>
      <c r="M1362" s="411">
        <f t="shared" ref="M1362:P1364" si="523">M1255/$U1255</f>
        <v>1.214319794057233E-2</v>
      </c>
      <c r="N1362" s="411">
        <f t="shared" si="523"/>
        <v>9.3509034531068444E-2</v>
      </c>
      <c r="O1362" s="411">
        <f t="shared" si="523"/>
        <v>3.0682369951369154E-3</v>
      </c>
      <c r="P1362" s="411">
        <f t="shared" si="523"/>
        <v>6.4000035481383529E-3</v>
      </c>
      <c r="Q1362" s="411">
        <f>Q1255/$U1255</f>
        <v>5.3297350535600277E-4</v>
      </c>
      <c r="R1362" s="17"/>
      <c r="S1362" s="17"/>
      <c r="T1362" s="101"/>
      <c r="U1362" s="411">
        <f>ROUND(SUM(I1362:T1362),6)</f>
        <v>1</v>
      </c>
    </row>
    <row r="1363" spans="1:21" x14ac:dyDescent="0.2">
      <c r="A1363" s="321"/>
      <c r="B1363" s="16">
        <f t="shared" si="519"/>
        <v>9</v>
      </c>
      <c r="D1363" s="64" t="s">
        <v>697</v>
      </c>
      <c r="G1363" s="16">
        <f t="shared" si="520"/>
        <v>9</v>
      </c>
      <c r="H1363" s="64" t="s">
        <v>755</v>
      </c>
      <c r="J1363" s="411">
        <f t="shared" si="522"/>
        <v>0.85571462856823666</v>
      </c>
      <c r="K1363" s="411">
        <f t="shared" si="522"/>
        <v>7.0979524557258505E-2</v>
      </c>
      <c r="L1363" s="411">
        <f t="shared" si="522"/>
        <v>5.7994681491327825E-2</v>
      </c>
      <c r="M1363" s="411">
        <f t="shared" si="523"/>
        <v>7.748640527589733E-4</v>
      </c>
      <c r="N1363" s="411">
        <f t="shared" si="523"/>
        <v>1.7346079496849999E-3</v>
      </c>
      <c r="O1363" s="411">
        <f t="shared" si="523"/>
        <v>4.0287987432125244E-5</v>
      </c>
      <c r="P1363" s="411">
        <f t="shared" si="523"/>
        <v>8.4036292803206031E-5</v>
      </c>
      <c r="Q1363" s="411">
        <f>Q1256/$U1256</f>
        <v>1.2660067510802989E-2</v>
      </c>
      <c r="R1363" s="411">
        <f>R1256/$U1256</f>
        <v>4.4489802072285549E-6</v>
      </c>
      <c r="S1363" s="411">
        <f>S1256/$U1256</f>
        <v>1.2852609487549158E-5</v>
      </c>
      <c r="T1363" s="101"/>
      <c r="U1363" s="411">
        <f>ROUND(SUM(I1363:T1363),6)</f>
        <v>1</v>
      </c>
    </row>
    <row r="1364" spans="1:21" x14ac:dyDescent="0.2">
      <c r="A1364" s="321"/>
      <c r="B1364" s="16">
        <f t="shared" si="519"/>
        <v>10</v>
      </c>
      <c r="D1364" s="64" t="s">
        <v>698</v>
      </c>
      <c r="G1364" s="16">
        <f t="shared" si="520"/>
        <v>10</v>
      </c>
      <c r="H1364" s="64" t="s">
        <v>756</v>
      </c>
      <c r="J1364" s="411">
        <f t="shared" si="522"/>
        <v>0.85572943404779422</v>
      </c>
      <c r="K1364" s="411">
        <f t="shared" si="522"/>
        <v>7.0980752637116853E-2</v>
      </c>
      <c r="L1364" s="411">
        <f t="shared" si="522"/>
        <v>5.7995684908872185E-2</v>
      </c>
      <c r="M1364" s="411">
        <f t="shared" si="523"/>
        <v>7.748774593708391E-4</v>
      </c>
      <c r="N1364" s="411">
        <f t="shared" si="523"/>
        <v>1.7346379616792818E-3</v>
      </c>
      <c r="O1364" s="411">
        <f t="shared" si="523"/>
        <v>4.0288684490413641E-5</v>
      </c>
      <c r="P1364" s="411">
        <f t="shared" si="523"/>
        <v>8.4037746789819866E-5</v>
      </c>
      <c r="Q1364" s="411">
        <f>Q1257/$U1257</f>
        <v>1.2660286553886362E-2</v>
      </c>
      <c r="R1364" s="17">
        <v>0</v>
      </c>
      <c r="S1364" s="17">
        <v>0</v>
      </c>
      <c r="T1364" s="101"/>
      <c r="U1364" s="411">
        <f>ROUND(SUM(I1364:T1364),6)</f>
        <v>1</v>
      </c>
    </row>
    <row r="1365" spans="1:21" x14ac:dyDescent="0.2">
      <c r="A1365" s="321"/>
      <c r="B1365" s="16">
        <f t="shared" si="519"/>
        <v>11</v>
      </c>
      <c r="D1365" s="64"/>
      <c r="G1365" s="16">
        <f t="shared" si="520"/>
        <v>11</v>
      </c>
      <c r="H1365" s="64"/>
      <c r="J1365" s="64"/>
      <c r="K1365" s="64"/>
      <c r="L1365" s="64"/>
      <c r="M1365" s="64"/>
      <c r="N1365" s="64"/>
      <c r="O1365" s="64"/>
      <c r="P1365" s="64"/>
      <c r="Q1365" s="64"/>
      <c r="R1365" s="45"/>
      <c r="S1365" s="45"/>
      <c r="T1365" s="101"/>
      <c r="U1365" s="411"/>
    </row>
    <row r="1366" spans="1:21" x14ac:dyDescent="0.2">
      <c r="A1366" s="321"/>
      <c r="B1366" s="16">
        <f t="shared" si="519"/>
        <v>12</v>
      </c>
      <c r="D1366" s="64"/>
      <c r="G1366" s="16">
        <f t="shared" si="520"/>
        <v>12</v>
      </c>
      <c r="H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  <c r="T1366" s="101"/>
      <c r="U1366" s="411"/>
    </row>
    <row r="1367" spans="1:21" x14ac:dyDescent="0.2">
      <c r="A1367" s="321"/>
      <c r="B1367" s="16">
        <f t="shared" si="519"/>
        <v>13</v>
      </c>
      <c r="D1367" s="64"/>
      <c r="G1367" s="16">
        <f t="shared" si="520"/>
        <v>13</v>
      </c>
      <c r="H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  <c r="T1367" s="101"/>
      <c r="U1367" s="411"/>
    </row>
    <row r="1368" spans="1:21" x14ac:dyDescent="0.2">
      <c r="A1368" s="321"/>
      <c r="B1368" s="16">
        <f t="shared" si="519"/>
        <v>14</v>
      </c>
      <c r="D1368" s="45" t="s">
        <v>699</v>
      </c>
      <c r="G1368" s="16">
        <f t="shared" si="520"/>
        <v>14</v>
      </c>
      <c r="H1368" s="64" t="s">
        <v>757</v>
      </c>
      <c r="J1368" s="411">
        <f t="shared" ref="J1368:Q1368" si="524">J1261/$U1261</f>
        <v>0.49606867739945093</v>
      </c>
      <c r="K1368" s="411">
        <f t="shared" si="524"/>
        <v>1.8014653682675512E-2</v>
      </c>
      <c r="L1368" s="411">
        <f t="shared" si="524"/>
        <v>0.34064468294320993</v>
      </c>
      <c r="M1368" s="411">
        <f t="shared" si="524"/>
        <v>3.3756108807208012E-4</v>
      </c>
      <c r="N1368" s="411">
        <f t="shared" si="524"/>
        <v>7.4714397387561332E-2</v>
      </c>
      <c r="O1368" s="411">
        <f t="shared" si="524"/>
        <v>1.51505647339995E-2</v>
      </c>
      <c r="P1368" s="411">
        <f t="shared" si="524"/>
        <v>4.0607877248824642E-2</v>
      </c>
      <c r="Q1368" s="411">
        <f t="shared" si="524"/>
        <v>1.2413115453977355E-2</v>
      </c>
      <c r="R1368" s="411">
        <f>R1261/$U1261</f>
        <v>3.4524468316753798E-4</v>
      </c>
      <c r="S1368" s="411">
        <f>S1261/$U1261</f>
        <v>1.7032253790611571E-3</v>
      </c>
      <c r="T1368" s="101"/>
      <c r="U1368" s="411">
        <f>ROUND(SUM(I1368:T1368),6)</f>
        <v>1</v>
      </c>
    </row>
    <row r="1369" spans="1:21" x14ac:dyDescent="0.2">
      <c r="A1369" s="321"/>
      <c r="B1369" s="16">
        <f t="shared" si="519"/>
        <v>15</v>
      </c>
      <c r="D1369" s="64" t="s">
        <v>700</v>
      </c>
      <c r="G1369" s="16">
        <f t="shared" si="520"/>
        <v>15</v>
      </c>
      <c r="H1369" s="64" t="s">
        <v>758</v>
      </c>
      <c r="J1369" s="411">
        <f t="shared" ref="J1369:Q1369" si="525">J1262/$U1262</f>
        <v>0.4970869451248639</v>
      </c>
      <c r="K1369" s="411">
        <f t="shared" si="525"/>
        <v>1.8051631910217962E-2</v>
      </c>
      <c r="L1369" s="411">
        <f t="shared" si="525"/>
        <v>0.34134391573551803</v>
      </c>
      <c r="M1369" s="411">
        <f t="shared" si="525"/>
        <v>3.3825399124657809E-4</v>
      </c>
      <c r="N1369" s="411">
        <f t="shared" si="525"/>
        <v>7.486776175614486E-2</v>
      </c>
      <c r="O1369" s="411">
        <f t="shared" si="525"/>
        <v>1.5181663918030401E-2</v>
      </c>
      <c r="P1369" s="411">
        <f t="shared" si="525"/>
        <v>4.0691232019411605E-2</v>
      </c>
      <c r="Q1369" s="411">
        <f t="shared" si="525"/>
        <v>1.2438595544566569E-2</v>
      </c>
      <c r="R1369" s="17"/>
      <c r="S1369" s="17"/>
      <c r="T1369" s="101"/>
      <c r="U1369" s="411">
        <f>ROUND(SUM(I1369:T1369),6)</f>
        <v>1</v>
      </c>
    </row>
    <row r="1370" spans="1:21" x14ac:dyDescent="0.2">
      <c r="A1370" s="321"/>
      <c r="B1370" s="16">
        <f t="shared" si="519"/>
        <v>16</v>
      </c>
      <c r="D1370" s="64"/>
      <c r="G1370" s="16">
        <f t="shared" si="520"/>
        <v>16</v>
      </c>
      <c r="H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  <c r="T1370" s="101"/>
      <c r="U1370" s="411"/>
    </row>
    <row r="1371" spans="1:21" x14ac:dyDescent="0.2">
      <c r="A1371" s="321"/>
      <c r="B1371" s="16">
        <f t="shared" si="519"/>
        <v>17</v>
      </c>
      <c r="D1371" s="589" t="s">
        <v>969</v>
      </c>
      <c r="G1371" s="16">
        <f t="shared" si="520"/>
        <v>17</v>
      </c>
      <c r="H1371" s="589" t="s">
        <v>968</v>
      </c>
      <c r="J1371" s="847">
        <v>0.49691124615358206</v>
      </c>
      <c r="K1371" s="847">
        <v>2.4174681321812327E-2</v>
      </c>
      <c r="L1371" s="847">
        <v>0.37078906200497913</v>
      </c>
      <c r="M1371" s="847">
        <v>3.1546971053398888E-4</v>
      </c>
      <c r="N1371" s="847">
        <v>5.5008246673470013E-2</v>
      </c>
      <c r="O1371" s="847">
        <v>7.3386300103727205E-3</v>
      </c>
      <c r="P1371" s="847">
        <v>2.7449423458469385E-2</v>
      </c>
      <c r="Q1371" s="847">
        <v>1.6386509086414255E-2</v>
      </c>
      <c r="R1371" s="847">
        <v>2.9838392078932439E-4</v>
      </c>
      <c r="S1371" s="847">
        <v>1.3283476595765593E-3</v>
      </c>
      <c r="T1371" s="101"/>
      <c r="U1371" s="411"/>
    </row>
    <row r="1372" spans="1:21" x14ac:dyDescent="0.2">
      <c r="A1372" s="321"/>
      <c r="B1372" s="16">
        <f t="shared" si="519"/>
        <v>18</v>
      </c>
      <c r="D1372" s="45"/>
      <c r="G1372" s="16">
        <f t="shared" si="520"/>
        <v>18</v>
      </c>
      <c r="H1372" s="64"/>
      <c r="J1372" s="64"/>
      <c r="K1372" s="64"/>
      <c r="L1372" s="64"/>
      <c r="M1372" s="64"/>
      <c r="N1372" s="64"/>
      <c r="O1372" s="64"/>
      <c r="P1372" s="64"/>
      <c r="Q1372" s="64"/>
      <c r="R1372" s="64"/>
      <c r="S1372" s="64"/>
      <c r="T1372" s="101"/>
      <c r="U1372" s="411"/>
    </row>
    <row r="1373" spans="1:21" x14ac:dyDescent="0.2">
      <c r="A1373" s="321"/>
      <c r="B1373" s="16">
        <f t="shared" si="519"/>
        <v>19</v>
      </c>
      <c r="D1373" s="589" t="s">
        <v>961</v>
      </c>
      <c r="G1373" s="16">
        <f t="shared" si="520"/>
        <v>19</v>
      </c>
      <c r="H1373" s="64" t="s">
        <v>759</v>
      </c>
      <c r="J1373" s="411">
        <f t="shared" ref="J1373:S1373" si="526">J1266/$U1266</f>
        <v>0.39207870753479357</v>
      </c>
      <c r="K1373" s="411">
        <f t="shared" si="526"/>
        <v>1.1878410206853518E-2</v>
      </c>
      <c r="L1373" s="411">
        <f t="shared" si="526"/>
        <v>0.41747148498452258</v>
      </c>
      <c r="M1373" s="411">
        <f t="shared" si="526"/>
        <v>8.0379267015715244E-6</v>
      </c>
      <c r="N1373" s="411">
        <f t="shared" si="526"/>
        <v>6.9126640708479514E-2</v>
      </c>
      <c r="O1373" s="411">
        <f t="shared" si="526"/>
        <v>1.3176800227554842E-2</v>
      </c>
      <c r="P1373" s="411">
        <f t="shared" si="526"/>
        <v>9.0879589198274408E-2</v>
      </c>
      <c r="Q1373" s="411">
        <f t="shared" si="526"/>
        <v>3.2081243819999448E-3</v>
      </c>
      <c r="R1373" s="411">
        <f t="shared" si="526"/>
        <v>9.9654995235261604E-4</v>
      </c>
      <c r="S1373" s="411">
        <f t="shared" si="526"/>
        <v>1.1756548784670716E-3</v>
      </c>
      <c r="T1373" s="101"/>
      <c r="U1373" s="411">
        <f>ROUND(SUM(I1373:T1373),6)</f>
        <v>1</v>
      </c>
    </row>
    <row r="1374" spans="1:21" x14ac:dyDescent="0.2">
      <c r="A1374" s="321"/>
      <c r="B1374" s="16">
        <f t="shared" si="519"/>
        <v>20</v>
      </c>
      <c r="D1374" s="64"/>
      <c r="G1374" s="16">
        <f t="shared" si="520"/>
        <v>20</v>
      </c>
      <c r="H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  <c r="T1374" s="101"/>
      <c r="U1374" s="411"/>
    </row>
    <row r="1375" spans="1:21" x14ac:dyDescent="0.2">
      <c r="A1375" s="321"/>
      <c r="B1375" s="16">
        <f t="shared" si="519"/>
        <v>21</v>
      </c>
      <c r="D1375" s="64"/>
      <c r="G1375" s="16">
        <f t="shared" si="520"/>
        <v>21</v>
      </c>
      <c r="H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  <c r="T1375" s="101"/>
      <c r="U1375" s="411"/>
    </row>
    <row r="1376" spans="1:21" x14ac:dyDescent="0.2">
      <c r="A1376" s="321"/>
      <c r="B1376" s="16">
        <f t="shared" si="519"/>
        <v>22</v>
      </c>
      <c r="D1376" s="45"/>
      <c r="G1376" s="16">
        <f t="shared" si="520"/>
        <v>22</v>
      </c>
      <c r="H1376" s="64"/>
      <c r="J1376" s="64"/>
      <c r="K1376" s="64"/>
      <c r="L1376" s="64"/>
      <c r="M1376" s="64"/>
      <c r="N1376" s="64"/>
      <c r="O1376" s="64"/>
      <c r="P1376" s="64"/>
      <c r="Q1376" s="64"/>
      <c r="R1376" s="45"/>
      <c r="S1376" s="45"/>
      <c r="T1376" s="101"/>
      <c r="U1376" s="411"/>
    </row>
    <row r="1377" spans="1:21" x14ac:dyDescent="0.2">
      <c r="A1377" s="321"/>
      <c r="B1377" s="16">
        <f t="shared" si="519"/>
        <v>23</v>
      </c>
      <c r="D1377" s="64" t="s">
        <v>702</v>
      </c>
      <c r="G1377" s="16">
        <f t="shared" si="520"/>
        <v>23</v>
      </c>
      <c r="H1377" s="64" t="s">
        <v>760</v>
      </c>
      <c r="J1377" s="411">
        <f t="shared" ref="J1377:Q1377" si="527">J1270/$U1270</f>
        <v>0.43858853681215043</v>
      </c>
      <c r="K1377" s="411">
        <f t="shared" si="527"/>
        <v>8.8416367763441694E-3</v>
      </c>
      <c r="L1377" s="411">
        <f t="shared" si="527"/>
        <v>0.30533456649733054</v>
      </c>
      <c r="M1377" s="411">
        <f t="shared" si="527"/>
        <v>9.6594336756288847E-5</v>
      </c>
      <c r="N1377" s="411">
        <f t="shared" si="527"/>
        <v>9.4937872376858259E-2</v>
      </c>
      <c r="O1377" s="411">
        <f t="shared" si="527"/>
        <v>3.446623483196265E-2</v>
      </c>
      <c r="P1377" s="411">
        <f t="shared" si="527"/>
        <v>0.11773455836859764</v>
      </c>
      <c r="Q1377" s="411">
        <f t="shared" si="527"/>
        <v>0</v>
      </c>
      <c r="R1377" s="17">
        <v>0</v>
      </c>
      <c r="S1377" s="17">
        <v>0</v>
      </c>
      <c r="T1377" s="101"/>
      <c r="U1377" s="411">
        <f>ROUND(SUM(I1377:T1377),6)</f>
        <v>1</v>
      </c>
    </row>
    <row r="1378" spans="1:21" x14ac:dyDescent="0.2">
      <c r="A1378" s="321"/>
      <c r="B1378" s="16">
        <f t="shared" si="519"/>
        <v>24</v>
      </c>
      <c r="D1378" s="64"/>
      <c r="G1378" s="16">
        <f t="shared" si="520"/>
        <v>24</v>
      </c>
      <c r="H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  <c r="T1378" s="101"/>
      <c r="U1378" s="411"/>
    </row>
    <row r="1379" spans="1:21" x14ac:dyDescent="0.2">
      <c r="A1379" s="321"/>
      <c r="B1379" s="16">
        <f t="shared" si="519"/>
        <v>25</v>
      </c>
      <c r="D1379" s="64"/>
      <c r="G1379" s="16">
        <f t="shared" si="520"/>
        <v>25</v>
      </c>
      <c r="H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  <c r="T1379" s="101"/>
      <c r="U1379" s="411"/>
    </row>
    <row r="1380" spans="1:21" x14ac:dyDescent="0.2">
      <c r="A1380" s="321"/>
      <c r="B1380" s="16">
        <f t="shared" si="519"/>
        <v>26</v>
      </c>
      <c r="D1380" s="64" t="s">
        <v>703</v>
      </c>
      <c r="G1380" s="16">
        <f t="shared" si="520"/>
        <v>26</v>
      </c>
      <c r="H1380" s="64" t="s">
        <v>761</v>
      </c>
      <c r="J1380" s="411">
        <f t="shared" ref="J1380:Q1380" si="528">J1273/$U1273</f>
        <v>0.44499692513480427</v>
      </c>
      <c r="K1380" s="411">
        <f t="shared" si="528"/>
        <v>8.4071788139543704E-3</v>
      </c>
      <c r="L1380" s="411">
        <f t="shared" si="528"/>
        <v>0.28582340418790675</v>
      </c>
      <c r="M1380" s="411">
        <f t="shared" si="528"/>
        <v>1.3374840983780919E-4</v>
      </c>
      <c r="N1380" s="411">
        <f t="shared" si="528"/>
        <v>8.407252226451449E-2</v>
      </c>
      <c r="O1380" s="411">
        <f t="shared" si="528"/>
        <v>3.6136024892102631E-2</v>
      </c>
      <c r="P1380" s="411">
        <f t="shared" si="528"/>
        <v>0.13216460203488176</v>
      </c>
      <c r="Q1380" s="411">
        <f t="shared" si="528"/>
        <v>2.5418472941669953E-3</v>
      </c>
      <c r="R1380" s="411">
        <f>R1273/$U1273</f>
        <v>2.4978632184613288E-3</v>
      </c>
      <c r="S1380" s="411">
        <f>S1273/$U1273</f>
        <v>3.2258837493695227E-3</v>
      </c>
      <c r="T1380" s="101"/>
      <c r="U1380" s="411">
        <f t="shared" ref="U1380:U1387" si="529">ROUND(SUM(I1380:T1380),6)</f>
        <v>1</v>
      </c>
    </row>
    <row r="1381" spans="1:21" x14ac:dyDescent="0.2">
      <c r="A1381" s="321"/>
      <c r="B1381" s="16">
        <f t="shared" si="519"/>
        <v>27</v>
      </c>
      <c r="D1381" s="64"/>
      <c r="G1381" s="16">
        <f>G1380+1</f>
        <v>27</v>
      </c>
      <c r="H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  <c r="T1381" s="101"/>
      <c r="U1381" s="411"/>
    </row>
    <row r="1382" spans="1:21" x14ac:dyDescent="0.2">
      <c r="A1382" s="321"/>
      <c r="B1382" s="16">
        <f t="shared" si="519"/>
        <v>28</v>
      </c>
      <c r="D1382" s="64" t="s">
        <v>704</v>
      </c>
      <c r="G1382" s="16">
        <f t="shared" si="520"/>
        <v>28</v>
      </c>
      <c r="H1382" s="64" t="s">
        <v>762</v>
      </c>
      <c r="J1382" s="411">
        <f t="shared" ref="J1382:O1382" si="530">J1275/$U1275</f>
        <v>0.51276650638845045</v>
      </c>
      <c r="K1382" s="411">
        <f t="shared" si="530"/>
        <v>9.6875269592221567E-3</v>
      </c>
      <c r="L1382" s="411">
        <f t="shared" si="530"/>
        <v>0.32935209241072594</v>
      </c>
      <c r="M1382" s="411">
        <f t="shared" si="530"/>
        <v>1.5411725558950418E-4</v>
      </c>
      <c r="N1382" s="411">
        <f t="shared" si="530"/>
        <v>9.6876115518733083E-2</v>
      </c>
      <c r="O1382" s="411">
        <f t="shared" si="530"/>
        <v>4.1639261289449135E-2</v>
      </c>
      <c r="P1382" s="17">
        <v>0</v>
      </c>
      <c r="Q1382" s="411">
        <f t="shared" ref="Q1382:Q1387" si="531">Q1275/$U1275</f>
        <v>2.9289509279375606E-3</v>
      </c>
      <c r="R1382" s="411">
        <f>R1275/$U1275</f>
        <v>2.8782684185483386E-3</v>
      </c>
      <c r="S1382" s="411">
        <f>S1275/$U1275</f>
        <v>3.7171608313437154E-3</v>
      </c>
      <c r="T1382" s="101"/>
      <c r="U1382" s="411">
        <f t="shared" si="529"/>
        <v>1</v>
      </c>
    </row>
    <row r="1383" spans="1:21" x14ac:dyDescent="0.2">
      <c r="A1383" s="321"/>
      <c r="B1383" s="16">
        <f t="shared" si="519"/>
        <v>29</v>
      </c>
      <c r="D1383" s="64"/>
      <c r="G1383" s="16">
        <f>G1382+1</f>
        <v>29</v>
      </c>
      <c r="H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  <c r="T1383" s="101"/>
      <c r="U1383" s="411"/>
    </row>
    <row r="1384" spans="1:21" x14ac:dyDescent="0.2">
      <c r="A1384" s="321"/>
      <c r="B1384" s="16">
        <f t="shared" si="519"/>
        <v>30</v>
      </c>
      <c r="D1384" s="64" t="s">
        <v>705</v>
      </c>
      <c r="G1384" s="16">
        <f t="shared" si="520"/>
        <v>30</v>
      </c>
      <c r="H1384" s="64" t="s">
        <v>763</v>
      </c>
      <c r="J1384" s="411">
        <f>J1277/$U1277</f>
        <v>0.53665715733303332</v>
      </c>
      <c r="K1384" s="411">
        <f>K1277/$U1277</f>
        <v>1.0138885076836184E-2</v>
      </c>
      <c r="L1384" s="411">
        <f>L1277/$U1277</f>
        <v>0.34469715840006304</v>
      </c>
      <c r="M1384" s="411">
        <f>M1277/$U1277</f>
        <v>1.6129783683253217E-4</v>
      </c>
      <c r="N1384" s="411">
        <f>N1277/$U1277</f>
        <v>0.10138973610800733</v>
      </c>
      <c r="O1384" s="17">
        <v>0</v>
      </c>
      <c r="P1384" s="17">
        <v>0</v>
      </c>
      <c r="Q1384" s="411">
        <f t="shared" si="531"/>
        <v>3.0654156606792081E-3</v>
      </c>
      <c r="R1384" s="17">
        <v>0</v>
      </c>
      <c r="S1384" s="411">
        <f>S1277/$U1277</f>
        <v>3.890349584548342E-3</v>
      </c>
      <c r="T1384" s="101"/>
      <c r="U1384" s="411">
        <f t="shared" si="529"/>
        <v>1</v>
      </c>
    </row>
    <row r="1385" spans="1:21" x14ac:dyDescent="0.2">
      <c r="A1385" s="321"/>
      <c r="B1385" s="16">
        <f t="shared" si="519"/>
        <v>31</v>
      </c>
      <c r="D1385" s="64"/>
      <c r="G1385" s="16">
        <f>G1384+1</f>
        <v>31</v>
      </c>
      <c r="H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  <c r="T1385" s="101"/>
      <c r="U1385" s="411"/>
    </row>
    <row r="1386" spans="1:21" x14ac:dyDescent="0.2">
      <c r="A1386" s="321"/>
      <c r="B1386" s="16">
        <f t="shared" si="519"/>
        <v>32</v>
      </c>
      <c r="D1386" s="64" t="s">
        <v>706</v>
      </c>
      <c r="G1386" s="16">
        <f t="shared" si="520"/>
        <v>32</v>
      </c>
      <c r="H1386" s="64" t="s">
        <v>764</v>
      </c>
      <c r="J1386" s="411">
        <f>J1279/$U1279</f>
        <v>0.59991279213245796</v>
      </c>
      <c r="K1386" s="411">
        <f>K1279/$U1279</f>
        <v>1.1333952733961808E-2</v>
      </c>
      <c r="L1386" s="411">
        <f>L1279/$U1279</f>
        <v>0.38532651975342874</v>
      </c>
      <c r="M1386" s="17">
        <v>0</v>
      </c>
      <c r="N1386" s="17">
        <v>0</v>
      </c>
      <c r="O1386" s="17">
        <v>0</v>
      </c>
      <c r="P1386" s="17">
        <v>0</v>
      </c>
      <c r="Q1386" s="411">
        <f t="shared" si="531"/>
        <v>3.4267353801514847E-3</v>
      </c>
      <c r="R1386" s="17">
        <v>0</v>
      </c>
      <c r="S1386" s="17">
        <v>0</v>
      </c>
      <c r="T1386" s="101"/>
      <c r="U1386" s="411">
        <f t="shared" si="529"/>
        <v>1</v>
      </c>
    </row>
    <row r="1387" spans="1:21" x14ac:dyDescent="0.2">
      <c r="A1387" s="321"/>
      <c r="B1387" s="16">
        <f t="shared" si="519"/>
        <v>33</v>
      </c>
      <c r="D1387" s="64" t="s">
        <v>707</v>
      </c>
      <c r="G1387" s="16">
        <f t="shared" si="520"/>
        <v>33</v>
      </c>
      <c r="H1387" s="64" t="s">
        <v>765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411">
        <f t="shared" si="531"/>
        <v>1</v>
      </c>
      <c r="R1387" s="17">
        <v>0</v>
      </c>
      <c r="S1387" s="17">
        <v>0</v>
      </c>
      <c r="T1387" s="101"/>
      <c r="U1387" s="411">
        <f t="shared" si="529"/>
        <v>1</v>
      </c>
    </row>
    <row r="1388" spans="1:21" x14ac:dyDescent="0.2">
      <c r="A1388" s="321"/>
      <c r="B1388" s="16">
        <f t="shared" si="519"/>
        <v>34</v>
      </c>
      <c r="G1388" s="16">
        <f t="shared" si="520"/>
        <v>34</v>
      </c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  <c r="T1388" s="101"/>
      <c r="U1388" s="411"/>
    </row>
    <row r="1389" spans="1:21" x14ac:dyDescent="0.2">
      <c r="A1389" s="321"/>
      <c r="B1389" s="16">
        <f t="shared" si="519"/>
        <v>35</v>
      </c>
      <c r="G1389" s="16">
        <f t="shared" si="520"/>
        <v>35</v>
      </c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101"/>
      <c r="U1389" s="411"/>
    </row>
    <row r="1390" spans="1:21" x14ac:dyDescent="0.2">
      <c r="A1390" s="321"/>
      <c r="B1390" s="16">
        <f t="shared" si="519"/>
        <v>36</v>
      </c>
      <c r="D1390" s="45" t="s">
        <v>881</v>
      </c>
      <c r="G1390" s="16">
        <f t="shared" si="520"/>
        <v>36</v>
      </c>
      <c r="H1390" s="64" t="s">
        <v>766</v>
      </c>
      <c r="J1390" s="411">
        <f t="shared" ref="J1390:Q1390" ca="1" si="532">J1283/$U1283</f>
        <v>0.51389634625997427</v>
      </c>
      <c r="K1390" s="411">
        <f t="shared" ca="1" si="532"/>
        <v>6.4005302330895714E-2</v>
      </c>
      <c r="L1390" s="411">
        <f t="shared" ca="1" si="532"/>
        <v>0.289566358855887</v>
      </c>
      <c r="M1390" s="411">
        <f t="shared" ca="1" si="532"/>
        <v>1.0106487389065846E-2</v>
      </c>
      <c r="N1390" s="411">
        <f t="shared" ca="1" si="532"/>
        <v>8.8454292474319338E-2</v>
      </c>
      <c r="O1390" s="411">
        <f t="shared" ca="1" si="532"/>
        <v>4.7809289184283978E-3</v>
      </c>
      <c r="P1390" s="411">
        <f t="shared" ca="1" si="532"/>
        <v>1.1304437304068091E-2</v>
      </c>
      <c r="Q1390" s="411">
        <f t="shared" ca="1" si="532"/>
        <v>1.6893430586014457E-2</v>
      </c>
      <c r="R1390" s="411">
        <f ca="1">R1283/$U1283</f>
        <v>2.8044984204391376E-4</v>
      </c>
      <c r="S1390" s="411">
        <f ca="1">S1283/$U1283</f>
        <v>7.1196603930297479E-4</v>
      </c>
      <c r="T1390" s="101"/>
      <c r="U1390" s="411">
        <f ca="1">ROUND(SUM(I1390:T1390),6)</f>
        <v>1</v>
      </c>
    </row>
    <row r="1391" spans="1:21" x14ac:dyDescent="0.2">
      <c r="A1391" s="321"/>
      <c r="B1391" s="16">
        <f t="shared" si="519"/>
        <v>37</v>
      </c>
      <c r="D1391" t="s">
        <v>881</v>
      </c>
      <c r="G1391" s="16">
        <f t="shared" si="520"/>
        <v>37</v>
      </c>
      <c r="H1391" s="64" t="s">
        <v>891</v>
      </c>
      <c r="J1391" s="411">
        <f t="shared" ref="J1391:Q1391" ca="1" si="533">J1284/$U1284</f>
        <v>0.51389634625997427</v>
      </c>
      <c r="K1391" s="411">
        <f t="shared" ca="1" si="533"/>
        <v>6.4005302330895714E-2</v>
      </c>
      <c r="L1391" s="411">
        <f t="shared" ca="1" si="533"/>
        <v>0.289566358855887</v>
      </c>
      <c r="M1391" s="411">
        <f t="shared" ca="1" si="533"/>
        <v>1.0106487389065846E-2</v>
      </c>
      <c r="N1391" s="411">
        <f t="shared" ca="1" si="533"/>
        <v>8.8454292474319338E-2</v>
      </c>
      <c r="O1391" s="411">
        <f t="shared" ca="1" si="533"/>
        <v>4.7809289184283978E-3</v>
      </c>
      <c r="P1391" s="411">
        <f t="shared" ca="1" si="533"/>
        <v>1.1304437304068091E-2</v>
      </c>
      <c r="Q1391" s="411">
        <f t="shared" ca="1" si="533"/>
        <v>1.6893430586014457E-2</v>
      </c>
      <c r="R1391" s="411">
        <f ca="1">R1284/$U1284</f>
        <v>2.8044984204391376E-4</v>
      </c>
      <c r="S1391" s="411">
        <f ca="1">S1284/$U1284</f>
        <v>7.1196603930297479E-4</v>
      </c>
      <c r="T1391" s="101"/>
      <c r="U1391" s="411">
        <f ca="1">ROUND(SUM(I1391:T1391),6)</f>
        <v>1</v>
      </c>
    </row>
    <row r="1392" spans="1:21" x14ac:dyDescent="0.2">
      <c r="A1392" s="321"/>
      <c r="B1392" s="16">
        <f t="shared" si="519"/>
        <v>38</v>
      </c>
      <c r="D1392" s="64"/>
      <c r="G1392" s="16">
        <f t="shared" si="520"/>
        <v>38</v>
      </c>
      <c r="H1392" s="64"/>
      <c r="J1392" s="411"/>
      <c r="K1392" s="411"/>
      <c r="L1392" s="411"/>
      <c r="M1392" s="411"/>
      <c r="N1392" s="411"/>
      <c r="O1392" s="411"/>
      <c r="P1392" s="411"/>
      <c r="Q1392" s="411"/>
      <c r="R1392" s="411"/>
      <c r="S1392" s="411"/>
      <c r="T1392" s="101"/>
      <c r="U1392" s="411"/>
    </row>
    <row r="1393" spans="1:21" x14ac:dyDescent="0.2">
      <c r="A1393" s="321"/>
      <c r="B1393" s="16">
        <f t="shared" si="519"/>
        <v>39</v>
      </c>
      <c r="D1393" s="64" t="s">
        <v>708</v>
      </c>
      <c r="G1393" s="16">
        <f t="shared" si="520"/>
        <v>39</v>
      </c>
      <c r="H1393" s="64" t="s">
        <v>767</v>
      </c>
      <c r="J1393" s="411"/>
      <c r="K1393" s="411"/>
      <c r="L1393" s="411"/>
      <c r="M1393" s="411"/>
      <c r="N1393" s="411"/>
      <c r="O1393" s="411"/>
      <c r="P1393" s="411"/>
      <c r="Q1393" s="411"/>
      <c r="R1393" s="411"/>
      <c r="S1393" s="411"/>
      <c r="T1393" s="101"/>
      <c r="U1393" s="411"/>
    </row>
    <row r="1394" spans="1:21" x14ac:dyDescent="0.2">
      <c r="A1394" s="321"/>
      <c r="B1394" s="16">
        <f t="shared" si="519"/>
        <v>40</v>
      </c>
      <c r="D1394" s="64" t="s">
        <v>898</v>
      </c>
      <c r="G1394" s="16">
        <f t="shared" si="520"/>
        <v>40</v>
      </c>
      <c r="H1394" s="64" t="s">
        <v>899</v>
      </c>
      <c r="J1394" s="411">
        <f t="shared" ref="J1394:Q1394" ca="1" si="534">J1287/$U1287</f>
        <v>0</v>
      </c>
      <c r="K1394" s="411">
        <f t="shared" ca="1" si="534"/>
        <v>0</v>
      </c>
      <c r="L1394" s="411">
        <f t="shared" ca="1" si="534"/>
        <v>0</v>
      </c>
      <c r="M1394" s="411">
        <f t="shared" ca="1" si="534"/>
        <v>0</v>
      </c>
      <c r="N1394" s="411">
        <f t="shared" ca="1" si="534"/>
        <v>0</v>
      </c>
      <c r="O1394" s="411">
        <f t="shared" ca="1" si="534"/>
        <v>0</v>
      </c>
      <c r="P1394" s="411">
        <f t="shared" ca="1" si="534"/>
        <v>0</v>
      </c>
      <c r="Q1394" s="411">
        <f t="shared" ca="1" si="534"/>
        <v>0</v>
      </c>
      <c r="R1394" s="411">
        <f t="shared" ref="R1394:S1408" ca="1" si="535">R1287/$U1287</f>
        <v>0</v>
      </c>
      <c r="S1394" s="411">
        <f t="shared" ca="1" si="535"/>
        <v>0</v>
      </c>
      <c r="T1394" s="101"/>
      <c r="U1394" s="411">
        <f ca="1">ROUND(SUM(I1394:T1394),6)</f>
        <v>0</v>
      </c>
    </row>
    <row r="1395" spans="1:21" x14ac:dyDescent="0.2">
      <c r="A1395" s="321"/>
      <c r="B1395" s="16">
        <f t="shared" si="519"/>
        <v>41</v>
      </c>
      <c r="D1395" s="64" t="s">
        <v>709</v>
      </c>
      <c r="G1395" s="16">
        <f t="shared" si="520"/>
        <v>41</v>
      </c>
      <c r="H1395" s="64" t="s">
        <v>768</v>
      </c>
      <c r="J1395" s="411">
        <f t="shared" ref="J1395:Q1395" si="536">J1288/$U1288</f>
        <v>0</v>
      </c>
      <c r="K1395" s="411">
        <f t="shared" si="536"/>
        <v>0</v>
      </c>
      <c r="L1395" s="411">
        <f t="shared" si="536"/>
        <v>0</v>
      </c>
      <c r="M1395" s="411">
        <f t="shared" si="536"/>
        <v>0</v>
      </c>
      <c r="N1395" s="411">
        <f t="shared" si="536"/>
        <v>0</v>
      </c>
      <c r="O1395" s="411">
        <f t="shared" si="536"/>
        <v>0</v>
      </c>
      <c r="P1395" s="411">
        <f t="shared" si="536"/>
        <v>0</v>
      </c>
      <c r="Q1395" s="411">
        <f t="shared" si="536"/>
        <v>0</v>
      </c>
      <c r="R1395" s="411">
        <f t="shared" si="535"/>
        <v>0</v>
      </c>
      <c r="S1395" s="411">
        <f t="shared" si="535"/>
        <v>0</v>
      </c>
      <c r="T1395" s="101"/>
      <c r="U1395" s="411">
        <f t="shared" ref="U1395:U1408" si="537">ROUND(SUM(I1395:T1395),6)</f>
        <v>0</v>
      </c>
    </row>
    <row r="1396" spans="1:21" x14ac:dyDescent="0.2">
      <c r="A1396" s="321"/>
      <c r="B1396" s="16">
        <f t="shared" si="519"/>
        <v>42</v>
      </c>
      <c r="D1396" s="64" t="s">
        <v>710</v>
      </c>
      <c r="G1396" s="16">
        <f t="shared" si="520"/>
        <v>42</v>
      </c>
      <c r="H1396" s="64" t="s">
        <v>769</v>
      </c>
      <c r="J1396" s="411">
        <f t="shared" ref="J1396:Q1396" si="538">J1289/$U1289</f>
        <v>0</v>
      </c>
      <c r="K1396" s="411">
        <f t="shared" si="538"/>
        <v>0</v>
      </c>
      <c r="L1396" s="411">
        <f t="shared" si="538"/>
        <v>0</v>
      </c>
      <c r="M1396" s="411">
        <f t="shared" si="538"/>
        <v>0</v>
      </c>
      <c r="N1396" s="411">
        <f t="shared" si="538"/>
        <v>0</v>
      </c>
      <c r="O1396" s="411">
        <f t="shared" si="538"/>
        <v>0</v>
      </c>
      <c r="P1396" s="411">
        <f t="shared" si="538"/>
        <v>0</v>
      </c>
      <c r="Q1396" s="411">
        <f t="shared" si="538"/>
        <v>0</v>
      </c>
      <c r="R1396" s="411">
        <f t="shared" si="535"/>
        <v>0</v>
      </c>
      <c r="S1396" s="411">
        <f t="shared" si="535"/>
        <v>0</v>
      </c>
      <c r="T1396" s="101"/>
      <c r="U1396" s="411">
        <f t="shared" si="537"/>
        <v>0</v>
      </c>
    </row>
    <row r="1397" spans="1:21" x14ac:dyDescent="0.2">
      <c r="A1397" s="321"/>
      <c r="B1397" s="16">
        <f t="shared" si="519"/>
        <v>43</v>
      </c>
      <c r="D1397" s="64" t="s">
        <v>711</v>
      </c>
      <c r="G1397" s="16">
        <f t="shared" si="520"/>
        <v>43</v>
      </c>
      <c r="H1397" s="64" t="s">
        <v>770</v>
      </c>
      <c r="J1397" s="411">
        <f t="shared" ref="J1397:Q1397" ca="1" si="539">J1290/$U1290</f>
        <v>0</v>
      </c>
      <c r="K1397" s="411">
        <f t="shared" ca="1" si="539"/>
        <v>0</v>
      </c>
      <c r="L1397" s="411">
        <f t="shared" ca="1" si="539"/>
        <v>0</v>
      </c>
      <c r="M1397" s="411">
        <f t="shared" ca="1" si="539"/>
        <v>0</v>
      </c>
      <c r="N1397" s="411">
        <f t="shared" ca="1" si="539"/>
        <v>0</v>
      </c>
      <c r="O1397" s="411">
        <f t="shared" ca="1" si="539"/>
        <v>0</v>
      </c>
      <c r="P1397" s="411">
        <f t="shared" ca="1" si="539"/>
        <v>0</v>
      </c>
      <c r="Q1397" s="411">
        <f t="shared" ca="1" si="539"/>
        <v>0</v>
      </c>
      <c r="R1397" s="411">
        <f t="shared" ca="1" si="535"/>
        <v>0</v>
      </c>
      <c r="S1397" s="411">
        <f t="shared" ca="1" si="535"/>
        <v>0</v>
      </c>
      <c r="T1397" s="101"/>
      <c r="U1397" s="411">
        <f t="shared" ca="1" si="537"/>
        <v>0</v>
      </c>
    </row>
    <row r="1398" spans="1:21" x14ac:dyDescent="0.2">
      <c r="A1398" s="321"/>
      <c r="B1398" s="16">
        <f t="shared" si="519"/>
        <v>44</v>
      </c>
      <c r="D1398" s="64" t="s">
        <v>712</v>
      </c>
      <c r="G1398" s="16">
        <f t="shared" si="520"/>
        <v>44</v>
      </c>
      <c r="H1398" s="64" t="s">
        <v>771</v>
      </c>
      <c r="J1398" s="411">
        <f t="shared" ref="J1398:Q1398" si="540">J1291/$U1291</f>
        <v>0</v>
      </c>
      <c r="K1398" s="411">
        <f t="shared" si="540"/>
        <v>0</v>
      </c>
      <c r="L1398" s="411">
        <f t="shared" si="540"/>
        <v>0</v>
      </c>
      <c r="M1398" s="411">
        <f t="shared" si="540"/>
        <v>0</v>
      </c>
      <c r="N1398" s="411">
        <f t="shared" si="540"/>
        <v>0</v>
      </c>
      <c r="O1398" s="411">
        <f t="shared" si="540"/>
        <v>0</v>
      </c>
      <c r="P1398" s="411">
        <f t="shared" si="540"/>
        <v>0</v>
      </c>
      <c r="Q1398" s="411">
        <f t="shared" si="540"/>
        <v>0</v>
      </c>
      <c r="R1398" s="411">
        <f t="shared" si="535"/>
        <v>0</v>
      </c>
      <c r="S1398" s="411">
        <f t="shared" si="535"/>
        <v>0</v>
      </c>
      <c r="T1398" s="101"/>
      <c r="U1398" s="411">
        <f t="shared" si="537"/>
        <v>0</v>
      </c>
    </row>
    <row r="1399" spans="1:21" x14ac:dyDescent="0.2">
      <c r="A1399" s="321"/>
      <c r="B1399" s="16">
        <f t="shared" si="519"/>
        <v>45</v>
      </c>
      <c r="D1399" s="64" t="s">
        <v>713</v>
      </c>
      <c r="G1399" s="16">
        <f t="shared" si="520"/>
        <v>45</v>
      </c>
      <c r="H1399" s="64" t="s">
        <v>772</v>
      </c>
      <c r="J1399" s="411">
        <f t="shared" ref="J1399:Q1399" si="541">J1292/$U1292</f>
        <v>0</v>
      </c>
      <c r="K1399" s="411">
        <f t="shared" si="541"/>
        <v>0</v>
      </c>
      <c r="L1399" s="411">
        <f t="shared" si="541"/>
        <v>0</v>
      </c>
      <c r="M1399" s="411">
        <f t="shared" si="541"/>
        <v>0</v>
      </c>
      <c r="N1399" s="411">
        <f t="shared" si="541"/>
        <v>0</v>
      </c>
      <c r="O1399" s="411">
        <f t="shared" si="541"/>
        <v>0</v>
      </c>
      <c r="P1399" s="411">
        <f t="shared" si="541"/>
        <v>0</v>
      </c>
      <c r="Q1399" s="411">
        <f t="shared" si="541"/>
        <v>0</v>
      </c>
      <c r="R1399" s="411">
        <f t="shared" si="535"/>
        <v>0</v>
      </c>
      <c r="S1399" s="411">
        <f t="shared" si="535"/>
        <v>0</v>
      </c>
      <c r="T1399" s="101"/>
      <c r="U1399" s="411">
        <f t="shared" si="537"/>
        <v>0</v>
      </c>
    </row>
    <row r="1400" spans="1:21" x14ac:dyDescent="0.2">
      <c r="A1400" s="321"/>
      <c r="B1400" s="16">
        <f t="shared" si="519"/>
        <v>46</v>
      </c>
      <c r="D1400" s="64" t="s">
        <v>714</v>
      </c>
      <c r="G1400" s="16">
        <f t="shared" si="520"/>
        <v>46</v>
      </c>
      <c r="H1400" s="64" t="s">
        <v>773</v>
      </c>
      <c r="J1400" s="411">
        <f t="shared" ref="J1400:Q1400" si="542">J1293/$U1293</f>
        <v>0</v>
      </c>
      <c r="K1400" s="411">
        <f t="shared" si="542"/>
        <v>0</v>
      </c>
      <c r="L1400" s="411">
        <f t="shared" si="542"/>
        <v>0</v>
      </c>
      <c r="M1400" s="411">
        <f t="shared" si="542"/>
        <v>0</v>
      </c>
      <c r="N1400" s="411">
        <f t="shared" si="542"/>
        <v>0</v>
      </c>
      <c r="O1400" s="411">
        <f t="shared" si="542"/>
        <v>0</v>
      </c>
      <c r="P1400" s="411">
        <f t="shared" si="542"/>
        <v>0</v>
      </c>
      <c r="Q1400" s="411">
        <f t="shared" si="542"/>
        <v>0</v>
      </c>
      <c r="R1400" s="411">
        <f t="shared" si="535"/>
        <v>0</v>
      </c>
      <c r="S1400" s="411">
        <f t="shared" si="535"/>
        <v>0</v>
      </c>
      <c r="T1400" s="101"/>
      <c r="U1400" s="411">
        <f t="shared" si="537"/>
        <v>0</v>
      </c>
    </row>
    <row r="1401" spans="1:21" x14ac:dyDescent="0.2">
      <c r="A1401" s="321"/>
      <c r="B1401" s="16">
        <f t="shared" si="519"/>
        <v>47</v>
      </c>
      <c r="D1401" s="64" t="s">
        <v>715</v>
      </c>
      <c r="G1401" s="16">
        <f t="shared" si="520"/>
        <v>47</v>
      </c>
      <c r="H1401" s="64" t="s">
        <v>774</v>
      </c>
      <c r="J1401" s="411">
        <f t="shared" ref="J1401:Q1401" si="543">J1294/$U1294</f>
        <v>0</v>
      </c>
      <c r="K1401" s="411">
        <f t="shared" si="543"/>
        <v>0</v>
      </c>
      <c r="L1401" s="411">
        <f t="shared" si="543"/>
        <v>0</v>
      </c>
      <c r="M1401" s="411">
        <f t="shared" si="543"/>
        <v>0</v>
      </c>
      <c r="N1401" s="411">
        <f t="shared" si="543"/>
        <v>0</v>
      </c>
      <c r="O1401" s="411">
        <f t="shared" si="543"/>
        <v>0</v>
      </c>
      <c r="P1401" s="411">
        <f t="shared" si="543"/>
        <v>0</v>
      </c>
      <c r="Q1401" s="411">
        <f t="shared" si="543"/>
        <v>0</v>
      </c>
      <c r="R1401" s="411">
        <f t="shared" si="535"/>
        <v>0</v>
      </c>
      <c r="S1401" s="411">
        <f t="shared" si="535"/>
        <v>0</v>
      </c>
      <c r="T1401" s="101"/>
      <c r="U1401" s="411">
        <f t="shared" si="537"/>
        <v>0</v>
      </c>
    </row>
    <row r="1402" spans="1:21" x14ac:dyDescent="0.2">
      <c r="A1402" s="321"/>
      <c r="B1402" s="16">
        <f t="shared" si="519"/>
        <v>48</v>
      </c>
      <c r="D1402" s="64" t="s">
        <v>716</v>
      </c>
      <c r="G1402" s="16">
        <f t="shared" si="520"/>
        <v>48</v>
      </c>
      <c r="H1402" s="64" t="s">
        <v>775</v>
      </c>
      <c r="J1402" s="411">
        <f t="shared" ref="J1402:Q1402" si="544">J1295/$U1295</f>
        <v>0</v>
      </c>
      <c r="K1402" s="411">
        <f t="shared" si="544"/>
        <v>0</v>
      </c>
      <c r="L1402" s="411">
        <f t="shared" si="544"/>
        <v>0</v>
      </c>
      <c r="M1402" s="411">
        <f t="shared" si="544"/>
        <v>0</v>
      </c>
      <c r="N1402" s="411">
        <f t="shared" si="544"/>
        <v>0</v>
      </c>
      <c r="O1402" s="411">
        <f t="shared" si="544"/>
        <v>0</v>
      </c>
      <c r="P1402" s="411">
        <f t="shared" si="544"/>
        <v>0</v>
      </c>
      <c r="Q1402" s="411">
        <f t="shared" si="544"/>
        <v>0</v>
      </c>
      <c r="R1402" s="411">
        <f t="shared" si="535"/>
        <v>0</v>
      </c>
      <c r="S1402" s="411">
        <f t="shared" si="535"/>
        <v>0</v>
      </c>
      <c r="T1402" s="101"/>
      <c r="U1402" s="411">
        <f t="shared" si="537"/>
        <v>0</v>
      </c>
    </row>
    <row r="1403" spans="1:21" x14ac:dyDescent="0.2">
      <c r="A1403" s="321"/>
      <c r="B1403" s="16">
        <f t="shared" si="519"/>
        <v>49</v>
      </c>
      <c r="D1403" s="64" t="s">
        <v>717</v>
      </c>
      <c r="G1403" s="16">
        <f t="shared" si="520"/>
        <v>49</v>
      </c>
      <c r="H1403" s="64" t="s">
        <v>776</v>
      </c>
      <c r="J1403" s="411">
        <f t="shared" ref="J1403:Q1403" si="545">J1296/$U1296</f>
        <v>0</v>
      </c>
      <c r="K1403" s="411">
        <f t="shared" si="545"/>
        <v>0</v>
      </c>
      <c r="L1403" s="411">
        <f t="shared" si="545"/>
        <v>0</v>
      </c>
      <c r="M1403" s="411">
        <f t="shared" si="545"/>
        <v>0</v>
      </c>
      <c r="N1403" s="411">
        <f t="shared" si="545"/>
        <v>0</v>
      </c>
      <c r="O1403" s="411">
        <f t="shared" si="545"/>
        <v>0</v>
      </c>
      <c r="P1403" s="411">
        <f t="shared" si="545"/>
        <v>0</v>
      </c>
      <c r="Q1403" s="411">
        <f t="shared" si="545"/>
        <v>0</v>
      </c>
      <c r="R1403" s="411">
        <f t="shared" si="535"/>
        <v>0</v>
      </c>
      <c r="S1403" s="411">
        <f t="shared" si="535"/>
        <v>0</v>
      </c>
      <c r="T1403" s="101"/>
      <c r="U1403" s="411">
        <f t="shared" si="537"/>
        <v>0</v>
      </c>
    </row>
    <row r="1404" spans="1:21" x14ac:dyDescent="0.2">
      <c r="A1404" s="321"/>
      <c r="B1404" s="16">
        <f t="shared" si="519"/>
        <v>50</v>
      </c>
      <c r="D1404" s="64" t="s">
        <v>718</v>
      </c>
      <c r="G1404" s="16">
        <f t="shared" si="520"/>
        <v>50</v>
      </c>
      <c r="H1404" s="64" t="s">
        <v>777</v>
      </c>
      <c r="J1404" s="411">
        <f t="shared" ref="J1404:Q1404" si="546">J1297/$U1297</f>
        <v>0</v>
      </c>
      <c r="K1404" s="411">
        <f t="shared" si="546"/>
        <v>0</v>
      </c>
      <c r="L1404" s="411">
        <f t="shared" si="546"/>
        <v>0</v>
      </c>
      <c r="M1404" s="411">
        <f t="shared" si="546"/>
        <v>0</v>
      </c>
      <c r="N1404" s="411">
        <f t="shared" si="546"/>
        <v>0</v>
      </c>
      <c r="O1404" s="411">
        <f t="shared" si="546"/>
        <v>0</v>
      </c>
      <c r="P1404" s="411">
        <f t="shared" si="546"/>
        <v>0</v>
      </c>
      <c r="Q1404" s="411">
        <f t="shared" si="546"/>
        <v>0</v>
      </c>
      <c r="R1404" s="411">
        <f t="shared" si="535"/>
        <v>0</v>
      </c>
      <c r="S1404" s="411">
        <f t="shared" si="535"/>
        <v>0</v>
      </c>
      <c r="T1404" s="101"/>
      <c r="U1404" s="411">
        <f t="shared" si="537"/>
        <v>0</v>
      </c>
    </row>
    <row r="1405" spans="1:21" x14ac:dyDescent="0.2">
      <c r="A1405" s="321"/>
      <c r="B1405" s="16">
        <f t="shared" si="519"/>
        <v>51</v>
      </c>
      <c r="D1405" s="64" t="s">
        <v>719</v>
      </c>
      <c r="G1405" s="16">
        <f t="shared" si="520"/>
        <v>51</v>
      </c>
      <c r="H1405" s="45" t="s">
        <v>778</v>
      </c>
      <c r="J1405" s="411">
        <f t="shared" ref="J1405:Q1405" si="547">J1298/$U1298</f>
        <v>0</v>
      </c>
      <c r="K1405" s="411">
        <f t="shared" si="547"/>
        <v>0</v>
      </c>
      <c r="L1405" s="411">
        <f t="shared" si="547"/>
        <v>0</v>
      </c>
      <c r="M1405" s="411">
        <f t="shared" si="547"/>
        <v>0</v>
      </c>
      <c r="N1405" s="411">
        <f t="shared" si="547"/>
        <v>0</v>
      </c>
      <c r="O1405" s="411">
        <f t="shared" si="547"/>
        <v>0</v>
      </c>
      <c r="P1405" s="411">
        <f t="shared" si="547"/>
        <v>0</v>
      </c>
      <c r="Q1405" s="411">
        <f t="shared" si="547"/>
        <v>0</v>
      </c>
      <c r="R1405" s="411">
        <f t="shared" si="535"/>
        <v>0</v>
      </c>
      <c r="S1405" s="411">
        <f t="shared" si="535"/>
        <v>0</v>
      </c>
      <c r="T1405" s="101"/>
      <c r="U1405" s="411">
        <f t="shared" si="537"/>
        <v>0</v>
      </c>
    </row>
    <row r="1406" spans="1:21" x14ac:dyDescent="0.2">
      <c r="A1406" s="321"/>
      <c r="B1406" s="16">
        <f t="shared" si="519"/>
        <v>52</v>
      </c>
      <c r="D1406" s="64" t="s">
        <v>720</v>
      </c>
      <c r="G1406" s="16">
        <f t="shared" si="520"/>
        <v>52</v>
      </c>
      <c r="H1406" s="64" t="s">
        <v>779</v>
      </c>
      <c r="J1406" s="411">
        <v>0.52464173690836247</v>
      </c>
      <c r="K1406" s="411">
        <v>1.3857442603152961E-2</v>
      </c>
      <c r="L1406" s="411">
        <v>0.4004461799061555</v>
      </c>
      <c r="M1406" s="411">
        <v>1.298417903518709E-4</v>
      </c>
      <c r="N1406" s="411">
        <v>5.2983727961559E-2</v>
      </c>
      <c r="O1406" s="411">
        <v>0</v>
      </c>
      <c r="P1406" s="411">
        <v>0</v>
      </c>
      <c r="Q1406" s="411">
        <v>4.6083916349370247E-3</v>
      </c>
      <c r="R1406" s="411">
        <v>0</v>
      </c>
      <c r="S1406" s="411">
        <v>3.332679195481034E-3</v>
      </c>
      <c r="T1406" s="101"/>
      <c r="U1406" s="411">
        <v>1</v>
      </c>
    </row>
    <row r="1407" spans="1:21" x14ac:dyDescent="0.2">
      <c r="A1407" s="321"/>
      <c r="B1407" s="16">
        <f t="shared" si="519"/>
        <v>53</v>
      </c>
      <c r="D1407" s="64" t="s">
        <v>721</v>
      </c>
      <c r="G1407" s="16">
        <f t="shared" si="520"/>
        <v>53</v>
      </c>
      <c r="H1407" s="64" t="s">
        <v>780</v>
      </c>
      <c r="J1407" s="411">
        <v>0.52832718671436096</v>
      </c>
      <c r="K1407" s="411">
        <v>1.3956583687068149E-2</v>
      </c>
      <c r="L1407" s="411">
        <v>0.40325540477523886</v>
      </c>
      <c r="M1407" s="411">
        <v>1.1459974733610209E-4</v>
      </c>
      <c r="N1407" s="411">
        <v>4.6764002721038707E-2</v>
      </c>
      <c r="O1407" s="411">
        <v>0</v>
      </c>
      <c r="P1407" s="411">
        <v>0</v>
      </c>
      <c r="Q1407" s="411">
        <v>4.6407641948424325E-3</v>
      </c>
      <c r="R1407" s="411">
        <v>0</v>
      </c>
      <c r="S1407" s="411">
        <v>2.9414581601146829E-3</v>
      </c>
      <c r="T1407" s="101"/>
      <c r="U1407" s="411">
        <f t="shared" si="537"/>
        <v>1</v>
      </c>
    </row>
    <row r="1408" spans="1:21" x14ac:dyDescent="0.2">
      <c r="A1408" s="321"/>
      <c r="B1408" s="16">
        <f t="shared" si="519"/>
        <v>54</v>
      </c>
      <c r="D1408" s="64" t="s">
        <v>722</v>
      </c>
      <c r="G1408" s="16">
        <f t="shared" si="520"/>
        <v>54</v>
      </c>
      <c r="H1408" s="64" t="s">
        <v>781</v>
      </c>
      <c r="J1408" s="411">
        <f t="shared" ref="J1408:Q1408" ca="1" si="548">J1301/$U1301</f>
        <v>0.4929239296552439</v>
      </c>
      <c r="K1408" s="411">
        <f t="shared" ca="1" si="548"/>
        <v>6.8779045189904159E-2</v>
      </c>
      <c r="L1408" s="411">
        <f t="shared" ca="1" si="548"/>
        <v>0.26881425439962564</v>
      </c>
      <c r="M1408" s="411">
        <f t="shared" ca="1" si="548"/>
        <v>1.1307718136787208E-2</v>
      </c>
      <c r="N1408" s="411">
        <f t="shared" ca="1" si="548"/>
        <v>8.7043411766379405E-2</v>
      </c>
      <c r="O1408" s="411">
        <f t="shared" ca="1" si="548"/>
        <v>2.8559600218790097E-3</v>
      </c>
      <c r="P1408" s="411">
        <f t="shared" ca="1" si="548"/>
        <v>5.9572172235513102E-3</v>
      </c>
      <c r="Q1408" s="411">
        <f t="shared" ca="1" si="548"/>
        <v>6.1202427351429549E-2</v>
      </c>
      <c r="R1408" s="411">
        <f t="shared" ca="1" si="535"/>
        <v>3.1538208830565761E-4</v>
      </c>
      <c r="S1408" s="411">
        <f t="shared" ca="1" si="535"/>
        <v>8.0065416689393848E-4</v>
      </c>
      <c r="T1408" s="101"/>
      <c r="U1408" s="411">
        <f t="shared" ca="1" si="537"/>
        <v>1</v>
      </c>
    </row>
    <row r="1409" spans="1:21" x14ac:dyDescent="0.2">
      <c r="A1409" s="321"/>
      <c r="B1409" s="16">
        <f t="shared" si="519"/>
        <v>55</v>
      </c>
      <c r="D1409" s="64"/>
      <c r="G1409" s="16">
        <f>G1408+1</f>
        <v>55</v>
      </c>
      <c r="H1409" s="64"/>
      <c r="J1409" s="415"/>
      <c r="K1409" s="415"/>
      <c r="L1409" s="415"/>
      <c r="M1409" s="415"/>
      <c r="N1409" s="415"/>
      <c r="O1409" s="415"/>
      <c r="P1409" s="415"/>
      <c r="Q1409" s="415"/>
      <c r="R1409" s="415"/>
      <c r="S1409" s="415"/>
      <c r="T1409" s="101"/>
      <c r="U1409" s="411"/>
    </row>
    <row r="1410" spans="1:21" x14ac:dyDescent="0.2">
      <c r="A1410" s="321"/>
      <c r="B1410" s="16">
        <f t="shared" si="519"/>
        <v>56</v>
      </c>
      <c r="D1410" s="64" t="s">
        <v>400</v>
      </c>
      <c r="G1410" s="16">
        <f>G1409+1</f>
        <v>56</v>
      </c>
      <c r="H1410" s="64" t="s">
        <v>401</v>
      </c>
      <c r="J1410" s="411">
        <f t="shared" ref="J1410:Q1410" ca="1" si="549">J1303/$U1303</f>
        <v>0.4929239296552439</v>
      </c>
      <c r="K1410" s="411">
        <f t="shared" ca="1" si="549"/>
        <v>6.8779045189904159E-2</v>
      </c>
      <c r="L1410" s="411">
        <f t="shared" ca="1" si="549"/>
        <v>0.26881425439962564</v>
      </c>
      <c r="M1410" s="411">
        <f t="shared" ca="1" si="549"/>
        <v>1.1307718136787208E-2</v>
      </c>
      <c r="N1410" s="411">
        <f t="shared" ca="1" si="549"/>
        <v>8.7043411766379405E-2</v>
      </c>
      <c r="O1410" s="411">
        <f t="shared" ca="1" si="549"/>
        <v>2.8559600218790097E-3</v>
      </c>
      <c r="P1410" s="411">
        <f t="shared" ca="1" si="549"/>
        <v>5.9572172235513102E-3</v>
      </c>
      <c r="Q1410" s="411">
        <f t="shared" ca="1" si="549"/>
        <v>6.1202427351429549E-2</v>
      </c>
      <c r="R1410" s="411">
        <f t="shared" ref="R1410:S1423" ca="1" si="550">R1303/$U1303</f>
        <v>3.1538208830565761E-4</v>
      </c>
      <c r="S1410" s="411">
        <f t="shared" ca="1" si="550"/>
        <v>8.0065416689393848E-4</v>
      </c>
      <c r="T1410" s="101"/>
      <c r="U1410" s="411">
        <f ca="1">ROUND(SUM(I1410:T1410),6)</f>
        <v>1</v>
      </c>
    </row>
    <row r="1411" spans="1:21" x14ac:dyDescent="0.2">
      <c r="A1411" s="321"/>
      <c r="B1411" s="16">
        <f t="shared" si="519"/>
        <v>57</v>
      </c>
      <c r="D1411" s="64" t="s">
        <v>886</v>
      </c>
      <c r="G1411" s="16">
        <f t="shared" si="520"/>
        <v>57</v>
      </c>
      <c r="H1411" t="s">
        <v>887</v>
      </c>
      <c r="J1411" s="411">
        <f t="shared" ref="J1411:Q1411" ca="1" si="551">J1304/$U1304</f>
        <v>0.49347466527271083</v>
      </c>
      <c r="K1411" s="411">
        <f t="shared" ca="1" si="551"/>
        <v>6.8855890860488558E-2</v>
      </c>
      <c r="L1411" s="411">
        <f t="shared" ca="1" si="551"/>
        <v>0.26911459604561599</v>
      </c>
      <c r="M1411" s="411">
        <f t="shared" ca="1" si="551"/>
        <v>1.1320352060107914E-2</v>
      </c>
      <c r="N1411" s="411">
        <f t="shared" ca="1" si="551"/>
        <v>8.7140663906601357E-2</v>
      </c>
      <c r="O1411" s="411">
        <f t="shared" ca="1" si="551"/>
        <v>2.8591509379848894E-3</v>
      </c>
      <c r="P1411" s="411">
        <f t="shared" ca="1" si="551"/>
        <v>5.9638731221770712E-3</v>
      </c>
      <c r="Q1411" s="411">
        <f t="shared" ca="1" si="551"/>
        <v>6.1270807794313382E-2</v>
      </c>
      <c r="R1411" s="411">
        <f t="shared" ca="1" si="550"/>
        <v>0</v>
      </c>
      <c r="S1411" s="411">
        <f t="shared" ca="1" si="550"/>
        <v>0</v>
      </c>
      <c r="T1411" s="101"/>
      <c r="U1411" s="411">
        <f ca="1">ROUND(SUM(I1411:T1411),6)</f>
        <v>1</v>
      </c>
    </row>
    <row r="1412" spans="1:21" x14ac:dyDescent="0.2">
      <c r="A1412" s="321"/>
      <c r="B1412" s="16">
        <f t="shared" si="519"/>
        <v>58</v>
      </c>
      <c r="D1412" s="64" t="s">
        <v>723</v>
      </c>
      <c r="G1412" s="16">
        <f t="shared" si="520"/>
        <v>58</v>
      </c>
      <c r="H1412" s="64" t="s">
        <v>782</v>
      </c>
      <c r="J1412" s="411">
        <f t="shared" ref="J1412:Q1412" ca="1" si="552">J1305/$U1305</f>
        <v>0.49292392965524395</v>
      </c>
      <c r="K1412" s="411">
        <f t="shared" ca="1" si="552"/>
        <v>6.8779045189904173E-2</v>
      </c>
      <c r="L1412" s="411">
        <f t="shared" ca="1" si="552"/>
        <v>0.2688142543996257</v>
      </c>
      <c r="M1412" s="411">
        <f t="shared" ca="1" si="552"/>
        <v>1.130771813678721E-2</v>
      </c>
      <c r="N1412" s="411">
        <f t="shared" ca="1" si="552"/>
        <v>8.7043411766379419E-2</v>
      </c>
      <c r="O1412" s="411">
        <f t="shared" ca="1" si="552"/>
        <v>2.8559600218790102E-3</v>
      </c>
      <c r="P1412" s="411">
        <f t="shared" ca="1" si="552"/>
        <v>5.957217223551311E-3</v>
      </c>
      <c r="Q1412" s="411">
        <f t="shared" ca="1" si="552"/>
        <v>6.1202427351429556E-2</v>
      </c>
      <c r="R1412" s="411">
        <f t="shared" ca="1" si="550"/>
        <v>3.1538208830565766E-4</v>
      </c>
      <c r="S1412" s="411">
        <f t="shared" ca="1" si="550"/>
        <v>8.0065416689393859E-4</v>
      </c>
      <c r="T1412" s="101"/>
      <c r="U1412" s="411">
        <f t="shared" ref="U1412:U1422" ca="1" si="553">ROUND(SUM(I1412:T1412),6)</f>
        <v>1</v>
      </c>
    </row>
    <row r="1413" spans="1:21" x14ac:dyDescent="0.2">
      <c r="A1413" s="321"/>
      <c r="B1413" s="16">
        <f t="shared" si="519"/>
        <v>59</v>
      </c>
      <c r="D1413" s="64" t="s">
        <v>882</v>
      </c>
      <c r="G1413" s="16">
        <f t="shared" si="520"/>
        <v>59</v>
      </c>
      <c r="H1413" s="64" t="s">
        <v>883</v>
      </c>
      <c r="J1413" s="411">
        <f t="shared" ref="J1413:Q1413" ca="1" si="554">J1306/$U1306</f>
        <v>0.49292392965524395</v>
      </c>
      <c r="K1413" s="411">
        <f t="shared" ca="1" si="554"/>
        <v>6.8779045189904173E-2</v>
      </c>
      <c r="L1413" s="411">
        <f t="shared" ca="1" si="554"/>
        <v>0.2688142543996257</v>
      </c>
      <c r="M1413" s="411">
        <f t="shared" ca="1" si="554"/>
        <v>1.130771813678721E-2</v>
      </c>
      <c r="N1413" s="411">
        <f t="shared" ca="1" si="554"/>
        <v>8.7043411766379419E-2</v>
      </c>
      <c r="O1413" s="411">
        <f t="shared" ca="1" si="554"/>
        <v>2.8559600218790106E-3</v>
      </c>
      <c r="P1413" s="411">
        <f t="shared" ca="1" si="554"/>
        <v>5.9572172235513119E-3</v>
      </c>
      <c r="Q1413" s="411">
        <f t="shared" ca="1" si="554"/>
        <v>6.1202427351429556E-2</v>
      </c>
      <c r="R1413" s="411">
        <f t="shared" ca="1" si="550"/>
        <v>3.1538208830565772E-4</v>
      </c>
      <c r="S1413" s="411">
        <f t="shared" ca="1" si="550"/>
        <v>8.006541668939387E-4</v>
      </c>
      <c r="T1413" s="130"/>
      <c r="U1413" s="411">
        <f t="shared" ca="1" si="553"/>
        <v>1</v>
      </c>
    </row>
    <row r="1414" spans="1:21" x14ac:dyDescent="0.2">
      <c r="A1414" s="321"/>
      <c r="B1414" s="16">
        <f t="shared" si="519"/>
        <v>60</v>
      </c>
      <c r="D1414" s="64" t="s">
        <v>724</v>
      </c>
      <c r="G1414" s="16">
        <f t="shared" si="520"/>
        <v>60</v>
      </c>
      <c r="H1414" s="64" t="s">
        <v>783</v>
      </c>
      <c r="J1414" s="411">
        <f t="shared" ref="J1414:Q1414" ca="1" si="555">J1307/$U1307</f>
        <v>0.4929239296552439</v>
      </c>
      <c r="K1414" s="411">
        <f t="shared" ca="1" si="555"/>
        <v>6.8779045189904159E-2</v>
      </c>
      <c r="L1414" s="411">
        <f t="shared" ca="1" si="555"/>
        <v>0.26881425439962564</v>
      </c>
      <c r="M1414" s="411">
        <f t="shared" ca="1" si="555"/>
        <v>1.1307718136787208E-2</v>
      </c>
      <c r="N1414" s="411">
        <f t="shared" ca="1" si="555"/>
        <v>8.7043411766379405E-2</v>
      </c>
      <c r="O1414" s="411">
        <f t="shared" ca="1" si="555"/>
        <v>2.8559600218790097E-3</v>
      </c>
      <c r="P1414" s="411">
        <f t="shared" ca="1" si="555"/>
        <v>5.9572172235513102E-3</v>
      </c>
      <c r="Q1414" s="411">
        <f t="shared" ca="1" si="555"/>
        <v>6.1202427351429549E-2</v>
      </c>
      <c r="R1414" s="411">
        <f t="shared" ca="1" si="550"/>
        <v>3.1538208830565761E-4</v>
      </c>
      <c r="S1414" s="411">
        <f t="shared" ca="1" si="550"/>
        <v>8.0065416689393848E-4</v>
      </c>
      <c r="T1414" s="101"/>
      <c r="U1414" s="411">
        <f t="shared" ca="1" si="553"/>
        <v>1</v>
      </c>
    </row>
    <row r="1415" spans="1:21" x14ac:dyDescent="0.2">
      <c r="A1415" s="321"/>
      <c r="B1415" s="16">
        <f t="shared" si="519"/>
        <v>61</v>
      </c>
      <c r="D1415" s="64" t="s">
        <v>725</v>
      </c>
      <c r="G1415" s="16">
        <f t="shared" si="520"/>
        <v>61</v>
      </c>
      <c r="H1415" s="64" t="s">
        <v>784</v>
      </c>
      <c r="J1415" s="411">
        <f t="shared" ref="J1415:Q1415" ca="1" si="556">J1308/$U1308</f>
        <v>0.49292392965524395</v>
      </c>
      <c r="K1415" s="411">
        <f t="shared" ca="1" si="556"/>
        <v>6.8779045189904173E-2</v>
      </c>
      <c r="L1415" s="411">
        <f t="shared" ca="1" si="556"/>
        <v>0.2688142543996257</v>
      </c>
      <c r="M1415" s="411">
        <f t="shared" ca="1" si="556"/>
        <v>1.130771813678721E-2</v>
      </c>
      <c r="N1415" s="411">
        <f t="shared" ca="1" si="556"/>
        <v>8.7043411766379419E-2</v>
      </c>
      <c r="O1415" s="411">
        <f t="shared" ca="1" si="556"/>
        <v>2.8559600218790102E-3</v>
      </c>
      <c r="P1415" s="411">
        <f t="shared" ca="1" si="556"/>
        <v>5.957217223551311E-3</v>
      </c>
      <c r="Q1415" s="411">
        <f t="shared" ca="1" si="556"/>
        <v>6.1202427351429556E-2</v>
      </c>
      <c r="R1415" s="411">
        <f t="shared" ca="1" si="550"/>
        <v>3.1538208830565766E-4</v>
      </c>
      <c r="S1415" s="411">
        <f t="shared" ca="1" si="550"/>
        <v>8.0065416689393859E-4</v>
      </c>
      <c r="T1415" s="101"/>
      <c r="U1415" s="411">
        <f t="shared" ca="1" si="553"/>
        <v>1</v>
      </c>
    </row>
    <row r="1416" spans="1:21" x14ac:dyDescent="0.2">
      <c r="A1416" s="321"/>
      <c r="B1416" s="16">
        <f t="shared" si="519"/>
        <v>62</v>
      </c>
      <c r="D1416" s="45" t="s">
        <v>726</v>
      </c>
      <c r="G1416" s="16">
        <f t="shared" si="520"/>
        <v>62</v>
      </c>
      <c r="H1416" s="64" t="s">
        <v>785</v>
      </c>
      <c r="J1416" s="411">
        <f t="shared" ref="J1416:Q1416" ca="1" si="557">J1309/$U1309</f>
        <v>0.49292392965524395</v>
      </c>
      <c r="K1416" s="411">
        <f t="shared" ca="1" si="557"/>
        <v>6.8779045189904159E-2</v>
      </c>
      <c r="L1416" s="411">
        <f t="shared" ca="1" si="557"/>
        <v>0.26881425439962575</v>
      </c>
      <c r="M1416" s="411">
        <f t="shared" ca="1" si="557"/>
        <v>1.1307718136787211E-2</v>
      </c>
      <c r="N1416" s="411">
        <f t="shared" ca="1" si="557"/>
        <v>8.7043411766379419E-2</v>
      </c>
      <c r="O1416" s="411">
        <f t="shared" ca="1" si="557"/>
        <v>2.8559600218790132E-3</v>
      </c>
      <c r="P1416" s="411">
        <f t="shared" ca="1" si="557"/>
        <v>5.9572172235513171E-3</v>
      </c>
      <c r="Q1416" s="411">
        <f t="shared" ca="1" si="557"/>
        <v>6.120242735142957E-2</v>
      </c>
      <c r="R1416" s="411">
        <f t="shared" ca="1" si="550"/>
        <v>3.153820883056581E-4</v>
      </c>
      <c r="S1416" s="411">
        <f t="shared" ca="1" si="550"/>
        <v>8.0065416689393924E-4</v>
      </c>
      <c r="T1416" s="101"/>
      <c r="U1416" s="411">
        <f t="shared" ca="1" si="553"/>
        <v>1</v>
      </c>
    </row>
    <row r="1417" spans="1:21" x14ac:dyDescent="0.2">
      <c r="A1417" s="321"/>
      <c r="B1417" s="16">
        <f t="shared" si="519"/>
        <v>63</v>
      </c>
      <c r="D1417" s="45" t="s">
        <v>727</v>
      </c>
      <c r="G1417" s="16">
        <f t="shared" si="520"/>
        <v>63</v>
      </c>
      <c r="H1417" s="64" t="s">
        <v>786</v>
      </c>
      <c r="J1417" s="411">
        <f t="shared" ref="J1417:Q1417" ca="1" si="558">J1310/$U1310</f>
        <v>0.49292392965524406</v>
      </c>
      <c r="K1417" s="411">
        <f t="shared" ca="1" si="558"/>
        <v>6.8779045189904173E-2</v>
      </c>
      <c r="L1417" s="411">
        <f t="shared" ca="1" si="558"/>
        <v>0.26881425439962586</v>
      </c>
      <c r="M1417" s="411">
        <f t="shared" ca="1" si="558"/>
        <v>1.130771813678721E-2</v>
      </c>
      <c r="N1417" s="411">
        <f t="shared" ca="1" si="558"/>
        <v>8.7043411766379447E-2</v>
      </c>
      <c r="O1417" s="411">
        <f t="shared" ca="1" si="558"/>
        <v>2.8559600218790132E-3</v>
      </c>
      <c r="P1417" s="411">
        <f t="shared" ca="1" si="558"/>
        <v>5.9572172235513197E-3</v>
      </c>
      <c r="Q1417" s="411">
        <f t="shared" ca="1" si="558"/>
        <v>6.120242735142957E-2</v>
      </c>
      <c r="R1417" s="411">
        <f t="shared" ca="1" si="550"/>
        <v>3.1538208830565815E-4</v>
      </c>
      <c r="S1417" s="411">
        <f t="shared" ca="1" si="550"/>
        <v>8.0065416689393924E-4</v>
      </c>
      <c r="T1417" s="101"/>
      <c r="U1417" s="411">
        <f t="shared" ca="1" si="553"/>
        <v>1</v>
      </c>
    </row>
    <row r="1418" spans="1:21" x14ac:dyDescent="0.2">
      <c r="A1418" s="321"/>
      <c r="B1418" s="16">
        <f t="shared" si="519"/>
        <v>64</v>
      </c>
      <c r="D1418" s="64" t="s">
        <v>728</v>
      </c>
      <c r="G1418" s="16">
        <f t="shared" si="520"/>
        <v>64</v>
      </c>
      <c r="H1418" s="64" t="s">
        <v>787</v>
      </c>
      <c r="J1418" s="411">
        <f t="shared" ref="J1418:Q1418" ca="1" si="559">J1311/$U1311</f>
        <v>0.49292392965524423</v>
      </c>
      <c r="K1418" s="411">
        <f t="shared" ca="1" si="559"/>
        <v>6.8779045189904187E-2</v>
      </c>
      <c r="L1418" s="411">
        <f t="shared" ca="1" si="559"/>
        <v>0.26881425439962581</v>
      </c>
      <c r="M1418" s="411">
        <f t="shared" ca="1" si="559"/>
        <v>1.1307718136787213E-2</v>
      </c>
      <c r="N1418" s="411">
        <f t="shared" ca="1" si="559"/>
        <v>8.7043411766379447E-2</v>
      </c>
      <c r="O1418" s="411">
        <f t="shared" ca="1" si="559"/>
        <v>2.8559600218790119E-3</v>
      </c>
      <c r="P1418" s="411">
        <f t="shared" ca="1" si="559"/>
        <v>5.9572172235513145E-3</v>
      </c>
      <c r="Q1418" s="411">
        <f t="shared" ca="1" si="559"/>
        <v>6.1202427351429584E-2</v>
      </c>
      <c r="R1418" s="411">
        <f t="shared" ca="1" si="550"/>
        <v>3.1538208830565788E-4</v>
      </c>
      <c r="S1418" s="411">
        <f t="shared" ca="1" si="550"/>
        <v>8.0065416689393903E-4</v>
      </c>
      <c r="T1418" s="101"/>
      <c r="U1418" s="411">
        <f t="shared" ca="1" si="553"/>
        <v>1</v>
      </c>
    </row>
    <row r="1419" spans="1:21" x14ac:dyDescent="0.2">
      <c r="A1419" s="321"/>
      <c r="B1419" s="16">
        <f t="shared" ref="B1419:B1448" si="560">B1418+1</f>
        <v>65</v>
      </c>
      <c r="D1419" s="64" t="s">
        <v>729</v>
      </c>
      <c r="G1419" s="16">
        <f t="shared" ref="G1419:G1448" si="561">G1418+1</f>
        <v>65</v>
      </c>
      <c r="H1419" s="64" t="s">
        <v>788</v>
      </c>
      <c r="J1419" s="411">
        <f t="shared" ref="J1419:Q1419" ca="1" si="562">J1312/$U1312</f>
        <v>0.49292392965524406</v>
      </c>
      <c r="K1419" s="411">
        <f t="shared" ca="1" si="562"/>
        <v>6.8779045189904187E-2</v>
      </c>
      <c r="L1419" s="411">
        <f t="shared" ca="1" si="562"/>
        <v>0.26881425439962581</v>
      </c>
      <c r="M1419" s="411">
        <f t="shared" ca="1" si="562"/>
        <v>1.1307718136787211E-2</v>
      </c>
      <c r="N1419" s="411">
        <f t="shared" ca="1" si="562"/>
        <v>8.7043411766379433E-2</v>
      </c>
      <c r="O1419" s="411">
        <f t="shared" ca="1" si="562"/>
        <v>2.855960021879011E-3</v>
      </c>
      <c r="P1419" s="411">
        <f t="shared" ca="1" si="562"/>
        <v>5.9572172235513136E-3</v>
      </c>
      <c r="Q1419" s="411">
        <f t="shared" ca="1" si="562"/>
        <v>6.1202427351429556E-2</v>
      </c>
      <c r="R1419" s="411">
        <f t="shared" ca="1" si="550"/>
        <v>3.1538208830565777E-4</v>
      </c>
      <c r="S1419" s="411">
        <f t="shared" ca="1" si="550"/>
        <v>8.0065416689393881E-4</v>
      </c>
      <c r="T1419" s="101"/>
      <c r="U1419" s="411">
        <f t="shared" ca="1" si="553"/>
        <v>1</v>
      </c>
    </row>
    <row r="1420" spans="1:21" x14ac:dyDescent="0.2">
      <c r="A1420" s="321"/>
      <c r="B1420" s="16">
        <f t="shared" si="560"/>
        <v>66</v>
      </c>
      <c r="D1420" s="64" t="s">
        <v>730</v>
      </c>
      <c r="G1420" s="16">
        <f t="shared" si="561"/>
        <v>66</v>
      </c>
      <c r="H1420" s="64" t="s">
        <v>789</v>
      </c>
      <c r="J1420" s="411">
        <f t="shared" ref="J1420:Q1420" ca="1" si="563">J1313/$U1313</f>
        <v>0.49292392965524395</v>
      </c>
      <c r="K1420" s="411">
        <f t="shared" ca="1" si="563"/>
        <v>6.8779045189904159E-2</v>
      </c>
      <c r="L1420" s="411">
        <f t="shared" ca="1" si="563"/>
        <v>0.2688142543996257</v>
      </c>
      <c r="M1420" s="411">
        <f t="shared" ca="1" si="563"/>
        <v>1.130771813678721E-2</v>
      </c>
      <c r="N1420" s="411">
        <f t="shared" ca="1" si="563"/>
        <v>8.7043411766379419E-2</v>
      </c>
      <c r="O1420" s="411">
        <f t="shared" ca="1" si="563"/>
        <v>2.8559600218790106E-3</v>
      </c>
      <c r="P1420" s="411">
        <f t="shared" ca="1" si="563"/>
        <v>5.9572172235513119E-3</v>
      </c>
      <c r="Q1420" s="411">
        <f t="shared" ca="1" si="563"/>
        <v>6.1202427351429542E-2</v>
      </c>
      <c r="R1420" s="411">
        <f t="shared" ca="1" si="550"/>
        <v>3.1538208830565772E-4</v>
      </c>
      <c r="S1420" s="411">
        <f t="shared" ca="1" si="550"/>
        <v>8.0065416689393881E-4</v>
      </c>
      <c r="T1420" s="101"/>
      <c r="U1420" s="411">
        <f t="shared" ca="1" si="553"/>
        <v>1</v>
      </c>
    </row>
    <row r="1421" spans="1:21" x14ac:dyDescent="0.2">
      <c r="A1421" s="321"/>
      <c r="B1421" s="16">
        <f t="shared" si="560"/>
        <v>67</v>
      </c>
      <c r="D1421" s="64" t="s">
        <v>731</v>
      </c>
      <c r="G1421" s="16">
        <f t="shared" si="561"/>
        <v>67</v>
      </c>
      <c r="H1421" s="64" t="s">
        <v>790</v>
      </c>
      <c r="J1421" s="411">
        <f t="shared" ref="J1421:Q1421" ca="1" si="564">J1314/$U1314</f>
        <v>0</v>
      </c>
      <c r="K1421" s="411">
        <f t="shared" ca="1" si="564"/>
        <v>0</v>
      </c>
      <c r="L1421" s="411">
        <f t="shared" ca="1" si="564"/>
        <v>0</v>
      </c>
      <c r="M1421" s="411">
        <f t="shared" ca="1" si="564"/>
        <v>0</v>
      </c>
      <c r="N1421" s="411">
        <f t="shared" ca="1" si="564"/>
        <v>0</v>
      </c>
      <c r="O1421" s="411">
        <f t="shared" ca="1" si="564"/>
        <v>0</v>
      </c>
      <c r="P1421" s="411">
        <f t="shared" ca="1" si="564"/>
        <v>0</v>
      </c>
      <c r="Q1421" s="411">
        <f t="shared" ca="1" si="564"/>
        <v>0</v>
      </c>
      <c r="R1421" s="411">
        <f t="shared" ca="1" si="550"/>
        <v>0</v>
      </c>
      <c r="S1421" s="411">
        <f t="shared" ca="1" si="550"/>
        <v>0</v>
      </c>
      <c r="T1421" s="101"/>
      <c r="U1421" s="411">
        <f t="shared" ca="1" si="553"/>
        <v>0</v>
      </c>
    </row>
    <row r="1422" spans="1:21" x14ac:dyDescent="0.2">
      <c r="A1422" s="321"/>
      <c r="B1422" s="16">
        <f t="shared" si="560"/>
        <v>68</v>
      </c>
      <c r="D1422" s="64" t="s">
        <v>732</v>
      </c>
      <c r="G1422" s="16">
        <f t="shared" si="561"/>
        <v>68</v>
      </c>
      <c r="H1422" s="64" t="s">
        <v>791</v>
      </c>
      <c r="J1422" s="411">
        <f t="shared" ref="J1422:Q1422" ca="1" si="565">J1315/$U1315</f>
        <v>0.49293335921971188</v>
      </c>
      <c r="K1422" s="411">
        <f t="shared" ca="1" si="565"/>
        <v>6.8600878488543029E-2</v>
      </c>
      <c r="L1422" s="411">
        <f t="shared" ca="1" si="565"/>
        <v>0.26938598333997893</v>
      </c>
      <c r="M1422" s="411">
        <f t="shared" ca="1" si="565"/>
        <v>1.1269574924819441E-2</v>
      </c>
      <c r="N1422" s="411">
        <f t="shared" ca="1" si="565"/>
        <v>8.7020736745597974E-2</v>
      </c>
      <c r="O1422" s="411">
        <f t="shared" ca="1" si="565"/>
        <v>2.9000630831302206E-3</v>
      </c>
      <c r="P1422" s="411">
        <f t="shared" ca="1" si="565"/>
        <v>6.2091094251815948E-3</v>
      </c>
      <c r="Q1422" s="411">
        <f t="shared" ca="1" si="565"/>
        <v>6.0605993816571301E-2</v>
      </c>
      <c r="R1422" s="411">
        <f t="shared" ca="1" si="550"/>
        <v>3.0446887277456493E-4</v>
      </c>
      <c r="S1422" s="411">
        <f t="shared" ca="1" si="550"/>
        <v>7.6983208369106777E-4</v>
      </c>
      <c r="T1422" s="101"/>
      <c r="U1422" s="411">
        <f t="shared" ca="1" si="553"/>
        <v>1</v>
      </c>
    </row>
    <row r="1423" spans="1:21" x14ac:dyDescent="0.2">
      <c r="A1423" s="321"/>
      <c r="B1423" s="16">
        <f t="shared" si="560"/>
        <v>69</v>
      </c>
      <c r="D1423" s="64" t="s">
        <v>884</v>
      </c>
      <c r="G1423" s="16">
        <f t="shared" si="561"/>
        <v>69</v>
      </c>
      <c r="H1423" s="64" t="s">
        <v>885</v>
      </c>
      <c r="J1423" s="411">
        <f t="shared" ref="J1423:Q1423" ca="1" si="566">J1316/$U1316</f>
        <v>0.493474665272711</v>
      </c>
      <c r="K1423" s="411">
        <f t="shared" ca="1" si="566"/>
        <v>6.8855890860488558E-2</v>
      </c>
      <c r="L1423" s="411">
        <f t="shared" ca="1" si="566"/>
        <v>0.26911459604561611</v>
      </c>
      <c r="M1423" s="411">
        <f t="shared" ca="1" si="566"/>
        <v>1.1320352060107916E-2</v>
      </c>
      <c r="N1423" s="411">
        <f t="shared" ca="1" si="566"/>
        <v>8.7140663906601371E-2</v>
      </c>
      <c r="O1423" s="411">
        <f t="shared" ca="1" si="566"/>
        <v>2.8591509379848907E-3</v>
      </c>
      <c r="P1423" s="411">
        <f t="shared" ca="1" si="566"/>
        <v>5.9638731221770738E-3</v>
      </c>
      <c r="Q1423" s="411">
        <f t="shared" ca="1" si="566"/>
        <v>6.1270807794313396E-2</v>
      </c>
      <c r="R1423" s="411">
        <f t="shared" ca="1" si="550"/>
        <v>0</v>
      </c>
      <c r="S1423" s="411">
        <f t="shared" ca="1" si="550"/>
        <v>0</v>
      </c>
      <c r="T1423" s="101"/>
      <c r="U1423" s="411">
        <f ca="1">ROUND(SUM(I1423:T1423),6)</f>
        <v>1</v>
      </c>
    </row>
    <row r="1424" spans="1:21" x14ac:dyDescent="0.2">
      <c r="A1424" s="321"/>
      <c r="B1424" s="16">
        <f t="shared" si="560"/>
        <v>70</v>
      </c>
      <c r="D1424" s="64"/>
      <c r="G1424" s="16">
        <f t="shared" si="561"/>
        <v>70</v>
      </c>
      <c r="H1424" s="64"/>
      <c r="J1424" s="411"/>
      <c r="K1424" s="411"/>
      <c r="L1424" s="411"/>
      <c r="M1424" s="411"/>
      <c r="N1424" s="411"/>
      <c r="O1424" s="411"/>
      <c r="P1424" s="411"/>
      <c r="Q1424" s="411"/>
      <c r="R1424" s="411"/>
      <c r="S1424" s="411"/>
      <c r="T1424" s="101"/>
      <c r="U1424" s="411"/>
    </row>
    <row r="1425" spans="1:21" x14ac:dyDescent="0.2">
      <c r="A1425" s="321"/>
      <c r="B1425" s="16">
        <f t="shared" si="560"/>
        <v>71</v>
      </c>
      <c r="D1425" s="64" t="s">
        <v>733</v>
      </c>
      <c r="G1425" s="16">
        <f t="shared" si="561"/>
        <v>71</v>
      </c>
      <c r="H1425" s="64" t="s">
        <v>792</v>
      </c>
      <c r="J1425" s="411">
        <f t="shared" ref="J1425:S1425" si="567">J1318/$U1318</f>
        <v>0</v>
      </c>
      <c r="K1425" s="411">
        <f t="shared" si="567"/>
        <v>0</v>
      </c>
      <c r="L1425" s="411">
        <f t="shared" si="567"/>
        <v>0</v>
      </c>
      <c r="M1425" s="411">
        <f t="shared" si="567"/>
        <v>0</v>
      </c>
      <c r="N1425" s="411">
        <f t="shared" si="567"/>
        <v>0</v>
      </c>
      <c r="O1425" s="411">
        <f t="shared" si="567"/>
        <v>0</v>
      </c>
      <c r="P1425" s="411">
        <f t="shared" si="567"/>
        <v>0</v>
      </c>
      <c r="Q1425" s="411">
        <v>1</v>
      </c>
      <c r="R1425" s="411">
        <f t="shared" si="567"/>
        <v>0</v>
      </c>
      <c r="S1425" s="411">
        <f t="shared" si="567"/>
        <v>0</v>
      </c>
      <c r="T1425" s="101"/>
      <c r="U1425" s="411">
        <f>ROUND(SUM(I1425:T1425),6)</f>
        <v>1</v>
      </c>
    </row>
    <row r="1426" spans="1:21" x14ac:dyDescent="0.2">
      <c r="A1426" s="321"/>
      <c r="B1426" s="16">
        <f t="shared" si="560"/>
        <v>72</v>
      </c>
      <c r="D1426" s="64" t="s">
        <v>734</v>
      </c>
      <c r="G1426" s="16">
        <f t="shared" si="561"/>
        <v>72</v>
      </c>
      <c r="H1426" s="64" t="s">
        <v>793</v>
      </c>
      <c r="J1426" s="411">
        <f t="shared" ref="J1426:Q1426" ca="1" si="568">J1319/$U1319</f>
        <v>0</v>
      </c>
      <c r="K1426" s="411">
        <f t="shared" ca="1" si="568"/>
        <v>0</v>
      </c>
      <c r="L1426" s="411">
        <f t="shared" ca="1" si="568"/>
        <v>0</v>
      </c>
      <c r="M1426" s="411">
        <f t="shared" ca="1" si="568"/>
        <v>0</v>
      </c>
      <c r="N1426" s="411">
        <f t="shared" ca="1" si="568"/>
        <v>0</v>
      </c>
      <c r="O1426" s="411">
        <f t="shared" ca="1" si="568"/>
        <v>0</v>
      </c>
      <c r="P1426" s="411">
        <f t="shared" ca="1" si="568"/>
        <v>0</v>
      </c>
      <c r="Q1426" s="411">
        <f t="shared" ca="1" si="568"/>
        <v>0</v>
      </c>
      <c r="R1426" s="411">
        <f t="shared" ref="R1426:S1431" ca="1" si="569">R1319/$U1319</f>
        <v>0</v>
      </c>
      <c r="S1426" s="411">
        <f t="shared" ca="1" si="569"/>
        <v>0</v>
      </c>
      <c r="T1426" s="101"/>
      <c r="U1426" s="411">
        <f t="shared" ref="U1426:U1431" ca="1" si="570">ROUND(SUM(I1426:T1426),6)</f>
        <v>0</v>
      </c>
    </row>
    <row r="1427" spans="1:21" x14ac:dyDescent="0.2">
      <c r="A1427" s="321"/>
      <c r="B1427" s="16">
        <f t="shared" si="560"/>
        <v>73</v>
      </c>
      <c r="D1427" s="45" t="s">
        <v>735</v>
      </c>
      <c r="G1427" s="16">
        <f t="shared" si="561"/>
        <v>73</v>
      </c>
      <c r="H1427" s="64" t="s">
        <v>794</v>
      </c>
      <c r="J1427" s="411">
        <f t="shared" ref="J1427:Q1427" si="571">J1320/$U1320</f>
        <v>0.5220434734948457</v>
      </c>
      <c r="K1427" s="411">
        <f t="shared" si="571"/>
        <v>7.3234910219164243E-2</v>
      </c>
      <c r="L1427" s="411">
        <f t="shared" si="571"/>
        <v>0.28800912921560134</v>
      </c>
      <c r="M1427" s="411">
        <f t="shared" si="571"/>
        <v>1.212865597286006E-2</v>
      </c>
      <c r="N1427" s="411">
        <f t="shared" si="571"/>
        <v>9.3397053702985858E-2</v>
      </c>
      <c r="O1427" s="411">
        <f t="shared" si="571"/>
        <v>3.0645626579865843E-3</v>
      </c>
      <c r="P1427" s="411">
        <f t="shared" si="571"/>
        <v>6.3923392865977849E-3</v>
      </c>
      <c r="Q1427" s="411">
        <f t="shared" si="571"/>
        <v>5.3233524815684381E-4</v>
      </c>
      <c r="R1427" s="411">
        <f t="shared" si="569"/>
        <v>3.3841796223164748E-4</v>
      </c>
      <c r="S1427" s="411">
        <f t="shared" si="569"/>
        <v>8.5912223956998433E-4</v>
      </c>
      <c r="T1427" s="101"/>
      <c r="U1427" s="411">
        <f t="shared" si="570"/>
        <v>1</v>
      </c>
    </row>
    <row r="1428" spans="1:21" x14ac:dyDescent="0.2">
      <c r="A1428" s="321"/>
      <c r="B1428" s="16">
        <f t="shared" si="560"/>
        <v>74</v>
      </c>
      <c r="D1428" s="64" t="s">
        <v>888</v>
      </c>
      <c r="G1428" s="16">
        <f t="shared" si="561"/>
        <v>74</v>
      </c>
      <c r="H1428" s="64" t="s">
        <v>795</v>
      </c>
      <c r="J1428" s="411">
        <f t="shared" ref="J1428:Q1428" si="572">J1321/$U1321</f>
        <v>0.85571462856823666</v>
      </c>
      <c r="K1428" s="411">
        <f t="shared" si="572"/>
        <v>7.0979524557258505E-2</v>
      </c>
      <c r="L1428" s="411">
        <f t="shared" si="572"/>
        <v>5.7994681491327832E-2</v>
      </c>
      <c r="M1428" s="411">
        <f t="shared" si="572"/>
        <v>7.748640527589733E-4</v>
      </c>
      <c r="N1428" s="411">
        <f t="shared" si="572"/>
        <v>1.7346079496849999E-3</v>
      </c>
      <c r="O1428" s="411">
        <f t="shared" si="572"/>
        <v>4.0287987432125244E-5</v>
      </c>
      <c r="P1428" s="411">
        <f t="shared" si="572"/>
        <v>8.4036292803206031E-5</v>
      </c>
      <c r="Q1428" s="411">
        <f t="shared" si="572"/>
        <v>1.2660067510802989E-2</v>
      </c>
      <c r="R1428" s="411">
        <f t="shared" si="569"/>
        <v>4.4489802072285549E-6</v>
      </c>
      <c r="S1428" s="411">
        <f t="shared" si="569"/>
        <v>1.2852609487549158E-5</v>
      </c>
      <c r="T1428" s="101"/>
      <c r="U1428" s="411">
        <f t="shared" si="570"/>
        <v>1</v>
      </c>
    </row>
    <row r="1429" spans="1:21" x14ac:dyDescent="0.2">
      <c r="A1429" s="321"/>
      <c r="B1429" s="16">
        <f t="shared" si="560"/>
        <v>75</v>
      </c>
      <c r="C1429" s="64"/>
      <c r="D1429" s="45" t="s">
        <v>736</v>
      </c>
      <c r="F1429" s="64"/>
      <c r="G1429" s="16">
        <f t="shared" si="561"/>
        <v>75</v>
      </c>
      <c r="H1429" s="64" t="s">
        <v>796</v>
      </c>
      <c r="J1429" s="411">
        <f t="shared" ref="J1429:Q1429" si="573">J1322/$U1322</f>
        <v>0</v>
      </c>
      <c r="K1429" s="411">
        <f t="shared" si="573"/>
        <v>0</v>
      </c>
      <c r="L1429" s="411">
        <f t="shared" si="573"/>
        <v>0</v>
      </c>
      <c r="M1429" s="411">
        <f t="shared" si="573"/>
        <v>0</v>
      </c>
      <c r="N1429" s="411">
        <f t="shared" si="573"/>
        <v>0</v>
      </c>
      <c r="O1429" s="411">
        <f t="shared" si="573"/>
        <v>0</v>
      </c>
      <c r="P1429" s="411">
        <f t="shared" si="573"/>
        <v>0</v>
      </c>
      <c r="Q1429" s="411">
        <f t="shared" si="573"/>
        <v>0</v>
      </c>
      <c r="R1429" s="411">
        <f t="shared" si="569"/>
        <v>0</v>
      </c>
      <c r="S1429" s="411">
        <f t="shared" si="569"/>
        <v>0</v>
      </c>
      <c r="T1429" s="101"/>
      <c r="U1429" s="411">
        <f t="shared" si="570"/>
        <v>0</v>
      </c>
    </row>
    <row r="1430" spans="1:21" x14ac:dyDescent="0.2">
      <c r="A1430" s="321"/>
      <c r="B1430" s="16">
        <f t="shared" si="560"/>
        <v>76</v>
      </c>
      <c r="D1430" s="64" t="s">
        <v>737</v>
      </c>
      <c r="G1430" s="16">
        <f t="shared" si="561"/>
        <v>76</v>
      </c>
      <c r="H1430" s="64" t="s">
        <v>797</v>
      </c>
      <c r="J1430" s="411">
        <f t="shared" ref="J1430:Q1430" ca="1" si="574">J1323/$U1323</f>
        <v>0.51550124690849608</v>
      </c>
      <c r="K1430" s="411">
        <f t="shared" ca="1" si="574"/>
        <v>6.3639994738800124E-2</v>
      </c>
      <c r="L1430" s="411">
        <f t="shared" ca="1" si="574"/>
        <v>0.29115440025940054</v>
      </c>
      <c r="M1430" s="411">
        <f t="shared" ca="1" si="574"/>
        <v>1.0014563981173613E-2</v>
      </c>
      <c r="N1430" s="411">
        <f t="shared" ca="1" si="574"/>
        <v>8.8562259210143615E-2</v>
      </c>
      <c r="O1430" s="411">
        <f t="shared" ca="1" si="574"/>
        <v>4.9282359211778922E-3</v>
      </c>
      <c r="P1430" s="411">
        <f t="shared" ca="1" si="574"/>
        <v>1.1713629870511527E-2</v>
      </c>
      <c r="Q1430" s="411">
        <f t="shared" ca="1" si="574"/>
        <v>1.3502713198294361E-2</v>
      </c>
      <c r="R1430" s="411">
        <f t="shared" ca="1" si="569"/>
        <v>2.7777667443827143E-4</v>
      </c>
      <c r="S1430" s="411">
        <f t="shared" ca="1" si="569"/>
        <v>7.0517923756383569E-4</v>
      </c>
      <c r="T1430" s="101"/>
      <c r="U1430" s="411">
        <f t="shared" ca="1" si="570"/>
        <v>1</v>
      </c>
    </row>
    <row r="1431" spans="1:21" x14ac:dyDescent="0.2">
      <c r="A1431" s="321"/>
      <c r="B1431" s="16">
        <f t="shared" si="560"/>
        <v>77</v>
      </c>
      <c r="D1431" s="64" t="s">
        <v>738</v>
      </c>
      <c r="G1431" s="16">
        <f t="shared" si="561"/>
        <v>77</v>
      </c>
      <c r="H1431" s="64" t="s">
        <v>798</v>
      </c>
      <c r="J1431" s="411">
        <f t="shared" ref="J1431:Q1431" ca="1" si="575">J1324/$U1324</f>
        <v>0.51550124690849608</v>
      </c>
      <c r="K1431" s="411">
        <f t="shared" ca="1" si="575"/>
        <v>6.3639994738800124E-2</v>
      </c>
      <c r="L1431" s="411">
        <f t="shared" ca="1" si="575"/>
        <v>0.29115440025940054</v>
      </c>
      <c r="M1431" s="411">
        <f t="shared" ca="1" si="575"/>
        <v>1.0014563981173613E-2</v>
      </c>
      <c r="N1431" s="411">
        <f t="shared" ca="1" si="575"/>
        <v>8.8562259210143615E-2</v>
      </c>
      <c r="O1431" s="411">
        <f t="shared" ca="1" si="575"/>
        <v>4.9282359211778922E-3</v>
      </c>
      <c r="P1431" s="411">
        <f t="shared" ca="1" si="575"/>
        <v>1.1713629870511527E-2</v>
      </c>
      <c r="Q1431" s="411">
        <f t="shared" ca="1" si="575"/>
        <v>1.3502713198294361E-2</v>
      </c>
      <c r="R1431" s="411">
        <f t="shared" ca="1" si="569"/>
        <v>2.7777667443827143E-4</v>
      </c>
      <c r="S1431" s="411">
        <f t="shared" ca="1" si="569"/>
        <v>7.0517923756383569E-4</v>
      </c>
      <c r="T1431" s="101"/>
      <c r="U1431" s="411">
        <f t="shared" ca="1" si="570"/>
        <v>1</v>
      </c>
    </row>
    <row r="1432" spans="1:21" x14ac:dyDescent="0.2">
      <c r="A1432" s="321"/>
      <c r="B1432" s="16">
        <f t="shared" si="560"/>
        <v>78</v>
      </c>
      <c r="G1432" s="16">
        <f t="shared" si="561"/>
        <v>78</v>
      </c>
      <c r="J1432" s="101"/>
      <c r="K1432" s="101"/>
      <c r="L1432" s="101"/>
      <c r="M1432" s="101"/>
      <c r="N1432" s="101"/>
      <c r="O1432" s="101"/>
      <c r="P1432" s="101"/>
      <c r="Q1432" s="101"/>
      <c r="R1432" s="101"/>
      <c r="S1432" s="101"/>
      <c r="T1432" s="101"/>
      <c r="U1432" s="411"/>
    </row>
    <row r="1433" spans="1:21" x14ac:dyDescent="0.2">
      <c r="A1433" s="321"/>
      <c r="B1433" s="16">
        <f t="shared" si="560"/>
        <v>79</v>
      </c>
      <c r="D1433" s="64"/>
      <c r="G1433" s="16">
        <f t="shared" si="561"/>
        <v>79</v>
      </c>
      <c r="H1433" s="64"/>
      <c r="J1433" s="415"/>
      <c r="K1433" s="415"/>
      <c r="L1433" s="415"/>
      <c r="M1433" s="415"/>
      <c r="N1433" s="415"/>
      <c r="O1433" s="415"/>
      <c r="P1433" s="415"/>
      <c r="Q1433" s="415"/>
      <c r="R1433" s="415"/>
      <c r="S1433" s="415"/>
      <c r="T1433" s="101"/>
      <c r="U1433" s="411"/>
    </row>
    <row r="1434" spans="1:21" x14ac:dyDescent="0.2">
      <c r="A1434" s="321"/>
      <c r="B1434" s="16">
        <f t="shared" si="560"/>
        <v>80</v>
      </c>
      <c r="D1434" s="64" t="s">
        <v>739</v>
      </c>
      <c r="G1434" s="16">
        <f t="shared" si="561"/>
        <v>80</v>
      </c>
      <c r="H1434" s="64" t="s">
        <v>799</v>
      </c>
      <c r="J1434" s="411">
        <f t="shared" ref="J1434:Q1434" si="576">J1327/$U1327</f>
        <v>0</v>
      </c>
      <c r="K1434" s="411">
        <f t="shared" si="576"/>
        <v>0</v>
      </c>
      <c r="L1434" s="411">
        <f t="shared" si="576"/>
        <v>0</v>
      </c>
      <c r="M1434" s="411">
        <f t="shared" si="576"/>
        <v>0</v>
      </c>
      <c r="N1434" s="411">
        <f t="shared" si="576"/>
        <v>0</v>
      </c>
      <c r="O1434" s="411">
        <f t="shared" si="576"/>
        <v>0</v>
      </c>
      <c r="P1434" s="411">
        <f t="shared" si="576"/>
        <v>0</v>
      </c>
      <c r="Q1434" s="411">
        <f t="shared" si="576"/>
        <v>0</v>
      </c>
      <c r="R1434" s="411">
        <f t="shared" ref="R1434:S1442" si="577">R1327/$U1327</f>
        <v>0</v>
      </c>
      <c r="S1434" s="411">
        <f t="shared" si="577"/>
        <v>0</v>
      </c>
      <c r="T1434" s="101"/>
      <c r="U1434" s="411">
        <f t="shared" ref="U1434:U1442" si="578">ROUND(SUM(I1434:T1434),6)</f>
        <v>0</v>
      </c>
    </row>
    <row r="1435" spans="1:21" x14ac:dyDescent="0.2">
      <c r="A1435" s="321"/>
      <c r="B1435" s="16">
        <f t="shared" si="560"/>
        <v>81</v>
      </c>
      <c r="D1435" s="64" t="s">
        <v>740</v>
      </c>
      <c r="G1435" s="16">
        <f t="shared" si="561"/>
        <v>81</v>
      </c>
      <c r="H1435" s="64" t="s">
        <v>800</v>
      </c>
      <c r="J1435" s="411">
        <f t="shared" ref="J1435:Q1435" si="579">J1328/$U1328</f>
        <v>0</v>
      </c>
      <c r="K1435" s="411">
        <f t="shared" si="579"/>
        <v>0</v>
      </c>
      <c r="L1435" s="411">
        <f t="shared" si="579"/>
        <v>0</v>
      </c>
      <c r="M1435" s="411">
        <f t="shared" si="579"/>
        <v>0</v>
      </c>
      <c r="N1435" s="411">
        <f t="shared" si="579"/>
        <v>0</v>
      </c>
      <c r="O1435" s="411">
        <f t="shared" si="579"/>
        <v>0</v>
      </c>
      <c r="P1435" s="411">
        <f t="shared" si="579"/>
        <v>0</v>
      </c>
      <c r="Q1435" s="411">
        <f t="shared" si="579"/>
        <v>0</v>
      </c>
      <c r="R1435" s="411">
        <f t="shared" si="577"/>
        <v>0</v>
      </c>
      <c r="S1435" s="411">
        <f t="shared" si="577"/>
        <v>0</v>
      </c>
      <c r="T1435" s="101"/>
      <c r="U1435" s="411">
        <f t="shared" si="578"/>
        <v>0</v>
      </c>
    </row>
    <row r="1436" spans="1:21" x14ac:dyDescent="0.2">
      <c r="A1436" s="321" t="s">
        <v>0</v>
      </c>
      <c r="B1436" s="16">
        <f t="shared" si="560"/>
        <v>82</v>
      </c>
      <c r="D1436" s="64" t="s">
        <v>741</v>
      </c>
      <c r="G1436" s="16">
        <f t="shared" si="561"/>
        <v>82</v>
      </c>
      <c r="H1436" s="64" t="s">
        <v>801</v>
      </c>
      <c r="J1436" s="411">
        <f t="shared" ref="J1436:Q1436" si="580">J1329/$U1329</f>
        <v>0</v>
      </c>
      <c r="K1436" s="411">
        <f t="shared" si="580"/>
        <v>0</v>
      </c>
      <c r="L1436" s="411">
        <f t="shared" si="580"/>
        <v>0</v>
      </c>
      <c r="M1436" s="411">
        <f t="shared" si="580"/>
        <v>0</v>
      </c>
      <c r="N1436" s="411">
        <f t="shared" si="580"/>
        <v>0</v>
      </c>
      <c r="O1436" s="411">
        <f t="shared" si="580"/>
        <v>0</v>
      </c>
      <c r="P1436" s="411">
        <f t="shared" si="580"/>
        <v>0</v>
      </c>
      <c r="Q1436" s="411">
        <f t="shared" si="580"/>
        <v>1</v>
      </c>
      <c r="R1436" s="411">
        <f t="shared" si="577"/>
        <v>0</v>
      </c>
      <c r="S1436" s="411">
        <f t="shared" si="577"/>
        <v>0</v>
      </c>
      <c r="T1436" s="101"/>
      <c r="U1436" s="411">
        <f t="shared" si="578"/>
        <v>1</v>
      </c>
    </row>
    <row r="1437" spans="1:21" x14ac:dyDescent="0.2">
      <c r="A1437" s="321"/>
      <c r="B1437" s="16">
        <f t="shared" si="560"/>
        <v>83</v>
      </c>
      <c r="D1437" s="64" t="s">
        <v>802</v>
      </c>
      <c r="G1437" s="16">
        <f t="shared" si="561"/>
        <v>83</v>
      </c>
      <c r="H1437" s="64" t="s">
        <v>803</v>
      </c>
      <c r="J1437" s="411">
        <f t="shared" ref="J1437:Q1437" ca="1" si="581">J1330/$U1330</f>
        <v>0</v>
      </c>
      <c r="K1437" s="411">
        <f t="shared" ca="1" si="581"/>
        <v>0</v>
      </c>
      <c r="L1437" s="411">
        <f t="shared" ca="1" si="581"/>
        <v>0</v>
      </c>
      <c r="M1437" s="411">
        <f t="shared" ca="1" si="581"/>
        <v>0</v>
      </c>
      <c r="N1437" s="411">
        <f t="shared" ca="1" si="581"/>
        <v>0</v>
      </c>
      <c r="O1437" s="411">
        <f t="shared" ca="1" si="581"/>
        <v>0</v>
      </c>
      <c r="P1437" s="411">
        <f t="shared" ca="1" si="581"/>
        <v>0</v>
      </c>
      <c r="Q1437" s="411">
        <f t="shared" ca="1" si="581"/>
        <v>0</v>
      </c>
      <c r="R1437" s="411">
        <f t="shared" ca="1" si="577"/>
        <v>0</v>
      </c>
      <c r="S1437" s="411">
        <f t="shared" ca="1" si="577"/>
        <v>0</v>
      </c>
      <c r="T1437" s="101"/>
      <c r="U1437" s="411">
        <f t="shared" ca="1" si="578"/>
        <v>0</v>
      </c>
    </row>
    <row r="1438" spans="1:21" x14ac:dyDescent="0.2">
      <c r="A1438" s="321"/>
      <c r="B1438" s="16">
        <f t="shared" si="560"/>
        <v>84</v>
      </c>
      <c r="D1438" s="64" t="s">
        <v>743</v>
      </c>
      <c r="G1438" s="16">
        <f t="shared" si="561"/>
        <v>84</v>
      </c>
      <c r="H1438" s="64" t="s">
        <v>804</v>
      </c>
      <c r="J1438" s="411">
        <f t="shared" ref="J1438:Q1438" si="582">J1331/$U1331</f>
        <v>0.5220434734948457</v>
      </c>
      <c r="K1438" s="411">
        <f t="shared" si="582"/>
        <v>7.3234910219164243E-2</v>
      </c>
      <c r="L1438" s="411">
        <f t="shared" si="582"/>
        <v>0.28800912921560134</v>
      </c>
      <c r="M1438" s="411">
        <f t="shared" si="582"/>
        <v>1.2128655972860062E-2</v>
      </c>
      <c r="N1438" s="411">
        <f t="shared" si="582"/>
        <v>9.3397053702985858E-2</v>
      </c>
      <c r="O1438" s="411">
        <f t="shared" si="582"/>
        <v>3.0645626579865843E-3</v>
      </c>
      <c r="P1438" s="411">
        <f t="shared" si="582"/>
        <v>6.3923392865977849E-3</v>
      </c>
      <c r="Q1438" s="411">
        <f t="shared" si="582"/>
        <v>5.3233524815684381E-4</v>
      </c>
      <c r="R1438" s="411">
        <f t="shared" si="577"/>
        <v>3.3841796223164748E-4</v>
      </c>
      <c r="S1438" s="411">
        <f t="shared" si="577"/>
        <v>8.5912223956998433E-4</v>
      </c>
      <c r="T1438" s="101"/>
      <c r="U1438" s="411">
        <f t="shared" si="578"/>
        <v>1</v>
      </c>
    </row>
    <row r="1439" spans="1:21" x14ac:dyDescent="0.2">
      <c r="A1439" s="321"/>
      <c r="B1439" s="16">
        <f t="shared" si="560"/>
        <v>85</v>
      </c>
      <c r="D1439" s="64" t="s">
        <v>744</v>
      </c>
      <c r="G1439" s="16">
        <f t="shared" si="561"/>
        <v>85</v>
      </c>
      <c r="H1439" s="64" t="s">
        <v>805</v>
      </c>
      <c r="J1439" s="411">
        <f t="shared" ref="J1439:Q1439" si="583">J1332/$U1332</f>
        <v>0.85571462856823655</v>
      </c>
      <c r="K1439" s="411">
        <f t="shared" si="583"/>
        <v>7.0979524557258492E-2</v>
      </c>
      <c r="L1439" s="411">
        <f t="shared" si="583"/>
        <v>5.7994681491327818E-2</v>
      </c>
      <c r="M1439" s="411">
        <f t="shared" si="583"/>
        <v>7.7486405275897319E-4</v>
      </c>
      <c r="N1439" s="411">
        <f t="shared" si="583"/>
        <v>1.7346079496849995E-3</v>
      </c>
      <c r="O1439" s="411">
        <f t="shared" si="583"/>
        <v>4.0287987432125238E-5</v>
      </c>
      <c r="P1439" s="411">
        <f t="shared" si="583"/>
        <v>8.4036292803206018E-5</v>
      </c>
      <c r="Q1439" s="411">
        <f t="shared" si="583"/>
        <v>1.2660067510802987E-2</v>
      </c>
      <c r="R1439" s="411">
        <f t="shared" si="577"/>
        <v>4.448980207228554E-6</v>
      </c>
      <c r="S1439" s="411">
        <f t="shared" si="577"/>
        <v>1.2852609487549157E-5</v>
      </c>
      <c r="T1439" s="101"/>
      <c r="U1439" s="411">
        <f t="shared" si="578"/>
        <v>1</v>
      </c>
    </row>
    <row r="1440" spans="1:21" x14ac:dyDescent="0.2">
      <c r="A1440" s="321"/>
      <c r="B1440" s="16">
        <f t="shared" si="560"/>
        <v>86</v>
      </c>
      <c r="D1440" s="64" t="s">
        <v>745</v>
      </c>
      <c r="G1440" s="16">
        <f t="shared" si="561"/>
        <v>86</v>
      </c>
      <c r="H1440" s="64" t="s">
        <v>806</v>
      </c>
      <c r="J1440" s="411">
        <f t="shared" ref="J1440:Q1440" si="584">J1333/$U1333</f>
        <v>0</v>
      </c>
      <c r="K1440" s="411">
        <f t="shared" si="584"/>
        <v>0</v>
      </c>
      <c r="L1440" s="411">
        <f t="shared" si="584"/>
        <v>0</v>
      </c>
      <c r="M1440" s="411">
        <f t="shared" si="584"/>
        <v>0</v>
      </c>
      <c r="N1440" s="411">
        <f t="shared" si="584"/>
        <v>0</v>
      </c>
      <c r="O1440" s="411">
        <f t="shared" si="584"/>
        <v>0</v>
      </c>
      <c r="P1440" s="411">
        <f t="shared" si="584"/>
        <v>0</v>
      </c>
      <c r="Q1440" s="411">
        <f t="shared" si="584"/>
        <v>0</v>
      </c>
      <c r="R1440" s="411">
        <f t="shared" si="577"/>
        <v>0</v>
      </c>
      <c r="S1440" s="411">
        <f t="shared" si="577"/>
        <v>0</v>
      </c>
      <c r="T1440" s="101"/>
      <c r="U1440" s="411">
        <f t="shared" si="578"/>
        <v>0</v>
      </c>
    </row>
    <row r="1441" spans="1:21" x14ac:dyDescent="0.2">
      <c r="A1441" s="321"/>
      <c r="B1441" s="16">
        <f t="shared" si="560"/>
        <v>87</v>
      </c>
      <c r="D1441" s="45" t="s">
        <v>746</v>
      </c>
      <c r="G1441" s="16">
        <f t="shared" si="561"/>
        <v>87</v>
      </c>
      <c r="H1441" s="64" t="s">
        <v>807</v>
      </c>
      <c r="J1441" s="411">
        <f t="shared" ref="J1441:Q1441" ca="1" si="585">J1334/$U1334</f>
        <v>0.49292392965524401</v>
      </c>
      <c r="K1441" s="411">
        <f t="shared" ca="1" si="585"/>
        <v>6.8779045189904159E-2</v>
      </c>
      <c r="L1441" s="411">
        <f t="shared" ca="1" si="585"/>
        <v>0.26881425439962575</v>
      </c>
      <c r="M1441" s="411">
        <f t="shared" ca="1" si="585"/>
        <v>1.130771813678721E-2</v>
      </c>
      <c r="N1441" s="411">
        <f t="shared" ca="1" si="585"/>
        <v>8.7043411766379419E-2</v>
      </c>
      <c r="O1441" s="411">
        <f t="shared" ca="1" si="585"/>
        <v>2.8559600218790132E-3</v>
      </c>
      <c r="P1441" s="411">
        <f t="shared" ca="1" si="585"/>
        <v>5.9572172235513171E-3</v>
      </c>
      <c r="Q1441" s="411">
        <f t="shared" ca="1" si="585"/>
        <v>6.120242735142957E-2</v>
      </c>
      <c r="R1441" s="411">
        <f t="shared" ca="1" si="577"/>
        <v>3.1538208830565804E-4</v>
      </c>
      <c r="S1441" s="411">
        <f t="shared" ca="1" si="577"/>
        <v>8.0065416689393924E-4</v>
      </c>
      <c r="T1441" s="101"/>
      <c r="U1441" s="411">
        <f t="shared" ca="1" si="578"/>
        <v>1</v>
      </c>
    </row>
    <row r="1442" spans="1:21" x14ac:dyDescent="0.2">
      <c r="A1442" s="321"/>
      <c r="B1442" s="16">
        <f t="shared" si="560"/>
        <v>88</v>
      </c>
      <c r="D1442" s="64" t="s">
        <v>662</v>
      </c>
      <c r="G1442" s="16">
        <f t="shared" si="561"/>
        <v>88</v>
      </c>
      <c r="H1442" s="64" t="s">
        <v>808</v>
      </c>
      <c r="J1442" s="411">
        <f t="shared" ref="J1442:Q1442" ca="1" si="586">J1335/$U1335</f>
        <v>0.51389634625997427</v>
      </c>
      <c r="K1442" s="411">
        <f t="shared" ca="1" si="586"/>
        <v>6.4005302330895714E-2</v>
      </c>
      <c r="L1442" s="411">
        <f t="shared" ca="1" si="586"/>
        <v>0.289566358855887</v>
      </c>
      <c r="M1442" s="411">
        <f t="shared" ca="1" si="586"/>
        <v>1.0106487389065846E-2</v>
      </c>
      <c r="N1442" s="411">
        <f t="shared" ca="1" si="586"/>
        <v>8.8454292474319338E-2</v>
      </c>
      <c r="O1442" s="411">
        <f t="shared" ca="1" si="586"/>
        <v>4.7809289184283978E-3</v>
      </c>
      <c r="P1442" s="411">
        <f t="shared" ca="1" si="586"/>
        <v>1.1304437304068091E-2</v>
      </c>
      <c r="Q1442" s="411">
        <f t="shared" ca="1" si="586"/>
        <v>1.6893430586014457E-2</v>
      </c>
      <c r="R1442" s="411">
        <f t="shared" ca="1" si="577"/>
        <v>2.8044984204391376E-4</v>
      </c>
      <c r="S1442" s="411">
        <f t="shared" ca="1" si="577"/>
        <v>7.1196603930297479E-4</v>
      </c>
      <c r="T1442" s="101"/>
      <c r="U1442" s="411">
        <f t="shared" ca="1" si="578"/>
        <v>1</v>
      </c>
    </row>
    <row r="1443" spans="1:21" x14ac:dyDescent="0.2">
      <c r="A1443" s="321"/>
      <c r="B1443" s="16">
        <f t="shared" si="560"/>
        <v>89</v>
      </c>
      <c r="D1443" s="64"/>
      <c r="G1443" s="16">
        <f t="shared" si="561"/>
        <v>89</v>
      </c>
      <c r="H1443" s="64"/>
      <c r="J1443" s="415"/>
      <c r="K1443" s="415"/>
      <c r="L1443" s="415"/>
      <c r="M1443" s="415"/>
      <c r="N1443" s="415"/>
      <c r="O1443" s="415"/>
      <c r="P1443" s="415"/>
      <c r="Q1443" s="415"/>
      <c r="R1443" s="415"/>
      <c r="S1443" s="415"/>
      <c r="T1443" s="101"/>
      <c r="U1443" s="411"/>
    </row>
    <row r="1444" spans="1:21" x14ac:dyDescent="0.2">
      <c r="A1444" s="321"/>
      <c r="B1444" s="16">
        <f t="shared" si="560"/>
        <v>90</v>
      </c>
      <c r="G1444" s="16">
        <f t="shared" si="561"/>
        <v>90</v>
      </c>
      <c r="J1444" s="415"/>
      <c r="K1444" s="415"/>
      <c r="L1444" s="415"/>
      <c r="M1444" s="415"/>
      <c r="N1444" s="415"/>
      <c r="O1444" s="415"/>
      <c r="P1444" s="415"/>
      <c r="Q1444" s="415"/>
      <c r="R1444" s="415"/>
      <c r="S1444" s="415"/>
      <c r="T1444" s="101"/>
      <c r="U1444" s="411"/>
    </row>
    <row r="1445" spans="1:21" x14ac:dyDescent="0.2">
      <c r="A1445" s="321"/>
      <c r="B1445" s="16">
        <f t="shared" si="560"/>
        <v>91</v>
      </c>
      <c r="D1445" s="64" t="s">
        <v>747</v>
      </c>
      <c r="G1445" s="16">
        <f t="shared" si="561"/>
        <v>91</v>
      </c>
      <c r="H1445" s="64" t="s">
        <v>809</v>
      </c>
      <c r="J1445" s="411">
        <f t="shared" ref="J1445:Q1445" ca="1" si="587">J1338/$U1338</f>
        <v>0.49103017289362422</v>
      </c>
      <c r="K1445" s="411">
        <f t="shared" ca="1" si="587"/>
        <v>6.9018258510528299E-2</v>
      </c>
      <c r="L1445" s="411">
        <f t="shared" ca="1" si="587"/>
        <v>0.26755334659956365</v>
      </c>
      <c r="M1445" s="411">
        <f t="shared" ca="1" si="587"/>
        <v>1.1375202812990058E-2</v>
      </c>
      <c r="N1445" s="411">
        <f t="shared" ca="1" si="587"/>
        <v>8.6890607990023211E-2</v>
      </c>
      <c r="O1445" s="411">
        <f t="shared" ca="1" si="587"/>
        <v>2.7292645542963813E-3</v>
      </c>
      <c r="P1445" s="411">
        <f t="shared" ca="1" si="587"/>
        <v>5.7462923852886509E-3</v>
      </c>
      <c r="Q1445" s="411">
        <f t="shared" ca="1" si="587"/>
        <v>6.4575081909349075E-2</v>
      </c>
      <c r="R1445" s="411">
        <f ca="1">R1338/$U1338</f>
        <v>3.0665924010237985E-4</v>
      </c>
      <c r="S1445" s="411">
        <f ca="1">S1338/$U1338</f>
        <v>7.7511310423416396E-4</v>
      </c>
      <c r="T1445" s="101"/>
      <c r="U1445" s="411">
        <f ca="1">ROUND(SUM(I1445:T1445),6)</f>
        <v>1</v>
      </c>
    </row>
    <row r="1446" spans="1:21" x14ac:dyDescent="0.2">
      <c r="A1446" s="321"/>
      <c r="B1446" s="16">
        <f t="shared" si="560"/>
        <v>92</v>
      </c>
      <c r="D1446" s="64" t="s">
        <v>748</v>
      </c>
      <c r="G1446" s="16">
        <f t="shared" si="561"/>
        <v>92</v>
      </c>
      <c r="H1446" s="64" t="s">
        <v>810</v>
      </c>
      <c r="J1446" s="411">
        <f t="shared" ref="J1446:Q1446" ca="1" si="588">J1339/$U1339</f>
        <v>0.50555060329899471</v>
      </c>
      <c r="K1446" s="411">
        <f t="shared" ca="1" si="588"/>
        <v>6.6419296633911329E-2</v>
      </c>
      <c r="L1446" s="411">
        <f t="shared" ca="1" si="588"/>
        <v>0.27878382952673419</v>
      </c>
      <c r="M1446" s="411">
        <f t="shared" ca="1" si="588"/>
        <v>1.0662256108856061E-2</v>
      </c>
      <c r="N1446" s="411">
        <f t="shared" ca="1" si="588"/>
        <v>8.7484056242251751E-2</v>
      </c>
      <c r="O1446" s="411">
        <f t="shared" ca="1" si="588"/>
        <v>3.8264890638263611E-3</v>
      </c>
      <c r="P1446" s="411">
        <f t="shared" ca="1" si="588"/>
        <v>8.6817807448930171E-3</v>
      </c>
      <c r="Q1446" s="411">
        <f t="shared" ca="1" si="588"/>
        <v>3.8591688380532535E-2</v>
      </c>
      <c r="R1446" s="17">
        <v>0</v>
      </c>
      <c r="S1446" s="17">
        <v>0</v>
      </c>
      <c r="T1446" s="130" t="s">
        <v>0</v>
      </c>
      <c r="U1446" s="411">
        <f ca="1">ROUND(SUM(I1446:T1446),6)</f>
        <v>1</v>
      </c>
    </row>
    <row r="1447" spans="1:21" x14ac:dyDescent="0.2">
      <c r="A1447" s="321"/>
      <c r="B1447" s="16">
        <f t="shared" si="560"/>
        <v>93</v>
      </c>
      <c r="G1447" s="16">
        <f t="shared" si="561"/>
        <v>93</v>
      </c>
      <c r="J1447" s="101"/>
      <c r="K1447" s="101"/>
      <c r="L1447" s="101"/>
      <c r="M1447" s="101"/>
      <c r="N1447" s="101"/>
      <c r="O1447" s="101"/>
      <c r="P1447" s="101"/>
      <c r="Q1447" s="101"/>
      <c r="R1447" s="130"/>
      <c r="S1447" s="130"/>
      <c r="T1447" s="101"/>
      <c r="U1447" s="172"/>
    </row>
    <row r="1448" spans="1:21" x14ac:dyDescent="0.2">
      <c r="A1448" s="321"/>
      <c r="B1448" s="16">
        <f t="shared" si="560"/>
        <v>94</v>
      </c>
      <c r="G1448" s="16">
        <f t="shared" si="561"/>
        <v>94</v>
      </c>
      <c r="J1448" s="101"/>
      <c r="K1448" s="101"/>
      <c r="L1448" s="101"/>
      <c r="M1448" s="101"/>
      <c r="N1448" s="101"/>
      <c r="O1448" s="101"/>
      <c r="P1448" s="101"/>
      <c r="Q1448" s="101"/>
      <c r="R1448" s="101"/>
      <c r="S1448" s="101"/>
      <c r="T1448" s="101"/>
      <c r="U1448" s="172"/>
    </row>
    <row r="1449" spans="1:21" x14ac:dyDescent="0.2">
      <c r="A1449" s="321"/>
    </row>
  </sheetData>
  <phoneticPr fontId="0" type="noConversion"/>
  <pageMargins left="0.5" right="0.5" top="1.5" bottom="0.75" header="1.5" footer="0.5"/>
  <pageSetup scale="60" pageOrder="overThenDown" orientation="landscape" r:id="rId1"/>
  <headerFooter alignWithMargins="0">
    <oddHeader xml:space="preserve">&amp;RSchedules II-I-1-TBILLTDCS and II-I-2-TBILLTDCS
Page &amp;P of &amp;N
</oddHeader>
  </headerFooter>
  <rowBreaks count="39" manualBreakCount="39">
    <brk id="40" min="1" max="20" man="1"/>
    <brk id="88" min="1" max="20" man="1"/>
    <brk id="121" min="1" max="20" man="1"/>
    <brk id="169" min="1" max="20" man="1"/>
    <brk id="200" min="1" max="20" man="1"/>
    <brk id="226" min="1" max="20" man="1"/>
    <brk id="245" min="1" max="20" man="1"/>
    <brk id="277" min="1" max="20" man="1"/>
    <brk id="327" min="1" max="20" man="1"/>
    <brk id="369" min="1" max="20" man="1"/>
    <brk id="389" min="1" max="20" man="1"/>
    <brk id="414" min="1" max="20" man="1"/>
    <brk id="436" min="1" max="20" man="1"/>
    <brk id="456" min="1" max="20" man="1"/>
    <brk id="479" min="1" max="20" man="1"/>
    <brk id="504" min="1" max="20" man="1"/>
    <brk id="556" min="1" max="20" man="1"/>
    <brk id="575" min="1" max="20" man="1"/>
    <brk id="623" min="1" max="20" man="1"/>
    <brk id="664" min="1" max="20" man="1"/>
    <brk id="710" min="1" max="20" man="1"/>
    <brk id="754" min="1" max="20" man="1"/>
    <brk id="788" min="1" max="20" man="1"/>
    <brk id="828" min="1" max="20" man="1"/>
    <brk id="875" min="1" max="20" man="1"/>
    <brk id="925" min="1" max="20" man="1"/>
    <brk id="958" min="1" max="20" man="1"/>
    <brk id="979" min="1" max="20" man="1"/>
    <brk id="1032" min="1" max="20" man="1"/>
    <brk id="1071" min="1" max="20" man="1"/>
    <brk id="1104" min="1" max="20" man="1"/>
    <brk id="1146" min="1" max="20" man="1"/>
    <brk id="1163" min="1" max="20" man="1"/>
    <brk id="1190" min="1" max="20" man="1"/>
    <brk id="1234" min="1" max="20" man="1"/>
    <brk id="1285" min="1" max="20" man="1"/>
    <brk id="1341" min="1" max="20" man="1"/>
    <brk id="1387" min="1" max="20" man="1"/>
    <brk id="1431" min="1" max="20" man="1"/>
  </rowBreaks>
  <colBreaks count="1" manualBreakCount="1">
    <brk id="12" min="2" max="140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Y1236"/>
  <sheetViews>
    <sheetView view="pageBreakPreview" topLeftCell="A1149" zoomScale="75" zoomScaleNormal="75" zoomScaleSheetLayoutView="75" workbookViewId="0">
      <selection activeCell="C1179" sqref="C1179"/>
    </sheetView>
  </sheetViews>
  <sheetFormatPr defaultRowHeight="14.25" x14ac:dyDescent="0.2"/>
  <cols>
    <col min="1" max="1" width="1.5" customWidth="1"/>
    <col min="2" max="2" width="5.375" customWidth="1"/>
    <col min="3" max="3" width="7.25" customWidth="1"/>
    <col min="4" max="4" width="35.125" customWidth="1"/>
    <col min="5" max="5" width="7.25" customWidth="1"/>
    <col min="6" max="6" width="16.25" customWidth="1"/>
    <col min="7" max="7" width="7.75" customWidth="1"/>
    <col min="8" max="8" width="9.25" customWidth="1"/>
    <col min="9" max="9" width="2.125" customWidth="1"/>
    <col min="10" max="10" width="15.375" customWidth="1"/>
    <col min="11" max="11" width="14" customWidth="1"/>
    <col min="12" max="12" width="14.625" bestFit="1" customWidth="1"/>
    <col min="13" max="13" width="12.625" customWidth="1"/>
    <col min="14" max="14" width="13.875" customWidth="1"/>
    <col min="15" max="15" width="13.125" customWidth="1"/>
    <col min="16" max="16" width="15.375" customWidth="1"/>
    <col min="17" max="17" width="13.875" customWidth="1"/>
    <col min="18" max="18" width="13" bestFit="1" customWidth="1"/>
    <col min="19" max="19" width="15.875" customWidth="1"/>
    <col min="20" max="20" width="1.5" customWidth="1"/>
    <col min="21" max="21" width="15.375" customWidth="1"/>
    <col min="22" max="22" width="1.125" customWidth="1"/>
    <col min="23" max="23" width="25" customWidth="1"/>
    <col min="24" max="24" width="15.25" customWidth="1"/>
    <col min="25" max="25" width="14.25" customWidth="1"/>
    <col min="26" max="26" width="11.125" bestFit="1" customWidth="1"/>
  </cols>
  <sheetData>
    <row r="1" spans="1:24" x14ac:dyDescent="0.2">
      <c r="A1" s="321" t="s">
        <v>0</v>
      </c>
      <c r="J1" s="101" t="s">
        <v>0</v>
      </c>
      <c r="U1" s="172"/>
    </row>
    <row r="2" spans="1:24" ht="15" x14ac:dyDescent="0.2">
      <c r="A2" s="321"/>
      <c r="B2" s="1062"/>
      <c r="H2" s="105"/>
      <c r="U2" s="105"/>
    </row>
    <row r="3" spans="1:24" ht="15.75" thickBot="1" x14ac:dyDescent="0.25">
      <c r="A3" s="45"/>
      <c r="B3" s="10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101"/>
    </row>
    <row r="4" spans="1:24" ht="15.75" x14ac:dyDescent="0.25">
      <c r="A4" s="45"/>
      <c r="B4" s="829" t="str">
        <f>'WP II-I-1.1'!B3</f>
        <v>2025 RATE CASE</v>
      </c>
      <c r="C4" s="867"/>
      <c r="D4" s="868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138"/>
      <c r="V4" s="138"/>
      <c r="W4" s="138"/>
    </row>
    <row r="5" spans="1:24" ht="15.75" x14ac:dyDescent="0.25">
      <c r="A5" s="45"/>
      <c r="B5" s="826" t="str">
        <f>'WP II-I-1.1'!B4</f>
        <v>ONCOR ELECTRIC DELIVERY COMPANY LLC</v>
      </c>
      <c r="C5" s="752"/>
      <c r="D5" s="869"/>
      <c r="E5" s="64"/>
      <c r="F5" s="64"/>
      <c r="G5" s="64"/>
      <c r="H5" s="64"/>
      <c r="I5" s="64"/>
      <c r="J5" s="64"/>
      <c r="K5" s="64"/>
      <c r="L5" s="64"/>
      <c r="M5" s="589"/>
      <c r="N5" s="64"/>
      <c r="O5" s="64"/>
      <c r="P5" s="64"/>
      <c r="Q5" s="64"/>
      <c r="R5" s="64"/>
      <c r="S5" s="64"/>
      <c r="T5" s="64"/>
      <c r="U5" s="105"/>
      <c r="V5" s="64"/>
      <c r="W5" s="138"/>
    </row>
    <row r="6" spans="1:24" ht="15.75" x14ac:dyDescent="0.25">
      <c r="A6" s="45"/>
      <c r="B6" s="341" t="str">
        <f>"II-I-1-TOT:  CLASS REVENUE REQUIREMENT"</f>
        <v>II-I-1-TOT:  CLASS REVENUE REQUIREMENT</v>
      </c>
      <c r="C6" s="752"/>
      <c r="D6" s="830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138"/>
    </row>
    <row r="7" spans="1:24" ht="15.75" x14ac:dyDescent="0.25">
      <c r="A7" s="45"/>
      <c r="B7" s="341" t="str">
        <f>'WP II-I-1.1'!B6</f>
        <v>TEST YEAR ENDING 12/31/2024</v>
      </c>
      <c r="C7" s="752"/>
      <c r="D7" s="830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138"/>
    </row>
    <row r="8" spans="1:24" ht="15.75" x14ac:dyDescent="0.25">
      <c r="A8" s="45"/>
      <c r="B8" s="341" t="str">
        <f>'WP II-I-2.2'!$B$7</f>
        <v>SPONSOR:  MATTHEW A. TROXLE</v>
      </c>
      <c r="C8" s="752"/>
      <c r="D8" s="830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138"/>
    </row>
    <row r="9" spans="1:24" ht="16.5" thickBot="1" x14ac:dyDescent="0.3">
      <c r="A9" s="45"/>
      <c r="B9" s="345"/>
      <c r="C9" s="752"/>
      <c r="D9" s="830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138"/>
    </row>
    <row r="10" spans="1:24" ht="15.75" thickBot="1" x14ac:dyDescent="0.25">
      <c r="A10" s="45"/>
      <c r="B10" s="174"/>
      <c r="C10" s="175"/>
      <c r="D10" s="176"/>
      <c r="E10" s="177"/>
      <c r="F10" s="177"/>
      <c r="G10" s="177"/>
      <c r="H10" s="177"/>
      <c r="I10" s="406"/>
      <c r="J10" s="13"/>
      <c r="K10" s="177"/>
      <c r="L10" s="13"/>
      <c r="M10" s="177"/>
      <c r="N10" s="177"/>
      <c r="O10" s="177"/>
      <c r="P10" s="177"/>
      <c r="Q10" s="13"/>
      <c r="R10" s="328" t="str">
        <f>" "</f>
        <v xml:space="preserve"> </v>
      </c>
      <c r="S10" s="329"/>
      <c r="T10" s="177"/>
      <c r="U10" s="12"/>
      <c r="V10" s="64"/>
      <c r="W10" s="138"/>
    </row>
    <row r="11" spans="1:24" ht="15.75" x14ac:dyDescent="0.25">
      <c r="A11" s="45"/>
      <c r="B11" s="174" t="s">
        <v>2</v>
      </c>
      <c r="C11" s="179"/>
      <c r="D11" s="180" t="s">
        <v>678</v>
      </c>
      <c r="E11" s="181" t="s">
        <v>350</v>
      </c>
      <c r="F11" s="226" t="s">
        <v>434</v>
      </c>
      <c r="G11" s="181"/>
      <c r="H11" s="181"/>
      <c r="I11" s="330"/>
      <c r="J11" s="14" t="s">
        <v>679</v>
      </c>
      <c r="K11" s="181" t="s">
        <v>388</v>
      </c>
      <c r="L11" s="14" t="s">
        <v>388</v>
      </c>
      <c r="M11" s="181" t="s">
        <v>389</v>
      </c>
      <c r="N11" s="181" t="s">
        <v>389</v>
      </c>
      <c r="O11" s="181" t="s">
        <v>389</v>
      </c>
      <c r="P11" s="181" t="s">
        <v>390</v>
      </c>
      <c r="Q11" s="14" t="s">
        <v>391</v>
      </c>
      <c r="R11" s="331" t="s">
        <v>386</v>
      </c>
      <c r="S11" s="12" t="s">
        <v>386</v>
      </c>
      <c r="T11" s="181"/>
      <c r="U11" s="14" t="s">
        <v>10</v>
      </c>
      <c r="V11" s="64"/>
      <c r="W11" s="138"/>
    </row>
    <row r="12" spans="1:24" ht="15" x14ac:dyDescent="0.2">
      <c r="A12" s="45"/>
      <c r="B12" s="174"/>
      <c r="C12" s="179"/>
      <c r="D12" s="181"/>
      <c r="E12" s="181"/>
      <c r="F12" s="181" t="s">
        <v>31</v>
      </c>
      <c r="G12" s="181"/>
      <c r="H12" s="181"/>
      <c r="I12" s="330"/>
      <c r="J12" s="14"/>
      <c r="K12" s="181" t="s">
        <v>680</v>
      </c>
      <c r="L12" s="14" t="s">
        <v>681</v>
      </c>
      <c r="M12" s="181" t="s">
        <v>680</v>
      </c>
      <c r="N12" s="181" t="s">
        <v>681</v>
      </c>
      <c r="O12" s="181" t="s">
        <v>393</v>
      </c>
      <c r="P12" s="181"/>
      <c r="Q12" s="14"/>
      <c r="R12" s="174" t="s">
        <v>411</v>
      </c>
      <c r="S12" s="14" t="s">
        <v>394</v>
      </c>
      <c r="T12" s="181"/>
      <c r="U12" s="14"/>
      <c r="V12" s="64"/>
      <c r="W12" s="138"/>
    </row>
    <row r="13" spans="1:24" ht="15.75" thickBot="1" x14ac:dyDescent="0.25">
      <c r="A13" s="45"/>
      <c r="B13" s="182"/>
      <c r="C13" s="182"/>
      <c r="D13" s="184"/>
      <c r="E13" s="184"/>
      <c r="F13" s="15" t="s">
        <v>13</v>
      </c>
      <c r="G13" s="15" t="s">
        <v>14</v>
      </c>
      <c r="H13" s="15" t="s">
        <v>15</v>
      </c>
      <c r="I13" s="182"/>
      <c r="J13" s="15" t="s">
        <v>16</v>
      </c>
      <c r="K13" s="182" t="s">
        <v>17</v>
      </c>
      <c r="L13" s="15" t="s">
        <v>18</v>
      </c>
      <c r="M13" s="15" t="s">
        <v>19</v>
      </c>
      <c r="N13" s="15" t="s">
        <v>20</v>
      </c>
      <c r="O13" s="15" t="s">
        <v>21</v>
      </c>
      <c r="P13" s="15" t="s">
        <v>22</v>
      </c>
      <c r="Q13" s="15" t="s">
        <v>397</v>
      </c>
      <c r="R13" s="182" t="s">
        <v>398</v>
      </c>
      <c r="S13" s="15" t="s">
        <v>682</v>
      </c>
      <c r="T13" s="15"/>
      <c r="U13" s="15" t="s">
        <v>683</v>
      </c>
      <c r="V13" s="64"/>
      <c r="W13" s="138"/>
    </row>
    <row r="14" spans="1:24" ht="15" x14ac:dyDescent="0.2">
      <c r="A14" s="45"/>
      <c r="B14" s="64"/>
      <c r="C14" s="11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1"/>
      <c r="V14" s="64"/>
      <c r="W14" s="138"/>
    </row>
    <row r="15" spans="1:24" ht="15.75" x14ac:dyDescent="0.25">
      <c r="A15" s="45"/>
      <c r="B15" s="16">
        <f t="shared" ref="B15:B24" si="0">B14+1</f>
        <v>1</v>
      </c>
      <c r="C15" s="11"/>
      <c r="D15" s="186" t="s">
        <v>592</v>
      </c>
      <c r="E15" s="55" t="s">
        <v>236</v>
      </c>
      <c r="F15" s="98">
        <f>F661+F709</f>
        <v>2527587511.1100001</v>
      </c>
      <c r="G15" s="185"/>
      <c r="H15" s="185"/>
      <c r="I15" s="185"/>
      <c r="J15" s="98">
        <f t="shared" ref="J15:Q15" ca="1" si="1">J661+J709</f>
        <v>1144702232.1051967</v>
      </c>
      <c r="K15" s="98">
        <f t="shared" ca="1" si="1"/>
        <v>27263658.47250839</v>
      </c>
      <c r="L15" s="98">
        <f t="shared" ca="1" si="1"/>
        <v>781547754.39970934</v>
      </c>
      <c r="M15" s="98">
        <f t="shared" ca="1" si="1"/>
        <v>1106142.8960698226</v>
      </c>
      <c r="N15" s="98">
        <f t="shared" ca="1" si="1"/>
        <v>236020423.74899721</v>
      </c>
      <c r="O15" s="98">
        <f ca="1">O661+O709</f>
        <v>75637225.735582754</v>
      </c>
      <c r="P15" s="98">
        <f t="shared" ca="1" si="1"/>
        <v>247820145.89138708</v>
      </c>
      <c r="Q15" s="98">
        <f t="shared" ca="1" si="1"/>
        <v>12057527.767607344</v>
      </c>
      <c r="R15" s="98">
        <f ca="1">R661+R709</f>
        <v>229087.66092137361</v>
      </c>
      <c r="S15" s="98">
        <f ca="1">S661+S709</f>
        <v>1203312.4320198712</v>
      </c>
      <c r="T15" s="185"/>
      <c r="U15" s="98">
        <f ca="1">SUM(I15:T15)</f>
        <v>2527587511.1099997</v>
      </c>
      <c r="V15" s="64"/>
      <c r="W15" s="138"/>
      <c r="X15" s="305">
        <f ca="1">U15-F15</f>
        <v>0</v>
      </c>
    </row>
    <row r="16" spans="1:24" ht="15.75" x14ac:dyDescent="0.25">
      <c r="A16" s="45"/>
      <c r="B16" s="16">
        <f t="shared" si="0"/>
        <v>2</v>
      </c>
      <c r="C16" s="11"/>
      <c r="D16" s="186" t="s">
        <v>593</v>
      </c>
      <c r="E16" s="55" t="s">
        <v>236</v>
      </c>
      <c r="F16" s="98">
        <f>F729+F739+F749</f>
        <v>27246612.660000004</v>
      </c>
      <c r="G16" s="185"/>
      <c r="H16" s="185"/>
      <c r="I16" s="185"/>
      <c r="J16" s="98">
        <f t="shared" ref="J16:Q16" si="2">J729+J739+J749</f>
        <v>14287294.76829375</v>
      </c>
      <c r="K16" s="98">
        <f t="shared" si="2"/>
        <v>1842904.8283511689</v>
      </c>
      <c r="L16" s="98">
        <f t="shared" si="2"/>
        <v>7902847.6640569055</v>
      </c>
      <c r="M16" s="98">
        <f t="shared" si="2"/>
        <v>293583.10626807675</v>
      </c>
      <c r="N16" s="98">
        <f t="shared" si="2"/>
        <v>2457601.5963032939</v>
      </c>
      <c r="O16" s="98">
        <f>O729+O739+O749</f>
        <v>115592.72669107748</v>
      </c>
      <c r="P16" s="98">
        <f t="shared" si="2"/>
        <v>265905.43439212651</v>
      </c>
      <c r="Q16" s="98">
        <f t="shared" si="2"/>
        <v>52010.354286879767</v>
      </c>
      <c r="R16" s="98">
        <f>R729+R739+R749</f>
        <v>8158.9379988017899</v>
      </c>
      <c r="S16" s="98">
        <f>S729+S739+S749</f>
        <v>20713.243357918353</v>
      </c>
      <c r="T16" s="185"/>
      <c r="U16" s="98">
        <f>SUM(I16:T16)</f>
        <v>27246612.660000004</v>
      </c>
      <c r="V16" s="64"/>
      <c r="W16" s="138"/>
      <c r="X16" s="305">
        <f t="shared" ref="X16:X79" si="3">U16-F16</f>
        <v>0</v>
      </c>
    </row>
    <row r="17" spans="1:24" ht="17.25" x14ac:dyDescent="0.35">
      <c r="A17" s="45"/>
      <c r="B17" s="16">
        <f t="shared" si="0"/>
        <v>3</v>
      </c>
      <c r="C17" s="11"/>
      <c r="D17" s="559" t="s">
        <v>594</v>
      </c>
      <c r="E17" s="55" t="s">
        <v>236</v>
      </c>
      <c r="F17" s="204">
        <f>F783</f>
        <v>952159797.57000017</v>
      </c>
      <c r="G17" s="185"/>
      <c r="H17" s="185"/>
      <c r="I17" s="185"/>
      <c r="J17" s="204">
        <f t="shared" ref="J17:Q17" ca="1" si="4">J783</f>
        <v>506701581.82943988</v>
      </c>
      <c r="K17" s="204">
        <f t="shared" ca="1" si="4"/>
        <v>19570559.430423118</v>
      </c>
      <c r="L17" s="204">
        <f t="shared" ca="1" si="4"/>
        <v>317640533.08529836</v>
      </c>
      <c r="M17" s="204">
        <f t="shared" ca="1" si="4"/>
        <v>1182166.557083057</v>
      </c>
      <c r="N17" s="204">
        <f t="shared" ca="1" si="4"/>
        <v>67813802.201417446</v>
      </c>
      <c r="O17" s="204">
        <f ca="1">O783</f>
        <v>6732790.0746942731</v>
      </c>
      <c r="P17" s="204">
        <f t="shared" ca="1" si="4"/>
        <v>1608655.0232986119</v>
      </c>
      <c r="Q17" s="204">
        <f t="shared" ca="1" si="4"/>
        <v>28111812.168243643</v>
      </c>
      <c r="R17" s="204">
        <f ca="1">R783</f>
        <v>466297.1638926192</v>
      </c>
      <c r="S17" s="204">
        <f ca="1">S783</f>
        <v>2331600.0362088527</v>
      </c>
      <c r="T17" s="185"/>
      <c r="U17" s="204">
        <f ca="1">SUM(I17:T17)</f>
        <v>952159797.56999993</v>
      </c>
      <c r="V17" s="64"/>
      <c r="W17" s="138"/>
      <c r="X17" s="305">
        <f t="shared" ca="1" si="3"/>
        <v>0</v>
      </c>
    </row>
    <row r="18" spans="1:24" ht="15.75" x14ac:dyDescent="0.25">
      <c r="A18" s="229"/>
      <c r="B18" s="16">
        <f t="shared" si="0"/>
        <v>4</v>
      </c>
      <c r="C18" s="138"/>
      <c r="D18" s="186" t="s">
        <v>458</v>
      </c>
      <c r="E18" s="55"/>
      <c r="F18" s="51">
        <f>SUM(F15:F17)</f>
        <v>3506993921.3400002</v>
      </c>
      <c r="G18" s="55"/>
      <c r="H18" s="19"/>
      <c r="I18" s="55"/>
      <c r="J18" s="51">
        <f t="shared" ref="J18:Q18" ca="1" si="5">SUM(J15:J17)</f>
        <v>1665691108.7029305</v>
      </c>
      <c r="K18" s="51">
        <f t="shared" ca="1" si="5"/>
        <v>48677122.731282681</v>
      </c>
      <c r="L18" s="51">
        <f t="shared" ca="1" si="5"/>
        <v>1107091135.1490645</v>
      </c>
      <c r="M18" s="51">
        <f t="shared" ca="1" si="5"/>
        <v>2581892.5594209563</v>
      </c>
      <c r="N18" s="51">
        <f t="shared" ca="1" si="5"/>
        <v>306291827.54671794</v>
      </c>
      <c r="O18" s="51">
        <f ca="1">SUM(O15:O17)</f>
        <v>82485608.536968112</v>
      </c>
      <c r="P18" s="51">
        <f t="shared" ca="1" si="5"/>
        <v>249694706.34907782</v>
      </c>
      <c r="Q18" s="51">
        <f t="shared" ca="1" si="5"/>
        <v>40221350.290137865</v>
      </c>
      <c r="R18" s="51">
        <f ca="1">SUM(R15:R17)</f>
        <v>703543.76281279465</v>
      </c>
      <c r="S18" s="51">
        <f ca="1">SUM(S15:S17)</f>
        <v>3555625.7115866421</v>
      </c>
      <c r="T18" s="48"/>
      <c r="U18" s="190">
        <f ca="1">SUM(I18:T18)</f>
        <v>3506993921.3399997</v>
      </c>
      <c r="V18" s="64"/>
      <c r="W18" s="138" t="b">
        <f>' WP II-I-1.4'!$L$18=F18</f>
        <v>1</v>
      </c>
      <c r="X18" s="305">
        <f t="shared" ca="1" si="3"/>
        <v>0</v>
      </c>
    </row>
    <row r="19" spans="1:24" ht="15" customHeight="1" x14ac:dyDescent="0.25">
      <c r="A19" s="229"/>
      <c r="B19" s="16">
        <f t="shared" si="0"/>
        <v>5</v>
      </c>
      <c r="C19" s="138"/>
      <c r="D19" s="186"/>
      <c r="E19" s="55"/>
      <c r="F19" s="48"/>
      <c r="G19" s="55" t="s">
        <v>1224</v>
      </c>
      <c r="H19" s="19"/>
      <c r="I19" s="55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98"/>
      <c r="V19" s="64"/>
      <c r="W19" s="138"/>
      <c r="X19" s="305">
        <f t="shared" si="3"/>
        <v>0</v>
      </c>
    </row>
    <row r="20" spans="1:24" ht="15.75" x14ac:dyDescent="0.25">
      <c r="A20" s="229"/>
      <c r="B20" s="16">
        <f t="shared" si="0"/>
        <v>6</v>
      </c>
      <c r="C20" s="138"/>
      <c r="D20" s="154" t="s">
        <v>590</v>
      </c>
      <c r="E20" s="55" t="s">
        <v>280</v>
      </c>
      <c r="F20" s="48">
        <f>F1065</f>
        <v>721248321.12</v>
      </c>
      <c r="G20" s="55"/>
      <c r="H20" s="19"/>
      <c r="I20" s="55"/>
      <c r="J20" s="48">
        <f t="shared" ref="J20:Q20" ca="1" si="6">J1065</f>
        <v>379904513.1083622</v>
      </c>
      <c r="K20" s="48">
        <f t="shared" ca="1" si="6"/>
        <v>16812128.111795776</v>
      </c>
      <c r="L20" s="48">
        <f t="shared" ca="1" si="6"/>
        <v>236686580.6039646</v>
      </c>
      <c r="M20" s="48">
        <f t="shared" ca="1" si="6"/>
        <v>877378.6051320465</v>
      </c>
      <c r="N20" s="48">
        <f t="shared" ca="1" si="6"/>
        <v>46026943.268442892</v>
      </c>
      <c r="O20" s="48">
        <f ca="1">O1065</f>
        <v>3937327.1455429127</v>
      </c>
      <c r="P20" s="48">
        <f t="shared" ca="1" si="6"/>
        <v>1076356.1735377628</v>
      </c>
      <c r="Q20" s="48">
        <f t="shared" ca="1" si="6"/>
        <v>34063217.235963501</v>
      </c>
      <c r="R20" s="48">
        <f ca="1">R1065</f>
        <v>280658.31321217888</v>
      </c>
      <c r="S20" s="48">
        <f ca="1">S1065</f>
        <v>1583218.5540461412</v>
      </c>
      <c r="T20" s="48"/>
      <c r="U20" s="98">
        <f ca="1">SUM(I20:T20)</f>
        <v>721248321.11999989</v>
      </c>
      <c r="V20" s="64"/>
      <c r="W20" s="138"/>
      <c r="X20" s="305">
        <f t="shared" ca="1" si="3"/>
        <v>0</v>
      </c>
    </row>
    <row r="21" spans="1:24" ht="17.25" x14ac:dyDescent="0.35">
      <c r="A21" s="229"/>
      <c r="B21" s="16">
        <f t="shared" si="0"/>
        <v>7</v>
      </c>
      <c r="C21" s="138"/>
      <c r="D21" s="560" t="s">
        <v>591</v>
      </c>
      <c r="E21" s="55" t="s">
        <v>313</v>
      </c>
      <c r="F21" s="557">
        <f>F1067+F1068</f>
        <v>40888584.039999999</v>
      </c>
      <c r="G21" s="55"/>
      <c r="H21" s="19"/>
      <c r="I21" s="55"/>
      <c r="J21" s="557">
        <f t="shared" ref="J21:Q21" ca="1" si="7">J1067+J1068</f>
        <v>21708789.384040691</v>
      </c>
      <c r="K21" s="557">
        <f t="shared" ca="1" si="7"/>
        <v>2087379.2800160677</v>
      </c>
      <c r="L21" s="557">
        <f t="shared" ca="1" si="7"/>
        <v>12691736.190927424</v>
      </c>
      <c r="M21" s="557">
        <f t="shared" ca="1" si="7"/>
        <v>310409.67717699113</v>
      </c>
      <c r="N21" s="557">
        <f t="shared" ca="1" si="7"/>
        <v>3392803.1183272619</v>
      </c>
      <c r="O21" s="557">
        <f ca="1">O1067+O1068</f>
        <v>196612.6669577306</v>
      </c>
      <c r="P21" s="557">
        <f t="shared" ca="1" si="7"/>
        <v>182763.60710756227</v>
      </c>
      <c r="Q21" s="557">
        <f t="shared" ca="1" si="7"/>
        <v>240460.79576419451</v>
      </c>
      <c r="R21" s="557">
        <f ca="1">R1067+R1068</f>
        <v>16813.444230542522</v>
      </c>
      <c r="S21" s="557">
        <f ca="1">S1067+S1068</f>
        <v>60815.875451537024</v>
      </c>
      <c r="T21" s="48"/>
      <c r="U21" s="204">
        <f ca="1">SUM(I21:T21)</f>
        <v>40888584.039999992</v>
      </c>
      <c r="V21" s="64"/>
      <c r="W21" s="138"/>
      <c r="X21" s="305">
        <f t="shared" ca="1" si="3"/>
        <v>0</v>
      </c>
    </row>
    <row r="22" spans="1:24" ht="15" customHeight="1" x14ac:dyDescent="0.25">
      <c r="A22" s="229"/>
      <c r="B22" s="16">
        <f t="shared" si="0"/>
        <v>8</v>
      </c>
      <c r="C22" s="138"/>
      <c r="D22" s="11" t="s">
        <v>459</v>
      </c>
      <c r="E22" s="55"/>
      <c r="F22" s="51">
        <f>SUM(F20:F21)</f>
        <v>762136905.15999997</v>
      </c>
      <c r="G22" s="55"/>
      <c r="H22" s="55"/>
      <c r="I22" s="55"/>
      <c r="J22" s="51">
        <f t="shared" ref="J22:Q22" ca="1" si="8">SUM(J20:J21)</f>
        <v>401613302.49240291</v>
      </c>
      <c r="K22" s="51">
        <f t="shared" ca="1" si="8"/>
        <v>18899507.391811844</v>
      </c>
      <c r="L22" s="51">
        <f t="shared" ca="1" si="8"/>
        <v>249378316.79489201</v>
      </c>
      <c r="M22" s="51">
        <f t="shared" ca="1" si="8"/>
        <v>1187788.2823090376</v>
      </c>
      <c r="N22" s="51">
        <f t="shared" ca="1" si="8"/>
        <v>49419746.386770152</v>
      </c>
      <c r="O22" s="51">
        <f ca="1">SUM(O20:O21)</f>
        <v>4133939.8125006431</v>
      </c>
      <c r="P22" s="51">
        <f t="shared" ca="1" si="8"/>
        <v>1259119.7806453251</v>
      </c>
      <c r="Q22" s="51">
        <f t="shared" ca="1" si="8"/>
        <v>34303678.031727694</v>
      </c>
      <c r="R22" s="51">
        <f ca="1">SUM(R20:R21)</f>
        <v>297471.7574427214</v>
      </c>
      <c r="S22" s="51">
        <f ca="1">SUM(S20:S21)</f>
        <v>1644034.4294976783</v>
      </c>
      <c r="T22" s="48"/>
      <c r="U22" s="190">
        <f ca="1">SUM(I22:T22)</f>
        <v>762136905.15999997</v>
      </c>
      <c r="V22" s="64"/>
      <c r="W22" s="138" t="b">
        <f>' WP II-I-1.4'!$L$22=F22</f>
        <v>1</v>
      </c>
      <c r="X22" s="305">
        <f t="shared" ca="1" si="3"/>
        <v>0</v>
      </c>
    </row>
    <row r="23" spans="1:24" ht="15.75" x14ac:dyDescent="0.25">
      <c r="A23" s="229"/>
      <c r="B23" s="16">
        <f t="shared" si="0"/>
        <v>9</v>
      </c>
      <c r="C23" s="138"/>
      <c r="D23" s="11"/>
      <c r="E23" s="55"/>
      <c r="F23" s="48"/>
      <c r="G23" s="55"/>
      <c r="H23" s="55"/>
      <c r="I23" s="5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98"/>
      <c r="V23" s="64"/>
      <c r="W23" s="138"/>
      <c r="X23" s="305">
        <f t="shared" si="3"/>
        <v>0</v>
      </c>
    </row>
    <row r="24" spans="1:24" ht="15.75" x14ac:dyDescent="0.25">
      <c r="A24" s="229"/>
      <c r="B24" s="16">
        <f t="shared" si="0"/>
        <v>10</v>
      </c>
      <c r="C24" s="138"/>
      <c r="D24" s="11" t="s">
        <v>343</v>
      </c>
      <c r="E24" s="55" t="s">
        <v>288</v>
      </c>
      <c r="F24" s="48">
        <f>+F1103</f>
        <v>494986759.41999996</v>
      </c>
      <c r="G24" s="55"/>
      <c r="H24" s="55"/>
      <c r="I24" s="55"/>
      <c r="J24" s="48">
        <f t="shared" ref="J24:Q24" ca="1" si="9">+J1103</f>
        <v>222233924.70047188</v>
      </c>
      <c r="K24" s="48">
        <f t="shared" ca="1" si="9"/>
        <v>7470560.263339892</v>
      </c>
      <c r="L24" s="48">
        <f t="shared" ca="1" si="9"/>
        <v>191033863.42283911</v>
      </c>
      <c r="M24" s="48">
        <f t="shared" ca="1" si="9"/>
        <v>174043.73206691365</v>
      </c>
      <c r="N24" s="48">
        <f ca="1">+N1103</f>
        <v>33593410.134052433</v>
      </c>
      <c r="O24" s="48">
        <f ca="1">+O1103</f>
        <v>5306944.0024591312</v>
      </c>
      <c r="P24" s="48">
        <f t="shared" ca="1" si="9"/>
        <v>27571463.792722713</v>
      </c>
      <c r="Q24" s="48">
        <f t="shared" ca="1" si="9"/>
        <v>6397694.4369190978</v>
      </c>
      <c r="R24" s="48">
        <f ca="1">+R1103</f>
        <v>394111.51413296396</v>
      </c>
      <c r="S24" s="48">
        <f ca="1">+S1103</f>
        <v>810743.42099572916</v>
      </c>
      <c r="T24" s="48"/>
      <c r="U24" s="98">
        <f ca="1">SUM(I24:T24)</f>
        <v>494986759.41999984</v>
      </c>
      <c r="V24" s="64"/>
      <c r="W24" s="138" t="b">
        <f>' WP II-I-1.4'!$L$24=F24</f>
        <v>1</v>
      </c>
      <c r="X24" s="305">
        <f t="shared" ca="1" si="3"/>
        <v>0</v>
      </c>
    </row>
    <row r="25" spans="1:24" ht="15.75" x14ac:dyDescent="0.25">
      <c r="A25" s="229"/>
      <c r="B25" s="16">
        <f t="shared" ref="B25:B39" si="10">B24+1</f>
        <v>11</v>
      </c>
      <c r="C25" s="138"/>
      <c r="D25" s="186" t="s">
        <v>460</v>
      </c>
      <c r="E25" s="55" t="s">
        <v>299</v>
      </c>
      <c r="F25" s="48">
        <f>+F1162</f>
        <v>144739017.62204704</v>
      </c>
      <c r="G25" s="55"/>
      <c r="H25" s="55"/>
      <c r="I25" s="55"/>
      <c r="J25" s="48">
        <f t="shared" ref="J25:Q25" ca="1" si="11">+J1162</f>
        <v>78668226.00244163</v>
      </c>
      <c r="K25" s="48">
        <f t="shared" ca="1" si="11"/>
        <v>2333594.427766101</v>
      </c>
      <c r="L25" s="48">
        <f t="shared" ca="1" si="11"/>
        <v>50108867.645949163</v>
      </c>
      <c r="M25" s="48">
        <f t="shared" ca="1" si="11"/>
        <v>68143.324360190891</v>
      </c>
      <c r="N25" s="48">
        <f t="shared" ca="1" si="11"/>
        <v>9622190.457594797</v>
      </c>
      <c r="O25" s="48">
        <f ca="1">+O1162</f>
        <v>1093406.307408148</v>
      </c>
      <c r="P25" s="48">
        <f t="shared" ca="1" si="11"/>
        <v>303017.13884001854</v>
      </c>
      <c r="Q25" s="48">
        <f t="shared" ca="1" si="11"/>
        <v>2109357.0916509507</v>
      </c>
      <c r="R25" s="48">
        <f ca="1">+R1162</f>
        <v>76708.788146471969</v>
      </c>
      <c r="S25" s="48">
        <f ca="1">+S1162</f>
        <v>355506.43788959295</v>
      </c>
      <c r="T25" s="48"/>
      <c r="U25" s="98">
        <f ca="1">SUM(I25:T25)</f>
        <v>144739017.62204707</v>
      </c>
      <c r="V25" s="64"/>
      <c r="W25" s="643">
        <f>' WP II-I-1.4'!$L$25-F25</f>
        <v>0</v>
      </c>
      <c r="X25" s="305">
        <f t="shared" ca="1" si="3"/>
        <v>0</v>
      </c>
    </row>
    <row r="26" spans="1:24" ht="15.75" x14ac:dyDescent="0.25">
      <c r="A26" s="229"/>
      <c r="B26" s="16">
        <f t="shared" si="10"/>
        <v>12</v>
      </c>
      <c r="C26" s="138"/>
      <c r="D26" s="122"/>
      <c r="E26" s="187"/>
      <c r="F26" s="48"/>
      <c r="G26" s="187"/>
      <c r="H26" s="187"/>
      <c r="I26" s="18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64"/>
      <c r="W26" s="138"/>
      <c r="X26" s="305">
        <f t="shared" si="3"/>
        <v>0</v>
      </c>
    </row>
    <row r="27" spans="1:24" ht="15.75" x14ac:dyDescent="0.25">
      <c r="A27" s="229"/>
      <c r="B27" s="16">
        <f t="shared" si="10"/>
        <v>13</v>
      </c>
      <c r="C27" s="138"/>
      <c r="D27" s="11" t="s">
        <v>461</v>
      </c>
      <c r="E27" s="55" t="s">
        <v>462</v>
      </c>
      <c r="F27" s="48">
        <f>+F83</f>
        <v>1059157322.9243674</v>
      </c>
      <c r="G27" s="55"/>
      <c r="H27" s="55"/>
      <c r="I27" s="55"/>
      <c r="J27" s="48">
        <f t="shared" ref="J27:Q27" ca="1" si="12">+J83</f>
        <v>575281985.23256433</v>
      </c>
      <c r="K27" s="48">
        <f t="shared" ca="1" si="12"/>
        <v>18004271.595711999</v>
      </c>
      <c r="L27" s="48">
        <f t="shared" ca="1" si="12"/>
        <v>365709439.32302266</v>
      </c>
      <c r="M27" s="48">
        <f t="shared" ca="1" si="12"/>
        <v>698376.14431185985</v>
      </c>
      <c r="N27" s="48">
        <f t="shared" ca="1" si="12"/>
        <v>71151671.419516057</v>
      </c>
      <c r="O27" s="48">
        <f ca="1">+O83</f>
        <v>7977532.6448662793</v>
      </c>
      <c r="P27" s="48">
        <f t="shared" ca="1" si="12"/>
        <v>2278161.2512788735</v>
      </c>
      <c r="Q27" s="48">
        <f t="shared" ca="1" si="12"/>
        <v>14910475.501088111</v>
      </c>
      <c r="R27" s="48">
        <f ca="1">+R83</f>
        <v>561325.44376306981</v>
      </c>
      <c r="S27" s="48">
        <f ca="1">+S83</f>
        <v>2584084.3682442927</v>
      </c>
      <c r="T27" s="48"/>
      <c r="U27" s="98">
        <f ca="1">SUM(I27:T27)</f>
        <v>1059157322.9243675</v>
      </c>
      <c r="V27" s="64"/>
      <c r="W27" s="188" t="b">
        <f>' WP II-I-1.4'!$L$27=F27</f>
        <v>1</v>
      </c>
      <c r="X27" s="305">
        <f t="shared" ca="1" si="3"/>
        <v>0</v>
      </c>
    </row>
    <row r="28" spans="1:24" ht="15.75" x14ac:dyDescent="0.25">
      <c r="A28" s="229"/>
      <c r="B28" s="16">
        <f t="shared" si="10"/>
        <v>14</v>
      </c>
      <c r="C28" s="138"/>
      <c r="D28" s="186"/>
      <c r="E28" s="187"/>
      <c r="F28" s="11"/>
      <c r="G28" s="187"/>
      <c r="H28" s="187"/>
      <c r="I28" s="187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8"/>
      <c r="V28" s="64"/>
      <c r="W28" s="138"/>
      <c r="X28" s="305">
        <f t="shared" si="3"/>
        <v>0</v>
      </c>
    </row>
    <row r="29" spans="1:24" s="589" customFormat="1" ht="15" x14ac:dyDescent="0.2">
      <c r="A29" s="668"/>
      <c r="B29" s="645">
        <f t="shared" si="10"/>
        <v>15</v>
      </c>
      <c r="C29" s="138"/>
      <c r="D29" s="1041" t="s">
        <v>463</v>
      </c>
      <c r="E29" s="1042"/>
      <c r="F29" s="621">
        <f>+F18+F22+F24+F25+F27</f>
        <v>5968013926.4664154</v>
      </c>
      <c r="G29" s="1042"/>
      <c r="H29" s="1042"/>
      <c r="I29" s="1042"/>
      <c r="J29" s="621">
        <f t="shared" ref="J29:Q29" ca="1" si="13">+J18+J22+J24+J25+J27</f>
        <v>2943488547.1308112</v>
      </c>
      <c r="K29" s="621">
        <f t="shared" ca="1" si="13"/>
        <v>95385056.409912527</v>
      </c>
      <c r="L29" s="621">
        <f t="shared" ca="1" si="13"/>
        <v>1963321622.3357675</v>
      </c>
      <c r="M29" s="621">
        <f t="shared" ca="1" si="13"/>
        <v>4710244.0424689585</v>
      </c>
      <c r="N29" s="621">
        <f t="shared" ca="1" si="13"/>
        <v>470078845.94465137</v>
      </c>
      <c r="O29" s="621">
        <f ca="1">+O18+O22+O24+O25+O27</f>
        <v>100997431.3042023</v>
      </c>
      <c r="P29" s="621">
        <f t="shared" ca="1" si="13"/>
        <v>281106468.31256473</v>
      </c>
      <c r="Q29" s="621">
        <f t="shared" ca="1" si="13"/>
        <v>97942555.351523712</v>
      </c>
      <c r="R29" s="621">
        <f ca="1">+R18+R22+R24+R25+R27</f>
        <v>2033161.2662980219</v>
      </c>
      <c r="S29" s="621">
        <f ca="1">+S18+S22+S24+S25+S27</f>
        <v>8949994.3682139348</v>
      </c>
      <c r="T29" s="621"/>
      <c r="U29" s="694">
        <f ca="1">SUM(I29:T29)</f>
        <v>5968013926.4664145</v>
      </c>
      <c r="W29" s="1490">
        <f>' WP II-I-1.4'!$L$29-F29</f>
        <v>0</v>
      </c>
      <c r="X29" s="646">
        <f t="shared" ca="1" si="3"/>
        <v>0</v>
      </c>
    </row>
    <row r="30" spans="1:24" ht="15.75" x14ac:dyDescent="0.25">
      <c r="A30" s="229"/>
      <c r="B30" s="16">
        <f t="shared" si="10"/>
        <v>16</v>
      </c>
      <c r="C30" s="138"/>
      <c r="D30" s="11"/>
      <c r="E30" s="55"/>
      <c r="F30" s="11"/>
      <c r="G30" s="55"/>
      <c r="H30" s="55"/>
      <c r="I30" s="55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64"/>
      <c r="W30" s="138"/>
      <c r="X30" s="305">
        <f t="shared" si="3"/>
        <v>0</v>
      </c>
    </row>
    <row r="31" spans="1:24" ht="15.75" x14ac:dyDescent="0.25">
      <c r="A31" s="229"/>
      <c r="B31" s="16">
        <f t="shared" si="10"/>
        <v>17</v>
      </c>
      <c r="C31" s="138"/>
      <c r="D31" s="11" t="s">
        <v>464</v>
      </c>
      <c r="E31" s="55" t="s">
        <v>318</v>
      </c>
      <c r="F31" s="48">
        <f>+F1222</f>
        <v>81014329.150000006</v>
      </c>
      <c r="G31" s="55"/>
      <c r="H31" s="55"/>
      <c r="I31" s="55"/>
      <c r="J31" s="48">
        <f t="shared" ref="J31:Q31" ca="1" si="14">+J1222</f>
        <v>44678853.850322224</v>
      </c>
      <c r="K31" s="48">
        <f t="shared" ca="1" si="14"/>
        <v>2520222.3258563029</v>
      </c>
      <c r="L31" s="48">
        <f t="shared" ca="1" si="14"/>
        <v>21286205.023087922</v>
      </c>
      <c r="M31" s="48">
        <f t="shared" ca="1" si="14"/>
        <v>188960.18473715006</v>
      </c>
      <c r="N31" s="48">
        <f t="shared" ca="1" si="14"/>
        <v>5684263.9748559548</v>
      </c>
      <c r="O31" s="48">
        <f ca="1">+O1222</f>
        <v>1334239.9493107407</v>
      </c>
      <c r="P31" s="48">
        <f t="shared" ca="1" si="14"/>
        <v>4650081.3274111319</v>
      </c>
      <c r="Q31" s="48">
        <f t="shared" ca="1" si="14"/>
        <v>418151.09482007194</v>
      </c>
      <c r="R31" s="48">
        <f ca="1">+R1222</f>
        <v>88786.337962819947</v>
      </c>
      <c r="S31" s="48">
        <f ca="1">+S1222</f>
        <v>164565.08163566972</v>
      </c>
      <c r="T31" s="48"/>
      <c r="U31" s="98">
        <f ca="1">SUM(I31:T31)</f>
        <v>81014329.149999976</v>
      </c>
      <c r="V31" s="64"/>
      <c r="W31" s="138" t="b">
        <f>' WP II-I-1.4'!$L$31=F31</f>
        <v>1</v>
      </c>
      <c r="X31" s="305">
        <f t="shared" ca="1" si="3"/>
        <v>0</v>
      </c>
    </row>
    <row r="32" spans="1:24" ht="15.75" thickBot="1" x14ac:dyDescent="0.25">
      <c r="A32" s="229"/>
      <c r="B32" s="16">
        <f t="shared" si="10"/>
        <v>18</v>
      </c>
      <c r="C32" s="13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64"/>
      <c r="W32" s="138"/>
      <c r="X32" s="305">
        <f t="shared" si="3"/>
        <v>0</v>
      </c>
    </row>
    <row r="33" spans="1:24" ht="16.5" thickBot="1" x14ac:dyDescent="0.3">
      <c r="A33" s="229"/>
      <c r="B33" s="16">
        <f t="shared" si="10"/>
        <v>19</v>
      </c>
      <c r="C33" s="138"/>
      <c r="D33" s="192" t="s">
        <v>465</v>
      </c>
      <c r="E33" s="193"/>
      <c r="F33" s="194">
        <f>+F29-F31</f>
        <v>5886999597.3164158</v>
      </c>
      <c r="G33" s="193"/>
      <c r="H33" s="332"/>
      <c r="I33" s="543"/>
      <c r="J33" s="295">
        <f t="shared" ref="J33:Q33" ca="1" si="15">+J29-J31</f>
        <v>2898809693.280489</v>
      </c>
      <c r="K33" s="194">
        <f t="shared" ca="1" si="15"/>
        <v>92864834.084056228</v>
      </c>
      <c r="L33" s="315">
        <f t="shared" ca="1" si="15"/>
        <v>1942035417.3126795</v>
      </c>
      <c r="M33" s="381">
        <f t="shared" ca="1" si="15"/>
        <v>4521283.8577318089</v>
      </c>
      <c r="N33" s="194">
        <f t="shared" ca="1" si="15"/>
        <v>464394581.96979541</v>
      </c>
      <c r="O33" s="194">
        <f ca="1">+O29-O31</f>
        <v>99663191.354891568</v>
      </c>
      <c r="P33" s="194">
        <f t="shared" ca="1" si="15"/>
        <v>276456386.98515362</v>
      </c>
      <c r="Q33" s="194">
        <f t="shared" ca="1" si="15"/>
        <v>97524404.256703645</v>
      </c>
      <c r="R33" s="194">
        <f ca="1">+R29-R31</f>
        <v>1944374.9283352019</v>
      </c>
      <c r="S33" s="315">
        <f ca="1">+S29-S31</f>
        <v>8785429.286578266</v>
      </c>
      <c r="T33" s="914"/>
      <c r="U33" s="195">
        <f ca="1">SUM(I33:T33)</f>
        <v>5886999597.3164139</v>
      </c>
      <c r="V33" s="64"/>
      <c r="W33" s="643">
        <f>' WP II-I-1.4'!$L$33-F33</f>
        <v>0</v>
      </c>
      <c r="X33" s="305">
        <f t="shared" ca="1" si="3"/>
        <v>0</v>
      </c>
    </row>
    <row r="34" spans="1:24" ht="16.5" thickBot="1" x14ac:dyDescent="0.3">
      <c r="A34" s="45"/>
      <c r="B34" s="16">
        <f t="shared" si="10"/>
        <v>20</v>
      </c>
      <c r="C34" s="138"/>
      <c r="D34" s="11"/>
      <c r="E34" s="121"/>
      <c r="F34" s="98"/>
      <c r="G34" s="121"/>
      <c r="H34" s="121"/>
      <c r="I34" s="121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64"/>
      <c r="W34" s="138"/>
      <c r="X34" s="305">
        <f t="shared" si="3"/>
        <v>0</v>
      </c>
    </row>
    <row r="35" spans="1:24" ht="15.75" x14ac:dyDescent="0.25">
      <c r="A35" s="45"/>
      <c r="B35" s="16">
        <f t="shared" si="10"/>
        <v>21</v>
      </c>
      <c r="C35" s="138"/>
      <c r="D35" s="333"/>
      <c r="E35" s="334"/>
      <c r="F35" s="335"/>
      <c r="G35" s="334"/>
      <c r="H35" s="336"/>
      <c r="I35" s="1365"/>
      <c r="J35" s="335"/>
      <c r="K35" s="335"/>
      <c r="L35" s="337"/>
      <c r="M35" s="335"/>
      <c r="N35" s="335"/>
      <c r="O35" s="335"/>
      <c r="P35" s="335"/>
      <c r="Q35" s="335"/>
      <c r="R35" s="335"/>
      <c r="S35" s="335"/>
      <c r="T35" s="1176"/>
      <c r="U35" s="337"/>
      <c r="V35" s="64"/>
      <c r="W35" s="138"/>
      <c r="X35" s="305">
        <f t="shared" si="3"/>
        <v>0</v>
      </c>
    </row>
    <row r="36" spans="1:24" ht="15" x14ac:dyDescent="0.2">
      <c r="A36" s="45"/>
      <c r="B36" s="16">
        <f t="shared" si="10"/>
        <v>22</v>
      </c>
      <c r="C36" s="138"/>
      <c r="D36" s="338"/>
      <c r="E36" s="339"/>
      <c r="F36" s="339"/>
      <c r="G36" s="339"/>
      <c r="H36" s="340"/>
      <c r="I36" s="1177"/>
      <c r="J36" s="339"/>
      <c r="K36" s="339"/>
      <c r="L36" s="340"/>
      <c r="M36" s="339"/>
      <c r="N36" s="339"/>
      <c r="O36" s="339"/>
      <c r="P36" s="339"/>
      <c r="Q36" s="339"/>
      <c r="R36" s="339"/>
      <c r="S36" s="339"/>
      <c r="T36" s="1177"/>
      <c r="U36" s="340"/>
      <c r="V36" s="64"/>
      <c r="W36" s="138"/>
      <c r="X36" s="305">
        <f t="shared" si="3"/>
        <v>0</v>
      </c>
    </row>
    <row r="37" spans="1:24" ht="15.75" x14ac:dyDescent="0.25">
      <c r="A37" s="45"/>
      <c r="B37" s="16">
        <f t="shared" si="10"/>
        <v>23</v>
      </c>
      <c r="C37" s="138"/>
      <c r="D37" s="341" t="s">
        <v>684</v>
      </c>
      <c r="E37" s="121"/>
      <c r="F37" s="21">
        <f>F33</f>
        <v>5886999597.3164158</v>
      </c>
      <c r="G37" s="121"/>
      <c r="H37" s="342"/>
      <c r="I37" s="1366"/>
      <c r="J37" s="805">
        <f t="shared" ref="J37:S37" ca="1" si="16">J33</f>
        <v>2898809693.280489</v>
      </c>
      <c r="K37" s="805">
        <f t="shared" ca="1" si="16"/>
        <v>92864834.084056228</v>
      </c>
      <c r="L37" s="805">
        <f t="shared" ca="1" si="16"/>
        <v>1942035417.3126795</v>
      </c>
      <c r="M37" s="805">
        <f t="shared" ca="1" si="16"/>
        <v>4521283.8577318089</v>
      </c>
      <c r="N37" s="805">
        <f t="shared" ca="1" si="16"/>
        <v>464394581.96979541</v>
      </c>
      <c r="O37" s="805">
        <f t="shared" ca="1" si="16"/>
        <v>99663191.354891568</v>
      </c>
      <c r="P37" s="805">
        <f t="shared" ca="1" si="16"/>
        <v>276456386.98515362</v>
      </c>
      <c r="Q37" s="805">
        <f t="shared" ca="1" si="16"/>
        <v>97524404.256703645</v>
      </c>
      <c r="R37" s="805">
        <f t="shared" ca="1" si="16"/>
        <v>1944374.9283352019</v>
      </c>
      <c r="S37" s="805">
        <f t="shared" ca="1" si="16"/>
        <v>8785429.286578266</v>
      </c>
      <c r="T37" s="260"/>
      <c r="U37" s="343">
        <f ca="1">SUM(I37:T37)</f>
        <v>5886999597.3164139</v>
      </c>
      <c r="V37" s="64"/>
      <c r="W37" s="138"/>
      <c r="X37" s="305">
        <f t="shared" ca="1" si="3"/>
        <v>0</v>
      </c>
    </row>
    <row r="38" spans="1:24" ht="15.75" x14ac:dyDescent="0.25">
      <c r="A38" s="45"/>
      <c r="B38" s="16">
        <f t="shared" si="10"/>
        <v>24</v>
      </c>
      <c r="C38" s="138"/>
      <c r="D38" s="338"/>
      <c r="E38" s="121"/>
      <c r="F38" s="23"/>
      <c r="G38" s="121"/>
      <c r="H38" s="342"/>
      <c r="I38" s="1366"/>
      <c r="J38" s="23"/>
      <c r="K38" s="23"/>
      <c r="L38" s="344"/>
      <c r="M38" s="23"/>
      <c r="N38" s="23"/>
      <c r="O38" s="23"/>
      <c r="P38" s="23"/>
      <c r="Q38" s="23"/>
      <c r="R38" s="23"/>
      <c r="S38" s="23"/>
      <c r="T38" s="1178"/>
      <c r="U38" s="344"/>
      <c r="V38" s="64"/>
      <c r="W38" s="138"/>
      <c r="X38" s="305">
        <f t="shared" si="3"/>
        <v>0</v>
      </c>
    </row>
    <row r="39" spans="1:24" ht="16.5" thickBot="1" x14ac:dyDescent="0.3">
      <c r="A39" s="45"/>
      <c r="B39" s="16">
        <f t="shared" si="10"/>
        <v>25</v>
      </c>
      <c r="C39" s="138"/>
      <c r="D39" s="345" t="s">
        <v>1183</v>
      </c>
      <c r="E39" s="346"/>
      <c r="F39" s="347">
        <f>+F37-F645-('II-I-DIST'!F776*('WP II-I-2.2'!$P$45))</f>
        <v>3786158124.6564159</v>
      </c>
      <c r="G39" s="346"/>
      <c r="H39" s="348"/>
      <c r="I39" s="1367"/>
      <c r="J39" s="347">
        <f ca="1">+J37-J645-('II-I-DIST'!J776*('WP II-I-2.2'!$P$45))</f>
        <v>1977404705.7122562</v>
      </c>
      <c r="K39" s="347">
        <f ca="1">+K37-K645-('II-I-DIST'!K776*('WP II-I-2.2'!$P$45))</f>
        <v>74289956.858116522</v>
      </c>
      <c r="L39" s="347">
        <f ca="1">+L37-L645-('II-I-DIST'!L776*('WP II-I-2.2'!$P$45))</f>
        <v>1300575896.978425</v>
      </c>
      <c r="M39" s="347">
        <f ca="1">+M37-M645-('II-I-DIST'!M776*('WP II-I-2.2'!$P$45))</f>
        <v>4318354.4690501112</v>
      </c>
      <c r="N39" s="347">
        <f ca="1">+N37-N645-('II-I-DIST'!N776*('WP II-I-2.2'!$P$45))</f>
        <v>264945162.35438937</v>
      </c>
      <c r="O39" s="347">
        <f ca="1">+O37-O645-('II-I-DIST'!O776*('WP II-I-2.2'!$P$45))</f>
        <v>27255095.813465759</v>
      </c>
      <c r="P39" s="347">
        <f ca="1">+P37-P645-('II-I-DIST'!P776*('WP II-I-2.2'!$P$45))</f>
        <v>29114743.999094218</v>
      </c>
      <c r="Q39" s="347">
        <f ca="1">+Q37-Q645-('II-I-DIST'!Q776*('WP II-I-2.2'!$P$45))</f>
        <v>97524404.256703645</v>
      </c>
      <c r="R39" s="347">
        <f ca="1">+R37-R645-('II-I-DIST'!R776*('WP II-I-2.2'!$P$45))</f>
        <v>1944374.9283352019</v>
      </c>
      <c r="S39" s="347">
        <f ca="1">+S37-S645-('II-I-DIST'!S776*('WP II-I-2.2'!$P$45))</f>
        <v>8785429.286578266</v>
      </c>
      <c r="T39" s="250"/>
      <c r="U39" s="904">
        <f ca="1">SUM(I39:T39)</f>
        <v>3786158124.6564136</v>
      </c>
      <c r="V39" s="356"/>
      <c r="W39" s="643">
        <f ca="1">'II-I-DIST'!$J$39+'II-I-MET'!$J$33+'II-I-TBILLTDCS'!$J$33-J39</f>
        <v>0</v>
      </c>
      <c r="X39" s="305">
        <f t="shared" ca="1" si="3"/>
        <v>0</v>
      </c>
    </row>
    <row r="40" spans="1:24" ht="15.75" x14ac:dyDescent="0.25">
      <c r="A40" s="45"/>
      <c r="B40" s="64"/>
      <c r="C40" s="64"/>
      <c r="D40" s="64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64"/>
      <c r="V40" s="64"/>
      <c r="W40" s="138"/>
      <c r="X40" s="305">
        <f t="shared" si="3"/>
        <v>0</v>
      </c>
    </row>
    <row r="41" spans="1:24" ht="10.5" customHeight="1" thickBot="1" x14ac:dyDescent="0.3">
      <c r="A41" s="45"/>
      <c r="B41" s="64"/>
      <c r="C41" s="64"/>
      <c r="D41" s="64"/>
      <c r="E41" s="121"/>
      <c r="F41" s="786"/>
      <c r="G41" s="786"/>
      <c r="H41" s="105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05"/>
      <c r="V41" s="105"/>
      <c r="W41" s="643"/>
      <c r="X41" s="305"/>
    </row>
    <row r="42" spans="1:24" ht="15.75" x14ac:dyDescent="0.25">
      <c r="A42" s="45"/>
      <c r="B42" s="829" t="str">
        <f>+$B$4</f>
        <v>2025 RATE CASE</v>
      </c>
      <c r="C42" s="867"/>
      <c r="D42" s="868"/>
      <c r="E42" s="64"/>
      <c r="F42" s="64"/>
      <c r="G42" s="64"/>
      <c r="H42" s="64"/>
      <c r="I42" s="97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105"/>
      <c r="V42" s="138"/>
      <c r="W42" s="138"/>
      <c r="X42" s="305">
        <f t="shared" si="3"/>
        <v>0</v>
      </c>
    </row>
    <row r="43" spans="1:24" ht="15.75" x14ac:dyDescent="0.25">
      <c r="A43" s="229"/>
      <c r="B43" s="826" t="str">
        <f>+$B$5</f>
        <v>ONCOR ELECTRIC DELIVERY COMPANY LLC</v>
      </c>
      <c r="C43" s="752"/>
      <c r="D43" s="869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105"/>
      <c r="V43" s="64"/>
      <c r="W43" s="138"/>
      <c r="X43" s="305">
        <f t="shared" si="3"/>
        <v>0</v>
      </c>
    </row>
    <row r="44" spans="1:24" ht="15.75" x14ac:dyDescent="0.25">
      <c r="A44" s="45"/>
      <c r="B44" s="826" t="str">
        <f>+$B$6</f>
        <v>II-I-1-TOT:  CLASS REVENUE REQUIREMENT</v>
      </c>
      <c r="C44" s="752"/>
      <c r="D44" s="830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138"/>
      <c r="X44" s="305">
        <f t="shared" si="3"/>
        <v>0</v>
      </c>
    </row>
    <row r="45" spans="1:24" ht="15.75" x14ac:dyDescent="0.25">
      <c r="A45" s="45"/>
      <c r="B45" s="341" t="str">
        <f>+$B$7</f>
        <v>TEST YEAR ENDING 12/31/2024</v>
      </c>
      <c r="C45" s="752"/>
      <c r="D45" s="830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138"/>
      <c r="X45" s="305">
        <f t="shared" si="3"/>
        <v>0</v>
      </c>
    </row>
    <row r="46" spans="1:24" ht="15.75" x14ac:dyDescent="0.25">
      <c r="A46" s="45"/>
      <c r="B46" s="341" t="str">
        <f>+$B$8</f>
        <v>SPONSOR:  MATTHEW A. TROXLE</v>
      </c>
      <c r="C46" s="752"/>
      <c r="D46" s="830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138"/>
      <c r="X46" s="305">
        <f t="shared" si="3"/>
        <v>0</v>
      </c>
    </row>
    <row r="47" spans="1:24" ht="6.95" customHeight="1" thickBot="1" x14ac:dyDescent="0.3">
      <c r="A47" s="45"/>
      <c r="B47" s="345"/>
      <c r="C47" s="752"/>
      <c r="D47" s="830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138"/>
      <c r="X47" s="305">
        <f t="shared" si="3"/>
        <v>0</v>
      </c>
    </row>
    <row r="48" spans="1:24" ht="15.75" thickBot="1" x14ac:dyDescent="0.25">
      <c r="A48" s="45"/>
      <c r="B48" s="174"/>
      <c r="C48" s="175"/>
      <c r="D48" s="198"/>
      <c r="E48" s="177"/>
      <c r="F48" s="13"/>
      <c r="G48" s="177"/>
      <c r="H48" s="177"/>
      <c r="I48" s="177"/>
      <c r="J48" s="177"/>
      <c r="K48" s="177"/>
      <c r="L48" s="13"/>
      <c r="M48" s="177"/>
      <c r="N48" s="177"/>
      <c r="O48" s="177"/>
      <c r="P48" s="177"/>
      <c r="Q48" s="13"/>
      <c r="R48" s="328" t="str">
        <f>R$10</f>
        <v xml:space="preserve"> </v>
      </c>
      <c r="S48" s="329"/>
      <c r="T48" s="177"/>
      <c r="U48" s="12"/>
      <c r="V48" s="64"/>
      <c r="W48" s="138"/>
      <c r="X48" s="305">
        <f t="shared" si="3"/>
        <v>0</v>
      </c>
    </row>
    <row r="49" spans="1:24" ht="15.75" x14ac:dyDescent="0.25">
      <c r="A49" s="45"/>
      <c r="B49" s="174" t="s">
        <v>2</v>
      </c>
      <c r="C49" s="179"/>
      <c r="D49" s="180" t="s">
        <v>685</v>
      </c>
      <c r="E49" s="181" t="s">
        <v>350</v>
      </c>
      <c r="F49" s="226" t="str">
        <f>F$11</f>
        <v>TOTAL</v>
      </c>
      <c r="G49" s="181"/>
      <c r="H49" s="181"/>
      <c r="I49" s="181"/>
      <c r="J49" s="181" t="s">
        <v>679</v>
      </c>
      <c r="K49" s="181" t="s">
        <v>388</v>
      </c>
      <c r="L49" s="14" t="s">
        <v>388</v>
      </c>
      <c r="M49" s="181" t="s">
        <v>389</v>
      </c>
      <c r="N49" s="181" t="s">
        <v>389</v>
      </c>
      <c r="O49" s="181" t="s">
        <v>389</v>
      </c>
      <c r="P49" s="181" t="s">
        <v>390</v>
      </c>
      <c r="Q49" s="14" t="s">
        <v>391</v>
      </c>
      <c r="R49" s="331" t="str">
        <f>R$11</f>
        <v>Wholesale</v>
      </c>
      <c r="S49" s="12" t="str">
        <f>S$11</f>
        <v>Wholesale</v>
      </c>
      <c r="T49" s="181"/>
      <c r="U49" s="14" t="s">
        <v>10</v>
      </c>
      <c r="V49" s="64"/>
      <c r="W49" s="138"/>
      <c r="X49" s="305"/>
    </row>
    <row r="50" spans="1:24" ht="15" x14ac:dyDescent="0.2">
      <c r="A50" s="45"/>
      <c r="B50" s="174"/>
      <c r="C50" s="179"/>
      <c r="D50" s="181"/>
      <c r="E50" s="181"/>
      <c r="F50" s="14" t="str">
        <f>F$12</f>
        <v>(Dist+Met+Cust)</v>
      </c>
      <c r="G50" s="181"/>
      <c r="H50" s="181"/>
      <c r="I50" s="181"/>
      <c r="J50" s="181"/>
      <c r="K50" s="181" t="s">
        <v>680</v>
      </c>
      <c r="L50" s="14" t="s">
        <v>681</v>
      </c>
      <c r="M50" s="181" t="s">
        <v>680</v>
      </c>
      <c r="N50" s="181" t="s">
        <v>681</v>
      </c>
      <c r="O50" s="181" t="s">
        <v>393</v>
      </c>
      <c r="P50" s="181"/>
      <c r="Q50" s="14"/>
      <c r="R50" s="174" t="str">
        <f>R$12</f>
        <v>XFMR</v>
      </c>
      <c r="S50" s="14" t="str">
        <f>S$12</f>
        <v>DLS</v>
      </c>
      <c r="T50" s="181"/>
      <c r="U50" s="14"/>
      <c r="V50" s="64"/>
      <c r="W50" s="138"/>
      <c r="X50" s="305"/>
    </row>
    <row r="51" spans="1:24" ht="15.75" thickBot="1" x14ac:dyDescent="0.25">
      <c r="A51" s="45"/>
      <c r="B51" s="182"/>
      <c r="C51" s="182"/>
      <c r="D51" s="184"/>
      <c r="E51" s="184"/>
      <c r="F51" s="15" t="s">
        <v>13</v>
      </c>
      <c r="G51" s="15" t="s">
        <v>14</v>
      </c>
      <c r="H51" s="15" t="s">
        <v>15</v>
      </c>
      <c r="I51" s="15"/>
      <c r="J51" s="182" t="str">
        <f t="shared" ref="J51:Q51" si="17">J$13</f>
        <v>(d)</v>
      </c>
      <c r="K51" s="182" t="str">
        <f t="shared" si="17"/>
        <v>(e)</v>
      </c>
      <c r="L51" s="15" t="str">
        <f t="shared" si="17"/>
        <v>(f)</v>
      </c>
      <c r="M51" s="182" t="str">
        <f t="shared" si="17"/>
        <v>(g)</v>
      </c>
      <c r="N51" s="182" t="str">
        <f t="shared" si="17"/>
        <v>(h)</v>
      </c>
      <c r="O51" s="182" t="str">
        <f>O$13</f>
        <v>(i)</v>
      </c>
      <c r="P51" s="182" t="str">
        <f t="shared" si="17"/>
        <v>(j)</v>
      </c>
      <c r="Q51" s="182" t="str">
        <f t="shared" si="17"/>
        <v>(k)</v>
      </c>
      <c r="R51" s="182" t="str">
        <f>R$13</f>
        <v>(l)</v>
      </c>
      <c r="S51" s="15" t="str">
        <f>S$13</f>
        <v>(m)</v>
      </c>
      <c r="T51" s="15"/>
      <c r="U51" s="15" t="s">
        <v>683</v>
      </c>
      <c r="V51" s="64"/>
      <c r="W51" s="138"/>
      <c r="X51" s="305"/>
    </row>
    <row r="52" spans="1:24" ht="9.6" customHeight="1" x14ac:dyDescent="0.2">
      <c r="A52" s="45"/>
      <c r="B52" s="6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98"/>
      <c r="V52" s="64"/>
      <c r="W52" s="138"/>
      <c r="X52" s="305">
        <f t="shared" si="3"/>
        <v>0</v>
      </c>
    </row>
    <row r="53" spans="1:24" ht="15.75" x14ac:dyDescent="0.25">
      <c r="A53" s="45"/>
      <c r="B53" s="16">
        <f t="shared" ref="B53:B58" si="18">B52+1</f>
        <v>1</v>
      </c>
      <c r="C53" s="11"/>
      <c r="D53" s="199" t="s">
        <v>596</v>
      </c>
      <c r="E53" s="200" t="s">
        <v>24</v>
      </c>
      <c r="F53" s="98">
        <f>F106</f>
        <v>9115470</v>
      </c>
      <c r="G53" s="11"/>
      <c r="H53" s="11"/>
      <c r="I53" s="11"/>
      <c r="J53" s="98">
        <f t="shared" ref="J53:Q53" ca="1" si="19">J106</f>
        <v>4957950.9560888605</v>
      </c>
      <c r="K53" s="98">
        <f t="shared" ca="1" si="19"/>
        <v>158613.00447929959</v>
      </c>
      <c r="L53" s="98">
        <f t="shared" ca="1" si="19"/>
        <v>3135542.8442701288</v>
      </c>
      <c r="M53" s="98">
        <f t="shared" ca="1" si="19"/>
        <v>6482.1355922137445</v>
      </c>
      <c r="N53" s="98">
        <f t="shared" ca="1" si="19"/>
        <v>611676.5133495247</v>
      </c>
      <c r="O53" s="98">
        <f ca="1">O106</f>
        <v>67863.147024399368</v>
      </c>
      <c r="P53" s="98">
        <f t="shared" ca="1" si="19"/>
        <v>14154.974307534956</v>
      </c>
      <c r="Q53" s="98">
        <f t="shared" ca="1" si="19"/>
        <v>136219.82460684059</v>
      </c>
      <c r="R53" s="98">
        <f ca="1">R106</f>
        <v>4749.1681193259692</v>
      </c>
      <c r="S53" s="98">
        <f ca="1">S106</f>
        <v>22217.43216187062</v>
      </c>
      <c r="T53" s="11"/>
      <c r="U53" s="98">
        <f ca="1">SUM(I53:T53)</f>
        <v>9115470</v>
      </c>
      <c r="V53" s="64"/>
      <c r="W53" s="138"/>
      <c r="X53" s="305">
        <f t="shared" ca="1" si="3"/>
        <v>0</v>
      </c>
    </row>
    <row r="54" spans="1:24" ht="15.75" x14ac:dyDescent="0.25">
      <c r="A54" s="45"/>
      <c r="B54" s="16">
        <f t="shared" si="18"/>
        <v>2</v>
      </c>
      <c r="C54" s="11"/>
      <c r="D54" s="199" t="s">
        <v>597</v>
      </c>
      <c r="E54" s="200" t="s">
        <v>24</v>
      </c>
      <c r="F54" s="98">
        <f>F121</f>
        <v>468976125.50999999</v>
      </c>
      <c r="G54" s="11"/>
      <c r="H54" s="11"/>
      <c r="I54" s="11"/>
      <c r="J54" s="98">
        <f t="shared" ref="J54:Q54" ca="1" si="20">J121</f>
        <v>240475249.45735416</v>
      </c>
      <c r="K54" s="98">
        <f t="shared" ca="1" si="20"/>
        <v>4543218.8591096783</v>
      </c>
      <c r="L54" s="98">
        <f t="shared" ca="1" si="20"/>
        <v>154458268.22739372</v>
      </c>
      <c r="M54" s="98">
        <f t="shared" ca="1" si="20"/>
        <v>72277.313400600062</v>
      </c>
      <c r="N54" s="98">
        <f t="shared" ca="1" si="20"/>
        <v>45432585.310434625</v>
      </c>
      <c r="O54" s="98">
        <f ca="1">O121</f>
        <v>19527819.42862438</v>
      </c>
      <c r="P54" s="98">
        <f t="shared" ca="1" si="20"/>
        <v>0</v>
      </c>
      <c r="Q54" s="98">
        <f t="shared" ca="1" si="20"/>
        <v>1373608.0579930763</v>
      </c>
      <c r="R54" s="98">
        <f ca="1">R121</f>
        <v>1349839.1711085949</v>
      </c>
      <c r="S54" s="98">
        <f ca="1">S121</f>
        <v>1743259.6845811061</v>
      </c>
      <c r="T54" s="11"/>
      <c r="U54" s="98">
        <f ca="1">SUM(I54:T54)</f>
        <v>468976125.50999999</v>
      </c>
      <c r="V54" s="64"/>
      <c r="W54" s="138"/>
      <c r="X54" s="305">
        <f t="shared" ca="1" si="3"/>
        <v>0</v>
      </c>
    </row>
    <row r="55" spans="1:24" ht="17.25" x14ac:dyDescent="0.35">
      <c r="A55" s="45"/>
      <c r="B55" s="16">
        <f t="shared" si="18"/>
        <v>3</v>
      </c>
      <c r="C55" s="11"/>
      <c r="D55" s="558" t="s">
        <v>595</v>
      </c>
      <c r="E55" s="200" t="s">
        <v>24</v>
      </c>
      <c r="F55" s="204">
        <f>F159</f>
        <v>20558061022.07</v>
      </c>
      <c r="G55" s="11"/>
      <c r="H55" s="11"/>
      <c r="I55" s="11"/>
      <c r="J55" s="204">
        <f t="shared" ref="J55:Q55" ca="1" si="21">J159</f>
        <v>11023957953.208868</v>
      </c>
      <c r="K55" s="204">
        <f t="shared" ca="1" si="21"/>
        <v>423421692.88809782</v>
      </c>
      <c r="L55" s="204">
        <f t="shared" ca="1" si="21"/>
        <v>6919004025.5415554</v>
      </c>
      <c r="M55" s="204">
        <f t="shared" ca="1" si="21"/>
        <v>15187104.229801107</v>
      </c>
      <c r="N55" s="204">
        <f t="shared" ca="1" si="21"/>
        <v>1283991209.4573355</v>
      </c>
      <c r="O55" s="204">
        <f ca="1">O159</f>
        <v>116932753.98578762</v>
      </c>
      <c r="P55" s="204">
        <f t="shared" ca="1" si="21"/>
        <v>30093185.365735143</v>
      </c>
      <c r="Q55" s="204">
        <f t="shared" ca="1" si="21"/>
        <v>690973356.15734708</v>
      </c>
      <c r="R55" s="204">
        <f ca="1">R159</f>
        <v>8221718.6829150924</v>
      </c>
      <c r="S55" s="204">
        <f ca="1">S159</f>
        <v>46278022.552557394</v>
      </c>
      <c r="T55" s="11"/>
      <c r="U55" s="204">
        <f ca="1">SUM(I55:T55)</f>
        <v>20558061022.07</v>
      </c>
      <c r="V55" s="64"/>
      <c r="W55" s="138"/>
      <c r="X55" s="305">
        <f t="shared" ca="1" si="3"/>
        <v>0</v>
      </c>
    </row>
    <row r="56" spans="1:24" ht="15.75" x14ac:dyDescent="0.25">
      <c r="A56" s="229"/>
      <c r="B56" s="16">
        <f t="shared" si="18"/>
        <v>4</v>
      </c>
      <c r="C56" s="138"/>
      <c r="D56" s="199" t="s">
        <v>467</v>
      </c>
      <c r="E56" s="200"/>
      <c r="F56" s="208">
        <f>SUM(F53:F55)</f>
        <v>21036152617.579998</v>
      </c>
      <c r="G56" s="200"/>
      <c r="H56" s="200"/>
      <c r="I56" s="200"/>
      <c r="J56" s="208">
        <f t="shared" ref="J56:Q56" ca="1" si="22">SUM(J53:J55)</f>
        <v>11269391153.622311</v>
      </c>
      <c r="K56" s="208">
        <f t="shared" ca="1" si="22"/>
        <v>428123524.75168681</v>
      </c>
      <c r="L56" s="208">
        <f t="shared" ca="1" si="22"/>
        <v>7076597836.6132193</v>
      </c>
      <c r="M56" s="208">
        <f t="shared" ca="1" si="22"/>
        <v>15265863.67879392</v>
      </c>
      <c r="N56" s="208">
        <f t="shared" ca="1" si="22"/>
        <v>1330035471.2811196</v>
      </c>
      <c r="O56" s="208">
        <f ca="1">SUM(O53:O55)</f>
        <v>136528436.56143638</v>
      </c>
      <c r="P56" s="208">
        <f t="shared" ca="1" si="22"/>
        <v>30107340.340042677</v>
      </c>
      <c r="Q56" s="208">
        <f t="shared" ca="1" si="22"/>
        <v>692483184.03994703</v>
      </c>
      <c r="R56" s="208">
        <f ca="1">SUM(R53:R55)</f>
        <v>9576307.0221430138</v>
      </c>
      <c r="S56" s="208">
        <f ca="1">SUM(S53:S55)</f>
        <v>48043499.66930037</v>
      </c>
      <c r="T56" s="201"/>
      <c r="U56" s="190">
        <f ca="1">SUM(I56:T56)</f>
        <v>21036152617.580002</v>
      </c>
      <c r="V56" s="64"/>
      <c r="W56" s="138" t="b">
        <f>' WP II-I-1.4'!$L$56=F56</f>
        <v>1</v>
      </c>
      <c r="X56" s="305">
        <f t="shared" ca="1" si="3"/>
        <v>0</v>
      </c>
    </row>
    <row r="57" spans="1:24" ht="15.75" x14ac:dyDescent="0.25">
      <c r="A57" s="229"/>
      <c r="B57" s="16">
        <f t="shared" si="18"/>
        <v>5</v>
      </c>
      <c r="C57" s="138"/>
      <c r="D57" s="199"/>
      <c r="E57" s="200"/>
      <c r="F57" s="201"/>
      <c r="G57" s="200"/>
      <c r="H57" s="200"/>
      <c r="I57" s="200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98"/>
      <c r="V57" s="64"/>
      <c r="W57" s="138"/>
      <c r="X57" s="305">
        <f t="shared" si="3"/>
        <v>0</v>
      </c>
    </row>
    <row r="58" spans="1:24" ht="15.75" x14ac:dyDescent="0.25">
      <c r="A58" s="229"/>
      <c r="B58" s="16">
        <f t="shared" si="18"/>
        <v>6</v>
      </c>
      <c r="C58" s="138"/>
      <c r="D58" s="199" t="s">
        <v>468</v>
      </c>
      <c r="E58" s="200" t="s">
        <v>86</v>
      </c>
      <c r="F58" s="201">
        <f>+F199</f>
        <v>396911048.73000002</v>
      </c>
      <c r="G58" s="200"/>
      <c r="H58" s="200"/>
      <c r="I58" s="200"/>
      <c r="J58" s="201">
        <f t="shared" ref="J58:Q58" ca="1" si="23">+J199</f>
        <v>214326005.79040724</v>
      </c>
      <c r="K58" s="201">
        <f t="shared" ca="1" si="23"/>
        <v>9594975.4472822044</v>
      </c>
      <c r="L58" s="201">
        <f t="shared" ca="1" si="23"/>
        <v>133448650.87514158</v>
      </c>
      <c r="M58" s="201">
        <f t="shared" ca="1" si="23"/>
        <v>833500.67844055127</v>
      </c>
      <c r="N58" s="201">
        <f t="shared" ca="1" si="23"/>
        <v>27830698.133414101</v>
      </c>
      <c r="O58" s="201">
        <f ca="1">+O199</f>
        <v>2734915.0247194436</v>
      </c>
      <c r="P58" s="201">
        <f t="shared" ca="1" si="23"/>
        <v>848578.81008942728</v>
      </c>
      <c r="Q58" s="201">
        <f t="shared" ca="1" si="23"/>
        <v>6207935.1497369613</v>
      </c>
      <c r="R58" s="201">
        <f ca="1">+R199</f>
        <v>197386.02691324861</v>
      </c>
      <c r="S58" s="201">
        <f ca="1">+S199</f>
        <v>888402.79385508003</v>
      </c>
      <c r="T58" s="201"/>
      <c r="U58" s="98">
        <f ca="1">SUM(I58:T58)</f>
        <v>396911048.72999972</v>
      </c>
      <c r="V58" s="64"/>
      <c r="W58" s="138"/>
      <c r="X58" s="305">
        <f t="shared" ca="1" si="3"/>
        <v>0</v>
      </c>
    </row>
    <row r="59" spans="1:24" ht="17.25" x14ac:dyDescent="0.35">
      <c r="A59" s="229"/>
      <c r="B59" s="16">
        <f t="shared" ref="B59:B89" si="24">B58+1</f>
        <v>7</v>
      </c>
      <c r="C59" s="138"/>
      <c r="D59" s="199" t="s">
        <v>469</v>
      </c>
      <c r="E59" s="200" t="s">
        <v>104</v>
      </c>
      <c r="F59" s="203">
        <f>+F219</f>
        <v>398823210.54999983</v>
      </c>
      <c r="G59" s="200"/>
      <c r="H59" s="200"/>
      <c r="I59" s="200"/>
      <c r="J59" s="203">
        <f t="shared" ref="J59:Q59" ca="1" si="25">+J219</f>
        <v>214111452.17424691</v>
      </c>
      <c r="K59" s="203">
        <f t="shared" ca="1" si="25"/>
        <v>10485671.310892869</v>
      </c>
      <c r="L59" s="203">
        <f t="shared" ca="1" si="25"/>
        <v>132542434.05082458</v>
      </c>
      <c r="M59" s="203">
        <f t="shared" ca="1" si="25"/>
        <v>1012880.6552929978</v>
      </c>
      <c r="N59" s="203">
        <f t="shared" ca="1" si="25"/>
        <v>28236108.644860983</v>
      </c>
      <c r="O59" s="203">
        <f ca="1">+O219</f>
        <v>2665267.5895100231</v>
      </c>
      <c r="P59" s="203">
        <f t="shared" ca="1" si="25"/>
        <v>924409.7607368537</v>
      </c>
      <c r="Q59" s="203">
        <f t="shared" ca="1" si="25"/>
        <v>7787190.3367348798</v>
      </c>
      <c r="R59" s="203">
        <f ca="1">+R219</f>
        <v>194458.81875154216</v>
      </c>
      <c r="S59" s="203">
        <f ca="1">+S219</f>
        <v>863337.20814819622</v>
      </c>
      <c r="T59" s="203"/>
      <c r="U59" s="204">
        <f ca="1">SUM(I59:T59)</f>
        <v>398823210.54999983</v>
      </c>
      <c r="V59" s="64"/>
      <c r="W59" s="138"/>
      <c r="X59" s="305">
        <f t="shared" ca="1" si="3"/>
        <v>0</v>
      </c>
    </row>
    <row r="60" spans="1:24" ht="15.75" x14ac:dyDescent="0.25">
      <c r="A60" s="229"/>
      <c r="B60" s="16">
        <f t="shared" si="24"/>
        <v>8</v>
      </c>
      <c r="C60" s="188"/>
      <c r="D60" s="207" t="s">
        <v>470</v>
      </c>
      <c r="E60" s="200"/>
      <c r="F60" s="208">
        <f>+F56+F58+F59</f>
        <v>21831886876.859997</v>
      </c>
      <c r="G60" s="200"/>
      <c r="H60" s="200"/>
      <c r="I60" s="200"/>
      <c r="J60" s="208">
        <f t="shared" ref="J60:Q60" ca="1" si="26">+J56+J58+J59</f>
        <v>11697828611.586966</v>
      </c>
      <c r="K60" s="208">
        <f t="shared" ca="1" si="26"/>
        <v>448204171.50986189</v>
      </c>
      <c r="L60" s="208">
        <f t="shared" ca="1" si="26"/>
        <v>7342588921.5391846</v>
      </c>
      <c r="M60" s="208">
        <f t="shared" ca="1" si="26"/>
        <v>17112245.01252747</v>
      </c>
      <c r="N60" s="208">
        <f t="shared" ca="1" si="26"/>
        <v>1386102278.0593946</v>
      </c>
      <c r="O60" s="208">
        <f ca="1">+O56+O58+O59</f>
        <v>141928619.17566586</v>
      </c>
      <c r="P60" s="208">
        <f t="shared" ca="1" si="26"/>
        <v>31880328.910868958</v>
      </c>
      <c r="Q60" s="208">
        <f t="shared" ca="1" si="26"/>
        <v>706478309.52641892</v>
      </c>
      <c r="R60" s="208">
        <f ca="1">+R56+R58+R59</f>
        <v>9968151.8678078037</v>
      </c>
      <c r="S60" s="208">
        <f ca="1">+S56+S58+S59</f>
        <v>49795239.671303645</v>
      </c>
      <c r="T60" s="208"/>
      <c r="U60" s="190">
        <f ca="1">SUM(I60:T60)</f>
        <v>21831886876.860001</v>
      </c>
      <c r="V60" s="104"/>
      <c r="W60" s="138" t="b">
        <f>' WP II-I-1.4'!$L$60=F60</f>
        <v>1</v>
      </c>
      <c r="X60" s="305">
        <f t="shared" ca="1" si="3"/>
        <v>0</v>
      </c>
    </row>
    <row r="61" spans="1:24" ht="12.6" customHeight="1" x14ac:dyDescent="0.25">
      <c r="A61" s="229"/>
      <c r="B61" s="16">
        <f t="shared" si="24"/>
        <v>9</v>
      </c>
      <c r="C61" s="138"/>
      <c r="D61" s="199"/>
      <c r="E61" s="200"/>
      <c r="F61" s="201"/>
      <c r="G61" s="200"/>
      <c r="H61" s="200"/>
      <c r="I61" s="200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64"/>
      <c r="W61" s="138"/>
      <c r="X61" s="305">
        <f t="shared" si="3"/>
        <v>0</v>
      </c>
    </row>
    <row r="62" spans="1:24" ht="15.75" x14ac:dyDescent="0.25">
      <c r="A62" s="229"/>
      <c r="B62" s="16">
        <f t="shared" si="24"/>
        <v>10</v>
      </c>
      <c r="C62" s="138"/>
      <c r="D62" s="209" t="s">
        <v>471</v>
      </c>
      <c r="E62" s="200" t="s">
        <v>34</v>
      </c>
      <c r="F62" s="201">
        <f>+F363+F320</f>
        <v>7081254975.0099974</v>
      </c>
      <c r="G62" s="200"/>
      <c r="H62" s="200"/>
      <c r="I62" s="200"/>
      <c r="J62" s="201">
        <f t="shared" ref="J62:Q62" ca="1" si="27">+J363+J320</f>
        <v>3674719041.8073831</v>
      </c>
      <c r="K62" s="201">
        <f t="shared" ca="1" si="27"/>
        <v>195286789.89200568</v>
      </c>
      <c r="L62" s="201">
        <f t="shared" ca="1" si="27"/>
        <v>2265900957.1934905</v>
      </c>
      <c r="M62" s="201">
        <f t="shared" ca="1" si="27"/>
        <v>7385852.8863181397</v>
      </c>
      <c r="N62" s="201">
        <f t="shared" ca="1" si="27"/>
        <v>398234338.51628703</v>
      </c>
      <c r="O62" s="201">
        <f ca="1">+O363+O320</f>
        <v>31842026.228091147</v>
      </c>
      <c r="P62" s="201">
        <f t="shared" ca="1" si="27"/>
        <v>9301864.6097669266</v>
      </c>
      <c r="Q62" s="201">
        <f t="shared" ca="1" si="27"/>
        <v>482566880.53500265</v>
      </c>
      <c r="R62" s="201">
        <f ca="1">+R363+R320</f>
        <v>2272384.9389311075</v>
      </c>
      <c r="S62" s="201">
        <f ca="1">+S363+S320</f>
        <v>13744838.402722737</v>
      </c>
      <c r="T62" s="201"/>
      <c r="U62" s="98">
        <f ca="1">SUM(I62:T62)</f>
        <v>7081254975.0099993</v>
      </c>
      <c r="V62" s="64"/>
      <c r="W62" s="138"/>
      <c r="X62" s="305">
        <f t="shared" ca="1" si="3"/>
        <v>0</v>
      </c>
    </row>
    <row r="63" spans="1:24" ht="7.5" customHeight="1" thickBot="1" x14ac:dyDescent="0.3">
      <c r="A63" s="229"/>
      <c r="B63" s="16">
        <f t="shared" si="24"/>
        <v>11</v>
      </c>
      <c r="C63" s="138"/>
      <c r="D63" s="199" t="s">
        <v>0</v>
      </c>
      <c r="E63" s="200"/>
      <c r="F63" s="210"/>
      <c r="G63" s="200"/>
      <c r="H63" s="200"/>
      <c r="I63" s="20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01"/>
      <c r="V63" s="64"/>
      <c r="W63" s="138"/>
      <c r="X63" s="305">
        <f t="shared" si="3"/>
        <v>0</v>
      </c>
    </row>
    <row r="64" spans="1:24" ht="16.5" thickBot="1" x14ac:dyDescent="0.3">
      <c r="A64" s="229"/>
      <c r="B64" s="16">
        <f t="shared" si="24"/>
        <v>12</v>
      </c>
      <c r="C64" s="188"/>
      <c r="D64" s="921" t="s">
        <v>472</v>
      </c>
      <c r="E64" s="916"/>
      <c r="F64" s="922">
        <f>+F60-F62</f>
        <v>14750631901.849998</v>
      </c>
      <c r="G64" s="916"/>
      <c r="H64" s="916"/>
      <c r="I64" s="919"/>
      <c r="J64" s="922">
        <f t="shared" ref="J64:Q64" ca="1" si="28">+J60-J62</f>
        <v>8023109569.779583</v>
      </c>
      <c r="K64" s="922">
        <f t="shared" ca="1" si="28"/>
        <v>252917381.6178562</v>
      </c>
      <c r="L64" s="922">
        <f t="shared" ca="1" si="28"/>
        <v>5076687964.3456936</v>
      </c>
      <c r="M64" s="922">
        <f t="shared" ca="1" si="28"/>
        <v>9726392.1262093298</v>
      </c>
      <c r="N64" s="922">
        <f t="shared" ca="1" si="28"/>
        <v>987867939.54310751</v>
      </c>
      <c r="O64" s="922">
        <f ca="1">+O60-O62</f>
        <v>110086592.9475747</v>
      </c>
      <c r="P64" s="922">
        <f t="shared" ca="1" si="28"/>
        <v>22578464.301102031</v>
      </c>
      <c r="Q64" s="922">
        <f t="shared" ca="1" si="28"/>
        <v>223911428.99141628</v>
      </c>
      <c r="R64" s="922">
        <f ca="1">+R60-R62</f>
        <v>7695766.9288766962</v>
      </c>
      <c r="S64" s="922">
        <f ca="1">+S60-S62</f>
        <v>36050401.268580906</v>
      </c>
      <c r="T64" s="923"/>
      <c r="U64" s="918">
        <f ca="1">SUM(I64:T64)</f>
        <v>14750631901.850002</v>
      </c>
      <c r="V64" s="104"/>
      <c r="W64" s="188" t="b">
        <f>' WP II-I-1.4'!$L$64=F64</f>
        <v>1</v>
      </c>
      <c r="X64" s="305">
        <f t="shared" ca="1" si="3"/>
        <v>0</v>
      </c>
    </row>
    <row r="65" spans="1:25" ht="15.75" x14ac:dyDescent="0.25">
      <c r="A65" s="229"/>
      <c r="B65" s="16">
        <f t="shared" si="24"/>
        <v>13</v>
      </c>
      <c r="C65" s="138"/>
      <c r="D65" s="199"/>
      <c r="E65" s="200"/>
      <c r="F65" s="11"/>
      <c r="G65" s="200"/>
      <c r="H65" s="200"/>
      <c r="I65" s="20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64"/>
      <c r="W65" s="138"/>
      <c r="X65" s="305">
        <f t="shared" si="3"/>
        <v>0</v>
      </c>
    </row>
    <row r="66" spans="1:25" ht="15.75" x14ac:dyDescent="0.25">
      <c r="A66" s="229"/>
      <c r="B66" s="16">
        <f t="shared" si="24"/>
        <v>14</v>
      </c>
      <c r="C66" s="138"/>
      <c r="D66" s="213" t="s">
        <v>473</v>
      </c>
      <c r="E66" s="214"/>
      <c r="F66" s="11"/>
      <c r="G66" s="214"/>
      <c r="H66" s="214"/>
      <c r="I66" s="21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64"/>
      <c r="W66" s="138"/>
      <c r="X66" s="305">
        <f t="shared" si="3"/>
        <v>0</v>
      </c>
    </row>
    <row r="67" spans="1:25" ht="15.75" x14ac:dyDescent="0.25">
      <c r="A67" s="229"/>
      <c r="B67" s="16">
        <f t="shared" si="24"/>
        <v>15</v>
      </c>
      <c r="C67" s="138"/>
      <c r="D67" s="39" t="s">
        <v>0</v>
      </c>
      <c r="E67" s="200"/>
      <c r="F67" s="11"/>
      <c r="G67" s="200"/>
      <c r="H67" s="200"/>
      <c r="I67" s="20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64"/>
      <c r="W67" s="138"/>
      <c r="X67" s="305">
        <f t="shared" si="3"/>
        <v>0</v>
      </c>
    </row>
    <row r="68" spans="1:25" ht="15.75" x14ac:dyDescent="0.25">
      <c r="A68" s="229"/>
      <c r="B68" s="16">
        <f t="shared" si="24"/>
        <v>16</v>
      </c>
      <c r="C68" s="138"/>
      <c r="D68" s="39" t="s">
        <v>111</v>
      </c>
      <c r="E68" s="200" t="s">
        <v>112</v>
      </c>
      <c r="F68" s="201">
        <f>+F244</f>
        <v>0</v>
      </c>
      <c r="G68" s="200"/>
      <c r="H68" s="200"/>
      <c r="I68" s="200"/>
      <c r="J68" s="201">
        <f t="shared" ref="J68:Q68" si="29">+J244</f>
        <v>0</v>
      </c>
      <c r="K68" s="201">
        <f t="shared" si="29"/>
        <v>0</v>
      </c>
      <c r="L68" s="201">
        <f t="shared" si="29"/>
        <v>0</v>
      </c>
      <c r="M68" s="201">
        <f t="shared" si="29"/>
        <v>0</v>
      </c>
      <c r="N68" s="201">
        <f t="shared" si="29"/>
        <v>0</v>
      </c>
      <c r="O68" s="201">
        <f>+O244</f>
        <v>0</v>
      </c>
      <c r="P68" s="201">
        <f t="shared" si="29"/>
        <v>0</v>
      </c>
      <c r="Q68" s="201">
        <f t="shared" si="29"/>
        <v>0</v>
      </c>
      <c r="R68" s="201">
        <f>+R244</f>
        <v>0</v>
      </c>
      <c r="S68" s="201">
        <f>+S244</f>
        <v>0</v>
      </c>
      <c r="T68" s="201"/>
      <c r="U68" s="98">
        <f t="shared" ref="U68:U77" si="30">SUM(I68:T68)</f>
        <v>0</v>
      </c>
      <c r="V68" s="64"/>
      <c r="W68" s="138"/>
      <c r="X68" s="305">
        <f t="shared" si="3"/>
        <v>0</v>
      </c>
    </row>
    <row r="69" spans="1:25" ht="15.75" x14ac:dyDescent="0.25">
      <c r="A69" s="229"/>
      <c r="B69" s="16">
        <f t="shared" si="24"/>
        <v>17</v>
      </c>
      <c r="C69" s="138"/>
      <c r="D69" s="39" t="s">
        <v>113</v>
      </c>
      <c r="E69" s="200" t="s">
        <v>114</v>
      </c>
      <c r="F69" s="201">
        <f>+F388</f>
        <v>6705448.3699999982</v>
      </c>
      <c r="G69" s="200"/>
      <c r="H69" s="200"/>
      <c r="I69" s="200"/>
      <c r="J69" s="201">
        <f t="shared" ref="J69:Q69" si="31">+J388</f>
        <v>3438329.3344530286</v>
      </c>
      <c r="K69" s="201">
        <f t="shared" si="31"/>
        <v>64959.211858047252</v>
      </c>
      <c r="L69" s="201">
        <f t="shared" si="31"/>
        <v>2208453.4512115913</v>
      </c>
      <c r="M69" s="201">
        <f t="shared" si="31"/>
        <v>1033.425300281514</v>
      </c>
      <c r="N69" s="201">
        <f t="shared" si="31"/>
        <v>649597.79089702026</v>
      </c>
      <c r="O69" s="201">
        <f>+O388</f>
        <v>279209.91674134071</v>
      </c>
      <c r="P69" s="201">
        <f t="shared" si="31"/>
        <v>0</v>
      </c>
      <c r="Q69" s="201">
        <f t="shared" si="31"/>
        <v>19639.929225548898</v>
      </c>
      <c r="R69" s="201">
        <f>+R388</f>
        <v>19300.080275577431</v>
      </c>
      <c r="S69" s="201">
        <f>+S388</f>
        <v>24925.230037561556</v>
      </c>
      <c r="T69" s="201"/>
      <c r="U69" s="98">
        <f t="shared" si="30"/>
        <v>6705448.3699999973</v>
      </c>
      <c r="V69" s="64"/>
      <c r="W69" s="138"/>
      <c r="X69" s="305">
        <f t="shared" si="3"/>
        <v>0</v>
      </c>
    </row>
    <row r="70" spans="1:25" ht="15.75" x14ac:dyDescent="0.25">
      <c r="A70" s="229"/>
      <c r="B70" s="16">
        <f t="shared" si="24"/>
        <v>18</v>
      </c>
      <c r="C70" s="138"/>
      <c r="D70" s="40" t="s">
        <v>474</v>
      </c>
      <c r="E70" s="200" t="s">
        <v>475</v>
      </c>
      <c r="F70" s="98">
        <f>F409</f>
        <v>0</v>
      </c>
      <c r="G70" s="200"/>
      <c r="H70" s="350"/>
      <c r="I70" s="200"/>
      <c r="J70" s="98">
        <f t="shared" ref="J70:Q70" si="32">J409</f>
        <v>0</v>
      </c>
      <c r="K70" s="98">
        <f t="shared" si="32"/>
        <v>0</v>
      </c>
      <c r="L70" s="98">
        <f t="shared" si="32"/>
        <v>0</v>
      </c>
      <c r="M70" s="98">
        <f t="shared" si="32"/>
        <v>0</v>
      </c>
      <c r="N70" s="98">
        <f t="shared" si="32"/>
        <v>0</v>
      </c>
      <c r="O70" s="98">
        <f>O409</f>
        <v>0</v>
      </c>
      <c r="P70" s="98">
        <f t="shared" si="32"/>
        <v>0</v>
      </c>
      <c r="Q70" s="98">
        <f t="shared" si="32"/>
        <v>0</v>
      </c>
      <c r="R70" s="98">
        <f>R409</f>
        <v>0</v>
      </c>
      <c r="S70" s="98">
        <f>S409</f>
        <v>0</v>
      </c>
      <c r="T70" s="98"/>
      <c r="U70" s="98">
        <f t="shared" si="30"/>
        <v>0</v>
      </c>
      <c r="V70" s="64"/>
      <c r="W70" s="138"/>
      <c r="X70" s="305">
        <f t="shared" si="3"/>
        <v>0</v>
      </c>
    </row>
    <row r="71" spans="1:25" ht="15.75" x14ac:dyDescent="0.25">
      <c r="A71" s="229"/>
      <c r="B71" s="16">
        <f t="shared" si="24"/>
        <v>19</v>
      </c>
      <c r="C71" s="138"/>
      <c r="D71" s="39" t="s">
        <v>476</v>
      </c>
      <c r="E71" s="200" t="s">
        <v>116</v>
      </c>
      <c r="F71" s="201">
        <f>+F435</f>
        <v>159199865.22</v>
      </c>
      <c r="G71" s="200"/>
      <c r="H71" s="200"/>
      <c r="I71" s="200"/>
      <c r="J71" s="201">
        <f t="shared" ref="J71:Q71" ca="1" si="33">+J435</f>
        <v>85510298.018876776</v>
      </c>
      <c r="K71" s="201">
        <f t="shared" ca="1" si="33"/>
        <v>2832719.6329469914</v>
      </c>
      <c r="L71" s="201">
        <f t="shared" ca="1" si="33"/>
        <v>54015093.428739212</v>
      </c>
      <c r="M71" s="201">
        <f t="shared" ca="1" si="33"/>
        <v>30582.508676557736</v>
      </c>
      <c r="N71" s="201">
        <f t="shared" ca="1" si="33"/>
        <v>9872374.827386681</v>
      </c>
      <c r="O71" s="201">
        <f ca="1">+O435</f>
        <v>1064923.1175144289</v>
      </c>
      <c r="P71" s="201">
        <f t="shared" ca="1" si="33"/>
        <v>191765.98778119648</v>
      </c>
      <c r="Q71" s="201">
        <f t="shared" ca="1" si="33"/>
        <v>5232916.7040863195</v>
      </c>
      <c r="R71" s="201">
        <f ca="1">+R435</f>
        <v>73768.83759629415</v>
      </c>
      <c r="S71" s="201">
        <f ca="1">+S435</f>
        <v>375422.15639549779</v>
      </c>
      <c r="T71" s="201"/>
      <c r="U71" s="98">
        <f t="shared" ca="1" si="30"/>
        <v>159199865.21999997</v>
      </c>
      <c r="V71" s="64"/>
      <c r="W71" s="138"/>
      <c r="X71" s="305">
        <f t="shared" ca="1" si="3"/>
        <v>0</v>
      </c>
    </row>
    <row r="72" spans="1:25" ht="15.75" x14ac:dyDescent="0.25">
      <c r="A72" s="229"/>
      <c r="B72" s="16">
        <f t="shared" si="24"/>
        <v>20</v>
      </c>
      <c r="C72" s="138"/>
      <c r="D72" s="39" t="s">
        <v>118</v>
      </c>
      <c r="E72" s="200" t="s">
        <v>119</v>
      </c>
      <c r="F72" s="201">
        <f>+F455</f>
        <v>-25736513.129999999</v>
      </c>
      <c r="G72" s="200"/>
      <c r="H72" s="350"/>
      <c r="I72" s="200"/>
      <c r="J72" s="201">
        <f t="shared" ref="J72:Q72" ca="1" si="34">+J455</f>
        <v>-11623097.880498342</v>
      </c>
      <c r="K72" s="201">
        <f t="shared" ca="1" si="34"/>
        <v>-247303.78964120927</v>
      </c>
      <c r="L72" s="201">
        <f t="shared" ca="1" si="34"/>
        <v>-7968317.5862544356</v>
      </c>
      <c r="M72" s="201">
        <f t="shared" ca="1" si="34"/>
        <v>-5616.4464420163977</v>
      </c>
      <c r="N72" s="201">
        <f t="shared" ca="1" si="34"/>
        <v>-2404033.1672913544</v>
      </c>
      <c r="O72" s="201">
        <f ca="1">+O455</f>
        <v>-783650.22374186316</v>
      </c>
      <c r="P72" s="201">
        <f t="shared" ca="1" si="34"/>
        <v>-2569600.0277924538</v>
      </c>
      <c r="Q72" s="201">
        <f t="shared" ca="1" si="34"/>
        <v>-120596.54158243763</v>
      </c>
      <c r="R72" s="201">
        <f ca="1">+R455</f>
        <v>-2215.5234676712575</v>
      </c>
      <c r="S72" s="201">
        <f ca="1">+S455</f>
        <v>-12081.94328822311</v>
      </c>
      <c r="T72" s="201"/>
      <c r="U72" s="98">
        <f t="shared" ca="1" si="30"/>
        <v>-25736513.130000006</v>
      </c>
      <c r="V72" s="64"/>
      <c r="W72" s="138"/>
      <c r="X72" s="305">
        <f t="shared" ca="1" si="3"/>
        <v>0</v>
      </c>
    </row>
    <row r="73" spans="1:25" ht="15.75" x14ac:dyDescent="0.25">
      <c r="A73" s="229"/>
      <c r="B73" s="16">
        <f t="shared" si="24"/>
        <v>21</v>
      </c>
      <c r="C73" s="138"/>
      <c r="D73" s="39" t="s">
        <v>120</v>
      </c>
      <c r="E73" s="200" t="s">
        <v>121</v>
      </c>
      <c r="F73" s="201">
        <f>+F476</f>
        <v>128857396.42378204</v>
      </c>
      <c r="G73" s="200"/>
      <c r="H73" s="200"/>
      <c r="I73" s="200"/>
      <c r="J73" s="201">
        <f t="shared" ref="J73:Q73" si="35">+J476</f>
        <v>50522241.446134984</v>
      </c>
      <c r="K73" s="201">
        <f t="shared" si="35"/>
        <v>1530621.0129088226</v>
      </c>
      <c r="L73" s="201">
        <f t="shared" si="35"/>
        <v>53794288.636275589</v>
      </c>
      <c r="M73" s="201">
        <f t="shared" si="35"/>
        <v>1035.746307409705</v>
      </c>
      <c r="N73" s="201">
        <f t="shared" si="35"/>
        <v>8907478.9452168941</v>
      </c>
      <c r="O73" s="201">
        <f>+O476</f>
        <v>1697928.1705190158</v>
      </c>
      <c r="P73" s="201">
        <f t="shared" si="35"/>
        <v>11710507.252152506</v>
      </c>
      <c r="Q73" s="201">
        <f t="shared" si="35"/>
        <v>413390.55526816769</v>
      </c>
      <c r="R73" s="201">
        <f>+R476</f>
        <v>128412.83226640214</v>
      </c>
      <c r="S73" s="201">
        <f>+S476</f>
        <v>151491.82673218477</v>
      </c>
      <c r="T73" s="201"/>
      <c r="U73" s="98">
        <f t="shared" si="30"/>
        <v>128857396.42378196</v>
      </c>
      <c r="V73" s="64"/>
      <c r="W73" s="138"/>
      <c r="X73" s="305">
        <f t="shared" si="3"/>
        <v>0</v>
      </c>
    </row>
    <row r="74" spans="1:25" ht="15.75" x14ac:dyDescent="0.25">
      <c r="A74" s="229"/>
      <c r="B74" s="16">
        <f t="shared" si="24"/>
        <v>22</v>
      </c>
      <c r="C74" s="138"/>
      <c r="D74" s="40" t="s">
        <v>477</v>
      </c>
      <c r="E74" s="200" t="s">
        <v>123</v>
      </c>
      <c r="F74" s="201">
        <f>F499</f>
        <v>-2280492.08</v>
      </c>
      <c r="G74" s="200"/>
      <c r="H74" s="200"/>
      <c r="I74" s="200"/>
      <c r="J74" s="201">
        <f t="shared" ref="J74:Q74" si="36">J499</f>
        <v>-1014811.963394274</v>
      </c>
      <c r="K74" s="201">
        <f t="shared" si="36"/>
        <v>-19172.504700366735</v>
      </c>
      <c r="L74" s="201">
        <f t="shared" si="36"/>
        <v>-651818.00952916022</v>
      </c>
      <c r="M74" s="201">
        <f t="shared" si="36"/>
        <v>-305.01218934771794</v>
      </c>
      <c r="N74" s="201">
        <f t="shared" si="36"/>
        <v>-191726.72116984896</v>
      </c>
      <c r="O74" s="201">
        <f>O499</f>
        <v>-82407.918569122892</v>
      </c>
      <c r="P74" s="201">
        <f t="shared" si="36"/>
        <v>-301400.32819689973</v>
      </c>
      <c r="Q74" s="201">
        <f t="shared" si="36"/>
        <v>-5796.6626229172625</v>
      </c>
      <c r="R74" s="201">
        <f>R499</f>
        <v>-5696.3572866243703</v>
      </c>
      <c r="S74" s="201">
        <f>S499</f>
        <v>-7356.6023414379015</v>
      </c>
      <c r="T74" s="201"/>
      <c r="U74" s="98">
        <f t="shared" si="30"/>
        <v>-2280492.0799999996</v>
      </c>
      <c r="V74" s="64"/>
      <c r="W74" s="138"/>
      <c r="X74" s="305">
        <f t="shared" si="3"/>
        <v>0</v>
      </c>
    </row>
    <row r="75" spans="1:25" ht="15.75" x14ac:dyDescent="0.25">
      <c r="A75" s="229"/>
      <c r="B75" s="16">
        <f t="shared" si="24"/>
        <v>23</v>
      </c>
      <c r="C75" s="138"/>
      <c r="D75" s="40" t="s">
        <v>478</v>
      </c>
      <c r="E75" s="200" t="s">
        <v>127</v>
      </c>
      <c r="F75" s="201">
        <f>F614</f>
        <v>659760047.96999991</v>
      </c>
      <c r="G75" s="200"/>
      <c r="H75" s="200"/>
      <c r="I75" s="200"/>
      <c r="J75" s="201">
        <f t="shared" ref="J75:Q75" ca="1" si="37">J614</f>
        <v>353766869.18324357</v>
      </c>
      <c r="K75" s="201">
        <f t="shared" ca="1" si="37"/>
        <v>13293651.563917704</v>
      </c>
      <c r="L75" s="201">
        <f t="shared" ca="1" si="37"/>
        <v>222288582.07848707</v>
      </c>
      <c r="M75" s="201">
        <f t="shared" ca="1" si="37"/>
        <v>470448.24201222969</v>
      </c>
      <c r="N75" s="201">
        <f t="shared" ca="1" si="37"/>
        <v>42036339.379007161</v>
      </c>
      <c r="O75" s="201">
        <f ca="1">O614</f>
        <v>4352338.2987804683</v>
      </c>
      <c r="P75" s="201">
        <f t="shared" ca="1" si="37"/>
        <v>943455.09927005903</v>
      </c>
      <c r="Q75" s="201">
        <f t="shared" ca="1" si="37"/>
        <v>20855542.259729464</v>
      </c>
      <c r="R75" s="201">
        <f ca="1">R614</f>
        <v>291555.47411479696</v>
      </c>
      <c r="S75" s="201">
        <f ca="1">S614</f>
        <v>1461266.3914372451</v>
      </c>
      <c r="T75" s="201"/>
      <c r="U75" s="98">
        <f t="shared" ca="1" si="30"/>
        <v>659760047.96999979</v>
      </c>
      <c r="V75" s="64"/>
      <c r="W75" s="138"/>
      <c r="X75" s="305">
        <f t="shared" ca="1" si="3"/>
        <v>0</v>
      </c>
    </row>
    <row r="76" spans="1:25" ht="17.25" x14ac:dyDescent="0.35">
      <c r="A76" s="229"/>
      <c r="B76" s="16">
        <f t="shared" si="24"/>
        <v>24</v>
      </c>
      <c r="C76" s="138"/>
      <c r="D76" s="40" t="s">
        <v>1107</v>
      </c>
      <c r="E76" s="200" t="s">
        <v>480</v>
      </c>
      <c r="F76" s="203">
        <f>+F413</f>
        <v>-1498324764.0700002</v>
      </c>
      <c r="G76" s="200"/>
      <c r="H76" s="200"/>
      <c r="I76" s="200"/>
      <c r="J76" s="203">
        <f t="shared" ref="J76:Q76" ca="1" si="38">+J413</f>
        <v>-802478002.56947851</v>
      </c>
      <c r="K76" s="203">
        <f t="shared" ca="1" si="38"/>
        <v>-29351817.980594702</v>
      </c>
      <c r="L76" s="203">
        <f t="shared" ca="1" si="38"/>
        <v>-504665553.93468159</v>
      </c>
      <c r="M76" s="203">
        <f t="shared" ca="1" si="38"/>
        <v>-874492.35276788648</v>
      </c>
      <c r="N76" s="203">
        <f t="shared" ca="1" si="38"/>
        <v>-94239022.544730201</v>
      </c>
      <c r="O76" s="203">
        <f ca="1">+O413</f>
        <v>-9820655.261077622</v>
      </c>
      <c r="P76" s="203">
        <f t="shared" ca="1" si="38"/>
        <v>-2055719.0409580281</v>
      </c>
      <c r="Q76" s="203">
        <f t="shared" ca="1" si="38"/>
        <v>-50701766.184809431</v>
      </c>
      <c r="R76" s="203">
        <f ca="1">+R413</f>
        <v>-686495.43485111033</v>
      </c>
      <c r="S76" s="203">
        <f ca="1">+S413</f>
        <v>-3451238.7660504845</v>
      </c>
      <c r="T76" s="203"/>
      <c r="U76" s="204">
        <f t="shared" ca="1" si="30"/>
        <v>-1498324764.0699997</v>
      </c>
      <c r="V76" s="64"/>
      <c r="W76" s="138"/>
      <c r="X76" s="305">
        <f t="shared" ca="1" si="3"/>
        <v>0</v>
      </c>
    </row>
    <row r="77" spans="1:25" ht="15.75" x14ac:dyDescent="0.25">
      <c r="A77" s="229"/>
      <c r="B77" s="16">
        <f t="shared" si="24"/>
        <v>25</v>
      </c>
      <c r="C77" s="188"/>
      <c r="D77" s="153" t="s">
        <v>444</v>
      </c>
      <c r="E77" s="153"/>
      <c r="F77" s="208">
        <f>SUM(F68:F76)</f>
        <v>-571819011.29621828</v>
      </c>
      <c r="G77" s="153"/>
      <c r="H77" s="153"/>
      <c r="I77" s="153"/>
      <c r="J77" s="208">
        <f t="shared" ref="J77:Q77" ca="1" si="39">SUM(J68:J76)</f>
        <v>-321878174.43066275</v>
      </c>
      <c r="K77" s="208">
        <f t="shared" ca="1" si="39"/>
        <v>-11896342.853304714</v>
      </c>
      <c r="L77" s="208">
        <f t="shared" ca="1" si="39"/>
        <v>-180979271.93575174</v>
      </c>
      <c r="M77" s="208">
        <f t="shared" ca="1" si="39"/>
        <v>-377313.88910277194</v>
      </c>
      <c r="N77" s="208">
        <f t="shared" ca="1" si="39"/>
        <v>-35368991.490683645</v>
      </c>
      <c r="O77" s="208">
        <f ca="1">SUM(O68:O76)</f>
        <v>-3292313.8998333551</v>
      </c>
      <c r="P77" s="208">
        <f t="shared" ca="1" si="39"/>
        <v>7919008.9422563799</v>
      </c>
      <c r="Q77" s="208">
        <f t="shared" ca="1" si="39"/>
        <v>-24306669.940705284</v>
      </c>
      <c r="R77" s="208">
        <f ca="1">SUM(R68:R76)</f>
        <v>-181370.09135233529</v>
      </c>
      <c r="S77" s="208">
        <f ca="1">SUM(S68:S76)</f>
        <v>-1457571.7070776564</v>
      </c>
      <c r="T77" s="208"/>
      <c r="U77" s="190">
        <f t="shared" ca="1" si="30"/>
        <v>-571819011.29621792</v>
      </c>
      <c r="V77" s="104"/>
      <c r="W77" s="188"/>
      <c r="X77" s="305">
        <f t="shared" ca="1" si="3"/>
        <v>0</v>
      </c>
    </row>
    <row r="78" spans="1:25" ht="15.75" thickBot="1" x14ac:dyDescent="0.25">
      <c r="A78" s="229"/>
      <c r="B78" s="16">
        <f t="shared" si="24"/>
        <v>26</v>
      </c>
      <c r="C78" s="138"/>
      <c r="D78" s="39"/>
      <c r="E78" s="39"/>
      <c r="F78" s="11"/>
      <c r="G78" s="39"/>
      <c r="H78" s="39"/>
      <c r="I78" s="39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64"/>
      <c r="W78" s="138"/>
      <c r="X78" s="305">
        <f t="shared" si="3"/>
        <v>0</v>
      </c>
    </row>
    <row r="79" spans="1:25" ht="16.5" thickBot="1" x14ac:dyDescent="0.3">
      <c r="A79" s="229"/>
      <c r="B79" s="16">
        <f t="shared" si="24"/>
        <v>27</v>
      </c>
      <c r="C79" s="188"/>
      <c r="D79" s="215" t="s">
        <v>481</v>
      </c>
      <c r="E79" s="216"/>
      <c r="F79" s="217">
        <f>+F64+F77</f>
        <v>14178812890.55378</v>
      </c>
      <c r="G79" s="216"/>
      <c r="H79" s="216"/>
      <c r="I79" s="215"/>
      <c r="J79" s="291">
        <f t="shared" ref="J79:Q79" ca="1" si="40">+J64+J77</f>
        <v>7701231395.3489199</v>
      </c>
      <c r="K79" s="814">
        <f t="shared" ca="1" si="40"/>
        <v>241021038.76455149</v>
      </c>
      <c r="L79" s="814">
        <f t="shared" ca="1" si="40"/>
        <v>4895708692.4099417</v>
      </c>
      <c r="M79" s="814">
        <f t="shared" ca="1" si="40"/>
        <v>9349078.2371065579</v>
      </c>
      <c r="N79" s="814">
        <f t="shared" ca="1" si="40"/>
        <v>952498948.05242383</v>
      </c>
      <c r="O79" s="814">
        <f ca="1">+O64+O77</f>
        <v>106794279.04774135</v>
      </c>
      <c r="P79" s="814">
        <f t="shared" ca="1" si="40"/>
        <v>30497473.243358411</v>
      </c>
      <c r="Q79" s="814">
        <f t="shared" ca="1" si="40"/>
        <v>199604759.05071098</v>
      </c>
      <c r="R79" s="814">
        <f ca="1">+R64+R77</f>
        <v>7514396.837524361</v>
      </c>
      <c r="S79" s="218">
        <f ca="1">+S64+S77</f>
        <v>34592829.561503246</v>
      </c>
      <c r="T79" s="907"/>
      <c r="U79" s="218">
        <f ca="1">SUM(I79:T79)</f>
        <v>14178812890.55378</v>
      </c>
      <c r="V79" s="104"/>
      <c r="W79" s="1098">
        <f>' WP II-I-1.4'!$L$79-ROUND(F79,0)</f>
        <v>-0.44621849060058594</v>
      </c>
      <c r="X79" s="305">
        <f t="shared" ca="1" si="3"/>
        <v>0</v>
      </c>
      <c r="Y79" s="1096"/>
    </row>
    <row r="80" spans="1:25" ht="15" x14ac:dyDescent="0.2">
      <c r="A80" s="229"/>
      <c r="B80" s="16">
        <f t="shared" si="24"/>
        <v>28</v>
      </c>
      <c r="C80" s="138"/>
      <c r="D80" s="220"/>
      <c r="E80" s="220"/>
      <c r="F80" s="201"/>
      <c r="G80" s="220"/>
      <c r="H80" s="220"/>
      <c r="I80" s="220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64"/>
      <c r="W80" s="138"/>
      <c r="X80" s="305">
        <f t="shared" ref="X80:X148" si="41">U80-F80</f>
        <v>0</v>
      </c>
    </row>
    <row r="81" spans="1:25" ht="15.75" x14ac:dyDescent="0.25">
      <c r="A81" s="45"/>
      <c r="B81" s="16">
        <f t="shared" si="24"/>
        <v>29</v>
      </c>
      <c r="C81" s="138"/>
      <c r="D81" s="46" t="s">
        <v>482</v>
      </c>
      <c r="E81" s="220"/>
      <c r="F81" s="221">
        <f>F620</f>
        <v>7.4700000000000003E-2</v>
      </c>
      <c r="G81" s="220"/>
      <c r="H81" s="220"/>
      <c r="I81" s="220"/>
      <c r="J81" s="221">
        <f t="shared" ref="J81:Q81" si="42">J620</f>
        <v>7.4700000000000003E-2</v>
      </c>
      <c r="K81" s="221">
        <f t="shared" si="42"/>
        <v>7.4700000000000003E-2</v>
      </c>
      <c r="L81" s="221">
        <f t="shared" si="42"/>
        <v>7.4700000000000003E-2</v>
      </c>
      <c r="M81" s="221">
        <f t="shared" si="42"/>
        <v>7.4700000000000003E-2</v>
      </c>
      <c r="N81" s="221">
        <f t="shared" si="42"/>
        <v>7.4700000000000003E-2</v>
      </c>
      <c r="O81" s="221">
        <f>O620</f>
        <v>7.4700000000000003E-2</v>
      </c>
      <c r="P81" s="221">
        <f t="shared" si="42"/>
        <v>7.4700000000000003E-2</v>
      </c>
      <c r="Q81" s="221">
        <f t="shared" si="42"/>
        <v>7.4700000000000003E-2</v>
      </c>
      <c r="R81" s="221">
        <f>R620</f>
        <v>7.4700000000000003E-2</v>
      </c>
      <c r="S81" s="221">
        <f>S620</f>
        <v>7.4700000000000003E-2</v>
      </c>
      <c r="T81" s="221"/>
      <c r="U81" s="221">
        <f ca="1">U83/U79</f>
        <v>7.4700000000000016E-2</v>
      </c>
      <c r="V81" s="64"/>
      <c r="W81" s="138"/>
      <c r="X81" s="305">
        <f t="shared" ca="1" si="41"/>
        <v>0</v>
      </c>
      <c r="Y81" s="1097"/>
    </row>
    <row r="82" spans="1:25" ht="15.75" thickBot="1" x14ac:dyDescent="0.25">
      <c r="A82" s="538"/>
      <c r="B82" s="16">
        <f t="shared" si="24"/>
        <v>30</v>
      </c>
      <c r="C82" s="138"/>
      <c r="D82" s="1"/>
      <c r="E82" s="1"/>
      <c r="F82" s="202"/>
      <c r="G82" s="1"/>
      <c r="H82" s="1"/>
      <c r="I82" s="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64"/>
      <c r="W82" s="138"/>
      <c r="X82" s="305">
        <f t="shared" si="41"/>
        <v>0</v>
      </c>
    </row>
    <row r="83" spans="1:25" ht="16.5" thickBot="1" x14ac:dyDescent="0.3">
      <c r="A83" s="118"/>
      <c r="B83" s="16">
        <f t="shared" si="24"/>
        <v>31</v>
      </c>
      <c r="C83" s="188"/>
      <c r="D83" s="223" t="s">
        <v>483</v>
      </c>
      <c r="E83" s="224"/>
      <c r="F83" s="217">
        <f>+F79*F81</f>
        <v>1059157322.9243674</v>
      </c>
      <c r="G83" s="224"/>
      <c r="H83" s="224"/>
      <c r="I83" s="223"/>
      <c r="J83" s="291">
        <f t="shared" ref="J83:Q83" ca="1" si="43">+J79*J81</f>
        <v>575281985.23256433</v>
      </c>
      <c r="K83" s="814">
        <f t="shared" ca="1" si="43"/>
        <v>18004271.595711999</v>
      </c>
      <c r="L83" s="814">
        <f t="shared" ca="1" si="43"/>
        <v>365709439.32302266</v>
      </c>
      <c r="M83" s="814">
        <f t="shared" ca="1" si="43"/>
        <v>698376.14431185985</v>
      </c>
      <c r="N83" s="814">
        <f t="shared" ca="1" si="43"/>
        <v>71151671.419516057</v>
      </c>
      <c r="O83" s="814">
        <f ca="1">+O79*O81</f>
        <v>7977532.6448662793</v>
      </c>
      <c r="P83" s="814">
        <f t="shared" ca="1" si="43"/>
        <v>2278161.2512788735</v>
      </c>
      <c r="Q83" s="814">
        <f t="shared" ca="1" si="43"/>
        <v>14910475.501088111</v>
      </c>
      <c r="R83" s="814">
        <f ca="1">+R79*R81</f>
        <v>561325.44376306981</v>
      </c>
      <c r="S83" s="218">
        <f ca="1">+S79*S81</f>
        <v>2584084.3682442927</v>
      </c>
      <c r="T83" s="907"/>
      <c r="U83" s="218">
        <f ca="1">SUM(I83:T83)</f>
        <v>1059157322.9243675</v>
      </c>
      <c r="V83" s="104"/>
      <c r="W83" s="1099" t="b">
        <f>' WP II-I-1.4'!$L$83=F83</f>
        <v>1</v>
      </c>
      <c r="X83" s="305">
        <f t="shared" ca="1" si="41"/>
        <v>0</v>
      </c>
    </row>
    <row r="84" spans="1:25" ht="16.5" thickBot="1" x14ac:dyDescent="0.3">
      <c r="A84" s="118"/>
      <c r="B84" s="16">
        <f t="shared" si="24"/>
        <v>32</v>
      </c>
      <c r="C84" s="188"/>
      <c r="J84" s="357"/>
      <c r="K84" s="357"/>
      <c r="L84" s="357"/>
      <c r="V84" s="104"/>
      <c r="W84" s="1192"/>
      <c r="X84" s="305">
        <f t="shared" si="41"/>
        <v>0</v>
      </c>
    </row>
    <row r="85" spans="1:25" ht="15.75" x14ac:dyDescent="0.25">
      <c r="A85" s="118"/>
      <c r="B85" s="16">
        <f t="shared" si="24"/>
        <v>33</v>
      </c>
      <c r="C85" s="188"/>
      <c r="D85" s="351"/>
      <c r="E85" s="352"/>
      <c r="F85" s="353"/>
      <c r="G85" s="352"/>
      <c r="H85" s="352"/>
      <c r="I85" s="1368"/>
      <c r="J85" s="353"/>
      <c r="K85" s="353"/>
      <c r="L85" s="353"/>
      <c r="M85" s="353"/>
      <c r="N85" s="353"/>
      <c r="O85" s="353"/>
      <c r="P85" s="353"/>
      <c r="Q85" s="353"/>
      <c r="R85" s="353"/>
      <c r="S85" s="355"/>
      <c r="T85" s="908"/>
      <c r="U85" s="355"/>
      <c r="V85" s="104"/>
      <c r="W85" s="1192"/>
      <c r="X85" s="305">
        <f t="shared" si="41"/>
        <v>0</v>
      </c>
    </row>
    <row r="86" spans="1:25" ht="15.75" x14ac:dyDescent="0.25">
      <c r="A86" s="118"/>
      <c r="B86" s="16">
        <f t="shared" si="24"/>
        <v>34</v>
      </c>
      <c r="C86" s="188"/>
      <c r="D86" s="356"/>
      <c r="E86" s="357"/>
      <c r="F86" s="357"/>
      <c r="G86" s="357"/>
      <c r="H86" s="357"/>
      <c r="I86" s="909"/>
      <c r="J86" s="357"/>
      <c r="K86" s="357"/>
      <c r="L86" s="357"/>
      <c r="M86" s="357"/>
      <c r="N86" s="357"/>
      <c r="O86" s="357"/>
      <c r="P86" s="357"/>
      <c r="Q86" s="357"/>
      <c r="R86" s="357"/>
      <c r="S86" s="359"/>
      <c r="T86" s="909"/>
      <c r="U86" s="359"/>
      <c r="V86" s="104"/>
      <c r="W86" s="1192"/>
      <c r="X86" s="305">
        <f t="shared" si="41"/>
        <v>0</v>
      </c>
    </row>
    <row r="87" spans="1:25" ht="15.75" x14ac:dyDescent="0.25">
      <c r="A87" s="118"/>
      <c r="B87" s="16">
        <f t="shared" si="24"/>
        <v>35</v>
      </c>
      <c r="C87" s="188"/>
      <c r="D87" s="360" t="s">
        <v>686</v>
      </c>
      <c r="E87" s="357"/>
      <c r="F87" s="208">
        <f>F83</f>
        <v>1059157322.9243674</v>
      </c>
      <c r="G87" s="357"/>
      <c r="H87" s="357"/>
      <c r="I87" s="909"/>
      <c r="J87" s="208">
        <f t="shared" ref="J87:S87" ca="1" si="44">J83</f>
        <v>575281985.23256433</v>
      </c>
      <c r="K87" s="208">
        <f t="shared" ca="1" si="44"/>
        <v>18004271.595711999</v>
      </c>
      <c r="L87" s="208">
        <f t="shared" ca="1" si="44"/>
        <v>365709439.32302266</v>
      </c>
      <c r="M87" s="208">
        <f t="shared" ca="1" si="44"/>
        <v>698376.14431185985</v>
      </c>
      <c r="N87" s="208">
        <f t="shared" ca="1" si="44"/>
        <v>71151671.419516057</v>
      </c>
      <c r="O87" s="208">
        <f t="shared" ca="1" si="44"/>
        <v>7977532.6448662793</v>
      </c>
      <c r="P87" s="208">
        <f t="shared" ca="1" si="44"/>
        <v>2278161.2512788735</v>
      </c>
      <c r="Q87" s="208">
        <f t="shared" ca="1" si="44"/>
        <v>14910475.501088111</v>
      </c>
      <c r="R87" s="208">
        <f t="shared" ca="1" si="44"/>
        <v>561325.44376306981</v>
      </c>
      <c r="S87" s="208">
        <f t="shared" ca="1" si="44"/>
        <v>2584084.3682442927</v>
      </c>
      <c r="T87" s="909"/>
      <c r="U87" s="361">
        <f ca="1">SUM(I87:T87)</f>
        <v>1059157322.9243675</v>
      </c>
      <c r="V87" s="104"/>
      <c r="W87" s="1099"/>
      <c r="X87" s="305">
        <f t="shared" ca="1" si="41"/>
        <v>0</v>
      </c>
    </row>
    <row r="88" spans="1:25" ht="15.75" x14ac:dyDescent="0.25">
      <c r="A88" s="118"/>
      <c r="B88" s="16">
        <f t="shared" si="24"/>
        <v>36</v>
      </c>
      <c r="C88" s="188"/>
      <c r="D88" s="360"/>
      <c r="E88" s="357"/>
      <c r="F88" s="357"/>
      <c r="G88" s="357"/>
      <c r="H88" s="357"/>
      <c r="I88" s="909"/>
      <c r="J88" s="357"/>
      <c r="K88" s="357"/>
      <c r="L88" s="357"/>
      <c r="M88" s="357"/>
      <c r="N88" s="357"/>
      <c r="O88" s="357"/>
      <c r="P88" s="357"/>
      <c r="Q88" s="357"/>
      <c r="R88" s="357"/>
      <c r="S88" s="359"/>
      <c r="T88" s="909"/>
      <c r="U88" s="359"/>
      <c r="V88" s="104"/>
      <c r="W88" s="1192"/>
      <c r="X88" s="305">
        <f t="shared" si="41"/>
        <v>0</v>
      </c>
    </row>
    <row r="89" spans="1:25" ht="16.5" thickBot="1" x14ac:dyDescent="0.3">
      <c r="A89" s="118"/>
      <c r="B89" s="16">
        <f t="shared" si="24"/>
        <v>37</v>
      </c>
      <c r="C89" s="188"/>
      <c r="D89" s="362" t="s">
        <v>687</v>
      </c>
      <c r="E89" s="363"/>
      <c r="F89" s="364">
        <f>F87/F79</f>
        <v>7.4700000000000003E-2</v>
      </c>
      <c r="G89" s="365"/>
      <c r="H89" s="365"/>
      <c r="I89" s="910"/>
      <c r="J89" s="364">
        <f t="shared" ref="J89:U89" ca="1" si="45">J87/J79</f>
        <v>7.4700000000000003E-2</v>
      </c>
      <c r="K89" s="364">
        <f t="shared" ca="1" si="45"/>
        <v>7.4700000000000016E-2</v>
      </c>
      <c r="L89" s="364">
        <f t="shared" ca="1" si="45"/>
        <v>7.4700000000000003E-2</v>
      </c>
      <c r="M89" s="364">
        <f t="shared" ca="1" si="45"/>
        <v>7.4700000000000003E-2</v>
      </c>
      <c r="N89" s="364">
        <f t="shared" ca="1" si="45"/>
        <v>7.4700000000000003E-2</v>
      </c>
      <c r="O89" s="364">
        <f ca="1">O87/O79</f>
        <v>7.4700000000000003E-2</v>
      </c>
      <c r="P89" s="364">
        <f t="shared" ca="1" si="45"/>
        <v>7.4700000000000003E-2</v>
      </c>
      <c r="Q89" s="364">
        <f t="shared" ca="1" si="45"/>
        <v>7.4700000000000003E-2</v>
      </c>
      <c r="R89" s="364">
        <f ca="1">R87/R79</f>
        <v>7.4700000000000003E-2</v>
      </c>
      <c r="S89" s="367">
        <f ca="1">S87/S79</f>
        <v>7.4700000000000003E-2</v>
      </c>
      <c r="T89" s="910"/>
      <c r="U89" s="367">
        <f t="shared" ca="1" si="45"/>
        <v>7.4700000000000016E-2</v>
      </c>
      <c r="V89" s="104"/>
      <c r="W89" s="1099" t="b">
        <f>' WP II-I-1.4'!$L$81=F89</f>
        <v>1</v>
      </c>
      <c r="X89" s="305">
        <f t="shared" ca="1" si="41"/>
        <v>0</v>
      </c>
    </row>
    <row r="90" spans="1:25" ht="16.5" thickBot="1" x14ac:dyDescent="0.3">
      <c r="A90" s="118"/>
      <c r="B90" s="104"/>
      <c r="C90" s="16"/>
      <c r="V90" s="104"/>
      <c r="W90" s="188"/>
      <c r="X90" s="305">
        <f t="shared" si="41"/>
        <v>0</v>
      </c>
    </row>
    <row r="91" spans="1:25" ht="15" x14ac:dyDescent="0.25">
      <c r="A91" s="45"/>
      <c r="B91" s="829" t="str">
        <f>+$B$4</f>
        <v>2025 RATE CASE</v>
      </c>
      <c r="C91" s="844"/>
      <c r="D91" s="336"/>
      <c r="V91" s="105"/>
      <c r="X91" s="305"/>
    </row>
    <row r="92" spans="1:25" ht="15" x14ac:dyDescent="0.25">
      <c r="A92" s="229"/>
      <c r="B92" s="826" t="str">
        <f>+$B$5</f>
        <v>ONCOR ELECTRIC DELIVERY COMPANY LLC</v>
      </c>
      <c r="C92" s="8"/>
      <c r="D92" s="340"/>
      <c r="V92" s="64"/>
      <c r="X92" s="305">
        <f t="shared" si="41"/>
        <v>0</v>
      </c>
    </row>
    <row r="93" spans="1:25" ht="15" x14ac:dyDescent="0.25">
      <c r="A93" s="45"/>
      <c r="B93" s="826" t="str">
        <f>+$B$6</f>
        <v>II-I-1-TOT:  CLASS REVENUE REQUIREMENT</v>
      </c>
      <c r="C93" s="82"/>
      <c r="D93" s="340"/>
      <c r="V93" s="64"/>
      <c r="X93" s="305">
        <f t="shared" si="41"/>
        <v>0</v>
      </c>
    </row>
    <row r="94" spans="1:25" ht="15" x14ac:dyDescent="0.25">
      <c r="A94" s="45"/>
      <c r="B94" s="341" t="str">
        <f>+$B$7</f>
        <v>TEST YEAR ENDING 12/31/2024</v>
      </c>
      <c r="C94" s="82"/>
      <c r="D94" s="340"/>
      <c r="V94" s="64"/>
      <c r="X94" s="305">
        <f t="shared" si="41"/>
        <v>0</v>
      </c>
    </row>
    <row r="95" spans="1:25" ht="15" x14ac:dyDescent="0.25">
      <c r="A95" s="45"/>
      <c r="B95" s="341" t="str">
        <f>+$B$8</f>
        <v>SPONSOR:  MATTHEW A. TROXLE</v>
      </c>
      <c r="C95" s="82"/>
      <c r="D95" s="340"/>
      <c r="V95" s="64"/>
      <c r="X95" s="305">
        <f t="shared" si="41"/>
        <v>0</v>
      </c>
    </row>
    <row r="96" spans="1:25" ht="15.75" thickBot="1" x14ac:dyDescent="0.3">
      <c r="A96" s="45"/>
      <c r="B96" s="345"/>
      <c r="C96" s="843"/>
      <c r="D96" s="839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11"/>
      <c r="V96" s="64"/>
      <c r="W96" s="101"/>
      <c r="X96" s="305">
        <f t="shared" si="41"/>
        <v>0</v>
      </c>
    </row>
    <row r="97" spans="1:24" ht="15" thickBot="1" x14ac:dyDescent="0.25">
      <c r="A97" s="45"/>
      <c r="B97" s="12"/>
      <c r="C97" s="13"/>
      <c r="D97" s="13"/>
      <c r="E97" s="13"/>
      <c r="F97" s="13"/>
      <c r="G97" s="13"/>
      <c r="H97" s="13"/>
      <c r="I97" s="13"/>
      <c r="J97" s="177"/>
      <c r="K97" s="177"/>
      <c r="L97" s="13"/>
      <c r="M97" s="177"/>
      <c r="N97" s="177"/>
      <c r="O97" s="177"/>
      <c r="P97" s="177"/>
      <c r="Q97" s="13"/>
      <c r="R97" s="328" t="str">
        <f>R$10</f>
        <v xml:space="preserve"> </v>
      </c>
      <c r="S97" s="329"/>
      <c r="T97" s="177"/>
      <c r="U97" s="12"/>
      <c r="V97" s="64"/>
      <c r="W97" s="101"/>
      <c r="X97" s="305">
        <f t="shared" si="41"/>
        <v>0</v>
      </c>
    </row>
    <row r="98" spans="1:24" ht="15" x14ac:dyDescent="0.25">
      <c r="A98" s="45"/>
      <c r="B98" s="14" t="s">
        <v>2</v>
      </c>
      <c r="C98" s="14" t="s">
        <v>349</v>
      </c>
      <c r="D98" s="226" t="s">
        <v>484</v>
      </c>
      <c r="E98" s="14" t="s">
        <v>350</v>
      </c>
      <c r="F98" s="226" t="str">
        <f>F$11</f>
        <v>TOTAL</v>
      </c>
      <c r="G98" s="181" t="s">
        <v>688</v>
      </c>
      <c r="H98" s="181" t="s">
        <v>355</v>
      </c>
      <c r="I98" s="14"/>
      <c r="J98" s="181" t="s">
        <v>679</v>
      </c>
      <c r="K98" s="181" t="s">
        <v>388</v>
      </c>
      <c r="L98" s="14" t="s">
        <v>388</v>
      </c>
      <c r="M98" s="181" t="s">
        <v>389</v>
      </c>
      <c r="N98" s="181" t="s">
        <v>389</v>
      </c>
      <c r="O98" s="181" t="s">
        <v>389</v>
      </c>
      <c r="P98" s="181" t="s">
        <v>390</v>
      </c>
      <c r="Q98" s="14" t="s">
        <v>391</v>
      </c>
      <c r="R98" s="331" t="str">
        <f>R$11</f>
        <v>Wholesale</v>
      </c>
      <c r="S98" s="12" t="str">
        <f>S$11</f>
        <v>Wholesale</v>
      </c>
      <c r="T98" s="181"/>
      <c r="U98" s="14" t="s">
        <v>10</v>
      </c>
      <c r="V98" s="64"/>
      <c r="W98" s="101"/>
      <c r="X98" s="305"/>
    </row>
    <row r="99" spans="1:24" x14ac:dyDescent="0.2">
      <c r="A99" s="45"/>
      <c r="B99" s="14"/>
      <c r="C99" s="14"/>
      <c r="D99" s="14"/>
      <c r="E99" s="14"/>
      <c r="F99" s="14" t="str">
        <f>F$12</f>
        <v>(Dist+Met+Cust)</v>
      </c>
      <c r="G99" s="181" t="s">
        <v>689</v>
      </c>
      <c r="H99" s="181" t="s">
        <v>690</v>
      </c>
      <c r="I99" s="14"/>
      <c r="J99" s="181"/>
      <c r="K99" s="181" t="s">
        <v>680</v>
      </c>
      <c r="L99" s="14" t="s">
        <v>681</v>
      </c>
      <c r="M99" s="181" t="s">
        <v>680</v>
      </c>
      <c r="N99" s="181" t="s">
        <v>681</v>
      </c>
      <c r="O99" s="181" t="s">
        <v>393</v>
      </c>
      <c r="P99" s="181"/>
      <c r="Q99" s="14"/>
      <c r="R99" s="174" t="str">
        <f>R$12</f>
        <v>XFMR</v>
      </c>
      <c r="S99" s="14" t="str">
        <f>S$12</f>
        <v>DLS</v>
      </c>
      <c r="T99" s="181"/>
      <c r="U99" s="14"/>
      <c r="V99" s="64"/>
      <c r="W99" s="101"/>
      <c r="X99" s="305"/>
    </row>
    <row r="100" spans="1:24" ht="15" thickBot="1" x14ac:dyDescent="0.25">
      <c r="A100" s="45"/>
      <c r="B100" s="15"/>
      <c r="C100" s="15"/>
      <c r="D100" s="15"/>
      <c r="E100" s="15"/>
      <c r="F100" s="15" t="s">
        <v>13</v>
      </c>
      <c r="G100" s="15" t="s">
        <v>14</v>
      </c>
      <c r="H100" s="15" t="s">
        <v>15</v>
      </c>
      <c r="I100" s="15"/>
      <c r="J100" s="182" t="str">
        <f t="shared" ref="J100:Q100" si="46">J$13</f>
        <v>(d)</v>
      </c>
      <c r="K100" s="182" t="str">
        <f t="shared" si="46"/>
        <v>(e)</v>
      </c>
      <c r="L100" s="15" t="str">
        <f t="shared" si="46"/>
        <v>(f)</v>
      </c>
      <c r="M100" s="182" t="str">
        <f t="shared" si="46"/>
        <v>(g)</v>
      </c>
      <c r="N100" s="182" t="str">
        <f t="shared" si="46"/>
        <v>(h)</v>
      </c>
      <c r="O100" s="182" t="str">
        <f>O$13</f>
        <v>(i)</v>
      </c>
      <c r="P100" s="182" t="str">
        <f t="shared" si="46"/>
        <v>(j)</v>
      </c>
      <c r="Q100" s="182" t="str">
        <f t="shared" si="46"/>
        <v>(k)</v>
      </c>
      <c r="R100" s="182" t="str">
        <f>R$13</f>
        <v>(l)</v>
      </c>
      <c r="S100" s="15" t="str">
        <f>S$13</f>
        <v>(m)</v>
      </c>
      <c r="T100" s="15"/>
      <c r="U100" s="15" t="s">
        <v>683</v>
      </c>
      <c r="V100" s="64"/>
      <c r="W100" s="101"/>
      <c r="X100" s="305"/>
    </row>
    <row r="101" spans="1:24" x14ac:dyDescent="0.2">
      <c r="A101" s="45"/>
      <c r="B101" s="64"/>
      <c r="C101" s="64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64"/>
      <c r="W101" s="101"/>
      <c r="X101" s="305">
        <f t="shared" si="41"/>
        <v>0</v>
      </c>
    </row>
    <row r="102" spans="1:24" ht="15" x14ac:dyDescent="0.25">
      <c r="A102" s="45"/>
      <c r="B102" s="16">
        <f t="shared" ref="B102:B121" si="47">B101+1</f>
        <v>1</v>
      </c>
      <c r="C102" s="8" t="s">
        <v>485</v>
      </c>
      <c r="D102" s="8"/>
      <c r="E102" s="19" t="s">
        <v>24</v>
      </c>
      <c r="F102" s="19"/>
      <c r="G102" s="19"/>
      <c r="H102" s="19"/>
      <c r="I102" s="19"/>
      <c r="J102" s="961"/>
      <c r="K102" s="961"/>
      <c r="L102" s="961"/>
      <c r="M102" s="961"/>
      <c r="N102" s="961"/>
      <c r="O102" s="961"/>
      <c r="P102" s="961"/>
      <c r="Q102" s="961"/>
      <c r="R102" s="961"/>
      <c r="S102" s="961"/>
      <c r="T102" s="19"/>
      <c r="U102" s="8"/>
      <c r="V102" s="64"/>
      <c r="W102" s="101"/>
      <c r="X102" s="305">
        <f t="shared" si="41"/>
        <v>0</v>
      </c>
    </row>
    <row r="103" spans="1:24" x14ac:dyDescent="0.2">
      <c r="A103" s="45"/>
      <c r="B103" s="16">
        <f t="shared" si="47"/>
        <v>2</v>
      </c>
      <c r="C103" s="1" t="s">
        <v>25</v>
      </c>
      <c r="D103" s="1" t="s">
        <v>26</v>
      </c>
      <c r="E103" s="16"/>
      <c r="F103" s="97">
        <f>' WP II-I-1.4'!L103</f>
        <v>0</v>
      </c>
      <c r="G103" s="16" t="s">
        <v>751</v>
      </c>
      <c r="H103" s="45" t="s">
        <v>303</v>
      </c>
      <c r="I103" s="16"/>
      <c r="J103" s="369">
        <f ca="1">'II-I-DIST'!J103+'II-I-MET'!J103+'II-I-TBILLTDCS'!J103</f>
        <v>0</v>
      </c>
      <c r="K103" s="369">
        <f ca="1">'II-I-DIST'!K103+'II-I-MET'!K103+'II-I-TBILLTDCS'!K103</f>
        <v>0</v>
      </c>
      <c r="L103" s="369">
        <f ca="1">'II-I-DIST'!L103+'II-I-MET'!L103+'II-I-TBILLTDCS'!L103</f>
        <v>0</v>
      </c>
      <c r="M103" s="369">
        <f ca="1">'II-I-DIST'!M103+'II-I-MET'!M103+'II-I-TBILLTDCS'!M103</f>
        <v>0</v>
      </c>
      <c r="N103" s="369">
        <f ca="1">'II-I-DIST'!N103+'II-I-MET'!N103+'II-I-TBILLTDCS'!N103</f>
        <v>0</v>
      </c>
      <c r="O103" s="369">
        <f ca="1">'II-I-DIST'!O103+'II-I-MET'!O103+'II-I-TBILLTDCS'!O103</f>
        <v>0</v>
      </c>
      <c r="P103" s="369">
        <f ca="1">'II-I-DIST'!P103+'II-I-MET'!P103+'II-I-TBILLTDCS'!P103</f>
        <v>0</v>
      </c>
      <c r="Q103" s="369">
        <f ca="1">'II-I-DIST'!Q103+'II-I-MET'!Q103+'II-I-TBILLTDCS'!Q103</f>
        <v>0</v>
      </c>
      <c r="R103" s="369">
        <f ca="1">'II-I-DIST'!R103+'II-I-MET'!R103+'II-I-TBILLTDCS'!R103</f>
        <v>0</v>
      </c>
      <c r="S103" s="369">
        <f ca="1">'II-I-DIST'!S103+'II-I-MET'!S103+'II-I-TBILLTDCS'!S103</f>
        <v>0</v>
      </c>
      <c r="T103" s="16"/>
      <c r="U103" s="97">
        <f ca="1">SUM(I103:T103)</f>
        <v>0</v>
      </c>
      <c r="V103" s="64"/>
      <c r="X103" s="305">
        <f t="shared" ca="1" si="41"/>
        <v>0</v>
      </c>
    </row>
    <row r="104" spans="1:24" x14ac:dyDescent="0.2">
      <c r="A104" s="45"/>
      <c r="B104" s="16">
        <f t="shared" si="47"/>
        <v>3</v>
      </c>
      <c r="C104" s="1" t="s">
        <v>27</v>
      </c>
      <c r="D104" s="1" t="s">
        <v>28</v>
      </c>
      <c r="E104" s="16"/>
      <c r="F104" s="97">
        <f>' WP II-I-1.4'!L104</f>
        <v>0</v>
      </c>
      <c r="G104" s="16" t="s">
        <v>751</v>
      </c>
      <c r="H104" s="45" t="s">
        <v>303</v>
      </c>
      <c r="I104" s="16"/>
      <c r="J104" s="369">
        <f ca="1">'II-I-DIST'!J104+'II-I-MET'!J104+'II-I-TBILLTDCS'!J104</f>
        <v>0</v>
      </c>
      <c r="K104" s="369">
        <f ca="1">'II-I-DIST'!K104+'II-I-MET'!K104+'II-I-TBILLTDCS'!K104</f>
        <v>0</v>
      </c>
      <c r="L104" s="369">
        <f ca="1">'II-I-DIST'!L104+'II-I-MET'!L104+'II-I-TBILLTDCS'!L104</f>
        <v>0</v>
      </c>
      <c r="M104" s="369">
        <f ca="1">'II-I-DIST'!M104+'II-I-MET'!M104+'II-I-TBILLTDCS'!M104</f>
        <v>0</v>
      </c>
      <c r="N104" s="369">
        <f ca="1">'II-I-DIST'!N104+'II-I-MET'!N104+'II-I-TBILLTDCS'!N104</f>
        <v>0</v>
      </c>
      <c r="O104" s="369">
        <f ca="1">'II-I-DIST'!O104+'II-I-MET'!O104+'II-I-TBILLTDCS'!O104</f>
        <v>0</v>
      </c>
      <c r="P104" s="369">
        <f ca="1">'II-I-DIST'!P104+'II-I-MET'!P104+'II-I-TBILLTDCS'!P104</f>
        <v>0</v>
      </c>
      <c r="Q104" s="369">
        <f ca="1">'II-I-DIST'!Q104+'II-I-MET'!Q104+'II-I-TBILLTDCS'!Q104</f>
        <v>0</v>
      </c>
      <c r="R104" s="369">
        <f ca="1">'II-I-DIST'!R104+'II-I-MET'!R104+'II-I-TBILLTDCS'!R104</f>
        <v>0</v>
      </c>
      <c r="S104" s="369">
        <f ca="1">'II-I-DIST'!S104+'II-I-MET'!S104+'II-I-TBILLTDCS'!S104</f>
        <v>0</v>
      </c>
      <c r="T104" s="16"/>
      <c r="U104" s="97">
        <f ca="1">SUM(I104:T104)</f>
        <v>0</v>
      </c>
      <c r="V104" s="64"/>
      <c r="X104" s="305">
        <f t="shared" ca="1" si="41"/>
        <v>0</v>
      </c>
    </row>
    <row r="105" spans="1:24" x14ac:dyDescent="0.2">
      <c r="A105" s="45"/>
      <c r="B105" s="16">
        <f t="shared" si="47"/>
        <v>4</v>
      </c>
      <c r="C105" s="1" t="s">
        <v>29</v>
      </c>
      <c r="D105" s="1" t="s">
        <v>32</v>
      </c>
      <c r="E105" s="16"/>
      <c r="F105" s="97">
        <f>' WP II-I-1.4'!L105</f>
        <v>9115470</v>
      </c>
      <c r="G105" s="16" t="s">
        <v>751</v>
      </c>
      <c r="H105" s="45" t="s">
        <v>303</v>
      </c>
      <c r="I105" s="16"/>
      <c r="J105" s="370">
        <f ca="1">'II-I-DIST'!J105+'II-I-MET'!J105+'II-I-TBILLTDCS'!J105</f>
        <v>4957950.9560888605</v>
      </c>
      <c r="K105" s="370">
        <f ca="1">'II-I-DIST'!K105+'II-I-MET'!K105+'II-I-TBILLTDCS'!K105</f>
        <v>158613.00447929959</v>
      </c>
      <c r="L105" s="370">
        <f ca="1">'II-I-DIST'!L105+'II-I-MET'!L105+'II-I-TBILLTDCS'!L105</f>
        <v>3135542.8442701288</v>
      </c>
      <c r="M105" s="370">
        <f ca="1">'II-I-DIST'!M105+'II-I-MET'!M105+'II-I-TBILLTDCS'!M105</f>
        <v>6482.1355922137445</v>
      </c>
      <c r="N105" s="370">
        <f ca="1">'II-I-DIST'!N105+'II-I-MET'!N105+'II-I-TBILLTDCS'!N105</f>
        <v>611676.5133495247</v>
      </c>
      <c r="O105" s="370">
        <f ca="1">'II-I-DIST'!O105+'II-I-MET'!O105+'II-I-TBILLTDCS'!O105</f>
        <v>67863.147024399368</v>
      </c>
      <c r="P105" s="370">
        <f ca="1">'II-I-DIST'!P105+'II-I-MET'!P105+'II-I-TBILLTDCS'!P105</f>
        <v>14154.974307534956</v>
      </c>
      <c r="Q105" s="370">
        <f ca="1">'II-I-DIST'!Q105+'II-I-MET'!Q105+'II-I-TBILLTDCS'!Q105</f>
        <v>136219.82460684059</v>
      </c>
      <c r="R105" s="370">
        <f ca="1">'II-I-DIST'!R105+'II-I-MET'!R105+'II-I-TBILLTDCS'!R105</f>
        <v>4749.1681193259692</v>
      </c>
      <c r="S105" s="370">
        <f ca="1">'II-I-DIST'!S105+'II-I-MET'!S105+'II-I-TBILLTDCS'!S105</f>
        <v>22217.43216187062</v>
      </c>
      <c r="T105" s="16"/>
      <c r="U105" s="97">
        <f ca="1">SUM(I105:T105)</f>
        <v>9115470</v>
      </c>
      <c r="V105" s="64"/>
      <c r="X105" s="305">
        <f t="shared" ca="1" si="41"/>
        <v>0</v>
      </c>
    </row>
    <row r="106" spans="1:24" ht="15" x14ac:dyDescent="0.25">
      <c r="A106" s="45"/>
      <c r="B106" s="16">
        <f t="shared" si="47"/>
        <v>5</v>
      </c>
      <c r="C106" s="8"/>
      <c r="D106" s="233" t="s">
        <v>444</v>
      </c>
      <c r="E106" s="19"/>
      <c r="F106" s="234">
        <f>SUM(F103:F105)</f>
        <v>9115470</v>
      </c>
      <c r="G106" s="16"/>
      <c r="H106" s="19"/>
      <c r="I106" s="903"/>
      <c r="J106" s="816">
        <f t="shared" ref="J106:Q106" ca="1" si="48">SUM(J103:J105)</f>
        <v>4957950.9560888605</v>
      </c>
      <c r="K106" s="816">
        <f t="shared" ca="1" si="48"/>
        <v>158613.00447929959</v>
      </c>
      <c r="L106" s="816">
        <f t="shared" ca="1" si="48"/>
        <v>3135542.8442701288</v>
      </c>
      <c r="M106" s="816">
        <f t="shared" ca="1" si="48"/>
        <v>6482.1355922137445</v>
      </c>
      <c r="N106" s="816">
        <f t="shared" ca="1" si="48"/>
        <v>611676.5133495247</v>
      </c>
      <c r="O106" s="816">
        <f ca="1">SUM(O103:O105)</f>
        <v>67863.147024399368</v>
      </c>
      <c r="P106" s="816">
        <f t="shared" ca="1" si="48"/>
        <v>14154.974307534956</v>
      </c>
      <c r="Q106" s="816">
        <f t="shared" ca="1" si="48"/>
        <v>136219.82460684059</v>
      </c>
      <c r="R106" s="816">
        <f ca="1">SUM(R103:R105)</f>
        <v>4749.1681193259692</v>
      </c>
      <c r="S106" s="816">
        <f ca="1">SUM(S103:S105)</f>
        <v>22217.43216187062</v>
      </c>
      <c r="T106" s="19"/>
      <c r="U106" s="235">
        <f ca="1">SUM(I106:T106)</f>
        <v>9115470</v>
      </c>
      <c r="V106" s="64"/>
      <c r="W106" s="1099" t="b">
        <f>' WP II-I-1.4'!$L$106=F106</f>
        <v>1</v>
      </c>
      <c r="X106" s="305">
        <f t="shared" ca="1" si="41"/>
        <v>0</v>
      </c>
    </row>
    <row r="107" spans="1:24" ht="15" x14ac:dyDescent="0.25">
      <c r="A107" s="45"/>
      <c r="B107" s="16">
        <f t="shared" si="47"/>
        <v>6</v>
      </c>
      <c r="C107" s="8" t="s">
        <v>517</v>
      </c>
      <c r="D107" s="8"/>
      <c r="E107" s="19" t="s">
        <v>24</v>
      </c>
      <c r="F107" s="19"/>
      <c r="G107" s="16"/>
      <c r="H107" s="16"/>
      <c r="I107" s="903"/>
      <c r="J107" s="961"/>
      <c r="K107" s="961"/>
      <c r="L107" s="961"/>
      <c r="M107" s="961"/>
      <c r="N107" s="961"/>
      <c r="O107" s="961"/>
      <c r="P107" s="961"/>
      <c r="Q107" s="961"/>
      <c r="R107" s="961"/>
      <c r="S107" s="961"/>
      <c r="T107" s="19"/>
      <c r="U107" s="8"/>
      <c r="V107" s="64"/>
      <c r="X107" s="305">
        <f t="shared" si="41"/>
        <v>0</v>
      </c>
    </row>
    <row r="108" spans="1:24" ht="15" x14ac:dyDescent="0.25">
      <c r="A108" s="45"/>
      <c r="B108" s="16">
        <f t="shared" si="47"/>
        <v>7</v>
      </c>
      <c r="C108" s="1" t="s">
        <v>37</v>
      </c>
      <c r="D108" s="1" t="s">
        <v>38</v>
      </c>
      <c r="E108" s="19"/>
      <c r="F108" s="97">
        <f>' WP II-I-1.4'!L108</f>
        <v>0</v>
      </c>
      <c r="G108" s="16" t="s">
        <v>751</v>
      </c>
      <c r="H108" s="26" t="s">
        <v>303</v>
      </c>
      <c r="I108" s="903"/>
      <c r="J108" s="18">
        <f>'II-I-DIST'!J108+'II-I-MET'!J108+'II-I-TBILLTDCS'!J108</f>
        <v>0</v>
      </c>
      <c r="K108" s="18">
        <f>'II-I-DIST'!K108+'II-I-MET'!K108+'II-I-TBILLTDCS'!K108</f>
        <v>0</v>
      </c>
      <c r="L108" s="18">
        <f>'II-I-DIST'!L108+'II-I-MET'!L108+'II-I-TBILLTDCS'!L108</f>
        <v>0</v>
      </c>
      <c r="M108" s="18">
        <f>'II-I-DIST'!M108+'II-I-MET'!M108+'II-I-TBILLTDCS'!M108</f>
        <v>0</v>
      </c>
      <c r="N108" s="18">
        <f>'II-I-DIST'!N108+'II-I-MET'!N108+'II-I-TBILLTDCS'!N108</f>
        <v>0</v>
      </c>
      <c r="O108" s="18">
        <f>'II-I-DIST'!O108+'II-I-MET'!O108+'II-I-TBILLTDCS'!O108</f>
        <v>0</v>
      </c>
      <c r="P108" s="18">
        <f>'II-I-DIST'!P108+'II-I-MET'!P108+'II-I-TBILLTDCS'!P108</f>
        <v>0</v>
      </c>
      <c r="Q108" s="18">
        <f>'II-I-DIST'!Q108+'II-I-MET'!Q108+'II-I-TBILLTDCS'!Q108</f>
        <v>0</v>
      </c>
      <c r="R108" s="18">
        <f>'II-I-DIST'!R108+'II-I-MET'!R108+'II-I-TBILLTDCS'!R108</f>
        <v>0</v>
      </c>
      <c r="S108" s="18">
        <f>'II-I-DIST'!S108+'II-I-MET'!S108+'II-I-TBILLTDCS'!S108</f>
        <v>0</v>
      </c>
      <c r="T108" s="903"/>
      <c r="U108" s="97">
        <f t="shared" ref="U108:U121" si="49">SUM(I108:T108)</f>
        <v>0</v>
      </c>
      <c r="V108" s="64"/>
      <c r="X108" s="305">
        <f t="shared" si="41"/>
        <v>0</v>
      </c>
    </row>
    <row r="109" spans="1:24" x14ac:dyDescent="0.2">
      <c r="A109" s="45"/>
      <c r="B109" s="16">
        <f t="shared" si="47"/>
        <v>8</v>
      </c>
      <c r="C109" s="1" t="s">
        <v>39</v>
      </c>
      <c r="D109" s="1" t="s">
        <v>40</v>
      </c>
      <c r="E109" s="16"/>
      <c r="F109" s="97">
        <f>' WP II-I-1.4'!L109</f>
        <v>0</v>
      </c>
      <c r="G109" s="16" t="s">
        <v>751</v>
      </c>
      <c r="H109" s="26" t="s">
        <v>303</v>
      </c>
      <c r="I109" s="16"/>
      <c r="J109" s="18">
        <f>'II-I-DIST'!J109+'II-I-MET'!J109+'II-I-TBILLTDCS'!J109</f>
        <v>0</v>
      </c>
      <c r="K109" s="18">
        <f>'II-I-DIST'!K109+'II-I-MET'!K109+'II-I-TBILLTDCS'!K109</f>
        <v>0</v>
      </c>
      <c r="L109" s="18">
        <f>'II-I-DIST'!L109+'II-I-MET'!L109+'II-I-TBILLTDCS'!L109</f>
        <v>0</v>
      </c>
      <c r="M109" s="18">
        <f>'II-I-DIST'!M109+'II-I-MET'!M109+'II-I-TBILLTDCS'!M109</f>
        <v>0</v>
      </c>
      <c r="N109" s="18">
        <f>'II-I-DIST'!N109+'II-I-MET'!N109+'II-I-TBILLTDCS'!N109</f>
        <v>0</v>
      </c>
      <c r="O109" s="18">
        <f>'II-I-DIST'!O109+'II-I-MET'!O109+'II-I-TBILLTDCS'!O109</f>
        <v>0</v>
      </c>
      <c r="P109" s="18">
        <f>'II-I-DIST'!P109+'II-I-MET'!P109+'II-I-TBILLTDCS'!P109</f>
        <v>0</v>
      </c>
      <c r="Q109" s="18">
        <f>'II-I-DIST'!Q109+'II-I-MET'!Q109+'II-I-TBILLTDCS'!Q109</f>
        <v>0</v>
      </c>
      <c r="R109" s="18">
        <f>'II-I-DIST'!R109+'II-I-MET'!R109+'II-I-TBILLTDCS'!R109</f>
        <v>0</v>
      </c>
      <c r="S109" s="18">
        <f>'II-I-DIST'!S109+'II-I-MET'!S109+'II-I-TBILLTDCS'!S109</f>
        <v>0</v>
      </c>
      <c r="T109" s="16"/>
      <c r="U109" s="97">
        <f t="shared" si="49"/>
        <v>0</v>
      </c>
      <c r="V109" s="64"/>
      <c r="X109" s="305">
        <f t="shared" si="41"/>
        <v>0</v>
      </c>
    </row>
    <row r="110" spans="1:24" x14ac:dyDescent="0.2">
      <c r="A110" s="45"/>
      <c r="B110" s="16">
        <f t="shared" si="47"/>
        <v>9</v>
      </c>
      <c r="C110" s="1" t="s">
        <v>1229</v>
      </c>
      <c r="D110" s="1" t="s">
        <v>1230</v>
      </c>
      <c r="E110" s="16"/>
      <c r="F110" s="97">
        <f>' WP II-I-1.4'!L110</f>
        <v>0</v>
      </c>
      <c r="G110" s="16" t="s">
        <v>751</v>
      </c>
      <c r="H110" s="26" t="s">
        <v>303</v>
      </c>
      <c r="I110" s="16"/>
      <c r="J110" s="18">
        <f ca="1">'II-I-DIST'!J110+'II-I-MET'!J110+'II-I-TBILLTDCS'!J110</f>
        <v>0</v>
      </c>
      <c r="K110" s="18">
        <f ca="1">'II-I-DIST'!K110+'II-I-MET'!K110+'II-I-TBILLTDCS'!K110</f>
        <v>0</v>
      </c>
      <c r="L110" s="18">
        <f ca="1">'II-I-DIST'!L110+'II-I-MET'!L110+'II-I-TBILLTDCS'!L110</f>
        <v>0</v>
      </c>
      <c r="M110" s="18">
        <f ca="1">'II-I-DIST'!M110+'II-I-MET'!M110+'II-I-TBILLTDCS'!M110</f>
        <v>0</v>
      </c>
      <c r="N110" s="18">
        <f ca="1">'II-I-DIST'!N110+'II-I-MET'!N110+'II-I-TBILLTDCS'!N110</f>
        <v>0</v>
      </c>
      <c r="O110" s="18">
        <f ca="1">'II-I-DIST'!O110+'II-I-MET'!O110+'II-I-TBILLTDCS'!O110</f>
        <v>0</v>
      </c>
      <c r="P110" s="18">
        <f ca="1">'II-I-DIST'!P110+'II-I-MET'!P110+'II-I-TBILLTDCS'!P110</f>
        <v>0</v>
      </c>
      <c r="Q110" s="18">
        <f ca="1">'II-I-DIST'!Q110+'II-I-MET'!Q110+'II-I-TBILLTDCS'!Q110</f>
        <v>0</v>
      </c>
      <c r="R110" s="18">
        <f ca="1">'II-I-DIST'!R110+'II-I-MET'!R110+'II-I-TBILLTDCS'!R110</f>
        <v>0</v>
      </c>
      <c r="S110" s="18">
        <f ca="1">'II-I-DIST'!S110+'II-I-MET'!S110+'II-I-TBILLTDCS'!S110</f>
        <v>0</v>
      </c>
      <c r="T110" s="16"/>
      <c r="U110" s="97">
        <f t="shared" ref="U110:U112" ca="1" si="50">SUM(I110:T110)</f>
        <v>0</v>
      </c>
      <c r="V110" s="64"/>
      <c r="X110" s="305"/>
    </row>
    <row r="111" spans="1:24" x14ac:dyDescent="0.2">
      <c r="A111" s="45"/>
      <c r="B111" s="16">
        <f t="shared" si="47"/>
        <v>10</v>
      </c>
      <c r="C111" s="1" t="s">
        <v>1231</v>
      </c>
      <c r="D111" s="1" t="s">
        <v>1232</v>
      </c>
      <c r="E111" s="16"/>
      <c r="F111" s="97">
        <f>' WP II-I-1.4'!L111</f>
        <v>0</v>
      </c>
      <c r="G111" s="16" t="s">
        <v>751</v>
      </c>
      <c r="H111" s="26" t="s">
        <v>303</v>
      </c>
      <c r="I111" s="16"/>
      <c r="J111" s="18">
        <f ca="1">'II-I-DIST'!J111+'II-I-MET'!J111+'II-I-TBILLTDCS'!J111</f>
        <v>0</v>
      </c>
      <c r="K111" s="18">
        <f ca="1">'II-I-DIST'!K111+'II-I-MET'!K111+'II-I-TBILLTDCS'!K111</f>
        <v>0</v>
      </c>
      <c r="L111" s="18">
        <f ca="1">'II-I-DIST'!L111+'II-I-MET'!L111+'II-I-TBILLTDCS'!L111</f>
        <v>0</v>
      </c>
      <c r="M111" s="18">
        <f ca="1">'II-I-DIST'!M111+'II-I-MET'!M111+'II-I-TBILLTDCS'!M111</f>
        <v>0</v>
      </c>
      <c r="N111" s="18">
        <f ca="1">'II-I-DIST'!N111+'II-I-MET'!N111+'II-I-TBILLTDCS'!N111</f>
        <v>0</v>
      </c>
      <c r="O111" s="18">
        <f ca="1">'II-I-DIST'!O111+'II-I-MET'!O111+'II-I-TBILLTDCS'!O111</f>
        <v>0</v>
      </c>
      <c r="P111" s="18">
        <f ca="1">'II-I-DIST'!P111+'II-I-MET'!P111+'II-I-TBILLTDCS'!P111</f>
        <v>0</v>
      </c>
      <c r="Q111" s="18">
        <f ca="1">'II-I-DIST'!Q111+'II-I-MET'!Q111+'II-I-TBILLTDCS'!Q111</f>
        <v>0</v>
      </c>
      <c r="R111" s="18">
        <f ca="1">'II-I-DIST'!R111+'II-I-MET'!R111+'II-I-TBILLTDCS'!R111</f>
        <v>0</v>
      </c>
      <c r="S111" s="18">
        <f ca="1">'II-I-DIST'!S111+'II-I-MET'!S111+'II-I-TBILLTDCS'!S111</f>
        <v>0</v>
      </c>
      <c r="T111" s="16"/>
      <c r="U111" s="97">
        <f t="shared" ca="1" si="50"/>
        <v>0</v>
      </c>
      <c r="V111" s="64"/>
      <c r="X111" s="305"/>
    </row>
    <row r="112" spans="1:24" x14ac:dyDescent="0.2">
      <c r="A112" s="45"/>
      <c r="B112" s="16">
        <f t="shared" si="47"/>
        <v>11</v>
      </c>
      <c r="C112" s="1" t="s">
        <v>1233</v>
      </c>
      <c r="D112" s="1" t="s">
        <v>103</v>
      </c>
      <c r="E112" s="16"/>
      <c r="F112" s="97">
        <f>' WP II-I-1.4'!L112</f>
        <v>0</v>
      </c>
      <c r="G112" s="16" t="s">
        <v>751</v>
      </c>
      <c r="H112" s="26" t="s">
        <v>303</v>
      </c>
      <c r="I112" s="16"/>
      <c r="J112" s="18">
        <f ca="1">'II-I-DIST'!J112+'II-I-MET'!J112+'II-I-TBILLTDCS'!J112</f>
        <v>0</v>
      </c>
      <c r="K112" s="18">
        <f ca="1">'II-I-DIST'!K112+'II-I-MET'!K112+'II-I-TBILLTDCS'!K112</f>
        <v>0</v>
      </c>
      <c r="L112" s="18">
        <f ca="1">'II-I-DIST'!L112+'II-I-MET'!L112+'II-I-TBILLTDCS'!L112</f>
        <v>0</v>
      </c>
      <c r="M112" s="18">
        <f ca="1">'II-I-DIST'!M112+'II-I-MET'!M112+'II-I-TBILLTDCS'!M112</f>
        <v>0</v>
      </c>
      <c r="N112" s="18">
        <f ca="1">'II-I-DIST'!N112+'II-I-MET'!N112+'II-I-TBILLTDCS'!N112</f>
        <v>0</v>
      </c>
      <c r="O112" s="18">
        <f ca="1">'II-I-DIST'!O112+'II-I-MET'!O112+'II-I-TBILLTDCS'!O112</f>
        <v>0</v>
      </c>
      <c r="P112" s="18">
        <f ca="1">'II-I-DIST'!P112+'II-I-MET'!P112+'II-I-TBILLTDCS'!P112</f>
        <v>0</v>
      </c>
      <c r="Q112" s="18">
        <f ca="1">'II-I-DIST'!Q112+'II-I-MET'!Q112+'II-I-TBILLTDCS'!Q112</f>
        <v>0</v>
      </c>
      <c r="R112" s="18">
        <f ca="1">'II-I-DIST'!R112+'II-I-MET'!R112+'II-I-TBILLTDCS'!R112</f>
        <v>0</v>
      </c>
      <c r="S112" s="18">
        <f ca="1">'II-I-DIST'!S112+'II-I-MET'!S112+'II-I-TBILLTDCS'!S112</f>
        <v>0</v>
      </c>
      <c r="T112" s="16"/>
      <c r="U112" s="97">
        <f t="shared" ca="1" si="50"/>
        <v>0</v>
      </c>
      <c r="V112" s="64"/>
      <c r="X112" s="305"/>
    </row>
    <row r="113" spans="1:24" x14ac:dyDescent="0.2">
      <c r="A113" s="45"/>
      <c r="B113" s="16">
        <f t="shared" si="47"/>
        <v>12</v>
      </c>
      <c r="C113" s="1" t="s">
        <v>41</v>
      </c>
      <c r="D113" s="1" t="s">
        <v>42</v>
      </c>
      <c r="E113" s="16"/>
      <c r="F113" s="97">
        <f>' WP II-I-1.4'!L113</f>
        <v>0</v>
      </c>
      <c r="G113" s="16" t="s">
        <v>751</v>
      </c>
      <c r="H113" s="26" t="s">
        <v>303</v>
      </c>
      <c r="I113" s="16"/>
      <c r="J113" s="18">
        <f>'II-I-DIST'!J113+'II-I-MET'!J113+'II-I-TBILLTDCS'!J113</f>
        <v>0</v>
      </c>
      <c r="K113" s="18">
        <f>'II-I-DIST'!K113+'II-I-MET'!K113+'II-I-TBILLTDCS'!K113</f>
        <v>0</v>
      </c>
      <c r="L113" s="18">
        <f>'II-I-DIST'!L113+'II-I-MET'!L113+'II-I-TBILLTDCS'!L113</f>
        <v>0</v>
      </c>
      <c r="M113" s="18">
        <f>'II-I-DIST'!M113+'II-I-MET'!M113+'II-I-TBILLTDCS'!M113</f>
        <v>0</v>
      </c>
      <c r="N113" s="18">
        <f>'II-I-DIST'!N113+'II-I-MET'!N113+'II-I-TBILLTDCS'!N113</f>
        <v>0</v>
      </c>
      <c r="O113" s="18">
        <f>'II-I-DIST'!O113+'II-I-MET'!O113+'II-I-TBILLTDCS'!O113</f>
        <v>0</v>
      </c>
      <c r="P113" s="18">
        <f>'II-I-DIST'!P113+'II-I-MET'!P113+'II-I-TBILLTDCS'!P113</f>
        <v>0</v>
      </c>
      <c r="Q113" s="18">
        <f>'II-I-DIST'!Q113+'II-I-MET'!Q113+'II-I-TBILLTDCS'!Q113</f>
        <v>0</v>
      </c>
      <c r="R113" s="18">
        <f>'II-I-DIST'!R113+'II-I-MET'!R113+'II-I-TBILLTDCS'!R113</f>
        <v>0</v>
      </c>
      <c r="S113" s="18">
        <f>'II-I-DIST'!S113+'II-I-MET'!S113+'II-I-TBILLTDCS'!S113</f>
        <v>0</v>
      </c>
      <c r="T113" s="16"/>
      <c r="U113" s="97">
        <f t="shared" si="49"/>
        <v>0</v>
      </c>
      <c r="V113" s="64"/>
      <c r="X113" s="305">
        <f t="shared" si="41"/>
        <v>0</v>
      </c>
    </row>
    <row r="114" spans="1:24" x14ac:dyDescent="0.2">
      <c r="A114" s="45"/>
      <c r="B114" s="16">
        <f t="shared" si="47"/>
        <v>13</v>
      </c>
      <c r="C114" s="1" t="s">
        <v>43</v>
      </c>
      <c r="D114" s="1" t="s">
        <v>44</v>
      </c>
      <c r="E114" s="16"/>
      <c r="F114" s="97">
        <f>' WP II-I-1.4'!L114</f>
        <v>468976125.50999999</v>
      </c>
      <c r="G114" s="16" t="s">
        <v>751</v>
      </c>
      <c r="H114" s="26" t="s">
        <v>303</v>
      </c>
      <c r="I114" s="16"/>
      <c r="J114" s="18">
        <f>'II-I-DIST'!J114+'II-I-MET'!J114+'II-I-TBILLTDCS'!J114</f>
        <v>240475249.45735416</v>
      </c>
      <c r="K114" s="18">
        <f>'II-I-DIST'!K114+'II-I-MET'!K114+'II-I-TBILLTDCS'!K114</f>
        <v>4543218.8591096783</v>
      </c>
      <c r="L114" s="18">
        <f>'II-I-DIST'!L114+'II-I-MET'!L114+'II-I-TBILLTDCS'!L114</f>
        <v>154458268.22739372</v>
      </c>
      <c r="M114" s="18">
        <f>'II-I-DIST'!M114+'II-I-MET'!M114+'II-I-TBILLTDCS'!M114</f>
        <v>72277.313400600062</v>
      </c>
      <c r="N114" s="18">
        <f>'II-I-DIST'!N114+'II-I-MET'!N114+'II-I-TBILLTDCS'!N114</f>
        <v>45432585.310434625</v>
      </c>
      <c r="O114" s="18">
        <f>'II-I-DIST'!O114+'II-I-MET'!O114+'II-I-TBILLTDCS'!O114</f>
        <v>19527819.42862438</v>
      </c>
      <c r="P114" s="18">
        <f>'II-I-DIST'!P114+'II-I-MET'!P114+'II-I-TBILLTDCS'!P114</f>
        <v>0</v>
      </c>
      <c r="Q114" s="18">
        <f>'II-I-DIST'!Q114+'II-I-MET'!Q114+'II-I-TBILLTDCS'!Q114</f>
        <v>1373608.0579930763</v>
      </c>
      <c r="R114" s="18">
        <f>'II-I-DIST'!R114+'II-I-MET'!R114+'II-I-TBILLTDCS'!R114</f>
        <v>1349839.1711085949</v>
      </c>
      <c r="S114" s="18">
        <f>'II-I-DIST'!S114+'II-I-MET'!S114+'II-I-TBILLTDCS'!S114</f>
        <v>1743259.6845811061</v>
      </c>
      <c r="T114" s="16"/>
      <c r="U114" s="97">
        <f t="shared" si="49"/>
        <v>468976125.50999999</v>
      </c>
      <c r="V114" s="64"/>
      <c r="X114" s="305">
        <f t="shared" si="41"/>
        <v>0</v>
      </c>
    </row>
    <row r="115" spans="1:24" x14ac:dyDescent="0.2">
      <c r="A115" s="45"/>
      <c r="B115" s="16">
        <f t="shared" si="47"/>
        <v>14</v>
      </c>
      <c r="C115" s="1" t="s">
        <v>45</v>
      </c>
      <c r="D115" s="1" t="s">
        <v>46</v>
      </c>
      <c r="E115" s="16"/>
      <c r="F115" s="97">
        <f>' WP II-I-1.4'!L115</f>
        <v>0</v>
      </c>
      <c r="G115" s="16" t="s">
        <v>751</v>
      </c>
      <c r="H115" s="26" t="s">
        <v>303</v>
      </c>
      <c r="I115" s="16"/>
      <c r="J115" s="18">
        <f>'II-I-DIST'!J115+'II-I-MET'!J115+'II-I-TBILLTDCS'!J115</f>
        <v>0</v>
      </c>
      <c r="K115" s="18">
        <f>'II-I-DIST'!K115+'II-I-MET'!K115+'II-I-TBILLTDCS'!K115</f>
        <v>0</v>
      </c>
      <c r="L115" s="18">
        <f>'II-I-DIST'!L115+'II-I-MET'!L115+'II-I-TBILLTDCS'!L115</f>
        <v>0</v>
      </c>
      <c r="M115" s="18">
        <f>'II-I-DIST'!M115+'II-I-MET'!M115+'II-I-TBILLTDCS'!M115</f>
        <v>0</v>
      </c>
      <c r="N115" s="18">
        <f>'II-I-DIST'!N115+'II-I-MET'!N115+'II-I-TBILLTDCS'!N115</f>
        <v>0</v>
      </c>
      <c r="O115" s="18">
        <f>'II-I-DIST'!O115+'II-I-MET'!O115+'II-I-TBILLTDCS'!O115</f>
        <v>0</v>
      </c>
      <c r="P115" s="18">
        <f>'II-I-DIST'!P115+'II-I-MET'!P115+'II-I-TBILLTDCS'!P115</f>
        <v>0</v>
      </c>
      <c r="Q115" s="18">
        <f>'II-I-DIST'!Q115+'II-I-MET'!Q115+'II-I-TBILLTDCS'!Q115</f>
        <v>0</v>
      </c>
      <c r="R115" s="18">
        <f>'II-I-DIST'!R115+'II-I-MET'!R115+'II-I-TBILLTDCS'!R115</f>
        <v>0</v>
      </c>
      <c r="S115" s="18">
        <f>'II-I-DIST'!S115+'II-I-MET'!S115+'II-I-TBILLTDCS'!S115</f>
        <v>0</v>
      </c>
      <c r="T115" s="16"/>
      <c r="U115" s="97">
        <f t="shared" si="49"/>
        <v>0</v>
      </c>
      <c r="V115" s="64"/>
      <c r="X115" s="305">
        <f t="shared" si="41"/>
        <v>0</v>
      </c>
    </row>
    <row r="116" spans="1:24" x14ac:dyDescent="0.2">
      <c r="A116" s="45"/>
      <c r="B116" s="16">
        <f t="shared" si="47"/>
        <v>15</v>
      </c>
      <c r="C116" s="1" t="s">
        <v>47</v>
      </c>
      <c r="D116" s="1" t="s">
        <v>48</v>
      </c>
      <c r="E116" s="16"/>
      <c r="F116" s="97">
        <f>' WP II-I-1.4'!L116</f>
        <v>0</v>
      </c>
      <c r="G116" s="16" t="s">
        <v>751</v>
      </c>
      <c r="H116" s="26" t="s">
        <v>303</v>
      </c>
      <c r="I116" s="16"/>
      <c r="J116" s="18">
        <f>'II-I-DIST'!J116+'II-I-MET'!J116+'II-I-TBILLTDCS'!J116</f>
        <v>0</v>
      </c>
      <c r="K116" s="18">
        <f>'II-I-DIST'!K116+'II-I-MET'!K116+'II-I-TBILLTDCS'!K116</f>
        <v>0</v>
      </c>
      <c r="L116" s="18">
        <f>'II-I-DIST'!L116+'II-I-MET'!L116+'II-I-TBILLTDCS'!L116</f>
        <v>0</v>
      </c>
      <c r="M116" s="18">
        <f>'II-I-DIST'!M116+'II-I-MET'!M116+'II-I-TBILLTDCS'!M116</f>
        <v>0</v>
      </c>
      <c r="N116" s="18">
        <f>'II-I-DIST'!N116+'II-I-MET'!N116+'II-I-TBILLTDCS'!N116</f>
        <v>0</v>
      </c>
      <c r="O116" s="18">
        <f>'II-I-DIST'!O116+'II-I-MET'!O116+'II-I-TBILLTDCS'!O116</f>
        <v>0</v>
      </c>
      <c r="P116" s="18">
        <f>'II-I-DIST'!P116+'II-I-MET'!P116+'II-I-TBILLTDCS'!P116</f>
        <v>0</v>
      </c>
      <c r="Q116" s="18">
        <f>'II-I-DIST'!Q116+'II-I-MET'!Q116+'II-I-TBILLTDCS'!Q116</f>
        <v>0</v>
      </c>
      <c r="R116" s="18">
        <f>'II-I-DIST'!R116+'II-I-MET'!R116+'II-I-TBILLTDCS'!R116</f>
        <v>0</v>
      </c>
      <c r="S116" s="18">
        <f>'II-I-DIST'!S116+'II-I-MET'!S116+'II-I-TBILLTDCS'!S116</f>
        <v>0</v>
      </c>
      <c r="T116" s="16"/>
      <c r="U116" s="97">
        <f t="shared" si="49"/>
        <v>0</v>
      </c>
      <c r="V116" s="64"/>
      <c r="X116" s="305">
        <f t="shared" si="41"/>
        <v>0</v>
      </c>
    </row>
    <row r="117" spans="1:24" x14ac:dyDescent="0.2">
      <c r="A117" s="45"/>
      <c r="B117" s="16">
        <f t="shared" si="47"/>
        <v>16</v>
      </c>
      <c r="C117" s="1" t="s">
        <v>49</v>
      </c>
      <c r="D117" s="1" t="s">
        <v>486</v>
      </c>
      <c r="E117" s="16"/>
      <c r="F117" s="97">
        <f>' WP II-I-1.4'!L117</f>
        <v>0</v>
      </c>
      <c r="G117" s="16" t="s">
        <v>751</v>
      </c>
      <c r="H117" s="26" t="s">
        <v>303</v>
      </c>
      <c r="I117" s="16"/>
      <c r="J117" s="18">
        <f>'II-I-DIST'!J117+'II-I-MET'!J117+'II-I-TBILLTDCS'!J117</f>
        <v>0</v>
      </c>
      <c r="K117" s="18">
        <f>'II-I-DIST'!K117+'II-I-MET'!K117+'II-I-TBILLTDCS'!K117</f>
        <v>0</v>
      </c>
      <c r="L117" s="18">
        <f>'II-I-DIST'!L117+'II-I-MET'!L117+'II-I-TBILLTDCS'!L117</f>
        <v>0</v>
      </c>
      <c r="M117" s="18">
        <f>'II-I-DIST'!M117+'II-I-MET'!M117+'II-I-TBILLTDCS'!M117</f>
        <v>0</v>
      </c>
      <c r="N117" s="18">
        <f>'II-I-DIST'!N117+'II-I-MET'!N117+'II-I-TBILLTDCS'!N117</f>
        <v>0</v>
      </c>
      <c r="O117" s="18">
        <f>'II-I-DIST'!O117+'II-I-MET'!O117+'II-I-TBILLTDCS'!O117</f>
        <v>0</v>
      </c>
      <c r="P117" s="18">
        <f>'II-I-DIST'!P117+'II-I-MET'!P117+'II-I-TBILLTDCS'!P117</f>
        <v>0</v>
      </c>
      <c r="Q117" s="18">
        <f>'II-I-DIST'!Q117+'II-I-MET'!Q117+'II-I-TBILLTDCS'!Q117</f>
        <v>0</v>
      </c>
      <c r="R117" s="18">
        <f>'II-I-DIST'!R117+'II-I-MET'!R117+'II-I-TBILLTDCS'!R117</f>
        <v>0</v>
      </c>
      <c r="S117" s="18">
        <f>'II-I-DIST'!S117+'II-I-MET'!S117+'II-I-TBILLTDCS'!S117</f>
        <v>0</v>
      </c>
      <c r="T117" s="16"/>
      <c r="U117" s="97">
        <f t="shared" si="49"/>
        <v>0</v>
      </c>
      <c r="V117" s="64"/>
      <c r="X117" s="305">
        <f t="shared" si="41"/>
        <v>0</v>
      </c>
    </row>
    <row r="118" spans="1:24" x14ac:dyDescent="0.2">
      <c r="A118" s="45"/>
      <c r="B118" s="16">
        <f t="shared" si="47"/>
        <v>17</v>
      </c>
      <c r="C118" s="1" t="s">
        <v>51</v>
      </c>
      <c r="D118" s="647" t="s">
        <v>644</v>
      </c>
      <c r="E118" s="16"/>
      <c r="F118" s="97">
        <f>' WP II-I-1.4'!L118</f>
        <v>0</v>
      </c>
      <c r="G118" s="16" t="s">
        <v>751</v>
      </c>
      <c r="H118" s="26" t="s">
        <v>303</v>
      </c>
      <c r="I118" s="16"/>
      <c r="J118" s="18">
        <f>'II-I-DIST'!J118+'II-I-MET'!J118+'II-I-TBILLTDCS'!J118</f>
        <v>0</v>
      </c>
      <c r="K118" s="18">
        <f>'II-I-DIST'!K118+'II-I-MET'!K118+'II-I-TBILLTDCS'!K118</f>
        <v>0</v>
      </c>
      <c r="L118" s="18">
        <f>'II-I-DIST'!L118+'II-I-MET'!L118+'II-I-TBILLTDCS'!L118</f>
        <v>0</v>
      </c>
      <c r="M118" s="18">
        <f>'II-I-DIST'!M118+'II-I-MET'!M118+'II-I-TBILLTDCS'!M118</f>
        <v>0</v>
      </c>
      <c r="N118" s="18">
        <f>'II-I-DIST'!N118+'II-I-MET'!N118+'II-I-TBILLTDCS'!N118</f>
        <v>0</v>
      </c>
      <c r="O118" s="18">
        <f>'II-I-DIST'!O118+'II-I-MET'!O118+'II-I-TBILLTDCS'!O118</f>
        <v>0</v>
      </c>
      <c r="P118" s="18">
        <f>'II-I-DIST'!P118+'II-I-MET'!P118+'II-I-TBILLTDCS'!P118</f>
        <v>0</v>
      </c>
      <c r="Q118" s="18">
        <f>'II-I-DIST'!Q118+'II-I-MET'!Q118+'II-I-TBILLTDCS'!Q118</f>
        <v>0</v>
      </c>
      <c r="R118" s="18">
        <f>'II-I-DIST'!R118+'II-I-MET'!R118+'II-I-TBILLTDCS'!R118</f>
        <v>0</v>
      </c>
      <c r="S118" s="18">
        <f>'II-I-DIST'!S118+'II-I-MET'!S118+'II-I-TBILLTDCS'!S118</f>
        <v>0</v>
      </c>
      <c r="T118" s="16"/>
      <c r="U118" s="97">
        <f t="shared" si="49"/>
        <v>0</v>
      </c>
      <c r="V118" s="64"/>
      <c r="X118" s="305">
        <f t="shared" si="41"/>
        <v>0</v>
      </c>
    </row>
    <row r="119" spans="1:24" x14ac:dyDescent="0.2">
      <c r="A119" s="45"/>
      <c r="B119" s="16">
        <f t="shared" si="47"/>
        <v>18</v>
      </c>
      <c r="C119" s="1" t="s">
        <v>53</v>
      </c>
      <c r="D119" s="29" t="s">
        <v>487</v>
      </c>
      <c r="E119" s="16"/>
      <c r="F119" s="97">
        <f>' WP II-I-1.4'!L119</f>
        <v>0</v>
      </c>
      <c r="G119" s="16" t="s">
        <v>751</v>
      </c>
      <c r="H119" s="26" t="s">
        <v>303</v>
      </c>
      <c r="I119" s="16"/>
      <c r="J119" s="18">
        <f>'II-I-DIST'!J119+'II-I-MET'!J119+'II-I-TBILLTDCS'!J119</f>
        <v>0</v>
      </c>
      <c r="K119" s="18">
        <f>'II-I-DIST'!K119+'II-I-MET'!K119+'II-I-TBILLTDCS'!K119</f>
        <v>0</v>
      </c>
      <c r="L119" s="18">
        <f>'II-I-DIST'!L119+'II-I-MET'!L119+'II-I-TBILLTDCS'!L119</f>
        <v>0</v>
      </c>
      <c r="M119" s="18">
        <f>'II-I-DIST'!M119+'II-I-MET'!M119+'II-I-TBILLTDCS'!M119</f>
        <v>0</v>
      </c>
      <c r="N119" s="18">
        <f>'II-I-DIST'!N119+'II-I-MET'!N119+'II-I-TBILLTDCS'!N119</f>
        <v>0</v>
      </c>
      <c r="O119" s="18">
        <f>'II-I-DIST'!O119+'II-I-MET'!O119+'II-I-TBILLTDCS'!O119</f>
        <v>0</v>
      </c>
      <c r="P119" s="18">
        <f>'II-I-DIST'!P119+'II-I-MET'!P119+'II-I-TBILLTDCS'!P119</f>
        <v>0</v>
      </c>
      <c r="Q119" s="18">
        <f>'II-I-DIST'!Q119+'II-I-MET'!Q119+'II-I-TBILLTDCS'!Q119</f>
        <v>0</v>
      </c>
      <c r="R119" s="18">
        <f>'II-I-DIST'!R119+'II-I-MET'!R119+'II-I-TBILLTDCS'!R119</f>
        <v>0</v>
      </c>
      <c r="S119" s="18">
        <f>'II-I-DIST'!S119+'II-I-MET'!S119+'II-I-TBILLTDCS'!S119</f>
        <v>0</v>
      </c>
      <c r="T119" s="16"/>
      <c r="U119" s="97">
        <f t="shared" si="49"/>
        <v>0</v>
      </c>
      <c r="V119" s="64"/>
      <c r="X119" s="305">
        <f t="shared" si="41"/>
        <v>0</v>
      </c>
    </row>
    <row r="120" spans="1:24" x14ac:dyDescent="0.2">
      <c r="A120" s="45"/>
      <c r="B120" s="16">
        <f t="shared" si="47"/>
        <v>19</v>
      </c>
      <c r="C120" s="1" t="s">
        <v>55</v>
      </c>
      <c r="D120" s="1" t="s">
        <v>56</v>
      </c>
      <c r="E120" s="16"/>
      <c r="F120" s="97">
        <f>' WP II-I-1.4'!L120</f>
        <v>0</v>
      </c>
      <c r="G120" s="16" t="s">
        <v>751</v>
      </c>
      <c r="H120" s="26" t="s">
        <v>303</v>
      </c>
      <c r="I120" s="16"/>
      <c r="J120" s="80">
        <f>'II-I-DIST'!J120+'II-I-MET'!J120+'II-I-TBILLTDCS'!J120</f>
        <v>0</v>
      </c>
      <c r="K120" s="80">
        <f>'II-I-DIST'!K120+'II-I-MET'!K120+'II-I-TBILLTDCS'!K120</f>
        <v>0</v>
      </c>
      <c r="L120" s="80">
        <f>'II-I-DIST'!L120+'II-I-MET'!L120+'II-I-TBILLTDCS'!L120</f>
        <v>0</v>
      </c>
      <c r="M120" s="80">
        <f>'II-I-DIST'!M120+'II-I-MET'!M120+'II-I-TBILLTDCS'!M120</f>
        <v>0</v>
      </c>
      <c r="N120" s="80">
        <f>'II-I-DIST'!N120+'II-I-MET'!N120+'II-I-TBILLTDCS'!N120</f>
        <v>0</v>
      </c>
      <c r="O120" s="80">
        <f>'II-I-DIST'!O120+'II-I-MET'!O120+'II-I-TBILLTDCS'!O120</f>
        <v>0</v>
      </c>
      <c r="P120" s="80">
        <f>'II-I-DIST'!P120+'II-I-MET'!P120+'II-I-TBILLTDCS'!P120</f>
        <v>0</v>
      </c>
      <c r="Q120" s="80">
        <f>'II-I-DIST'!Q120+'II-I-MET'!Q120+'II-I-TBILLTDCS'!Q120</f>
        <v>0</v>
      </c>
      <c r="R120" s="80">
        <f>'II-I-DIST'!R120+'II-I-MET'!R120+'II-I-TBILLTDCS'!R120</f>
        <v>0</v>
      </c>
      <c r="S120" s="80">
        <f>'II-I-DIST'!S120+'II-I-MET'!S120+'II-I-TBILLTDCS'!S120</f>
        <v>0</v>
      </c>
      <c r="T120" s="16"/>
      <c r="U120" s="97">
        <f t="shared" si="49"/>
        <v>0</v>
      </c>
      <c r="V120" s="64"/>
      <c r="X120" s="305">
        <f t="shared" si="41"/>
        <v>0</v>
      </c>
    </row>
    <row r="121" spans="1:24" ht="15" x14ac:dyDescent="0.25">
      <c r="A121" s="45"/>
      <c r="B121" s="16">
        <f t="shared" si="47"/>
        <v>20</v>
      </c>
      <c r="C121" s="8"/>
      <c r="D121" s="233" t="s">
        <v>444</v>
      </c>
      <c r="E121" s="19"/>
      <c r="F121" s="21">
        <f>SUM(F108:F120)</f>
        <v>468976125.50999999</v>
      </c>
      <c r="G121" s="16"/>
      <c r="H121" s="19"/>
      <c r="I121" s="19"/>
      <c r="J121" s="21">
        <f t="shared" ref="J121:Q121" ca="1" si="51">SUM(J108:J120)</f>
        <v>240475249.45735416</v>
      </c>
      <c r="K121" s="21">
        <f t="shared" ca="1" si="51"/>
        <v>4543218.8591096783</v>
      </c>
      <c r="L121" s="21">
        <f t="shared" ca="1" si="51"/>
        <v>154458268.22739372</v>
      </c>
      <c r="M121" s="21">
        <f t="shared" ca="1" si="51"/>
        <v>72277.313400600062</v>
      </c>
      <c r="N121" s="21">
        <f t="shared" ca="1" si="51"/>
        <v>45432585.310434625</v>
      </c>
      <c r="O121" s="21">
        <f ca="1">SUM(O108:O120)</f>
        <v>19527819.42862438</v>
      </c>
      <c r="P121" s="21">
        <f t="shared" ca="1" si="51"/>
        <v>0</v>
      </c>
      <c r="Q121" s="21">
        <f t="shared" ca="1" si="51"/>
        <v>1373608.0579930763</v>
      </c>
      <c r="R121" s="21">
        <f ca="1">SUM(R108:R120)</f>
        <v>1349839.1711085949</v>
      </c>
      <c r="S121" s="21">
        <f ca="1">SUM(S108:S120)</f>
        <v>1743259.6845811061</v>
      </c>
      <c r="T121" s="19"/>
      <c r="U121" s="235">
        <f t="shared" ca="1" si="49"/>
        <v>468976125.50999999</v>
      </c>
      <c r="V121" s="64"/>
      <c r="W121" s="1099" t="b">
        <f>' WP II-I-1.4'!$L$121=F121</f>
        <v>1</v>
      </c>
      <c r="X121" s="305">
        <f t="shared" ca="1" si="41"/>
        <v>0</v>
      </c>
    </row>
    <row r="122" spans="1:24" x14ac:dyDescent="0.2">
      <c r="A122" s="45"/>
      <c r="B122" s="16"/>
      <c r="C122" s="1"/>
      <c r="D122" s="1"/>
      <c r="E122" s="16"/>
      <c r="F122" s="18"/>
      <c r="G122" s="16"/>
      <c r="H122" s="10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05"/>
      <c r="V122" s="105"/>
      <c r="X122" s="305"/>
    </row>
    <row r="123" spans="1:24" ht="15" thickBot="1" x14ac:dyDescent="0.25">
      <c r="A123" s="45"/>
      <c r="B123" s="16"/>
      <c r="C123" s="1"/>
      <c r="D123" s="1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"/>
      <c r="V123" s="105"/>
      <c r="X123" s="305">
        <f t="shared" si="41"/>
        <v>0</v>
      </c>
    </row>
    <row r="124" spans="1:24" ht="15" x14ac:dyDescent="0.25">
      <c r="A124" s="45"/>
      <c r="B124" s="829" t="str">
        <f>+$B$4</f>
        <v>2025 RATE CASE</v>
      </c>
      <c r="C124" s="844"/>
      <c r="D124" s="551"/>
      <c r="F124" s="64"/>
      <c r="U124" s="105"/>
      <c r="X124" s="305">
        <f t="shared" si="41"/>
        <v>0</v>
      </c>
    </row>
    <row r="125" spans="1:24" ht="15" x14ac:dyDescent="0.25">
      <c r="A125" s="229"/>
      <c r="B125" s="826" t="str">
        <f>+$B$5</f>
        <v>ONCOR ELECTRIC DELIVERY COMPANY LLC</v>
      </c>
      <c r="C125" s="8"/>
      <c r="D125" s="870"/>
      <c r="F125" s="64"/>
      <c r="U125" s="105"/>
      <c r="V125" s="64"/>
      <c r="X125" s="305">
        <f t="shared" si="41"/>
        <v>0</v>
      </c>
    </row>
    <row r="126" spans="1:24" ht="15" x14ac:dyDescent="0.25">
      <c r="A126" s="45"/>
      <c r="B126" s="826" t="str">
        <f>+$B$6</f>
        <v>II-I-1-TOT:  CLASS REVENUE REQUIREMENT</v>
      </c>
      <c r="C126" s="82"/>
      <c r="D126" s="870"/>
      <c r="F126" s="11"/>
      <c r="U126" s="11"/>
      <c r="V126" s="64"/>
      <c r="X126" s="305">
        <f t="shared" si="41"/>
        <v>0</v>
      </c>
    </row>
    <row r="127" spans="1:24" ht="15" x14ac:dyDescent="0.25">
      <c r="A127" s="45"/>
      <c r="B127" s="341" t="str">
        <f>+$B$7</f>
        <v>TEST YEAR ENDING 12/31/2024</v>
      </c>
      <c r="C127" s="82"/>
      <c r="D127" s="870"/>
      <c r="F127" s="11"/>
      <c r="K127" s="101"/>
      <c r="U127" s="11"/>
      <c r="V127" s="64"/>
      <c r="X127" s="305">
        <f t="shared" si="41"/>
        <v>0</v>
      </c>
    </row>
    <row r="128" spans="1:24" ht="15" x14ac:dyDescent="0.25">
      <c r="A128" s="45"/>
      <c r="B128" s="341" t="str">
        <f>+$B$8</f>
        <v>SPONSOR:  MATTHEW A. TROXLE</v>
      </c>
      <c r="C128" s="82"/>
      <c r="D128" s="870"/>
      <c r="F128" s="11"/>
      <c r="U128" s="11"/>
      <c r="V128" s="64"/>
      <c r="X128" s="305">
        <f t="shared" si="41"/>
        <v>0</v>
      </c>
    </row>
    <row r="129" spans="1:24" ht="15.75" thickBot="1" x14ac:dyDescent="0.3">
      <c r="A129" s="45"/>
      <c r="B129" s="345"/>
      <c r="C129" s="843"/>
      <c r="D129" s="871"/>
      <c r="F129" s="11"/>
      <c r="U129" s="11"/>
      <c r="V129" s="64"/>
      <c r="W129" s="101"/>
      <c r="X129" s="305">
        <f t="shared" si="41"/>
        <v>0</v>
      </c>
    </row>
    <row r="130" spans="1:24" ht="15" thickBot="1" x14ac:dyDescent="0.25">
      <c r="A130" s="45"/>
      <c r="B130" s="12"/>
      <c r="C130" s="13"/>
      <c r="D130" s="13"/>
      <c r="E130" s="13"/>
      <c r="F130" s="12"/>
      <c r="G130" s="13"/>
      <c r="H130" s="13"/>
      <c r="I130" s="13"/>
      <c r="J130" s="177"/>
      <c r="K130" s="177"/>
      <c r="L130" s="13"/>
      <c r="M130" s="177"/>
      <c r="N130" s="177"/>
      <c r="O130" s="177"/>
      <c r="P130" s="177"/>
      <c r="Q130" s="13"/>
      <c r="R130" s="328" t="str">
        <f>R$10</f>
        <v xml:space="preserve"> </v>
      </c>
      <c r="S130" s="329"/>
      <c r="T130" s="177"/>
      <c r="U130" s="12"/>
      <c r="V130" s="64"/>
      <c r="W130" s="101"/>
      <c r="X130" s="305">
        <f t="shared" si="41"/>
        <v>0</v>
      </c>
    </row>
    <row r="131" spans="1:24" ht="15" x14ac:dyDescent="0.25">
      <c r="A131" s="45"/>
      <c r="B131" s="14" t="s">
        <v>2</v>
      </c>
      <c r="C131" s="14" t="s">
        <v>349</v>
      </c>
      <c r="D131" s="226" t="s">
        <v>518</v>
      </c>
      <c r="E131" s="14" t="s">
        <v>350</v>
      </c>
      <c r="F131" s="226" t="str">
        <f>F$11</f>
        <v>TOTAL</v>
      </c>
      <c r="G131" s="181" t="s">
        <v>688</v>
      </c>
      <c r="H131" s="181" t="s">
        <v>355</v>
      </c>
      <c r="I131" s="14"/>
      <c r="J131" s="181" t="s">
        <v>679</v>
      </c>
      <c r="K131" s="181" t="s">
        <v>388</v>
      </c>
      <c r="L131" s="14" t="s">
        <v>388</v>
      </c>
      <c r="M131" s="181" t="s">
        <v>389</v>
      </c>
      <c r="N131" s="181" t="s">
        <v>389</v>
      </c>
      <c r="O131" s="181" t="s">
        <v>389</v>
      </c>
      <c r="P131" s="181" t="s">
        <v>390</v>
      </c>
      <c r="Q131" s="14" t="s">
        <v>391</v>
      </c>
      <c r="R131" s="331" t="str">
        <f>R$11</f>
        <v>Wholesale</v>
      </c>
      <c r="S131" s="12" t="str">
        <f>S$11</f>
        <v>Wholesale</v>
      </c>
      <c r="T131" s="181"/>
      <c r="U131" s="14" t="s">
        <v>10</v>
      </c>
      <c r="V131" s="64"/>
      <c r="W131" s="101"/>
      <c r="X131" s="305"/>
    </row>
    <row r="132" spans="1:24" x14ac:dyDescent="0.2">
      <c r="A132" s="45"/>
      <c r="B132" s="14"/>
      <c r="C132" s="14"/>
      <c r="D132" s="14"/>
      <c r="E132" s="14"/>
      <c r="F132" s="14" t="str">
        <f>F$12</f>
        <v>(Dist+Met+Cust)</v>
      </c>
      <c r="G132" s="181" t="s">
        <v>689</v>
      </c>
      <c r="H132" s="181" t="s">
        <v>690</v>
      </c>
      <c r="I132" s="14"/>
      <c r="J132" s="181"/>
      <c r="K132" s="181" t="s">
        <v>680</v>
      </c>
      <c r="L132" s="14" t="s">
        <v>681</v>
      </c>
      <c r="M132" s="181" t="s">
        <v>680</v>
      </c>
      <c r="N132" s="181" t="s">
        <v>681</v>
      </c>
      <c r="O132" s="181" t="s">
        <v>393</v>
      </c>
      <c r="P132" s="181"/>
      <c r="Q132" s="14"/>
      <c r="R132" s="174" t="str">
        <f>R$12</f>
        <v>XFMR</v>
      </c>
      <c r="S132" s="14" t="str">
        <f>S$12</f>
        <v>DLS</v>
      </c>
      <c r="T132" s="181"/>
      <c r="U132" s="14"/>
      <c r="V132" s="64"/>
      <c r="W132" s="101"/>
      <c r="X132" s="305"/>
    </row>
    <row r="133" spans="1:24" ht="15" thickBot="1" x14ac:dyDescent="0.25">
      <c r="A133" s="45"/>
      <c r="B133" s="15"/>
      <c r="C133" s="15"/>
      <c r="D133" s="15"/>
      <c r="E133" s="15"/>
      <c r="F133" s="15" t="s">
        <v>13</v>
      </c>
      <c r="G133" s="15" t="s">
        <v>14</v>
      </c>
      <c r="H133" s="15" t="s">
        <v>15</v>
      </c>
      <c r="I133" s="15"/>
      <c r="J133" s="182" t="str">
        <f t="shared" ref="J133:Q133" si="52">J$13</f>
        <v>(d)</v>
      </c>
      <c r="K133" s="182" t="str">
        <f t="shared" si="52"/>
        <v>(e)</v>
      </c>
      <c r="L133" s="15" t="str">
        <f t="shared" si="52"/>
        <v>(f)</v>
      </c>
      <c r="M133" s="182" t="str">
        <f t="shared" si="52"/>
        <v>(g)</v>
      </c>
      <c r="N133" s="182" t="str">
        <f t="shared" si="52"/>
        <v>(h)</v>
      </c>
      <c r="O133" s="182" t="str">
        <f>O$13</f>
        <v>(i)</v>
      </c>
      <c r="P133" s="182" t="str">
        <f t="shared" si="52"/>
        <v>(j)</v>
      </c>
      <c r="Q133" s="182" t="str">
        <f t="shared" si="52"/>
        <v>(k)</v>
      </c>
      <c r="R133" s="182" t="str">
        <f>R$13</f>
        <v>(l)</v>
      </c>
      <c r="S133" s="15" t="str">
        <f>S$13</f>
        <v>(m)</v>
      </c>
      <c r="T133" s="15"/>
      <c r="U133" s="15" t="s">
        <v>683</v>
      </c>
      <c r="V133" s="64"/>
      <c r="W133" s="101"/>
      <c r="X133" s="305"/>
    </row>
    <row r="134" spans="1:24" x14ac:dyDescent="0.2">
      <c r="A134" s="45"/>
      <c r="B134" s="64"/>
      <c r="C134" s="64"/>
      <c r="D134" s="96"/>
      <c r="E134" s="96"/>
      <c r="F134" s="227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64"/>
      <c r="W134" s="101"/>
      <c r="X134" s="305">
        <f t="shared" si="41"/>
        <v>0</v>
      </c>
    </row>
    <row r="135" spans="1:24" ht="15" x14ac:dyDescent="0.25">
      <c r="A135" s="45"/>
      <c r="B135" s="16">
        <v>1</v>
      </c>
      <c r="C135" s="8" t="s">
        <v>518</v>
      </c>
      <c r="D135" s="8"/>
      <c r="E135" s="19" t="s">
        <v>24</v>
      </c>
      <c r="F135" s="21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8"/>
      <c r="V135" s="64"/>
      <c r="X135" s="305">
        <f t="shared" si="41"/>
        <v>0</v>
      </c>
    </row>
    <row r="136" spans="1:24" x14ac:dyDescent="0.2">
      <c r="A136" s="45"/>
      <c r="B136" s="16">
        <f t="shared" ref="A136:B168" si="53">B135+1</f>
        <v>2</v>
      </c>
      <c r="C136" s="1" t="s">
        <v>59</v>
      </c>
      <c r="D136" s="1" t="s">
        <v>40</v>
      </c>
      <c r="E136" s="16"/>
      <c r="F136" s="97">
        <f>' WP II-I-1.4'!L136</f>
        <v>26320548.329999998</v>
      </c>
      <c r="G136" s="16" t="s">
        <v>751</v>
      </c>
      <c r="H136" s="26" t="s">
        <v>303</v>
      </c>
      <c r="I136" s="16"/>
      <c r="J136" s="98">
        <f ca="1">'II-I-DIST'!J136+'II-I-MET'!J136+'II-I-TBILLTDCS'!J136</f>
        <v>14148730.855112607</v>
      </c>
      <c r="K136" s="98">
        <f ca="1">'II-I-DIST'!K136+'II-I-MET'!K136+'II-I-TBILLTDCS'!K136</f>
        <v>464309.78224280145</v>
      </c>
      <c r="L136" s="98">
        <f ca="1">'II-I-DIST'!L136+'II-I-MET'!L136+'II-I-TBILLTDCS'!L136</f>
        <v>8940744.8745426014</v>
      </c>
      <c r="M136" s="98">
        <f ca="1">'II-I-DIST'!M136+'II-I-MET'!M136+'II-I-TBILLTDCS'!M136</f>
        <v>2545.172335653544</v>
      </c>
      <c r="N136" s="98">
        <f ca="1">'II-I-DIST'!N136+'II-I-MET'!N136+'II-I-TBILLTDCS'!N136</f>
        <v>1599862.4440899296</v>
      </c>
      <c r="O136" s="98">
        <f ca="1">'II-I-DIST'!O136+'II-I-MET'!O136+'II-I-TBILLTDCS'!O136</f>
        <v>153781.90644036161</v>
      </c>
      <c r="P136" s="98">
        <f ca="1">'II-I-DIST'!P136+'II-I-MET'!P136+'II-I-TBILLTDCS'!P136</f>
        <v>31252.298228751599</v>
      </c>
      <c r="Q136" s="98">
        <f ca="1">'II-I-DIST'!Q136+'II-I-MET'!Q136+'II-I-TBILLTDCS'!Q136</f>
        <v>907303.86789784185</v>
      </c>
      <c r="R136" s="98">
        <f ca="1">'II-I-DIST'!R136+'II-I-MET'!R136+'II-I-TBILLTDCS'!R136</f>
        <v>10630.006175532322</v>
      </c>
      <c r="S136" s="98">
        <f ca="1">'II-I-DIST'!S136+'II-I-MET'!S136+'II-I-TBILLTDCS'!S136</f>
        <v>61387.122933917999</v>
      </c>
      <c r="T136" s="16"/>
      <c r="U136" s="97">
        <f t="shared" ref="U136:U159" ca="1" si="54">SUM(I136:T136)</f>
        <v>26320548.330000002</v>
      </c>
      <c r="V136" s="64"/>
      <c r="X136" s="305">
        <f t="shared" ca="1" si="41"/>
        <v>0</v>
      </c>
    </row>
    <row r="137" spans="1:24" x14ac:dyDescent="0.2">
      <c r="A137" s="45"/>
      <c r="B137" s="16">
        <f t="shared" si="53"/>
        <v>3</v>
      </c>
      <c r="C137" s="1" t="s">
        <v>60</v>
      </c>
      <c r="D137" s="29" t="s">
        <v>42</v>
      </c>
      <c r="E137" s="16"/>
      <c r="F137" s="97">
        <f>' WP II-I-1.4'!L137</f>
        <v>262616639.71000001</v>
      </c>
      <c r="G137" s="16" t="s">
        <v>751</v>
      </c>
      <c r="H137" s="26" t="s">
        <v>303</v>
      </c>
      <c r="I137" s="16"/>
      <c r="J137" s="98">
        <f ca="1">'II-I-DIST'!J137+'II-I-MET'!J137+'II-I-TBILLTDCS'!J137</f>
        <v>141170772.9924359</v>
      </c>
      <c r="K137" s="98">
        <f ca="1">'II-I-DIST'!K137+'II-I-MET'!K137+'II-I-TBILLTDCS'!K137</f>
        <v>4632710.2789916061</v>
      </c>
      <c r="L137" s="98">
        <f ca="1">'II-I-DIST'!L137+'II-I-MET'!L137+'II-I-TBILLTDCS'!L137</f>
        <v>89207426.305042475</v>
      </c>
      <c r="M137" s="98">
        <f ca="1">'II-I-DIST'!M137+'II-I-MET'!M137+'II-I-TBILLTDCS'!M137</f>
        <v>25394.782733699456</v>
      </c>
      <c r="N137" s="98">
        <f ca="1">'II-I-DIST'!N137+'II-I-MET'!N137+'II-I-TBILLTDCS'!N137</f>
        <v>15962832.301112819</v>
      </c>
      <c r="O137" s="98">
        <f ca="1">'II-I-DIST'!O137+'II-I-MET'!O137+'II-I-TBILLTDCS'!O137</f>
        <v>1534378.653940656</v>
      </c>
      <c r="P137" s="98">
        <f ca="1">'II-I-DIST'!P137+'II-I-MET'!P137+'II-I-TBILLTDCS'!P137</f>
        <v>311823.80553579942</v>
      </c>
      <c r="Q137" s="98">
        <f ca="1">'II-I-DIST'!Q137+'II-I-MET'!Q137+'II-I-TBILLTDCS'!Q137</f>
        <v>9052740.467098657</v>
      </c>
      <c r="R137" s="98">
        <f ca="1">'II-I-DIST'!R137+'II-I-MET'!R137+'II-I-TBILLTDCS'!R137</f>
        <v>106062.24714296623</v>
      </c>
      <c r="S137" s="98">
        <f ca="1">'II-I-DIST'!S137+'II-I-MET'!S137+'II-I-TBILLTDCS'!S137</f>
        <v>612497.87596542155</v>
      </c>
      <c r="T137" s="16"/>
      <c r="U137" s="97">
        <f t="shared" ca="1" si="54"/>
        <v>262616639.71000001</v>
      </c>
      <c r="V137" s="64"/>
      <c r="X137" s="305">
        <f t="shared" ca="1" si="41"/>
        <v>0</v>
      </c>
    </row>
    <row r="138" spans="1:24" x14ac:dyDescent="0.2">
      <c r="A138" s="45"/>
      <c r="B138" s="16">
        <f t="shared" si="53"/>
        <v>4</v>
      </c>
      <c r="C138" s="1" t="s">
        <v>61</v>
      </c>
      <c r="D138" s="1" t="s">
        <v>44</v>
      </c>
      <c r="E138" s="16"/>
      <c r="F138" s="97">
        <f>' WP II-I-1.4'!L138</f>
        <v>2475128207.190002</v>
      </c>
      <c r="G138" s="16" t="s">
        <v>751</v>
      </c>
      <c r="H138" s="26" t="s">
        <v>303</v>
      </c>
      <c r="I138" s="16"/>
      <c r="J138" s="98">
        <f>'II-I-DIST'!J138+'II-I-MET'!J138+'II-I-TBILLTDCS'!J138</f>
        <v>1269162843.664326</v>
      </c>
      <c r="K138" s="98">
        <f>'II-I-DIST'!K138+'II-I-MET'!K138+'II-I-TBILLTDCS'!K138</f>
        <v>23977871.234684348</v>
      </c>
      <c r="L138" s="98">
        <f>'II-I-DIST'!L138+'II-I-MET'!L138+'II-I-TBILLTDCS'!L138</f>
        <v>815188654.02283597</v>
      </c>
      <c r="M138" s="98">
        <f>'II-I-DIST'!M138+'II-I-MET'!M138+'II-I-TBILLTDCS'!M138</f>
        <v>381459.96652429277</v>
      </c>
      <c r="N138" s="98">
        <f>'II-I-DIST'!N138+'II-I-MET'!N138+'II-I-TBILLTDCS'!N138</f>
        <v>239780806.12341335</v>
      </c>
      <c r="O138" s="98">
        <f>'II-I-DIST'!O138+'II-I-MET'!O138+'II-I-TBILLTDCS'!O138</f>
        <v>103062510.14407028</v>
      </c>
      <c r="P138" s="98">
        <f>'II-I-DIST'!P138+'II-I-MET'!P138+'II-I-TBILLTDCS'!P138</f>
        <v>0</v>
      </c>
      <c r="Q138" s="98">
        <f>'II-I-DIST'!Q138+'II-I-MET'!Q138+'II-I-TBILLTDCS'!Q138</f>
        <v>7249529.0592135871</v>
      </c>
      <c r="R138" s="98">
        <f>'II-I-DIST'!R138+'II-I-MET'!R138+'II-I-TBILLTDCS'!R138</f>
        <v>7124083.3506131517</v>
      </c>
      <c r="S138" s="98">
        <f>'II-I-DIST'!S138+'II-I-MET'!S138+'II-I-TBILLTDCS'!S138</f>
        <v>9200449.6243206672</v>
      </c>
      <c r="T138" s="16"/>
      <c r="U138" s="97">
        <f t="shared" si="54"/>
        <v>2475128207.1900015</v>
      </c>
      <c r="V138" s="64"/>
      <c r="X138" s="305">
        <f t="shared" si="41"/>
        <v>0</v>
      </c>
    </row>
    <row r="139" spans="1:24" x14ac:dyDescent="0.2">
      <c r="A139" s="16">
        <f t="shared" si="53"/>
        <v>1</v>
      </c>
      <c r="B139" s="16">
        <f t="shared" si="53"/>
        <v>5</v>
      </c>
      <c r="C139" s="1" t="s">
        <v>1234</v>
      </c>
      <c r="D139" s="1" t="s">
        <v>1230</v>
      </c>
      <c r="E139" s="16"/>
      <c r="F139" s="97">
        <f>' WP II-I-1.4'!L139</f>
        <v>0</v>
      </c>
      <c r="G139" s="16" t="s">
        <v>751</v>
      </c>
      <c r="H139" s="26" t="s">
        <v>303</v>
      </c>
      <c r="I139" s="16"/>
      <c r="J139" s="98">
        <f ca="1">'II-I-DIST'!J139+'II-I-MET'!J139+'II-I-TBILLTDCS'!J139</f>
        <v>0</v>
      </c>
      <c r="K139" s="98">
        <f ca="1">'II-I-DIST'!K139+'II-I-MET'!K139+'II-I-TBILLTDCS'!K139</f>
        <v>0</v>
      </c>
      <c r="L139" s="98">
        <f ca="1">'II-I-DIST'!L139+'II-I-MET'!L139+'II-I-TBILLTDCS'!L139</f>
        <v>0</v>
      </c>
      <c r="M139" s="98">
        <f ca="1">'II-I-DIST'!M139+'II-I-MET'!M139+'II-I-TBILLTDCS'!M139</f>
        <v>0</v>
      </c>
      <c r="N139" s="98">
        <f ca="1">'II-I-DIST'!N139+'II-I-MET'!N139+'II-I-TBILLTDCS'!N139</f>
        <v>0</v>
      </c>
      <c r="O139" s="98">
        <f ca="1">'II-I-DIST'!O139+'II-I-MET'!O139+'II-I-TBILLTDCS'!O139</f>
        <v>0</v>
      </c>
      <c r="P139" s="98">
        <f ca="1">'II-I-DIST'!P139+'II-I-MET'!P139+'II-I-TBILLTDCS'!P139</f>
        <v>0</v>
      </c>
      <c r="Q139" s="98">
        <f ca="1">'II-I-DIST'!Q139+'II-I-MET'!Q139+'II-I-TBILLTDCS'!Q139</f>
        <v>0</v>
      </c>
      <c r="R139" s="98">
        <f ca="1">'II-I-DIST'!R139+'II-I-MET'!R139+'II-I-TBILLTDCS'!R139</f>
        <v>0</v>
      </c>
      <c r="S139" s="98">
        <f ca="1">'II-I-DIST'!S139+'II-I-MET'!S139+'II-I-TBILLTDCS'!S139</f>
        <v>0</v>
      </c>
      <c r="T139" s="16"/>
      <c r="U139" s="97">
        <f t="shared" ca="1" si="54"/>
        <v>0</v>
      </c>
      <c r="V139" s="64"/>
      <c r="X139" s="305"/>
    </row>
    <row r="140" spans="1:24" x14ac:dyDescent="0.2">
      <c r="A140" s="16">
        <f t="shared" si="53"/>
        <v>2</v>
      </c>
      <c r="B140" s="16">
        <f t="shared" si="53"/>
        <v>6</v>
      </c>
      <c r="C140" s="1" t="s">
        <v>1235</v>
      </c>
      <c r="D140" s="1" t="s">
        <v>1232</v>
      </c>
      <c r="E140" s="16"/>
      <c r="F140" s="97">
        <f>' WP II-I-1.4'!L140</f>
        <v>783527550.65000021</v>
      </c>
      <c r="G140" s="16" t="s">
        <v>751</v>
      </c>
      <c r="H140" s="26" t="s">
        <v>303</v>
      </c>
      <c r="I140" s="16"/>
      <c r="J140" s="98">
        <f ca="1">'II-I-DIST'!J140+'II-I-MET'!J140+'II-I-TBILLTDCS'!J140</f>
        <v>407267459.65681076</v>
      </c>
      <c r="K140" s="98">
        <f ca="1">'II-I-DIST'!K140+'II-I-MET'!K140+'II-I-TBILLTDCS'!K140</f>
        <v>36669527.213449024</v>
      </c>
      <c r="L140" s="98">
        <f ca="1">'II-I-DIST'!L140+'II-I-MET'!L140+'II-I-TBILLTDCS'!L140</f>
        <v>238821495.04191986</v>
      </c>
      <c r="M140" s="98">
        <f ca="1">'II-I-DIST'!M140+'II-I-MET'!M140+'II-I-TBILLTDCS'!M140</f>
        <v>5288986.1570386654</v>
      </c>
      <c r="N140" s="98">
        <f ca="1">'II-I-DIST'!N140+'II-I-MET'!N140+'II-I-TBILLTDCS'!N140</f>
        <v>61746946.822605655</v>
      </c>
      <c r="O140" s="98">
        <f ca="1">'II-I-DIST'!O140+'II-I-MET'!O140+'II-I-TBILLTDCS'!O140</f>
        <v>3563330.0363159906</v>
      </c>
      <c r="P140" s="98">
        <f ca="1">'II-I-DIST'!P140+'II-I-MET'!P140+'II-I-TBILLTDCS'!P140</f>
        <v>3204588.0231447672</v>
      </c>
      <c r="Q140" s="98">
        <f ca="1">'II-I-DIST'!Q140+'II-I-MET'!Q140+'II-I-TBILLTDCS'!Q140</f>
        <v>25475019.999335267</v>
      </c>
      <c r="R140" s="98">
        <f ca="1">'II-I-DIST'!R140+'II-I-MET'!R140+'II-I-TBILLTDCS'!R140</f>
        <v>301141.22304144589</v>
      </c>
      <c r="S140" s="98">
        <f ca="1">'II-I-DIST'!S140+'II-I-MET'!S140+'II-I-TBILLTDCS'!S140</f>
        <v>1189056.476338838</v>
      </c>
      <c r="T140" s="16"/>
      <c r="U140" s="97">
        <f t="shared" ca="1" si="54"/>
        <v>783527550.65000021</v>
      </c>
      <c r="V140" s="64"/>
      <c r="X140" s="305"/>
    </row>
    <row r="141" spans="1:24" ht="13.5" customHeight="1" x14ac:dyDescent="0.2">
      <c r="A141" s="16">
        <f t="shared" si="53"/>
        <v>3</v>
      </c>
      <c r="B141" s="16">
        <f t="shared" si="53"/>
        <v>7</v>
      </c>
      <c r="C141" s="1" t="s">
        <v>1236</v>
      </c>
      <c r="D141" s="647" t="s">
        <v>103</v>
      </c>
      <c r="E141" s="16"/>
      <c r="F141" s="97">
        <f>' WP II-I-1.4'!L141</f>
        <v>38191350.260000005</v>
      </c>
      <c r="G141" s="16" t="s">
        <v>751</v>
      </c>
      <c r="H141" s="26" t="s">
        <v>303</v>
      </c>
      <c r="I141" s="16"/>
      <c r="J141" s="98">
        <f ca="1">'II-I-DIST'!J141+'II-I-MET'!J141+'II-I-TBILLTDCS'!J141</f>
        <v>19937545.147188682</v>
      </c>
      <c r="K141" s="98">
        <f ca="1">'II-I-DIST'!K141+'II-I-MET'!K141+'II-I-TBILLTDCS'!K141</f>
        <v>2796940.1074397555</v>
      </c>
      <c r="L141" s="98">
        <f ca="1">'II-I-DIST'!L141+'II-I-MET'!L141+'II-I-TBILLTDCS'!L141</f>
        <v>10999457.53195063</v>
      </c>
      <c r="M141" s="98">
        <f ca="1">'II-I-DIST'!M141+'II-I-MET'!M141+'II-I-TBILLTDCS'!M141</f>
        <v>463209.74844253983</v>
      </c>
      <c r="N141" s="98">
        <f ca="1">'II-I-DIST'!N141+'II-I-MET'!N141+'II-I-TBILLTDCS'!N141</f>
        <v>3566959.5912227631</v>
      </c>
      <c r="O141" s="98">
        <f ca="1">'II-I-DIST'!O141+'II-I-MET'!O141+'II-I-TBILLTDCS'!O141</f>
        <v>117039.78586488224</v>
      </c>
      <c r="P141" s="98">
        <f ca="1">'II-I-DIST'!P141+'II-I-MET'!P141+'II-I-TBILLTDCS'!P141</f>
        <v>244132.0686752146</v>
      </c>
      <c r="Q141" s="98">
        <f ca="1">'II-I-DIST'!Q141+'II-I-MET'!Q141+'II-I-TBILLTDCS'!Q141</f>
        <v>20330.601918102046</v>
      </c>
      <c r="R141" s="98">
        <f ca="1">'II-I-DIST'!R141+'II-I-MET'!R141+'II-I-TBILLTDCS'!R141</f>
        <v>12924.638929864303</v>
      </c>
      <c r="S141" s="98">
        <f ca="1">'II-I-DIST'!S141+'II-I-MET'!S141+'II-I-TBILLTDCS'!S141</f>
        <v>32811.038367572903</v>
      </c>
      <c r="T141" s="16"/>
      <c r="U141" s="97">
        <f t="shared" ca="1" si="54"/>
        <v>38191350.260000005</v>
      </c>
      <c r="V141" s="64"/>
      <c r="X141" s="305">
        <f t="shared" ca="1" si="41"/>
        <v>0</v>
      </c>
    </row>
    <row r="142" spans="1:24" x14ac:dyDescent="0.2">
      <c r="A142" s="16">
        <f t="shared" si="53"/>
        <v>4</v>
      </c>
      <c r="B142" s="16">
        <f t="shared" si="53"/>
        <v>8</v>
      </c>
      <c r="C142" s="1" t="s">
        <v>359</v>
      </c>
      <c r="D142" s="29" t="s">
        <v>489</v>
      </c>
      <c r="E142" s="16"/>
      <c r="F142" s="97">
        <f>' WP II-I-1.4'!L142</f>
        <v>2972866230.1907825</v>
      </c>
      <c r="G142" s="16" t="s">
        <v>751</v>
      </c>
      <c r="H142" s="26" t="s">
        <v>303</v>
      </c>
      <c r="I142" s="16"/>
      <c r="J142" s="98">
        <f>'II-I-DIST'!J142+'II-I-MET'!J142+'II-I-TBILLTDCS'!J142</f>
        <v>1595409940.2255564</v>
      </c>
      <c r="K142" s="98">
        <f>'II-I-DIST'!K142+'II-I-MET'!K142+'II-I-TBILLTDCS'!K142</f>
        <v>30141549.056711566</v>
      </c>
      <c r="L142" s="98">
        <f>'II-I-DIST'!L142+'II-I-MET'!L142+'II-I-TBILLTDCS'!L142</f>
        <v>1024738541.8502704</v>
      </c>
      <c r="M142" s="98">
        <f>'II-I-DIST'!M142+'II-I-MET'!M142+'II-I-TBILLTDCS'!M142</f>
        <v>479516.89212225785</v>
      </c>
      <c r="N142" s="98">
        <f>'II-I-DIST'!N142+'II-I-MET'!N142+'II-I-TBILLTDCS'!N142</f>
        <v>301418122.56345004</v>
      </c>
      <c r="O142" s="98">
        <f>'II-I-DIST'!O142+'II-I-MET'!O142+'II-I-TBILLTDCS'!O142</f>
        <v>0</v>
      </c>
      <c r="P142" s="98">
        <f>'II-I-DIST'!P142+'II-I-MET'!P142+'II-I-TBILLTDCS'!P142</f>
        <v>0</v>
      </c>
      <c r="Q142" s="98">
        <f>'II-I-DIST'!Q142+'II-I-MET'!Q142+'II-I-TBILLTDCS'!Q142</f>
        <v>9113070.6991311852</v>
      </c>
      <c r="R142" s="98">
        <f>'II-I-DIST'!R142+'II-I-MET'!R142+'II-I-TBILLTDCS'!R142</f>
        <v>0</v>
      </c>
      <c r="S142" s="98">
        <f>'II-I-DIST'!S142+'II-I-MET'!S142+'II-I-TBILLTDCS'!S142</f>
        <v>11565488.903540507</v>
      </c>
      <c r="T142" s="16"/>
      <c r="U142" s="97">
        <f t="shared" si="54"/>
        <v>2972866230.1907821</v>
      </c>
      <c r="V142" s="64"/>
      <c r="X142" s="305">
        <f t="shared" si="41"/>
        <v>0</v>
      </c>
    </row>
    <row r="143" spans="1:24" x14ac:dyDescent="0.2">
      <c r="A143" s="16">
        <f t="shared" si="53"/>
        <v>5</v>
      </c>
      <c r="B143" s="16">
        <f t="shared" si="53"/>
        <v>9</v>
      </c>
      <c r="C143" s="1" t="s">
        <v>361</v>
      </c>
      <c r="D143" s="29" t="s">
        <v>490</v>
      </c>
      <c r="E143" s="16"/>
      <c r="F143" s="97">
        <f>' WP II-I-1.4'!L143</f>
        <v>550545026.16921711</v>
      </c>
      <c r="G143" s="16" t="s">
        <v>751</v>
      </c>
      <c r="H143" s="26" t="s">
        <v>303</v>
      </c>
      <c r="I143" s="16"/>
      <c r="J143" s="98">
        <f>'II-I-DIST'!J143+'II-I-MET'!J143+'II-I-TBILLTDCS'!J143</f>
        <v>330279003.84381217</v>
      </c>
      <c r="K143" s="98">
        <f>'II-I-DIST'!K143+'II-I-MET'!K143+'II-I-TBILLTDCS'!K143</f>
        <v>6239851.3045196729</v>
      </c>
      <c r="L143" s="98">
        <f>'II-I-DIST'!L143+'II-I-MET'!L143+'II-I-TBILLTDCS'!L143</f>
        <v>212139598.90134478</v>
      </c>
      <c r="M143" s="98">
        <f>'II-I-DIST'!M143+'II-I-MET'!M143+'II-I-TBILLTDCS'!M143</f>
        <v>0</v>
      </c>
      <c r="N143" s="98">
        <f>'II-I-DIST'!N143+'II-I-MET'!N143+'II-I-TBILLTDCS'!N143</f>
        <v>0</v>
      </c>
      <c r="O143" s="98">
        <f>'II-I-DIST'!O143+'II-I-MET'!O143+'II-I-TBILLTDCS'!O143</f>
        <v>0</v>
      </c>
      <c r="P143" s="98">
        <f>'II-I-DIST'!P143+'II-I-MET'!P143+'II-I-TBILLTDCS'!P143</f>
        <v>0</v>
      </c>
      <c r="Q143" s="98">
        <f>'II-I-DIST'!Q143+'II-I-MET'!Q143+'II-I-TBILLTDCS'!Q143</f>
        <v>1886572.1195404814</v>
      </c>
      <c r="R143" s="98">
        <f>'II-I-DIST'!R143+'II-I-MET'!R143+'II-I-TBILLTDCS'!R143</f>
        <v>0</v>
      </c>
      <c r="S143" s="98">
        <f>'II-I-DIST'!S143+'II-I-MET'!S143+'II-I-TBILLTDCS'!S143</f>
        <v>0</v>
      </c>
      <c r="T143" s="16"/>
      <c r="U143" s="97">
        <f t="shared" si="54"/>
        <v>550545026.16921711</v>
      </c>
      <c r="V143" s="64"/>
      <c r="X143" s="305">
        <f t="shared" si="41"/>
        <v>0</v>
      </c>
    </row>
    <row r="144" spans="1:24" x14ac:dyDescent="0.2">
      <c r="A144" s="16">
        <f t="shared" si="53"/>
        <v>6</v>
      </c>
      <c r="B144" s="16">
        <f t="shared" si="53"/>
        <v>10</v>
      </c>
      <c r="C144" s="1" t="s">
        <v>364</v>
      </c>
      <c r="D144" s="1" t="s">
        <v>491</v>
      </c>
      <c r="E144" s="16"/>
      <c r="F144" s="97">
        <f>' WP II-I-1.4'!L144</f>
        <v>1905927086.1466675</v>
      </c>
      <c r="G144" s="16" t="s">
        <v>751</v>
      </c>
      <c r="H144" s="26" t="s">
        <v>303</v>
      </c>
      <c r="I144" s="16"/>
      <c r="J144" s="98">
        <f>'II-I-DIST'!J144+'II-I-MET'!J144+'II-I-TBILLTDCS'!J144</f>
        <v>1022829412.1355019</v>
      </c>
      <c r="K144" s="98">
        <f>'II-I-DIST'!K144+'II-I-MET'!K144+'II-I-TBILLTDCS'!K144</f>
        <v>19323975.691270318</v>
      </c>
      <c r="L144" s="98">
        <f>'II-I-DIST'!L144+'II-I-MET'!L144+'II-I-TBILLTDCS'!L144</f>
        <v>656967650.71246839</v>
      </c>
      <c r="M144" s="98">
        <f>'II-I-DIST'!M144+'II-I-MET'!M144+'II-I-TBILLTDCS'!M144</f>
        <v>307421.91615598864</v>
      </c>
      <c r="N144" s="98">
        <f>'II-I-DIST'!N144+'II-I-MET'!N144+'II-I-TBILLTDCS'!N144</f>
        <v>193241444.30551398</v>
      </c>
      <c r="O144" s="98">
        <f>'II-I-DIST'!O144+'II-I-MET'!O144+'II-I-TBILLTDCS'!O144</f>
        <v>0</v>
      </c>
      <c r="P144" s="98">
        <f>'II-I-DIST'!P144+'II-I-MET'!P144+'II-I-TBILLTDCS'!P144</f>
        <v>0</v>
      </c>
      <c r="Q144" s="98">
        <f>'II-I-DIST'!Q144+'II-I-MET'!Q144+'II-I-TBILLTDCS'!Q144</f>
        <v>5842458.7379866848</v>
      </c>
      <c r="R144" s="98">
        <f>'II-I-DIST'!R144+'II-I-MET'!R144+'II-I-TBILLTDCS'!R144</f>
        <v>0</v>
      </c>
      <c r="S144" s="98">
        <f>'II-I-DIST'!S144+'II-I-MET'!S144+'II-I-TBILLTDCS'!S144</f>
        <v>7414722.6477701198</v>
      </c>
      <c r="T144" s="16"/>
      <c r="U144" s="97">
        <f t="shared" si="54"/>
        <v>1905927086.1466675</v>
      </c>
      <c r="V144" s="64"/>
      <c r="X144" s="305">
        <f t="shared" si="41"/>
        <v>0</v>
      </c>
    </row>
    <row r="145" spans="1:24" x14ac:dyDescent="0.2">
      <c r="A145" s="16">
        <f t="shared" si="53"/>
        <v>7</v>
      </c>
      <c r="B145" s="16">
        <f t="shared" si="53"/>
        <v>11</v>
      </c>
      <c r="C145" s="1" t="s">
        <v>366</v>
      </c>
      <c r="D145" s="1" t="s">
        <v>492</v>
      </c>
      <c r="E145" s="16"/>
      <c r="F145" s="97">
        <f>' WP II-I-1.4'!L145</f>
        <v>276691306.83333248</v>
      </c>
      <c r="G145" s="16" t="s">
        <v>751</v>
      </c>
      <c r="H145" s="26" t="s">
        <v>303</v>
      </c>
      <c r="I145" s="16"/>
      <c r="J145" s="98">
        <f>'II-I-DIST'!J145+'II-I-MET'!J145+'II-I-TBILLTDCS'!J145</f>
        <v>165990654.44116312</v>
      </c>
      <c r="K145" s="98">
        <f>'II-I-DIST'!K145+'II-I-MET'!K145+'II-I-TBILLTDCS'!K145</f>
        <v>3136006.1935471138</v>
      </c>
      <c r="L145" s="98">
        <f>'II-I-DIST'!L145+'II-I-MET'!L145+'II-I-TBILLTDCS'!L145</f>
        <v>106616498.30811609</v>
      </c>
      <c r="M145" s="98">
        <f>'II-I-DIST'!M145+'II-I-MET'!M145+'II-I-TBILLTDCS'!M145</f>
        <v>0</v>
      </c>
      <c r="N145" s="98">
        <f>'II-I-DIST'!N145+'II-I-MET'!N145+'II-I-TBILLTDCS'!N145</f>
        <v>0</v>
      </c>
      <c r="O145" s="98">
        <f>'II-I-DIST'!O145+'II-I-MET'!O145+'II-I-TBILLTDCS'!O145</f>
        <v>0</v>
      </c>
      <c r="P145" s="98">
        <f>'II-I-DIST'!P145+'II-I-MET'!P145+'II-I-TBILLTDCS'!P145</f>
        <v>0</v>
      </c>
      <c r="Q145" s="98">
        <f>'II-I-DIST'!Q145+'II-I-MET'!Q145+'II-I-TBILLTDCS'!Q145</f>
        <v>948147.89050613064</v>
      </c>
      <c r="R145" s="98">
        <f>'II-I-DIST'!R145+'II-I-MET'!R145+'II-I-TBILLTDCS'!R145</f>
        <v>0</v>
      </c>
      <c r="S145" s="98">
        <f>'II-I-DIST'!S145+'II-I-MET'!S145+'II-I-TBILLTDCS'!S145</f>
        <v>0</v>
      </c>
      <c r="T145" s="16"/>
      <c r="U145" s="97">
        <f t="shared" si="54"/>
        <v>276691306.83333248</v>
      </c>
      <c r="V145" s="64"/>
      <c r="X145" s="305">
        <f t="shared" si="41"/>
        <v>0</v>
      </c>
    </row>
    <row r="146" spans="1:24" x14ac:dyDescent="0.2">
      <c r="A146" s="16">
        <f t="shared" si="53"/>
        <v>8</v>
      </c>
      <c r="B146" s="16">
        <f t="shared" si="53"/>
        <v>12</v>
      </c>
      <c r="C146" s="1" t="s">
        <v>369</v>
      </c>
      <c r="D146" s="1" t="s">
        <v>370</v>
      </c>
      <c r="E146" s="16"/>
      <c r="F146" s="97">
        <f>' WP II-I-1.4'!L146</f>
        <v>1079935972.4845948</v>
      </c>
      <c r="G146" s="16" t="s">
        <v>751</v>
      </c>
      <c r="H146" s="26" t="s">
        <v>303</v>
      </c>
      <c r="I146" s="16"/>
      <c r="J146" s="98">
        <f>'II-I-DIST'!J146+'II-I-MET'!J146+'II-I-TBILLTDCS'!J146</f>
        <v>579555369.09526753</v>
      </c>
      <c r="K146" s="98">
        <f>'II-I-DIST'!K146+'II-I-MET'!K146+'II-I-TBILLTDCS'!K146</f>
        <v>10949346.715362629</v>
      </c>
      <c r="L146" s="98">
        <f>'II-I-DIST'!L146+'II-I-MET'!L146+'II-I-TBILLTDCS'!L146</f>
        <v>372250860.96944851</v>
      </c>
      <c r="M146" s="98">
        <f>'II-I-DIST'!M146+'II-I-MET'!M146+'II-I-TBILLTDCS'!M146</f>
        <v>174191.33627940214</v>
      </c>
      <c r="N146" s="98">
        <f>'II-I-DIST'!N146+'II-I-MET'!N146+'II-I-TBILLTDCS'!N146</f>
        <v>109494423.26375733</v>
      </c>
      <c r="O146" s="98">
        <f>'II-I-DIST'!O146+'II-I-MET'!O146+'II-I-TBILLTDCS'!O146</f>
        <v>0</v>
      </c>
      <c r="P146" s="98">
        <f>'II-I-DIST'!P146+'II-I-MET'!P146+'II-I-TBILLTDCS'!P146</f>
        <v>0</v>
      </c>
      <c r="Q146" s="98">
        <f>'II-I-DIST'!Q146+'II-I-MET'!Q146+'II-I-TBILLTDCS'!Q146</f>
        <v>3310452.6425851071</v>
      </c>
      <c r="R146" s="98">
        <f>'II-I-DIST'!R146+'II-I-MET'!R146+'II-I-TBILLTDCS'!R146</f>
        <v>0</v>
      </c>
      <c r="S146" s="98">
        <f>'II-I-DIST'!S146+'II-I-MET'!S146+'II-I-TBILLTDCS'!S146</f>
        <v>4201328.4618942533</v>
      </c>
      <c r="T146" s="16"/>
      <c r="U146" s="97">
        <f t="shared" si="54"/>
        <v>1079935972.4845948</v>
      </c>
      <c r="V146" s="64"/>
      <c r="X146" s="305">
        <f t="shared" si="41"/>
        <v>0</v>
      </c>
    </row>
    <row r="147" spans="1:24" x14ac:dyDescent="0.2">
      <c r="A147" s="16">
        <f t="shared" si="53"/>
        <v>9</v>
      </c>
      <c r="B147" s="16">
        <f t="shared" si="53"/>
        <v>13</v>
      </c>
      <c r="C147" s="1" t="s">
        <v>371</v>
      </c>
      <c r="D147" s="1" t="s">
        <v>372</v>
      </c>
      <c r="E147" s="16"/>
      <c r="F147" s="97">
        <f>' WP II-I-1.4'!L147</f>
        <v>557386865.60540497</v>
      </c>
      <c r="G147" s="16" t="s">
        <v>751</v>
      </c>
      <c r="H147" s="26" t="s">
        <v>303</v>
      </c>
      <c r="I147" s="16"/>
      <c r="J147" s="98">
        <f>'II-I-DIST'!J147+'II-I-MET'!J147+'II-I-TBILLTDCS'!J147</f>
        <v>334383510.8432976</v>
      </c>
      <c r="K147" s="98">
        <f>'II-I-DIST'!K147+'II-I-MET'!K147+'II-I-TBILLTDCS'!K147</f>
        <v>6317396.3893027827</v>
      </c>
      <c r="L147" s="98">
        <f>'II-I-DIST'!L147+'II-I-MET'!L147+'II-I-TBILLTDCS'!L147</f>
        <v>214775941.08000281</v>
      </c>
      <c r="M147" s="98">
        <f>'II-I-DIST'!M147+'II-I-MET'!M147+'II-I-TBILLTDCS'!M147</f>
        <v>0</v>
      </c>
      <c r="N147" s="98">
        <f>'II-I-DIST'!N147+'II-I-MET'!N147+'II-I-TBILLTDCS'!N147</f>
        <v>0</v>
      </c>
      <c r="O147" s="98">
        <f>'II-I-DIST'!O147+'II-I-MET'!O147+'II-I-TBILLTDCS'!O147</f>
        <v>0</v>
      </c>
      <c r="P147" s="98">
        <f>'II-I-DIST'!P147+'II-I-MET'!P147+'II-I-TBILLTDCS'!P147</f>
        <v>0</v>
      </c>
      <c r="Q147" s="98">
        <f>'II-I-DIST'!Q147+'II-I-MET'!Q147+'II-I-TBILLTDCS'!Q147</f>
        <v>1910017.292801782</v>
      </c>
      <c r="R147" s="98">
        <f>'II-I-DIST'!R147+'II-I-MET'!R147+'II-I-TBILLTDCS'!R147</f>
        <v>0</v>
      </c>
      <c r="S147" s="98">
        <f>'II-I-DIST'!S147+'II-I-MET'!S147+'II-I-TBILLTDCS'!S147</f>
        <v>0</v>
      </c>
      <c r="T147" s="16"/>
      <c r="U147" s="97">
        <f t="shared" si="54"/>
        <v>557386865.60540497</v>
      </c>
      <c r="V147" s="64"/>
      <c r="X147" s="305">
        <f t="shared" si="41"/>
        <v>0</v>
      </c>
    </row>
    <row r="148" spans="1:24" x14ac:dyDescent="0.2">
      <c r="A148" s="16">
        <f t="shared" si="53"/>
        <v>10</v>
      </c>
      <c r="B148" s="16">
        <f t="shared" si="53"/>
        <v>14</v>
      </c>
      <c r="C148" s="1" t="s">
        <v>374</v>
      </c>
      <c r="D148" s="29" t="s">
        <v>493</v>
      </c>
      <c r="E148" s="28"/>
      <c r="F148" s="97">
        <f>' WP II-I-1.4'!L148</f>
        <v>2535747234.0759034</v>
      </c>
      <c r="G148" s="16" t="s">
        <v>751</v>
      </c>
      <c r="H148" s="26" t="s">
        <v>303</v>
      </c>
      <c r="I148" s="28"/>
      <c r="J148" s="98">
        <f>'II-I-DIST'!J148+'II-I-MET'!J148+'II-I-TBILLTDCS'!J148</f>
        <v>1360826902.3542762</v>
      </c>
      <c r="K148" s="98">
        <f>'II-I-DIST'!K148+'II-I-MET'!K148+'II-I-TBILLTDCS'!K148</f>
        <v>25709649.790200807</v>
      </c>
      <c r="L148" s="98">
        <f>'II-I-DIST'!L148+'II-I-MET'!L148+'II-I-TBILLTDCS'!L148</f>
        <v>874064866.00678337</v>
      </c>
      <c r="M148" s="98">
        <f>'II-I-DIST'!M148+'II-I-MET'!M148+'II-I-TBILLTDCS'!M148</f>
        <v>409010.54361051985</v>
      </c>
      <c r="N148" s="98">
        <f>'II-I-DIST'!N148+'II-I-MET'!N148+'II-I-TBILLTDCS'!N148</f>
        <v>257098742.89956534</v>
      </c>
      <c r="O148" s="98">
        <f>'II-I-DIST'!O148+'II-I-MET'!O148+'II-I-TBILLTDCS'!O148</f>
        <v>0</v>
      </c>
      <c r="P148" s="98">
        <f>'II-I-DIST'!P148+'II-I-MET'!P148+'II-I-TBILLTDCS'!P148</f>
        <v>0</v>
      </c>
      <c r="Q148" s="98">
        <f>'II-I-DIST'!Q148+'II-I-MET'!Q148+'II-I-TBILLTDCS'!Q148</f>
        <v>7773119.2828602605</v>
      </c>
      <c r="R148" s="98">
        <f>'II-I-DIST'!R148+'II-I-MET'!R148+'II-I-TBILLTDCS'!R148</f>
        <v>0</v>
      </c>
      <c r="S148" s="98">
        <f>'II-I-DIST'!S148+'II-I-MET'!S148+'II-I-TBILLTDCS'!S148</f>
        <v>9864943.1986067984</v>
      </c>
      <c r="T148" s="28"/>
      <c r="U148" s="97">
        <f t="shared" si="54"/>
        <v>2535747234.0759034</v>
      </c>
      <c r="V148" s="64"/>
      <c r="X148" s="305">
        <f t="shared" si="41"/>
        <v>0</v>
      </c>
    </row>
    <row r="149" spans="1:24" x14ac:dyDescent="0.2">
      <c r="A149" s="16">
        <f t="shared" si="53"/>
        <v>11</v>
      </c>
      <c r="B149" s="16">
        <f t="shared" si="53"/>
        <v>15</v>
      </c>
      <c r="C149" s="1" t="s">
        <v>376</v>
      </c>
      <c r="D149" s="29" t="s">
        <v>494</v>
      </c>
      <c r="E149" s="28"/>
      <c r="F149" s="97">
        <f>' WP II-I-1.4'!L149</f>
        <v>641176084.73409665</v>
      </c>
      <c r="G149" s="16" t="s">
        <v>751</v>
      </c>
      <c r="H149" s="26" t="s">
        <v>303</v>
      </c>
      <c r="I149" s="28"/>
      <c r="J149" s="98">
        <f>'II-I-DIST'!J149+'II-I-MET'!J149+'II-I-TBILLTDCS'!J149</f>
        <v>384649735.24138939</v>
      </c>
      <c r="K149" s="98">
        <f>'II-I-DIST'!K149+'II-I-MET'!K149+'II-I-TBILLTDCS'!K149</f>
        <v>7267059.4385229424</v>
      </c>
      <c r="L149" s="98">
        <f>'II-I-DIST'!L149+'II-I-MET'!L149+'II-I-TBILLTDCS'!L149</f>
        <v>247062149.279719</v>
      </c>
      <c r="M149" s="98">
        <f>'II-I-DIST'!M149+'II-I-MET'!M149+'II-I-TBILLTDCS'!M149</f>
        <v>0</v>
      </c>
      <c r="N149" s="98">
        <f>'II-I-DIST'!N149+'II-I-MET'!N149+'II-I-TBILLTDCS'!N149</f>
        <v>0</v>
      </c>
      <c r="O149" s="98">
        <f>'II-I-DIST'!O149+'II-I-MET'!O149+'II-I-TBILLTDCS'!O149</f>
        <v>0</v>
      </c>
      <c r="P149" s="98">
        <f>'II-I-DIST'!P149+'II-I-MET'!P149+'II-I-TBILLTDCS'!P149</f>
        <v>0</v>
      </c>
      <c r="Q149" s="98">
        <f>'II-I-DIST'!Q149+'II-I-MET'!Q149+'II-I-TBILLTDCS'!Q149</f>
        <v>2197140.7744653351</v>
      </c>
      <c r="R149" s="98">
        <f>'II-I-DIST'!R149+'II-I-MET'!R149+'II-I-TBILLTDCS'!R149</f>
        <v>0</v>
      </c>
      <c r="S149" s="98">
        <f>'II-I-DIST'!S149+'II-I-MET'!S149+'II-I-TBILLTDCS'!S149</f>
        <v>0</v>
      </c>
      <c r="T149" s="28"/>
      <c r="U149" s="97">
        <f t="shared" si="54"/>
        <v>641176084.73409665</v>
      </c>
      <c r="V149" s="64"/>
      <c r="X149" s="305">
        <f t="shared" ref="X149:X209" si="55">U149-F149</f>
        <v>0</v>
      </c>
    </row>
    <row r="150" spans="1:24" x14ac:dyDescent="0.2">
      <c r="A150" s="16">
        <f t="shared" si="53"/>
        <v>12</v>
      </c>
      <c r="B150" s="16">
        <f t="shared" si="53"/>
        <v>16</v>
      </c>
      <c r="C150" s="1" t="s">
        <v>379</v>
      </c>
      <c r="D150" s="1" t="str">
        <f>'WP II-I-1.2'!D39</f>
        <v>Regulators, Protectors, Primary Transformers</v>
      </c>
      <c r="E150" s="16"/>
      <c r="F150" s="97">
        <f>' WP II-I-1.4'!L150</f>
        <v>218577637.44999996</v>
      </c>
      <c r="G150" s="16" t="s">
        <v>751</v>
      </c>
      <c r="H150" s="26" t="s">
        <v>303</v>
      </c>
      <c r="I150" s="16"/>
      <c r="J150" s="98">
        <f>'II-I-DIST'!J150+'II-I-MET'!J150+'II-I-TBILLTDCS'!J150</f>
        <v>117301253.57048735</v>
      </c>
      <c r="K150" s="98">
        <f>'II-I-DIST'!K150+'II-I-MET'!K150+'II-I-TBILLTDCS'!K150</f>
        <v>2216133.5464719143</v>
      </c>
      <c r="L150" s="98">
        <f>'II-I-DIST'!L150+'II-I-MET'!L150+'II-I-TBILLTDCS'!L150</f>
        <v>75343090.518814191</v>
      </c>
      <c r="M150" s="98">
        <f>'II-I-DIST'!M150+'II-I-MET'!M150+'II-I-TBILLTDCS'!M150</f>
        <v>35256.100100650467</v>
      </c>
      <c r="N150" s="98">
        <f>'II-I-DIST'!N150+'II-I-MET'!N150+'II-I-TBILLTDCS'!N150</f>
        <v>22161528.980167195</v>
      </c>
      <c r="O150" s="98">
        <f>'II-I-DIST'!O150+'II-I-MET'!O150+'II-I-TBILLTDCS'!O150</f>
        <v>0</v>
      </c>
      <c r="P150" s="98">
        <f>'II-I-DIST'!P150+'II-I-MET'!P150+'II-I-TBILLTDCS'!P150</f>
        <v>0</v>
      </c>
      <c r="Q150" s="98">
        <f>'II-I-DIST'!Q150+'II-I-MET'!Q150+'II-I-TBILLTDCS'!Q150</f>
        <v>670031.31291349209</v>
      </c>
      <c r="R150" s="98">
        <f>'II-I-DIST'!R150+'II-I-MET'!R150+'II-I-TBILLTDCS'!R150</f>
        <v>0</v>
      </c>
      <c r="S150" s="98">
        <f>'II-I-DIST'!S150+'II-I-MET'!S150+'II-I-TBILLTDCS'!S150</f>
        <v>850343.42104516551</v>
      </c>
      <c r="T150" s="16"/>
      <c r="U150" s="97">
        <f t="shared" si="54"/>
        <v>218577637.4499999</v>
      </c>
      <c r="V150" s="64"/>
      <c r="X150" s="305">
        <f t="shared" si="55"/>
        <v>0</v>
      </c>
    </row>
    <row r="151" spans="1:24" x14ac:dyDescent="0.2">
      <c r="A151" s="16">
        <f t="shared" si="53"/>
        <v>13</v>
      </c>
      <c r="B151" s="16">
        <f t="shared" si="53"/>
        <v>17</v>
      </c>
      <c r="C151" s="1" t="s">
        <v>381</v>
      </c>
      <c r="D151" s="1" t="str">
        <f>'WP II-I-1.2'!D40</f>
        <v>Secondary Transformers</v>
      </c>
      <c r="E151" s="16"/>
      <c r="F151" s="97">
        <f>' WP II-I-1.4'!L151</f>
        <v>2781139440.8000002</v>
      </c>
      <c r="G151" s="16" t="s">
        <v>751</v>
      </c>
      <c r="H151" s="26" t="s">
        <v>303</v>
      </c>
      <c r="I151" s="16"/>
      <c r="J151" s="98">
        <f>'II-I-DIST'!J151+'II-I-MET'!J151+'II-I-TBILLTDCS'!J151</f>
        <v>1668441127.240031</v>
      </c>
      <c r="K151" s="98">
        <f>'II-I-DIST'!K151+'II-I-MET'!K151+'II-I-TBILLTDCS'!K151</f>
        <v>31521302.968584176</v>
      </c>
      <c r="L151" s="98">
        <f>'II-I-DIST'!L151+'II-I-MET'!L151+'II-I-TBILLTDCS'!L151</f>
        <v>1071646781.672461</v>
      </c>
      <c r="M151" s="98">
        <f>'II-I-DIST'!M151+'II-I-MET'!M151+'II-I-TBILLTDCS'!M151</f>
        <v>0</v>
      </c>
      <c r="N151" s="98">
        <f>'II-I-DIST'!N151+'II-I-MET'!N151+'II-I-TBILLTDCS'!N151</f>
        <v>0</v>
      </c>
      <c r="O151" s="98">
        <f>'II-I-DIST'!O151+'II-I-MET'!O151+'II-I-TBILLTDCS'!O151</f>
        <v>0</v>
      </c>
      <c r="P151" s="98">
        <f>'II-I-DIST'!P151+'II-I-MET'!P151+'II-I-TBILLTDCS'!P151</f>
        <v>0</v>
      </c>
      <c r="Q151" s="98">
        <f>'II-I-DIST'!Q151+'II-I-MET'!Q151+'II-I-TBILLTDCS'!Q151</f>
        <v>9530228.9189240765</v>
      </c>
      <c r="R151" s="98">
        <f>'II-I-DIST'!R151+'II-I-MET'!R151+'II-I-TBILLTDCS'!R151</f>
        <v>0</v>
      </c>
      <c r="S151" s="98">
        <f>'II-I-DIST'!S151+'II-I-MET'!S151+'II-I-TBILLTDCS'!S151</f>
        <v>0</v>
      </c>
      <c r="T151" s="16"/>
      <c r="U151" s="97">
        <f t="shared" si="54"/>
        <v>2781139440.7999997</v>
      </c>
      <c r="V151" s="64"/>
      <c r="X151" s="305">
        <f t="shared" si="55"/>
        <v>0</v>
      </c>
    </row>
    <row r="152" spans="1:24" x14ac:dyDescent="0.2">
      <c r="A152" s="16">
        <f t="shared" si="53"/>
        <v>14</v>
      </c>
      <c r="B152" s="16">
        <f t="shared" si="53"/>
        <v>18</v>
      </c>
      <c r="C152" s="1" t="s">
        <v>383</v>
      </c>
      <c r="D152" s="1" t="str">
        <f>'WP II-I-1.2'!D41</f>
        <v>Capacitors</v>
      </c>
      <c r="E152" s="16"/>
      <c r="F152" s="97">
        <f>' WP II-I-1.4'!L152</f>
        <v>167948847.31999999</v>
      </c>
      <c r="G152" s="16" t="s">
        <v>751</v>
      </c>
      <c r="H152" s="26" t="s">
        <v>303</v>
      </c>
      <c r="I152" s="16"/>
      <c r="J152" s="98">
        <f>'II-I-DIST'!J152+'II-I-MET'!J152+'II-I-TBILLTDCS'!J152</f>
        <v>74736720.637334704</v>
      </c>
      <c r="K152" s="98">
        <f>'II-I-DIST'!K152+'II-I-MET'!K152+'II-I-TBILLTDCS'!K152</f>
        <v>1411975.9910167612</v>
      </c>
      <c r="L152" s="98">
        <f>'II-I-DIST'!L152+'II-I-MET'!L152+'II-I-TBILLTDCS'!L152</f>
        <v>48003711.270437397</v>
      </c>
      <c r="M152" s="98">
        <f>'II-I-DIST'!M152+'II-I-MET'!M152+'II-I-TBILLTDCS'!M152</f>
        <v>22462.891263142999</v>
      </c>
      <c r="N152" s="98">
        <f>'II-I-DIST'!N152+'II-I-MET'!N152+'II-I-TBILLTDCS'!N152</f>
        <v>14119883.205610244</v>
      </c>
      <c r="O152" s="98">
        <f>'II-I-DIST'!O152+'II-I-MET'!O152+'II-I-TBILLTDCS'!O152</f>
        <v>6069003.7273554644</v>
      </c>
      <c r="P152" s="98">
        <f>'II-I-DIST'!P152+'II-I-MET'!P152+'II-I-TBILLTDCS'!P152</f>
        <v>22196892.568264917</v>
      </c>
      <c r="Q152" s="98">
        <f>'II-I-DIST'!Q152+'II-I-MET'!Q152+'II-I-TBILLTDCS'!Q152</f>
        <v>426900.32311880781</v>
      </c>
      <c r="R152" s="98">
        <f>'II-I-DIST'!R152+'II-I-MET'!R152+'II-I-TBILLTDCS'!R152</f>
        <v>419513.24830360548</v>
      </c>
      <c r="S152" s="98">
        <f>'II-I-DIST'!S152+'II-I-MET'!S152+'II-I-TBILLTDCS'!S152</f>
        <v>541783.45729493105</v>
      </c>
      <c r="T152" s="16"/>
      <c r="U152" s="97">
        <f t="shared" si="54"/>
        <v>167948847.31999993</v>
      </c>
      <c r="V152" s="64"/>
      <c r="X152" s="305">
        <f t="shared" si="55"/>
        <v>0</v>
      </c>
    </row>
    <row r="153" spans="1:24" x14ac:dyDescent="0.2">
      <c r="A153" s="16">
        <f t="shared" si="53"/>
        <v>15</v>
      </c>
      <c r="B153" s="16">
        <f t="shared" si="53"/>
        <v>19</v>
      </c>
      <c r="C153" s="1" t="s">
        <v>72</v>
      </c>
      <c r="D153" s="29" t="s">
        <v>73</v>
      </c>
      <c r="E153" s="28"/>
      <c r="F153" s="97">
        <f>' WP II-I-1.4'!L153</f>
        <v>1970343942.5799999</v>
      </c>
      <c r="G153" s="16" t="s">
        <v>751</v>
      </c>
      <c r="H153" s="26" t="s">
        <v>303</v>
      </c>
      <c r="I153" s="28"/>
      <c r="J153" s="98">
        <f>'II-I-DIST'!J153+'II-I-MET'!J153+'II-I-TBILLTDCS'!J153</f>
        <v>1163817714.5316858</v>
      </c>
      <c r="K153" s="98">
        <f>'II-I-DIST'!K153+'II-I-MET'!K153+'II-I-TBILLTDCS'!K153</f>
        <v>163266260.69015011</v>
      </c>
      <c r="L153" s="98">
        <f>'II-I-DIST'!L153+'II-I-MET'!L153+'II-I-TBILLTDCS'!L153</f>
        <v>642073205.67387891</v>
      </c>
      <c r="M153" s="98">
        <f>'II-I-DIST'!M153+'II-I-MET'!M153+'II-I-TBILLTDCS'!M153</f>
        <v>0</v>
      </c>
      <c r="N153" s="98">
        <f>'II-I-DIST'!N153+'II-I-MET'!N153+'II-I-TBILLTDCS'!N153</f>
        <v>0</v>
      </c>
      <c r="O153" s="98">
        <f>'II-I-DIST'!O153+'II-I-MET'!O153+'II-I-TBILLTDCS'!O153</f>
        <v>0</v>
      </c>
      <c r="P153" s="98">
        <f>'II-I-DIST'!P153+'II-I-MET'!P153+'II-I-TBILLTDCS'!P153</f>
        <v>0</v>
      </c>
      <c r="Q153" s="98">
        <f>'II-I-DIST'!Q153+'II-I-MET'!Q153+'II-I-TBILLTDCS'!Q153</f>
        <v>1186761.6842846575</v>
      </c>
      <c r="R153" s="98">
        <f>'II-I-DIST'!R153+'II-I-MET'!R153+'II-I-TBILLTDCS'!R153</f>
        <v>0</v>
      </c>
      <c r="S153" s="98">
        <f>'II-I-DIST'!S153+'II-I-MET'!S153+'II-I-TBILLTDCS'!S153</f>
        <v>0</v>
      </c>
      <c r="T153" s="28"/>
      <c r="U153" s="97">
        <f t="shared" si="54"/>
        <v>1970343942.5799994</v>
      </c>
      <c r="V153" s="64"/>
      <c r="X153" s="305">
        <f t="shared" si="55"/>
        <v>0</v>
      </c>
    </row>
    <row r="154" spans="1:24" x14ac:dyDescent="0.2">
      <c r="A154" s="16">
        <f t="shared" si="53"/>
        <v>16</v>
      </c>
      <c r="B154" s="16">
        <f t="shared" si="53"/>
        <v>20</v>
      </c>
      <c r="C154" s="1" t="s">
        <v>74</v>
      </c>
      <c r="D154" s="1" t="s">
        <v>75</v>
      </c>
      <c r="E154" s="16"/>
      <c r="F154" s="97">
        <f>' WP II-I-1.4'!L154</f>
        <v>625718350.30999994</v>
      </c>
      <c r="G154" s="16" t="s">
        <v>751</v>
      </c>
      <c r="H154" s="26" t="s">
        <v>303</v>
      </c>
      <c r="I154" s="16"/>
      <c r="J154" s="98">
        <f>'II-I-DIST'!J154+'II-I-MET'!J154+'II-I-TBILLTDCS'!J154</f>
        <v>326652181.02529699</v>
      </c>
      <c r="K154" s="98">
        <f>'II-I-DIST'!K154+'II-I-MET'!K154+'II-I-TBILLTDCS'!K154</f>
        <v>45824427.207436398</v>
      </c>
      <c r="L154" s="98">
        <f>'II-I-DIST'!L154+'II-I-MET'!L154+'II-I-TBILLTDCS'!L154</f>
        <v>180212597.20700565</v>
      </c>
      <c r="M154" s="98">
        <f>'II-I-DIST'!M154+'II-I-MET'!M154+'II-I-TBILLTDCS'!M154</f>
        <v>7589122.6068155235</v>
      </c>
      <c r="N154" s="98">
        <f>'II-I-DIST'!N154+'II-I-MET'!N154+'II-I-TBILLTDCS'!N154</f>
        <v>58440250.36684677</v>
      </c>
      <c r="O154" s="98">
        <f>'II-I-DIST'!O154+'II-I-MET'!O154+'II-I-TBILLTDCS'!O154</f>
        <v>1917553.0907769939</v>
      </c>
      <c r="P154" s="98">
        <f>'II-I-DIST'!P154+'II-I-MET'!P154+'II-I-TBILLTDCS'!P154</f>
        <v>3999803.9930317672</v>
      </c>
      <c r="Q154" s="98">
        <f>'II-I-DIST'!Q154+'II-I-MET'!Q154+'II-I-TBILLTDCS'!Q154</f>
        <v>333091.93328856473</v>
      </c>
      <c r="R154" s="98">
        <f>'II-I-DIST'!R154+'II-I-MET'!R154+'II-I-TBILLTDCS'!R154</f>
        <v>211754.3290428583</v>
      </c>
      <c r="S154" s="98">
        <f>'II-I-DIST'!S154+'II-I-MET'!S154+'II-I-TBILLTDCS'!S154</f>
        <v>537568.55045836302</v>
      </c>
      <c r="T154" s="16"/>
      <c r="U154" s="97">
        <f t="shared" si="54"/>
        <v>625718350.30999994</v>
      </c>
      <c r="V154" s="64"/>
      <c r="X154" s="305">
        <f t="shared" si="55"/>
        <v>0</v>
      </c>
    </row>
    <row r="155" spans="1:24" x14ac:dyDescent="0.2">
      <c r="A155" s="16">
        <f t="shared" si="53"/>
        <v>17</v>
      </c>
      <c r="B155" s="16">
        <f t="shared" si="53"/>
        <v>21</v>
      </c>
      <c r="C155" s="1" t="s">
        <v>76</v>
      </c>
      <c r="D155" s="1" t="s">
        <v>495</v>
      </c>
      <c r="E155" s="16"/>
      <c r="F155" s="97">
        <f>' WP II-I-1.4'!L155</f>
        <v>56332960.560000002</v>
      </c>
      <c r="G155" s="16" t="s">
        <v>751</v>
      </c>
      <c r="H155" s="26" t="s">
        <v>303</v>
      </c>
      <c r="I155" s="16"/>
      <c r="J155" s="98">
        <f>'II-I-DIST'!J155+'II-I-MET'!J155+'II-I-TBILLTDCS'!J155</f>
        <v>0</v>
      </c>
      <c r="K155" s="98">
        <f>'II-I-DIST'!K155+'II-I-MET'!K155+'II-I-TBILLTDCS'!K155</f>
        <v>0</v>
      </c>
      <c r="L155" s="98">
        <f>'II-I-DIST'!L155+'II-I-MET'!L155+'II-I-TBILLTDCS'!L155</f>
        <v>0</v>
      </c>
      <c r="M155" s="98">
        <f>'II-I-DIST'!M155+'II-I-MET'!M155+'II-I-TBILLTDCS'!M155</f>
        <v>0</v>
      </c>
      <c r="N155" s="98">
        <f>'II-I-DIST'!N155+'II-I-MET'!N155+'II-I-TBILLTDCS'!N155</f>
        <v>0</v>
      </c>
      <c r="O155" s="98">
        <f>'II-I-DIST'!O155+'II-I-MET'!O155+'II-I-TBILLTDCS'!O155</f>
        <v>0</v>
      </c>
      <c r="P155" s="98">
        <f>'II-I-DIST'!P155+'II-I-MET'!P155+'II-I-TBILLTDCS'!P155</f>
        <v>0</v>
      </c>
      <c r="Q155" s="98">
        <f>'II-I-DIST'!Q155+'II-I-MET'!Q155+'II-I-TBILLTDCS'!Q155</f>
        <v>56332960.560000002</v>
      </c>
      <c r="R155" s="98">
        <f>'II-I-DIST'!R155+'II-I-MET'!R155+'II-I-TBILLTDCS'!R155</f>
        <v>0</v>
      </c>
      <c r="S155" s="98">
        <f>'II-I-DIST'!S155+'II-I-MET'!S155+'II-I-TBILLTDCS'!S155</f>
        <v>0</v>
      </c>
      <c r="T155" s="16"/>
      <c r="U155" s="97">
        <f t="shared" si="54"/>
        <v>56332960.560000002</v>
      </c>
      <c r="V155" s="64"/>
      <c r="X155" s="305">
        <f t="shared" si="55"/>
        <v>0</v>
      </c>
    </row>
    <row r="156" spans="1:24" x14ac:dyDescent="0.2">
      <c r="A156" s="16">
        <f t="shared" si="53"/>
        <v>18</v>
      </c>
      <c r="B156" s="16">
        <f t="shared" si="53"/>
        <v>22</v>
      </c>
      <c r="C156" s="1" t="s">
        <v>78</v>
      </c>
      <c r="D156" s="1" t="s">
        <v>496</v>
      </c>
      <c r="E156" s="16"/>
      <c r="F156" s="97">
        <f>' WP II-I-1.4'!L156</f>
        <v>0</v>
      </c>
      <c r="G156" s="16" t="s">
        <v>751</v>
      </c>
      <c r="H156" s="26" t="s">
        <v>303</v>
      </c>
      <c r="I156" s="16"/>
      <c r="J156" s="98">
        <f>'II-I-DIST'!J156+'II-I-MET'!J156+'II-I-TBILLTDCS'!J156</f>
        <v>0</v>
      </c>
      <c r="K156" s="98">
        <f>'II-I-DIST'!K156+'II-I-MET'!K156+'II-I-TBILLTDCS'!K156</f>
        <v>0</v>
      </c>
      <c r="L156" s="98">
        <f>'II-I-DIST'!L156+'II-I-MET'!L156+'II-I-TBILLTDCS'!L156</f>
        <v>0</v>
      </c>
      <c r="M156" s="98">
        <f>'II-I-DIST'!M156+'II-I-MET'!M156+'II-I-TBILLTDCS'!M156</f>
        <v>0</v>
      </c>
      <c r="N156" s="98">
        <f>'II-I-DIST'!N156+'II-I-MET'!N156+'II-I-TBILLTDCS'!N156</f>
        <v>0</v>
      </c>
      <c r="O156" s="98">
        <f>'II-I-DIST'!O156+'II-I-MET'!O156+'II-I-TBILLTDCS'!O156</f>
        <v>0</v>
      </c>
      <c r="P156" s="98">
        <f>'II-I-DIST'!P156+'II-I-MET'!P156+'II-I-TBILLTDCS'!P156</f>
        <v>0</v>
      </c>
      <c r="Q156" s="98">
        <f>'II-I-DIST'!Q156+'II-I-MET'!Q156+'II-I-TBILLTDCS'!Q156</f>
        <v>0</v>
      </c>
      <c r="R156" s="98">
        <f>'II-I-DIST'!R156+'II-I-MET'!R156+'II-I-TBILLTDCS'!R156</f>
        <v>0</v>
      </c>
      <c r="S156" s="98">
        <f>'II-I-DIST'!S156+'II-I-MET'!S156+'II-I-TBILLTDCS'!S156</f>
        <v>0</v>
      </c>
      <c r="T156" s="16"/>
      <c r="U156" s="97">
        <f t="shared" si="54"/>
        <v>0</v>
      </c>
      <c r="V156" s="64"/>
      <c r="X156" s="305">
        <f t="shared" si="55"/>
        <v>0</v>
      </c>
    </row>
    <row r="157" spans="1:24" x14ac:dyDescent="0.2">
      <c r="A157" s="16">
        <f t="shared" si="53"/>
        <v>19</v>
      </c>
      <c r="B157" s="16">
        <f t="shared" si="53"/>
        <v>23</v>
      </c>
      <c r="C157" s="1" t="s">
        <v>80</v>
      </c>
      <c r="D157" s="1" t="s">
        <v>84</v>
      </c>
      <c r="E157" s="16"/>
      <c r="F157" s="97">
        <f>' WP II-I-1.4'!L157</f>
        <v>543768085.23000002</v>
      </c>
      <c r="G157" s="16" t="s">
        <v>751</v>
      </c>
      <c r="H157" s="26" t="s">
        <v>303</v>
      </c>
      <c r="I157" s="16"/>
      <c r="J157" s="98">
        <f>'II-I-DIST'!J157+'II-I-MET'!J157+'II-I-TBILLTDCS'!J157</f>
        <v>0</v>
      </c>
      <c r="K157" s="98">
        <f>'II-I-DIST'!K157+'II-I-MET'!K157+'II-I-TBILLTDCS'!K157</f>
        <v>0</v>
      </c>
      <c r="L157" s="98">
        <f>'II-I-DIST'!L157+'II-I-MET'!L157+'II-I-TBILLTDCS'!L157</f>
        <v>0</v>
      </c>
      <c r="M157" s="98">
        <f>'II-I-DIST'!M157+'II-I-MET'!M157+'II-I-TBILLTDCS'!M157</f>
        <v>0</v>
      </c>
      <c r="N157" s="98">
        <f>'II-I-DIST'!N157+'II-I-MET'!N157+'II-I-TBILLTDCS'!N157</f>
        <v>0</v>
      </c>
      <c r="O157" s="98">
        <f>'II-I-DIST'!O157+'II-I-MET'!O157+'II-I-TBILLTDCS'!O157</f>
        <v>0</v>
      </c>
      <c r="P157" s="98">
        <f>'II-I-DIST'!P157+'II-I-MET'!P157+'II-I-TBILLTDCS'!P157</f>
        <v>0</v>
      </c>
      <c r="Q157" s="98">
        <f>'II-I-DIST'!Q157+'II-I-MET'!Q157+'II-I-TBILLTDCS'!Q157</f>
        <v>543768085.23000002</v>
      </c>
      <c r="R157" s="98">
        <f>'II-I-DIST'!R157+'II-I-MET'!R157+'II-I-TBILLTDCS'!R157</f>
        <v>0</v>
      </c>
      <c r="S157" s="98">
        <f>'II-I-DIST'!S157+'II-I-MET'!S157+'II-I-TBILLTDCS'!S157</f>
        <v>0</v>
      </c>
      <c r="T157" s="16"/>
      <c r="U157" s="97">
        <f t="shared" si="54"/>
        <v>543768085.23000002</v>
      </c>
      <c r="V157" s="64"/>
      <c r="X157" s="305">
        <f t="shared" si="55"/>
        <v>0</v>
      </c>
    </row>
    <row r="158" spans="1:24" x14ac:dyDescent="0.2">
      <c r="A158" s="16">
        <f t="shared" si="53"/>
        <v>20</v>
      </c>
      <c r="B158" s="16">
        <f t="shared" si="53"/>
        <v>24</v>
      </c>
      <c r="C158" s="1" t="s">
        <v>82</v>
      </c>
      <c r="D158" s="1" t="s">
        <v>38</v>
      </c>
      <c r="E158" s="16"/>
      <c r="F158" s="97">
        <f>' WP II-I-1.4'!L158</f>
        <v>88171655.439999998</v>
      </c>
      <c r="G158" s="16" t="s">
        <v>751</v>
      </c>
      <c r="H158" s="26" t="s">
        <v>303</v>
      </c>
      <c r="I158" s="16"/>
      <c r="J158" s="145">
        <f ca="1">'II-I-DIST'!J158+'II-I-MET'!J158+'II-I-TBILLTDCS'!J158</f>
        <v>47397075.707893707</v>
      </c>
      <c r="K158" s="145">
        <f ca="1">'II-I-DIST'!K158+'II-I-MET'!K158+'II-I-TBILLTDCS'!K158</f>
        <v>1555399.2881930862</v>
      </c>
      <c r="L158" s="145">
        <f ca="1">'II-I-DIST'!L158+'II-I-MET'!L158+'II-I-TBILLTDCS'!L158</f>
        <v>29950754.314513795</v>
      </c>
      <c r="M158" s="145">
        <f ca="1">'II-I-DIST'!M158+'II-I-MET'!M158+'II-I-TBILLTDCS'!M158</f>
        <v>8526.1163787716705</v>
      </c>
      <c r="N158" s="145">
        <f ca="1">'II-I-DIST'!N158+'II-I-MET'!N158+'II-I-TBILLTDCS'!N158</f>
        <v>5359406.5899801692</v>
      </c>
      <c r="O158" s="145">
        <f ca="1">'II-I-DIST'!O158+'II-I-MET'!O158+'II-I-TBILLTDCS'!O158</f>
        <v>515156.64102298289</v>
      </c>
      <c r="P158" s="145">
        <f ca="1">'II-I-DIST'!P158+'II-I-MET'!P158+'II-I-TBILLTDCS'!P158</f>
        <v>104692.6088539284</v>
      </c>
      <c r="Q158" s="145">
        <f ca="1">'II-I-DIST'!Q158+'II-I-MET'!Q158+'II-I-TBILLTDCS'!Q158</f>
        <v>3039392.759477051</v>
      </c>
      <c r="R158" s="145">
        <f ca="1">'II-I-DIST'!R158+'II-I-MET'!R158+'II-I-TBILLTDCS'!R158</f>
        <v>35609.639665668321</v>
      </c>
      <c r="S158" s="145">
        <f ca="1">'II-I-DIST'!S158+'II-I-MET'!S158+'II-I-TBILLTDCS'!S158</f>
        <v>205641.77402083552</v>
      </c>
      <c r="T158" s="16"/>
      <c r="U158" s="97">
        <f t="shared" ca="1" si="54"/>
        <v>88171655.439999968</v>
      </c>
      <c r="V158" s="64"/>
      <c r="X158" s="305">
        <f t="shared" ca="1" si="55"/>
        <v>0</v>
      </c>
    </row>
    <row r="159" spans="1:24" ht="15" x14ac:dyDescent="0.25">
      <c r="A159" s="16">
        <f t="shared" si="53"/>
        <v>21</v>
      </c>
      <c r="B159" s="16">
        <f t="shared" si="53"/>
        <v>25</v>
      </c>
      <c r="C159" s="64"/>
      <c r="D159" s="233" t="s">
        <v>444</v>
      </c>
      <c r="E159" s="121"/>
      <c r="F159" s="21">
        <f>SUM(F136:F158)</f>
        <v>20558061022.07</v>
      </c>
      <c r="G159" s="121"/>
      <c r="H159" s="121"/>
      <c r="I159" s="121"/>
      <c r="J159" s="805">
        <f t="shared" ref="J159:Q159" ca="1" si="56">SUM(J136:J158)</f>
        <v>11023957953.208868</v>
      </c>
      <c r="K159" s="805">
        <f t="shared" ca="1" si="56"/>
        <v>423421692.88809782</v>
      </c>
      <c r="L159" s="805">
        <f t="shared" ca="1" si="56"/>
        <v>6919004025.5415554</v>
      </c>
      <c r="M159" s="805">
        <f t="shared" ca="1" si="56"/>
        <v>15187104.229801107</v>
      </c>
      <c r="N159" s="805">
        <f t="shared" ca="1" si="56"/>
        <v>1283991209.4573355</v>
      </c>
      <c r="O159" s="805">
        <f ca="1">SUM(O136:O158)</f>
        <v>116932753.98578762</v>
      </c>
      <c r="P159" s="805">
        <f t="shared" ca="1" si="56"/>
        <v>30093185.365735143</v>
      </c>
      <c r="Q159" s="805">
        <f t="shared" ca="1" si="56"/>
        <v>690973356.15734708</v>
      </c>
      <c r="R159" s="805">
        <f ca="1">SUM(R136:R158)</f>
        <v>8221718.6829150924</v>
      </c>
      <c r="S159" s="805">
        <f ca="1">SUM(S136:S158)</f>
        <v>46278022.552557394</v>
      </c>
      <c r="T159" s="121"/>
      <c r="U159" s="235">
        <f t="shared" ca="1" si="54"/>
        <v>20558061022.07</v>
      </c>
      <c r="V159" s="64"/>
      <c r="W159" s="1099" t="b">
        <f>' WP II-I-1.4'!$L$159=F159</f>
        <v>1</v>
      </c>
      <c r="X159" s="305">
        <f t="shared" ca="1" si="55"/>
        <v>0</v>
      </c>
    </row>
    <row r="160" spans="1:24" x14ac:dyDescent="0.2">
      <c r="A160" s="16">
        <f t="shared" si="53"/>
        <v>22</v>
      </c>
      <c r="B160" s="16">
        <f t="shared" si="53"/>
        <v>26</v>
      </c>
      <c r="C160" s="64"/>
      <c r="D160" s="1"/>
      <c r="E160" s="16"/>
      <c r="F160" s="18"/>
      <c r="G160" s="16"/>
      <c r="H160" s="16"/>
      <c r="I160" s="1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6"/>
      <c r="U160" s="1"/>
      <c r="V160" s="64"/>
      <c r="X160" s="305">
        <f t="shared" si="55"/>
        <v>0</v>
      </c>
    </row>
    <row r="161" spans="1:24" ht="15" x14ac:dyDescent="0.25">
      <c r="A161" s="16">
        <f t="shared" si="53"/>
        <v>23</v>
      </c>
      <c r="B161" s="16">
        <f t="shared" si="53"/>
        <v>27</v>
      </c>
      <c r="C161" s="64"/>
      <c r="D161" s="233" t="s">
        <v>519</v>
      </c>
      <c r="E161" s="16"/>
      <c r="F161" s="21">
        <f>SUM(F142:F143)</f>
        <v>3523411256.3599997</v>
      </c>
      <c r="G161" s="16"/>
      <c r="H161" s="16"/>
      <c r="I161" s="16"/>
      <c r="J161" s="805">
        <f t="shared" ref="J161:Q161" si="57">SUM(J142:J143)</f>
        <v>1925688944.0693686</v>
      </c>
      <c r="K161" s="805">
        <f t="shared" si="57"/>
        <v>36381400.361231238</v>
      </c>
      <c r="L161" s="805">
        <f t="shared" si="57"/>
        <v>1236878140.751615</v>
      </c>
      <c r="M161" s="805">
        <f t="shared" si="57"/>
        <v>479516.89212225785</v>
      </c>
      <c r="N161" s="805">
        <f t="shared" si="57"/>
        <v>301418122.56345004</v>
      </c>
      <c r="O161" s="805">
        <f>SUM(O142:O143)</f>
        <v>0</v>
      </c>
      <c r="P161" s="805">
        <f t="shared" si="57"/>
        <v>0</v>
      </c>
      <c r="Q161" s="805">
        <f t="shared" si="57"/>
        <v>10999642.818671666</v>
      </c>
      <c r="R161" s="805">
        <f>SUM(R142:R143)</f>
        <v>0</v>
      </c>
      <c r="S161" s="805">
        <f>SUM(S142:S143)</f>
        <v>11565488.903540507</v>
      </c>
      <c r="T161" s="16"/>
      <c r="U161" s="235">
        <f>SUM(I161:T161)</f>
        <v>3523411256.3599992</v>
      </c>
      <c r="V161" s="64"/>
      <c r="W161" s="1099" t="b">
        <f>' WP II-I-1.4'!$L$161=F161</f>
        <v>1</v>
      </c>
      <c r="X161" s="305">
        <f t="shared" si="55"/>
        <v>0</v>
      </c>
    </row>
    <row r="162" spans="1:24" ht="15" x14ac:dyDescent="0.25">
      <c r="A162" s="16">
        <f t="shared" si="53"/>
        <v>24</v>
      </c>
      <c r="B162" s="16">
        <f t="shared" si="53"/>
        <v>28</v>
      </c>
      <c r="C162" s="64"/>
      <c r="D162" s="233" t="s">
        <v>520</v>
      </c>
      <c r="E162" s="16"/>
      <c r="F162" s="21">
        <f>SUM(F144:F145)</f>
        <v>2182618392.98</v>
      </c>
      <c r="G162" s="16"/>
      <c r="H162" s="16"/>
      <c r="I162" s="16"/>
      <c r="J162" s="805">
        <f t="shared" ref="J162:Q162" si="58">SUM(J144:J145)</f>
        <v>1188820066.5766649</v>
      </c>
      <c r="K162" s="805">
        <f t="shared" si="58"/>
        <v>22459981.884817433</v>
      </c>
      <c r="L162" s="805">
        <f t="shared" si="58"/>
        <v>763584149.02058446</v>
      </c>
      <c r="M162" s="805">
        <f t="shared" si="58"/>
        <v>307421.91615598864</v>
      </c>
      <c r="N162" s="805">
        <f t="shared" si="58"/>
        <v>193241444.30551398</v>
      </c>
      <c r="O162" s="805">
        <f>SUM(O144:O145)</f>
        <v>0</v>
      </c>
      <c r="P162" s="805">
        <f t="shared" si="58"/>
        <v>0</v>
      </c>
      <c r="Q162" s="805">
        <f t="shared" si="58"/>
        <v>6790606.6284928154</v>
      </c>
      <c r="R162" s="805">
        <f>SUM(R144:R145)</f>
        <v>0</v>
      </c>
      <c r="S162" s="805">
        <f>SUM(S144:S145)</f>
        <v>7414722.6477701198</v>
      </c>
      <c r="T162" s="16"/>
      <c r="U162" s="235">
        <f>SUM(I162:T162)</f>
        <v>2182618392.9799995</v>
      </c>
      <c r="V162" s="64"/>
      <c r="W162" s="1099" t="b">
        <f>' WP II-I-1.4'!$L$162=F162</f>
        <v>1</v>
      </c>
      <c r="X162" s="305">
        <f t="shared" si="55"/>
        <v>0</v>
      </c>
    </row>
    <row r="163" spans="1:24" ht="15" x14ac:dyDescent="0.25">
      <c r="A163" s="16">
        <f t="shared" si="53"/>
        <v>25</v>
      </c>
      <c r="B163" s="16">
        <f t="shared" si="53"/>
        <v>29</v>
      </c>
      <c r="C163" s="64"/>
      <c r="D163" s="233" t="s">
        <v>521</v>
      </c>
      <c r="E163" s="16"/>
      <c r="F163" s="21">
        <f>SUM(F146:F147)</f>
        <v>1637322838.0899997</v>
      </c>
      <c r="G163" s="16"/>
      <c r="H163" s="16"/>
      <c r="I163" s="16"/>
      <c r="J163" s="805">
        <f t="shared" ref="J163:Q163" si="59">SUM(J146:J147)</f>
        <v>913938879.93856514</v>
      </c>
      <c r="K163" s="805">
        <f t="shared" si="59"/>
        <v>17266743.104665413</v>
      </c>
      <c r="L163" s="805">
        <f t="shared" si="59"/>
        <v>587026802.04945135</v>
      </c>
      <c r="M163" s="805">
        <f t="shared" si="59"/>
        <v>174191.33627940214</v>
      </c>
      <c r="N163" s="805">
        <f t="shared" si="59"/>
        <v>109494423.26375733</v>
      </c>
      <c r="O163" s="805">
        <f>SUM(O146:O147)</f>
        <v>0</v>
      </c>
      <c r="P163" s="805">
        <f t="shared" si="59"/>
        <v>0</v>
      </c>
      <c r="Q163" s="805">
        <f t="shared" si="59"/>
        <v>5220469.9353868887</v>
      </c>
      <c r="R163" s="805">
        <f>SUM(R146:R147)</f>
        <v>0</v>
      </c>
      <c r="S163" s="805">
        <f>SUM(S146:S147)</f>
        <v>4201328.4618942533</v>
      </c>
      <c r="T163" s="16"/>
      <c r="U163" s="235">
        <f>SUM(I163:T163)</f>
        <v>1637322838.0899997</v>
      </c>
      <c r="V163" s="64"/>
      <c r="W163" s="1099" t="b">
        <f>' WP II-I-1.4'!$L$163=F163</f>
        <v>1</v>
      </c>
      <c r="X163" s="305">
        <f t="shared" si="55"/>
        <v>0</v>
      </c>
    </row>
    <row r="164" spans="1:24" ht="15" x14ac:dyDescent="0.25">
      <c r="A164" s="16">
        <f t="shared" si="53"/>
        <v>26</v>
      </c>
      <c r="B164" s="16">
        <f t="shared" si="53"/>
        <v>30</v>
      </c>
      <c r="C164" s="64"/>
      <c r="D164" s="233" t="s">
        <v>522</v>
      </c>
      <c r="E164" s="16"/>
      <c r="F164" s="21">
        <f>SUM(F148:F149)</f>
        <v>3176923318.8099999</v>
      </c>
      <c r="G164" s="16"/>
      <c r="H164" s="16"/>
      <c r="I164" s="16"/>
      <c r="J164" s="805">
        <f t="shared" ref="J164:Q164" si="60">SUM(J148:J149)</f>
        <v>1745476637.5956655</v>
      </c>
      <c r="K164" s="805">
        <f t="shared" si="60"/>
        <v>32976709.22872375</v>
      </c>
      <c r="L164" s="805">
        <f t="shared" si="60"/>
        <v>1121127015.2865024</v>
      </c>
      <c r="M164" s="805">
        <f t="shared" si="60"/>
        <v>409010.54361051985</v>
      </c>
      <c r="N164" s="805">
        <f t="shared" si="60"/>
        <v>257098742.89956534</v>
      </c>
      <c r="O164" s="805">
        <f>SUM(O148:O149)</f>
        <v>0</v>
      </c>
      <c r="P164" s="805">
        <f t="shared" si="60"/>
        <v>0</v>
      </c>
      <c r="Q164" s="805">
        <f t="shared" si="60"/>
        <v>9970260.057325596</v>
      </c>
      <c r="R164" s="805">
        <f>SUM(R148:R149)</f>
        <v>0</v>
      </c>
      <c r="S164" s="805">
        <f>SUM(S148:S149)</f>
        <v>9864943.1986067984</v>
      </c>
      <c r="T164" s="16"/>
      <c r="U164" s="235">
        <f>SUM(I164:T164)</f>
        <v>3176923318.8099995</v>
      </c>
      <c r="V164" s="64"/>
      <c r="W164" s="1099" t="b">
        <f>' WP II-I-1.4'!$L$164=F164</f>
        <v>1</v>
      </c>
      <c r="X164" s="305">
        <f t="shared" si="55"/>
        <v>0</v>
      </c>
    </row>
    <row r="165" spans="1:24" ht="15" x14ac:dyDescent="0.25">
      <c r="A165" s="16">
        <f t="shared" si="53"/>
        <v>27</v>
      </c>
      <c r="B165" s="16">
        <f t="shared" si="53"/>
        <v>31</v>
      </c>
      <c r="C165" s="64"/>
      <c r="D165" s="233" t="s">
        <v>523</v>
      </c>
      <c r="E165" s="16"/>
      <c r="F165" s="21">
        <f>SUM(F150:F152)</f>
        <v>3167665925.5700002</v>
      </c>
      <c r="G165" s="16"/>
      <c r="H165" s="16"/>
      <c r="I165" s="16"/>
      <c r="J165" s="805">
        <f t="shared" ref="J165:Q165" si="61">SUM(J150:J152)</f>
        <v>1860479101.4478531</v>
      </c>
      <c r="K165" s="805">
        <f t="shared" si="61"/>
        <v>35149412.506072849</v>
      </c>
      <c r="L165" s="805">
        <f t="shared" si="61"/>
        <v>1194993583.4617126</v>
      </c>
      <c r="M165" s="805">
        <f t="shared" si="61"/>
        <v>57718.991363793466</v>
      </c>
      <c r="N165" s="805">
        <f t="shared" si="61"/>
        <v>36281412.185777441</v>
      </c>
      <c r="O165" s="805">
        <f>SUM(O150:O152)</f>
        <v>6069003.7273554644</v>
      </c>
      <c r="P165" s="805">
        <f t="shared" si="61"/>
        <v>22196892.568264917</v>
      </c>
      <c r="Q165" s="805">
        <f t="shared" si="61"/>
        <v>10627160.554956377</v>
      </c>
      <c r="R165" s="805">
        <f>SUM(R150:R152)</f>
        <v>419513.24830360548</v>
      </c>
      <c r="S165" s="805">
        <f>SUM(S150:S152)</f>
        <v>1392126.8783400967</v>
      </c>
      <c r="T165" s="16"/>
      <c r="U165" s="235">
        <f>SUM(I165:T165)</f>
        <v>3167665925.5700006</v>
      </c>
      <c r="V165" s="64"/>
      <c r="W165" s="1099" t="b">
        <f>' WP II-I-1.4'!$L$165=F165</f>
        <v>1</v>
      </c>
      <c r="X165" s="305">
        <f t="shared" si="55"/>
        <v>0</v>
      </c>
    </row>
    <row r="166" spans="1:24" ht="15" thickBot="1" x14ac:dyDescent="0.25">
      <c r="A166" s="16">
        <f t="shared" si="53"/>
        <v>28</v>
      </c>
      <c r="B166" s="16">
        <f t="shared" si="53"/>
        <v>32</v>
      </c>
      <c r="C166" s="64"/>
      <c r="D166" s="1"/>
      <c r="E166" s="16"/>
      <c r="F166" s="18"/>
      <c r="G166" s="16"/>
      <c r="H166" s="16"/>
      <c r="I166" s="1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6"/>
      <c r="U166" s="1"/>
      <c r="V166" s="64"/>
      <c r="W166" s="1099" t="b">
        <f>' WP II-I-1.4'!$L$166=F166</f>
        <v>1</v>
      </c>
      <c r="X166" s="305">
        <f t="shared" si="55"/>
        <v>0</v>
      </c>
    </row>
    <row r="167" spans="1:24" ht="15" x14ac:dyDescent="0.25">
      <c r="A167" s="16">
        <f t="shared" si="53"/>
        <v>29</v>
      </c>
      <c r="B167" s="16">
        <f t="shared" si="53"/>
        <v>33</v>
      </c>
      <c r="C167" s="239" t="s">
        <v>497</v>
      </c>
      <c r="D167" s="240"/>
      <c r="E167" s="241" t="s">
        <v>24</v>
      </c>
      <c r="F167" s="242">
        <f>F106+F121+F159</f>
        <v>21036152617.579998</v>
      </c>
      <c r="G167" s="241"/>
      <c r="H167" s="372"/>
      <c r="I167" s="769"/>
      <c r="J167" s="374">
        <f t="shared" ref="J167:Q167" ca="1" si="62">J106+J121+J159</f>
        <v>11269391153.622311</v>
      </c>
      <c r="K167" s="817">
        <f t="shared" ca="1" si="62"/>
        <v>428123524.75168681</v>
      </c>
      <c r="L167" s="817">
        <f t="shared" ca="1" si="62"/>
        <v>7076597836.6132193</v>
      </c>
      <c r="M167" s="817">
        <f t="shared" ca="1" si="62"/>
        <v>15265863.67879392</v>
      </c>
      <c r="N167" s="817">
        <f t="shared" ca="1" si="62"/>
        <v>1330035471.2811196</v>
      </c>
      <c r="O167" s="817">
        <f ca="1">O106+O121+O159</f>
        <v>136528436.56143638</v>
      </c>
      <c r="P167" s="817">
        <f t="shared" ca="1" si="62"/>
        <v>30107340.340042677</v>
      </c>
      <c r="Q167" s="817">
        <f t="shared" ca="1" si="62"/>
        <v>692483184.03994703</v>
      </c>
      <c r="R167" s="817">
        <f ca="1">R106+R121+R159</f>
        <v>9576307.0221430138</v>
      </c>
      <c r="S167" s="566">
        <f ca="1">S106+S121+S159</f>
        <v>48043499.66930037</v>
      </c>
      <c r="T167" s="372"/>
      <c r="U167" s="243">
        <f ca="1">SUM(I167:T167)</f>
        <v>21036152617.580002</v>
      </c>
      <c r="V167" s="64"/>
      <c r="W167" s="1099" t="b">
        <f>' WP II-I-1.4'!$L$167=F167</f>
        <v>1</v>
      </c>
      <c r="X167" s="305">
        <f t="shared" ca="1" si="55"/>
        <v>0</v>
      </c>
    </row>
    <row r="168" spans="1:24" ht="15.75" thickBot="1" x14ac:dyDescent="0.3">
      <c r="A168" s="16">
        <f t="shared" si="53"/>
        <v>30</v>
      </c>
      <c r="B168" s="16">
        <f t="shared" si="53"/>
        <v>34</v>
      </c>
      <c r="C168" s="245" t="s">
        <v>498</v>
      </c>
      <c r="D168" s="246"/>
      <c r="E168" s="247" t="s">
        <v>24</v>
      </c>
      <c r="F168" s="248">
        <f>F121+F159</f>
        <v>21027037147.579998</v>
      </c>
      <c r="G168" s="247"/>
      <c r="H168" s="375"/>
      <c r="I168" s="964"/>
      <c r="J168" s="377">
        <f t="shared" ref="J168:S168" ca="1" si="63">J121+J159</f>
        <v>11264433202.666222</v>
      </c>
      <c r="K168" s="248">
        <f t="shared" ca="1" si="63"/>
        <v>427964911.74720752</v>
      </c>
      <c r="L168" s="248">
        <f t="shared" ca="1" si="63"/>
        <v>7073462293.7689495</v>
      </c>
      <c r="M168" s="248">
        <f t="shared" ca="1" si="63"/>
        <v>15259381.543201707</v>
      </c>
      <c r="N168" s="248">
        <f t="shared" ca="1" si="63"/>
        <v>1329423794.7677701</v>
      </c>
      <c r="O168" s="248">
        <f t="shared" ca="1" si="63"/>
        <v>136460573.41441199</v>
      </c>
      <c r="P168" s="248">
        <f t="shared" ca="1" si="63"/>
        <v>30093185.365735143</v>
      </c>
      <c r="Q168" s="248">
        <f t="shared" ca="1" si="63"/>
        <v>692346964.21534014</v>
      </c>
      <c r="R168" s="248">
        <f t="shared" ca="1" si="63"/>
        <v>9571557.8540236875</v>
      </c>
      <c r="S168" s="378">
        <f t="shared" ca="1" si="63"/>
        <v>48021282.237138502</v>
      </c>
      <c r="T168" s="375"/>
      <c r="U168" s="249">
        <f ca="1">SUM(I168:T168)</f>
        <v>21027037147.579998</v>
      </c>
      <c r="V168" s="64"/>
      <c r="W168" s="1099" t="b">
        <f>' WP II-I-1.4'!$L$168=F168</f>
        <v>1</v>
      </c>
      <c r="X168" s="305">
        <f t="shared" ca="1" si="55"/>
        <v>0</v>
      </c>
    </row>
    <row r="169" spans="1:24" x14ac:dyDescent="0.2">
      <c r="A169" s="45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X169" s="305">
        <f t="shared" si="55"/>
        <v>0</v>
      </c>
    </row>
    <row r="170" spans="1:24" x14ac:dyDescent="0.2">
      <c r="A170" s="45"/>
      <c r="B170" s="64"/>
      <c r="C170" s="64"/>
      <c r="D170" s="64"/>
      <c r="E170" s="64"/>
      <c r="F170" s="64"/>
      <c r="G170" s="64"/>
      <c r="H170" s="105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105"/>
      <c r="V170" s="105"/>
      <c r="X170" s="305"/>
    </row>
    <row r="171" spans="1:24" ht="15" thickBot="1" x14ac:dyDescent="0.25">
      <c r="A171" s="45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105"/>
      <c r="X171" s="305">
        <f t="shared" si="55"/>
        <v>0</v>
      </c>
    </row>
    <row r="172" spans="1:24" ht="15" x14ac:dyDescent="0.25">
      <c r="A172" s="45"/>
      <c r="B172" s="829" t="str">
        <f>+$B$4</f>
        <v>2025 RATE CASE</v>
      </c>
      <c r="C172" s="844"/>
      <c r="D172" s="551"/>
      <c r="F172" s="11"/>
      <c r="U172" s="105"/>
      <c r="X172" s="305">
        <f t="shared" si="55"/>
        <v>0</v>
      </c>
    </row>
    <row r="173" spans="1:24" ht="15" x14ac:dyDescent="0.25">
      <c r="A173" s="229"/>
      <c r="B173" s="826" t="str">
        <f>+$B$5</f>
        <v>ONCOR ELECTRIC DELIVERY COMPANY LLC</v>
      </c>
      <c r="C173" s="8"/>
      <c r="D173" s="870"/>
      <c r="F173" s="11"/>
      <c r="U173" s="105"/>
      <c r="V173" s="64"/>
      <c r="X173" s="305">
        <f t="shared" si="55"/>
        <v>0</v>
      </c>
    </row>
    <row r="174" spans="1:24" ht="15" x14ac:dyDescent="0.25">
      <c r="A174" s="45"/>
      <c r="B174" s="826" t="str">
        <f>+$B$6</f>
        <v>II-I-1-TOT:  CLASS REVENUE REQUIREMENT</v>
      </c>
      <c r="C174" s="82"/>
      <c r="D174" s="870"/>
      <c r="F174" s="11"/>
      <c r="U174" s="11"/>
      <c r="V174" s="64"/>
      <c r="X174" s="305">
        <f t="shared" si="55"/>
        <v>0</v>
      </c>
    </row>
    <row r="175" spans="1:24" ht="15" x14ac:dyDescent="0.25">
      <c r="A175" s="45"/>
      <c r="B175" s="341" t="str">
        <f>+$B$7</f>
        <v>TEST YEAR ENDING 12/31/2024</v>
      </c>
      <c r="C175" s="82"/>
      <c r="D175" s="870"/>
      <c r="F175" s="11"/>
      <c r="U175" s="11"/>
      <c r="V175" s="64"/>
      <c r="X175" s="305">
        <f t="shared" si="55"/>
        <v>0</v>
      </c>
    </row>
    <row r="176" spans="1:24" ht="15" x14ac:dyDescent="0.25">
      <c r="A176" s="45"/>
      <c r="B176" s="341" t="str">
        <f>+$B$8</f>
        <v>SPONSOR:  MATTHEW A. TROXLE</v>
      </c>
      <c r="C176" s="82"/>
      <c r="D176" s="870"/>
      <c r="F176" s="11"/>
      <c r="U176" s="11"/>
      <c r="V176" s="64"/>
      <c r="X176" s="305">
        <f t="shared" si="55"/>
        <v>0</v>
      </c>
    </row>
    <row r="177" spans="1:24" ht="15.75" thickBot="1" x14ac:dyDescent="0.3">
      <c r="A177" s="45"/>
      <c r="B177" s="345"/>
      <c r="C177" s="843"/>
      <c r="D177" s="871"/>
      <c r="F177" s="11"/>
      <c r="U177" s="11"/>
      <c r="V177" s="64"/>
      <c r="X177" s="305">
        <f t="shared" si="55"/>
        <v>0</v>
      </c>
    </row>
    <row r="178" spans="1:24" ht="15" thickBot="1" x14ac:dyDescent="0.25">
      <c r="A178" s="45"/>
      <c r="B178" s="12"/>
      <c r="C178" s="13"/>
      <c r="D178" s="13"/>
      <c r="E178" s="13"/>
      <c r="F178" s="12"/>
      <c r="G178" s="13"/>
      <c r="H178" s="13"/>
      <c r="I178" s="13"/>
      <c r="J178" s="177"/>
      <c r="K178" s="177"/>
      <c r="L178" s="13"/>
      <c r="M178" s="177"/>
      <c r="N178" s="177"/>
      <c r="O178" s="177"/>
      <c r="P178" s="177"/>
      <c r="Q178" s="13"/>
      <c r="R178" s="328" t="str">
        <f>R$10</f>
        <v xml:space="preserve"> </v>
      </c>
      <c r="S178" s="329"/>
      <c r="T178" s="177"/>
      <c r="U178" s="12"/>
      <c r="V178" s="64"/>
      <c r="X178" s="305">
        <f t="shared" si="55"/>
        <v>0</v>
      </c>
    </row>
    <row r="179" spans="1:24" ht="15" x14ac:dyDescent="0.25">
      <c r="A179" s="45"/>
      <c r="B179" s="14" t="s">
        <v>2</v>
      </c>
      <c r="C179" s="14" t="s">
        <v>349</v>
      </c>
      <c r="D179" s="226" t="s">
        <v>499</v>
      </c>
      <c r="E179" s="14" t="s">
        <v>350</v>
      </c>
      <c r="F179" s="226" t="str">
        <f>F$11</f>
        <v>TOTAL</v>
      </c>
      <c r="G179" s="181" t="s">
        <v>688</v>
      </c>
      <c r="H179" s="181" t="s">
        <v>355</v>
      </c>
      <c r="I179" s="14"/>
      <c r="J179" s="181" t="s">
        <v>679</v>
      </c>
      <c r="K179" s="181" t="s">
        <v>388</v>
      </c>
      <c r="L179" s="14" t="s">
        <v>388</v>
      </c>
      <c r="M179" s="181" t="s">
        <v>389</v>
      </c>
      <c r="N179" s="181" t="s">
        <v>389</v>
      </c>
      <c r="O179" s="181" t="s">
        <v>389</v>
      </c>
      <c r="P179" s="181" t="s">
        <v>390</v>
      </c>
      <c r="Q179" s="14" t="s">
        <v>391</v>
      </c>
      <c r="R179" s="331" t="str">
        <f>R$11</f>
        <v>Wholesale</v>
      </c>
      <c r="S179" s="12" t="str">
        <f>S$11</f>
        <v>Wholesale</v>
      </c>
      <c r="T179" s="181"/>
      <c r="U179" s="14" t="s">
        <v>10</v>
      </c>
      <c r="V179" s="64"/>
      <c r="X179" s="305"/>
    </row>
    <row r="180" spans="1:24" x14ac:dyDescent="0.2">
      <c r="A180" s="45"/>
      <c r="B180" s="14"/>
      <c r="C180" s="14"/>
      <c r="D180" s="14"/>
      <c r="E180" s="14"/>
      <c r="F180" s="14" t="str">
        <f>F$12</f>
        <v>(Dist+Met+Cust)</v>
      </c>
      <c r="G180" s="181" t="s">
        <v>689</v>
      </c>
      <c r="H180" s="181" t="s">
        <v>690</v>
      </c>
      <c r="I180" s="14"/>
      <c r="J180" s="181"/>
      <c r="K180" s="181" t="s">
        <v>680</v>
      </c>
      <c r="L180" s="14" t="s">
        <v>681</v>
      </c>
      <c r="M180" s="181" t="s">
        <v>680</v>
      </c>
      <c r="N180" s="181" t="s">
        <v>681</v>
      </c>
      <c r="O180" s="181" t="s">
        <v>393</v>
      </c>
      <c r="P180" s="181"/>
      <c r="Q180" s="14"/>
      <c r="R180" s="174" t="str">
        <f>R$12</f>
        <v>XFMR</v>
      </c>
      <c r="S180" s="14" t="str">
        <f>S$12</f>
        <v>DLS</v>
      </c>
      <c r="T180" s="181"/>
      <c r="U180" s="14"/>
      <c r="V180" s="64"/>
      <c r="X180" s="305"/>
    </row>
    <row r="181" spans="1:24" ht="15" thickBot="1" x14ac:dyDescent="0.25">
      <c r="A181" s="45"/>
      <c r="B181" s="15"/>
      <c r="C181" s="15"/>
      <c r="D181" s="15"/>
      <c r="E181" s="15"/>
      <c r="F181" s="15" t="s">
        <v>13</v>
      </c>
      <c r="G181" s="15" t="s">
        <v>14</v>
      </c>
      <c r="H181" s="15" t="s">
        <v>15</v>
      </c>
      <c r="I181" s="15"/>
      <c r="J181" s="182" t="str">
        <f t="shared" ref="J181:Q181" si="64">J$13</f>
        <v>(d)</v>
      </c>
      <c r="K181" s="182" t="str">
        <f t="shared" si="64"/>
        <v>(e)</v>
      </c>
      <c r="L181" s="15" t="str">
        <f t="shared" si="64"/>
        <v>(f)</v>
      </c>
      <c r="M181" s="182" t="str">
        <f t="shared" si="64"/>
        <v>(g)</v>
      </c>
      <c r="N181" s="182" t="str">
        <f t="shared" si="64"/>
        <v>(h)</v>
      </c>
      <c r="O181" s="182" t="str">
        <f>O$13</f>
        <v>(i)</v>
      </c>
      <c r="P181" s="182" t="str">
        <f t="shared" si="64"/>
        <v>(j)</v>
      </c>
      <c r="Q181" s="182" t="str">
        <f t="shared" si="64"/>
        <v>(k)</v>
      </c>
      <c r="R181" s="182" t="str">
        <f>R$13</f>
        <v>(l)</v>
      </c>
      <c r="S181" s="15" t="str">
        <f>S$13</f>
        <v>(m)</v>
      </c>
      <c r="T181" s="15"/>
      <c r="U181" s="15" t="s">
        <v>683</v>
      </c>
      <c r="V181" s="64"/>
      <c r="X181" s="305"/>
    </row>
    <row r="182" spans="1:24" x14ac:dyDescent="0.2">
      <c r="A182" s="45"/>
      <c r="B182" s="64"/>
      <c r="C182" s="96"/>
      <c r="D182" s="96"/>
      <c r="E182" s="251"/>
      <c r="F182" s="96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1"/>
      <c r="V182" s="64"/>
      <c r="X182" s="305">
        <f t="shared" si="55"/>
        <v>0</v>
      </c>
    </row>
    <row r="183" spans="1:24" ht="15" x14ac:dyDescent="0.25">
      <c r="A183" s="45"/>
      <c r="B183" s="16">
        <f t="shared" ref="B183:B199" si="65">B182+1</f>
        <v>1</v>
      </c>
      <c r="C183" s="47" t="s">
        <v>499</v>
      </c>
      <c r="D183" s="47"/>
      <c r="E183" s="55" t="s">
        <v>86</v>
      </c>
      <c r="F183" s="47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47"/>
      <c r="V183" s="64"/>
      <c r="X183" s="305">
        <f t="shared" si="55"/>
        <v>0</v>
      </c>
    </row>
    <row r="184" spans="1:24" x14ac:dyDescent="0.2">
      <c r="A184" s="45"/>
      <c r="B184" s="16">
        <f t="shared" si="65"/>
        <v>2</v>
      </c>
      <c r="C184" s="11" t="s">
        <v>87</v>
      </c>
      <c r="D184" s="11" t="s">
        <v>38</v>
      </c>
      <c r="E184" s="10"/>
      <c r="F184" s="97">
        <f>' WP II-I-1.4'!L184</f>
        <v>31933461.720000006</v>
      </c>
      <c r="G184" s="10" t="s">
        <v>751</v>
      </c>
      <c r="H184" s="45" t="s">
        <v>303</v>
      </c>
      <c r="I184" s="10"/>
      <c r="J184" s="369">
        <f ca="1">'II-I-DIST'!J184+'II-I-MET'!J184+'II-I-TBILLTDCS'!J184</f>
        <v>17190240.478437036</v>
      </c>
      <c r="K184" s="369">
        <f ca="1">'II-I-DIST'!K184+'II-I-MET'!K184+'II-I-TBILLTDCS'!K184</f>
        <v>838983.14670517039</v>
      </c>
      <c r="L184" s="369">
        <f ca="1">'II-I-DIST'!L184+'II-I-MET'!L184+'II-I-TBILLTDCS'!L184</f>
        <v>10648639.556929611</v>
      </c>
      <c r="M184" s="369">
        <f ca="1">'II-I-DIST'!M184+'II-I-MET'!M184+'II-I-TBILLTDCS'!M184</f>
        <v>80843.333886854976</v>
      </c>
      <c r="N184" s="369">
        <f ca="1">'II-I-DIST'!N184+'II-I-MET'!N184+'II-I-TBILLTDCS'!N184</f>
        <v>2266941.6329497071</v>
      </c>
      <c r="O184" s="369">
        <f ca="1">'II-I-DIST'!O184+'II-I-MET'!O184+'II-I-TBILLTDCS'!O184</f>
        <v>214289.46364449631</v>
      </c>
      <c r="P184" s="369">
        <f ca="1">'II-I-DIST'!P184+'II-I-MET'!P184+'II-I-TBILLTDCS'!P184</f>
        <v>74038.397905853213</v>
      </c>
      <c r="Q184" s="369">
        <f ca="1">'II-I-DIST'!Q184+'II-I-MET'!Q184+'II-I-TBILLTDCS'!Q184</f>
        <v>534437.15222104534</v>
      </c>
      <c r="R184" s="369">
        <f ca="1">'II-I-DIST'!R184+'II-I-MET'!R184+'II-I-TBILLTDCS'!R184</f>
        <v>15628.494552889586</v>
      </c>
      <c r="S184" s="369">
        <f ca="1">'II-I-DIST'!S184+'II-I-MET'!S184+'II-I-TBILLTDCS'!S184</f>
        <v>69420.062767337615</v>
      </c>
      <c r="T184" s="10"/>
      <c r="U184" s="97">
        <f t="shared" ref="U184:U193" ca="1" si="66">SUM(I184:T184)</f>
        <v>31933461.719999999</v>
      </c>
      <c r="V184" s="64"/>
      <c r="X184" s="305">
        <f t="shared" ca="1" si="55"/>
        <v>0</v>
      </c>
    </row>
    <row r="185" spans="1:24" x14ac:dyDescent="0.2">
      <c r="A185" s="45"/>
      <c r="B185" s="16">
        <f t="shared" si="65"/>
        <v>3</v>
      </c>
      <c r="C185" s="11" t="s">
        <v>88</v>
      </c>
      <c r="D185" s="11" t="s">
        <v>40</v>
      </c>
      <c r="E185" s="10"/>
      <c r="F185" s="97">
        <f>' WP II-I-1.4'!L185</f>
        <v>82216.180000000008</v>
      </c>
      <c r="G185" s="10" t="s">
        <v>751</v>
      </c>
      <c r="H185" s="45" t="s">
        <v>303</v>
      </c>
      <c r="I185" s="10"/>
      <c r="J185" s="369">
        <f ca="1">'II-I-DIST'!J185+'II-I-MET'!J185+'II-I-TBILLTDCS'!J185</f>
        <v>44709.821449991403</v>
      </c>
      <c r="K185" s="369">
        <f ca="1">'II-I-DIST'!K185+'II-I-MET'!K185+'II-I-TBILLTDCS'!K185</f>
        <v>1449.9636808274654</v>
      </c>
      <c r="L185" s="369">
        <f ca="1">'II-I-DIST'!L185+'II-I-MET'!L185+'II-I-TBILLTDCS'!L185</f>
        <v>28261.032817331601</v>
      </c>
      <c r="M185" s="369">
        <f ca="1">'II-I-DIST'!M185+'II-I-MET'!M185+'II-I-TBILLTDCS'!M185</f>
        <v>62.426684860276765</v>
      </c>
      <c r="N185" s="369">
        <f ca="1">'II-I-DIST'!N185+'II-I-MET'!N185+'II-I-TBILLTDCS'!N185</f>
        <v>5526.0283904838734</v>
      </c>
      <c r="O185" s="369">
        <f ca="1">'II-I-DIST'!O185+'II-I-MET'!O185+'II-I-TBILLTDCS'!O185</f>
        <v>610.55908087934665</v>
      </c>
      <c r="P185" s="369">
        <f ca="1">'II-I-DIST'!P185+'II-I-MET'!P185+'II-I-TBILLTDCS'!P185</f>
        <v>129.34761672660082</v>
      </c>
      <c r="Q185" s="369">
        <f ca="1">'II-I-DIST'!Q185+'II-I-MET'!Q185+'II-I-TBILLTDCS'!Q185</f>
        <v>1224.3910381440717</v>
      </c>
      <c r="R185" s="369">
        <f ca="1">'II-I-DIST'!R185+'II-I-MET'!R185+'II-I-TBILLTDCS'!R185</f>
        <v>42.770885762012085</v>
      </c>
      <c r="S185" s="369">
        <f ca="1">'II-I-DIST'!S185+'II-I-MET'!S185+'II-I-TBILLTDCS'!S185</f>
        <v>199.8383549933526</v>
      </c>
      <c r="T185" s="10"/>
      <c r="U185" s="97">
        <f t="shared" ca="1" si="66"/>
        <v>82216.180000000008</v>
      </c>
      <c r="V185" s="64"/>
      <c r="X185" s="305">
        <f t="shared" ca="1" si="55"/>
        <v>0</v>
      </c>
    </row>
    <row r="186" spans="1:24" x14ac:dyDescent="0.2">
      <c r="A186" s="45"/>
      <c r="B186" s="16">
        <f t="shared" si="65"/>
        <v>4</v>
      </c>
      <c r="C186" s="11" t="s">
        <v>89</v>
      </c>
      <c r="D186" s="11" t="s">
        <v>42</v>
      </c>
      <c r="E186" s="10"/>
      <c r="F186" s="97">
        <f>' WP II-I-1.4'!L186</f>
        <v>262748728.29999986</v>
      </c>
      <c r="G186" s="10" t="s">
        <v>751</v>
      </c>
      <c r="H186" s="45" t="s">
        <v>303</v>
      </c>
      <c r="I186" s="10"/>
      <c r="J186" s="369">
        <f ca="1">'II-I-DIST'!J186+'II-I-MET'!J186+'II-I-TBILLTDCS'!J186</f>
        <v>141635681.31424373</v>
      </c>
      <c r="K186" s="369">
        <f ca="1">'II-I-DIST'!K186+'II-I-MET'!K186+'II-I-TBILLTDCS'!K186</f>
        <v>6678021.7818097575</v>
      </c>
      <c r="L186" s="369">
        <f ca="1">'II-I-DIST'!L186+'II-I-MET'!L186+'II-I-TBILLTDCS'!L186</f>
        <v>87924119.526389748</v>
      </c>
      <c r="M186" s="369">
        <f ca="1">'II-I-DIST'!M186+'II-I-MET'!M186+'II-I-TBILLTDCS'!M186</f>
        <v>618831.16326464422</v>
      </c>
      <c r="N186" s="369">
        <f ca="1">'II-I-DIST'!N186+'II-I-MET'!N186+'II-I-TBILLTDCS'!N186</f>
        <v>18561018.372577514</v>
      </c>
      <c r="O186" s="369">
        <f ca="1">'II-I-DIST'!O186+'II-I-MET'!O186+'II-I-TBILLTDCS'!O186</f>
        <v>1782756.4625299557</v>
      </c>
      <c r="P186" s="369">
        <f ca="1">'II-I-DIST'!P186+'II-I-MET'!P186+'II-I-TBILLTDCS'!P186</f>
        <v>589842.69557027216</v>
      </c>
      <c r="Q186" s="369">
        <f ca="1">'II-I-DIST'!Q186+'II-I-MET'!Q186+'II-I-TBILLTDCS'!Q186</f>
        <v>4250813.6118437694</v>
      </c>
      <c r="R186" s="369">
        <f ca="1">'II-I-DIST'!R186+'II-I-MET'!R186+'II-I-TBILLTDCS'!R186</f>
        <v>129456.87282621794</v>
      </c>
      <c r="S186" s="369">
        <f ca="1">'II-I-DIST'!S186+'II-I-MET'!S186+'II-I-TBILLTDCS'!S186</f>
        <v>578186.4989442185</v>
      </c>
      <c r="T186" s="10"/>
      <c r="U186" s="97">
        <f t="shared" ca="1" si="66"/>
        <v>262748728.2999998</v>
      </c>
      <c r="V186" s="64"/>
      <c r="X186" s="305">
        <f t="shared" ca="1" si="55"/>
        <v>0</v>
      </c>
    </row>
    <row r="187" spans="1:24" x14ac:dyDescent="0.2">
      <c r="A187" s="45"/>
      <c r="B187" s="16">
        <f t="shared" si="65"/>
        <v>5</v>
      </c>
      <c r="C187" s="11" t="s">
        <v>90</v>
      </c>
      <c r="D187" s="11" t="s">
        <v>91</v>
      </c>
      <c r="E187" s="10"/>
      <c r="F187" s="97">
        <f>' WP II-I-1.4'!L187</f>
        <v>15859625.840000007</v>
      </c>
      <c r="G187" s="10" t="s">
        <v>751</v>
      </c>
      <c r="H187" s="45" t="s">
        <v>303</v>
      </c>
      <c r="I187" s="10"/>
      <c r="J187" s="369">
        <f ca="1">'II-I-DIST'!J187+'II-I-MET'!J187+'II-I-TBILLTDCS'!J187</f>
        <v>8559173.5816071648</v>
      </c>
      <c r="K187" s="369">
        <f ca="1">'II-I-DIST'!K187+'II-I-MET'!K187+'II-I-TBILLTDCS'!K187</f>
        <v>379611.09801653004</v>
      </c>
      <c r="L187" s="369">
        <f ca="1">'II-I-DIST'!L187+'II-I-MET'!L187+'II-I-TBILLTDCS'!L187</f>
        <v>5331278.4684248893</v>
      </c>
      <c r="M187" s="369">
        <f ca="1">'II-I-DIST'!M187+'II-I-MET'!M187+'II-I-TBILLTDCS'!M187</f>
        <v>32549.780087704195</v>
      </c>
      <c r="N187" s="369">
        <f ca="1">'II-I-DIST'!N187+'II-I-MET'!N187+'II-I-TBILLTDCS'!N187</f>
        <v>1109404.0422230668</v>
      </c>
      <c r="O187" s="369">
        <f ca="1">'II-I-DIST'!O187+'II-I-MET'!O187+'II-I-TBILLTDCS'!O187</f>
        <v>109464.05157832883</v>
      </c>
      <c r="P187" s="369">
        <f ca="1">'II-I-DIST'!P187+'II-I-MET'!P187+'II-I-TBILLTDCS'!P187</f>
        <v>33569.514414734891</v>
      </c>
      <c r="Q187" s="369">
        <f ca="1">'II-I-DIST'!Q187+'II-I-MET'!Q187+'II-I-TBILLTDCS'!Q187</f>
        <v>261115.58333406522</v>
      </c>
      <c r="R187" s="369">
        <f ca="1">'II-I-DIST'!R187+'II-I-MET'!R187+'II-I-TBILLTDCS'!R187</f>
        <v>7891.8079614787966</v>
      </c>
      <c r="S187" s="369">
        <f ca="1">'II-I-DIST'!S187+'II-I-MET'!S187+'II-I-TBILLTDCS'!S187</f>
        <v>35567.912352042607</v>
      </c>
      <c r="T187" s="10"/>
      <c r="U187" s="97">
        <f t="shared" ca="1" si="66"/>
        <v>15859625.840000004</v>
      </c>
      <c r="V187" s="64"/>
      <c r="X187" s="305">
        <f t="shared" ca="1" si="55"/>
        <v>0</v>
      </c>
    </row>
    <row r="188" spans="1:24" x14ac:dyDescent="0.2">
      <c r="A188" s="45"/>
      <c r="B188" s="16">
        <f t="shared" si="65"/>
        <v>6</v>
      </c>
      <c r="C188" s="11" t="s">
        <v>92</v>
      </c>
      <c r="D188" s="11" t="s">
        <v>94</v>
      </c>
      <c r="E188" s="10"/>
      <c r="F188" s="97">
        <f>' WP II-I-1.4'!L188</f>
        <v>10180663.920000006</v>
      </c>
      <c r="G188" s="10" t="s">
        <v>751</v>
      </c>
      <c r="H188" s="45" t="s">
        <v>303</v>
      </c>
      <c r="I188" s="10"/>
      <c r="J188" s="369">
        <f ca="1">'II-I-DIST'!J188+'II-I-MET'!J188+'II-I-TBILLTDCS'!J188</f>
        <v>5554389.5094696097</v>
      </c>
      <c r="K188" s="369">
        <f ca="1">'II-I-DIST'!K188+'II-I-MET'!K188+'II-I-TBILLTDCS'!K188</f>
        <v>147030.01140431725</v>
      </c>
      <c r="L188" s="369">
        <f ca="1">'II-I-DIST'!L188+'II-I-MET'!L188+'II-I-TBILLTDCS'!L188</f>
        <v>3536189.3552893372</v>
      </c>
      <c r="M188" s="369">
        <f ca="1">'II-I-DIST'!M188+'II-I-MET'!M188+'II-I-TBILLTDCS'!M188</f>
        <v>1065.4041233570549</v>
      </c>
      <c r="N188" s="369">
        <f ca="1">'II-I-DIST'!N188+'II-I-MET'!N188+'II-I-TBILLTDCS'!N188</f>
        <v>669699.26588481036</v>
      </c>
      <c r="O188" s="369">
        <f ca="1">'II-I-DIST'!O188+'II-I-MET'!O188+'II-I-TBILLTDCS'!O188</f>
        <v>78251.626108206605</v>
      </c>
      <c r="P188" s="369">
        <f ca="1">'II-I-DIST'!P188+'II-I-MET'!P188+'II-I-TBILLTDCS'!P188</f>
        <v>13206.95257405524</v>
      </c>
      <c r="Q188" s="369">
        <f ca="1">'II-I-DIST'!Q188+'II-I-MET'!Q188+'II-I-TBILLTDCS'!Q188</f>
        <v>149726.2083619519</v>
      </c>
      <c r="R188" s="369">
        <f ca="1">'II-I-DIST'!R188+'II-I-MET'!R188+'II-I-TBILLTDCS'!R188</f>
        <v>5409.0581137272475</v>
      </c>
      <c r="S188" s="369">
        <f ca="1">'II-I-DIST'!S188+'II-I-MET'!S188+'II-I-TBILLTDCS'!S188</f>
        <v>25696.528670632772</v>
      </c>
      <c r="T188" s="10"/>
      <c r="U188" s="97">
        <f t="shared" ca="1" si="66"/>
        <v>10180663.920000006</v>
      </c>
      <c r="V188" s="64"/>
      <c r="X188" s="305">
        <f t="shared" ca="1" si="55"/>
        <v>0</v>
      </c>
    </row>
    <row r="189" spans="1:24" x14ac:dyDescent="0.2">
      <c r="A189" s="45"/>
      <c r="B189" s="16">
        <f t="shared" si="65"/>
        <v>7</v>
      </c>
      <c r="C189" s="11" t="s">
        <v>95</v>
      </c>
      <c r="D189" s="11" t="s">
        <v>500</v>
      </c>
      <c r="E189" s="10"/>
      <c r="F189" s="97">
        <f>' WP II-I-1.4'!L189</f>
        <v>6467002.2899999935</v>
      </c>
      <c r="G189" s="10" t="s">
        <v>751</v>
      </c>
      <c r="H189" s="45" t="s">
        <v>303</v>
      </c>
      <c r="I189" s="10"/>
      <c r="J189" s="369">
        <f ca="1">'II-I-DIST'!J189+'II-I-MET'!J189+'II-I-TBILLTDCS'!J189</f>
        <v>3517244.5645597065</v>
      </c>
      <c r="K189" s="369">
        <f ca="1">'II-I-DIST'!K189+'II-I-MET'!K189+'II-I-TBILLTDCS'!K189</f>
        <v>120964.33266601615</v>
      </c>
      <c r="L189" s="369">
        <f ca="1">'II-I-DIST'!L189+'II-I-MET'!L189+'II-I-TBILLTDCS'!L189</f>
        <v>2218451.0770825939</v>
      </c>
      <c r="M189" s="369">
        <f ca="1">'II-I-DIST'!M189+'II-I-MET'!M189+'II-I-TBILLTDCS'!M189</f>
        <v>6314.7003097779634</v>
      </c>
      <c r="N189" s="369">
        <f ca="1">'II-I-DIST'!N189+'II-I-MET'!N189+'II-I-TBILLTDCS'!N189</f>
        <v>438357.70793659345</v>
      </c>
      <c r="O189" s="369">
        <f ca="1">'II-I-DIST'!O189+'II-I-MET'!O189+'II-I-TBILLTDCS'!O189</f>
        <v>47540.229213525621</v>
      </c>
      <c r="P189" s="369">
        <f ca="1">'II-I-DIST'!P189+'II-I-MET'!P189+'II-I-TBILLTDCS'!P189</f>
        <v>10778.40333423407</v>
      </c>
      <c r="Q189" s="369">
        <f ca="1">'II-I-DIST'!Q189+'II-I-MET'!Q189+'II-I-TBILLTDCS'!Q189</f>
        <v>88463.370787290958</v>
      </c>
      <c r="R189" s="369">
        <f ca="1">'II-I-DIST'!R189+'II-I-MET'!R189+'II-I-TBILLTDCS'!R189</f>
        <v>3345.5200089323016</v>
      </c>
      <c r="S189" s="369">
        <f ca="1">'II-I-DIST'!S189+'II-I-MET'!S189+'II-I-TBILLTDCS'!S189</f>
        <v>15542.384101321613</v>
      </c>
      <c r="T189" s="10"/>
      <c r="U189" s="97">
        <f t="shared" ca="1" si="66"/>
        <v>6467002.2899999917</v>
      </c>
      <c r="V189" s="64"/>
      <c r="X189" s="305">
        <f t="shared" ca="1" si="55"/>
        <v>0</v>
      </c>
    </row>
    <row r="190" spans="1:24" x14ac:dyDescent="0.2">
      <c r="A190" s="45"/>
      <c r="B190" s="16">
        <f t="shared" si="65"/>
        <v>8</v>
      </c>
      <c r="C190" s="11" t="s">
        <v>97</v>
      </c>
      <c r="D190" s="11" t="s">
        <v>501</v>
      </c>
      <c r="E190" s="10"/>
      <c r="F190" s="97">
        <f>' WP II-I-1.4'!L190</f>
        <v>23584812.91000006</v>
      </c>
      <c r="G190" s="10" t="s">
        <v>751</v>
      </c>
      <c r="H190" s="45" t="s">
        <v>303</v>
      </c>
      <c r="I190" s="10"/>
      <c r="J190" s="369">
        <f ca="1">'II-I-DIST'!J190+'II-I-MET'!J190+'II-I-TBILLTDCS'!J190</f>
        <v>12825208.1024072</v>
      </c>
      <c r="K190" s="369">
        <f ca="1">'II-I-DIST'!K190+'II-I-MET'!K190+'II-I-TBILLTDCS'!K190</f>
        <v>446134.61912315054</v>
      </c>
      <c r="L190" s="369">
        <f ca="1">'II-I-DIST'!L190+'II-I-MET'!L190+'II-I-TBILLTDCS'!L190</f>
        <v>8085542.854403533</v>
      </c>
      <c r="M190" s="369">
        <f ca="1">'II-I-DIST'!M190+'II-I-MET'!M190+'II-I-TBILLTDCS'!M190</f>
        <v>24048.706499107469</v>
      </c>
      <c r="N190" s="369">
        <f ca="1">'II-I-DIST'!N190+'II-I-MET'!N190+'II-I-TBILLTDCS'!N190</f>
        <v>1601008.3125725843</v>
      </c>
      <c r="O190" s="369">
        <f ca="1">'II-I-DIST'!O190+'II-I-MET'!O190+'II-I-TBILLTDCS'!O190</f>
        <v>172984.87785369501</v>
      </c>
      <c r="P190" s="369">
        <f ca="1">'II-I-DIST'!P190+'II-I-MET'!P190+'II-I-TBILLTDCS'!P190</f>
        <v>39740.19652920607</v>
      </c>
      <c r="Q190" s="369">
        <f ca="1">'II-I-DIST'!Q190+'II-I-MET'!Q190+'II-I-TBILLTDCS'!Q190</f>
        <v>321419.55626828305</v>
      </c>
      <c r="R190" s="369">
        <f ca="1">'II-I-DIST'!R190+'II-I-MET'!R190+'II-I-TBILLTDCS'!R190</f>
        <v>12184.581185810322</v>
      </c>
      <c r="S190" s="369">
        <f ca="1">'II-I-DIST'!S190+'II-I-MET'!S190+'II-I-TBILLTDCS'!S190</f>
        <v>56541.103157486868</v>
      </c>
      <c r="T190" s="10"/>
      <c r="U190" s="97">
        <f t="shared" ca="1" si="66"/>
        <v>23584812.910000052</v>
      </c>
      <c r="V190" s="64"/>
      <c r="X190" s="305">
        <f t="shared" ca="1" si="55"/>
        <v>0</v>
      </c>
    </row>
    <row r="191" spans="1:24" x14ac:dyDescent="0.2">
      <c r="A191" s="45"/>
      <c r="B191" s="16">
        <f t="shared" si="65"/>
        <v>9</v>
      </c>
      <c r="C191" s="11" t="s">
        <v>99</v>
      </c>
      <c r="D191" s="11" t="s">
        <v>100</v>
      </c>
      <c r="E191" s="10"/>
      <c r="F191" s="97">
        <f>' WP II-I-1.4'!L191</f>
        <v>25824378.739999954</v>
      </c>
      <c r="G191" s="10" t="s">
        <v>751</v>
      </c>
      <c r="H191" s="45" t="s">
        <v>303</v>
      </c>
      <c r="I191" s="10"/>
      <c r="J191" s="369">
        <f ca="1">'II-I-DIST'!J191+'II-I-MET'!J191+'II-I-TBILLTDCS'!J191</f>
        <v>14019379.743418988</v>
      </c>
      <c r="K191" s="369">
        <f ca="1">'II-I-DIST'!K191+'II-I-MET'!K191+'II-I-TBILLTDCS'!K191</f>
        <v>547654.25006228173</v>
      </c>
      <c r="L191" s="369">
        <f ca="1">'II-I-DIST'!L191+'II-I-MET'!L191+'II-I-TBILLTDCS'!L191</f>
        <v>8793628.8748850562</v>
      </c>
      <c r="M191" s="369">
        <f ca="1">'II-I-DIST'!M191+'II-I-MET'!M191+'II-I-TBILLTDCS'!M191</f>
        <v>38430.520802026185</v>
      </c>
      <c r="N191" s="369">
        <f ca="1">'II-I-DIST'!N191+'II-I-MET'!N191+'II-I-TBILLTDCS'!N191</f>
        <v>1780822.7612719403</v>
      </c>
      <c r="O191" s="369">
        <f ca="1">'II-I-DIST'!O191+'II-I-MET'!O191+'II-I-TBILLTDCS'!O191</f>
        <v>184760.91594438453</v>
      </c>
      <c r="P191" s="369">
        <f ca="1">'II-I-DIST'!P191+'II-I-MET'!P191+'II-I-TBILLTDCS'!P191</f>
        <v>48640.363756381063</v>
      </c>
      <c r="Q191" s="369">
        <f ca="1">'II-I-DIST'!Q191+'II-I-MET'!Q191+'II-I-TBILLTDCS'!Q191</f>
        <v>337678.85689469619</v>
      </c>
      <c r="R191" s="369">
        <f ca="1">'II-I-DIST'!R191+'II-I-MET'!R191+'II-I-TBILLTDCS'!R191</f>
        <v>13147.524980874899</v>
      </c>
      <c r="S191" s="369">
        <f ca="1">'II-I-DIST'!S191+'II-I-MET'!S191+'II-I-TBILLTDCS'!S191</f>
        <v>60234.927983323607</v>
      </c>
      <c r="T191" s="10"/>
      <c r="U191" s="97">
        <f t="shared" ca="1" si="66"/>
        <v>25824378.739999954</v>
      </c>
      <c r="V191" s="64"/>
      <c r="X191" s="305">
        <f t="shared" ca="1" si="55"/>
        <v>0</v>
      </c>
    </row>
    <row r="192" spans="1:24" x14ac:dyDescent="0.2">
      <c r="A192" s="45"/>
      <c r="B192" s="16">
        <f t="shared" si="65"/>
        <v>10</v>
      </c>
      <c r="C192" s="11" t="s">
        <v>101</v>
      </c>
      <c r="D192" s="11" t="s">
        <v>102</v>
      </c>
      <c r="E192" s="10"/>
      <c r="F192" s="97">
        <f>' WP II-I-1.4'!L192</f>
        <v>9069751.860000005</v>
      </c>
      <c r="G192" s="10" t="s">
        <v>751</v>
      </c>
      <c r="H192" s="45" t="s">
        <v>303</v>
      </c>
      <c r="I192" s="10"/>
      <c r="J192" s="370">
        <f ca="1">'II-I-DIST'!J192+'II-I-MET'!J192+'II-I-TBILLTDCS'!J192</f>
        <v>4926868.9796920102</v>
      </c>
      <c r="K192" s="370">
        <f ca="1">'II-I-DIST'!K192+'II-I-MET'!K192+'II-I-TBILLTDCS'!K192</f>
        <v>184503.44577913004</v>
      </c>
      <c r="L192" s="370">
        <f ca="1">'II-I-DIST'!L192+'II-I-MET'!L192+'II-I-TBILLTDCS'!L192</f>
        <v>3096310.6188199464</v>
      </c>
      <c r="M192" s="370">
        <f ca="1">'II-I-DIST'!M192+'II-I-MET'!M192+'II-I-TBILLTDCS'!M192</f>
        <v>11894.234510825279</v>
      </c>
      <c r="N192" s="370">
        <f ca="1">'II-I-DIST'!N192+'II-I-MET'!N192+'II-I-TBILLTDCS'!N192</f>
        <v>621759.41812012903</v>
      </c>
      <c r="O192" s="370">
        <f ca="1">'II-I-DIST'!O192+'II-I-MET'!O192+'II-I-TBILLTDCS'!O192</f>
        <v>65505.798012136445</v>
      </c>
      <c r="P192" s="370">
        <f ca="1">'II-I-DIST'!P192+'II-I-MET'!P192+'II-I-TBILLTDCS'!P192</f>
        <v>16403.709555171354</v>
      </c>
      <c r="Q192" s="370">
        <f ca="1">'II-I-DIST'!Q192+'II-I-MET'!Q192+'II-I-TBILLTDCS'!Q192</f>
        <v>120485.42054889812</v>
      </c>
      <c r="R192" s="370">
        <f ca="1">'II-I-DIST'!R192+'II-I-MET'!R192+'II-I-TBILLTDCS'!R192</f>
        <v>4643.2417149512339</v>
      </c>
      <c r="S192" s="370">
        <f ca="1">'II-I-DIST'!S192+'II-I-MET'!S192+'II-I-TBILLTDCS'!S192</f>
        <v>21376.993246805498</v>
      </c>
      <c r="T192" s="10"/>
      <c r="U192" s="97">
        <f t="shared" ca="1" si="66"/>
        <v>9069751.8600000013</v>
      </c>
      <c r="V192" s="64"/>
      <c r="X192" s="305">
        <f t="shared" ca="1" si="55"/>
        <v>0</v>
      </c>
    </row>
    <row r="193" spans="1:24" ht="15" x14ac:dyDescent="0.25">
      <c r="A193" s="45"/>
      <c r="B193" s="16">
        <f t="shared" si="65"/>
        <v>11</v>
      </c>
      <c r="C193" s="1"/>
      <c r="D193" s="233" t="s">
        <v>444</v>
      </c>
      <c r="E193" s="19"/>
      <c r="F193" s="20">
        <f>SUM(F184:F192)</f>
        <v>385750641.75999999</v>
      </c>
      <c r="G193" s="19"/>
      <c r="H193" s="19"/>
      <c r="I193" s="912"/>
      <c r="J193" s="804">
        <f t="shared" ref="J193:Q193" ca="1" si="67">SUM(J184:J192)</f>
        <v>208272896.09528542</v>
      </c>
      <c r="K193" s="804">
        <f t="shared" ca="1" si="67"/>
        <v>9344352.6492471807</v>
      </c>
      <c r="L193" s="804">
        <f t="shared" ca="1" si="67"/>
        <v>129662421.36504203</v>
      </c>
      <c r="M193" s="804">
        <f t="shared" ca="1" si="67"/>
        <v>814040.27016915753</v>
      </c>
      <c r="N193" s="804">
        <f t="shared" ca="1" si="67"/>
        <v>27054537.541926824</v>
      </c>
      <c r="O193" s="804">
        <f ca="1">SUM(O184:O192)</f>
        <v>2656163.9839656083</v>
      </c>
      <c r="P193" s="804">
        <f t="shared" ca="1" si="67"/>
        <v>826349.58125663479</v>
      </c>
      <c r="Q193" s="804">
        <f t="shared" ca="1" si="67"/>
        <v>6065364.1512981439</v>
      </c>
      <c r="R193" s="804">
        <f ca="1">SUM(R184:R192)</f>
        <v>191749.87223064437</v>
      </c>
      <c r="S193" s="804">
        <f ca="1">SUM(S184:S192)</f>
        <v>862766.24957816233</v>
      </c>
      <c r="T193" s="903"/>
      <c r="U193" s="235">
        <f t="shared" ca="1" si="66"/>
        <v>385750641.75999981</v>
      </c>
      <c r="V193" s="64"/>
      <c r="W193" s="1099" t="b">
        <f>' WP II-I-1.4'!$L$193=F193</f>
        <v>1</v>
      </c>
      <c r="X193" s="305">
        <f t="shared" ca="1" si="55"/>
        <v>0</v>
      </c>
    </row>
    <row r="194" spans="1:24" ht="15" x14ac:dyDescent="0.25">
      <c r="A194" s="45"/>
      <c r="B194" s="16">
        <f t="shared" si="65"/>
        <v>12</v>
      </c>
      <c r="C194" s="8"/>
      <c r="D194" s="233" t="s">
        <v>0</v>
      </c>
      <c r="E194" s="19"/>
      <c r="F194" s="17"/>
      <c r="G194" s="19"/>
      <c r="H194" s="19"/>
      <c r="I194" s="912"/>
      <c r="J194" s="961"/>
      <c r="K194" s="961"/>
      <c r="L194" s="961"/>
      <c r="M194" s="961"/>
      <c r="N194" s="961"/>
      <c r="O194" s="961"/>
      <c r="P194" s="961"/>
      <c r="Q194" s="961"/>
      <c r="R194" s="961"/>
      <c r="S194" s="961"/>
      <c r="T194" s="903"/>
      <c r="U194" s="98"/>
      <c r="V194" s="64"/>
      <c r="X194" s="305">
        <f t="shared" si="55"/>
        <v>0</v>
      </c>
    </row>
    <row r="195" spans="1:24" x14ac:dyDescent="0.2">
      <c r="A195" s="45"/>
      <c r="B195" s="16">
        <f t="shared" si="65"/>
        <v>13</v>
      </c>
      <c r="C195" s="1" t="s">
        <v>105</v>
      </c>
      <c r="D195" s="1" t="s">
        <v>502</v>
      </c>
      <c r="E195" s="16"/>
      <c r="F195" s="97">
        <f>' WP II-I-1.4'!L195</f>
        <v>11160406.970000021</v>
      </c>
      <c r="G195" s="10" t="s">
        <v>751</v>
      </c>
      <c r="H195" s="45" t="s">
        <v>303</v>
      </c>
      <c r="I195" s="16"/>
      <c r="J195" s="369">
        <f ca="1">'II-I-DIST'!J195+'II-I-MET'!J195+'II-I-TBILLTDCS'!J195</f>
        <v>6053109.6951218098</v>
      </c>
      <c r="K195" s="369">
        <f ca="1">'II-I-DIST'!K195+'II-I-MET'!K195+'II-I-TBILLTDCS'!K195</f>
        <v>250622.79803502443</v>
      </c>
      <c r="L195" s="369">
        <f ca="1">'II-I-DIST'!L195+'II-I-MET'!L195+'II-I-TBILLTDCS'!L195</f>
        <v>3786229.5100995493</v>
      </c>
      <c r="M195" s="369">
        <f ca="1">'II-I-DIST'!M195+'II-I-MET'!M195+'II-I-TBILLTDCS'!M195</f>
        <v>19460.408271393797</v>
      </c>
      <c r="N195" s="369">
        <f ca="1">'II-I-DIST'!N195+'II-I-MET'!N195+'II-I-TBILLTDCS'!N195</f>
        <v>776160.59148727579</v>
      </c>
      <c r="O195" s="369">
        <f ca="1">'II-I-DIST'!O195+'II-I-MET'!O195+'II-I-TBILLTDCS'!O195</f>
        <v>78751.040753835317</v>
      </c>
      <c r="P195" s="369">
        <f ca="1">'II-I-DIST'!P195+'II-I-MET'!P195+'II-I-TBILLTDCS'!P195</f>
        <v>22229.228832792454</v>
      </c>
      <c r="Q195" s="369">
        <f ca="1">'II-I-DIST'!Q195+'II-I-MET'!Q195+'II-I-TBILLTDCS'!Q195</f>
        <v>142570.99843881716</v>
      </c>
      <c r="R195" s="369">
        <f ca="1">'II-I-DIST'!R195+'II-I-MET'!R195+'II-I-TBILLTDCS'!R195</f>
        <v>5636.1546826042577</v>
      </c>
      <c r="S195" s="369">
        <f ca="1">'II-I-DIST'!S195+'II-I-MET'!S195+'II-I-TBILLTDCS'!S195</f>
        <v>25636.544276917721</v>
      </c>
      <c r="T195" s="16"/>
      <c r="U195" s="97">
        <f ca="1">SUM(I195:T195)</f>
        <v>11160406.970000021</v>
      </c>
      <c r="V195" s="64"/>
      <c r="X195" s="305">
        <f t="shared" ca="1" si="55"/>
        <v>0</v>
      </c>
    </row>
    <row r="196" spans="1:24" x14ac:dyDescent="0.2">
      <c r="A196" s="45"/>
      <c r="B196" s="16">
        <f t="shared" si="65"/>
        <v>14</v>
      </c>
      <c r="C196" s="1" t="s">
        <v>107</v>
      </c>
      <c r="D196" s="1" t="s">
        <v>503</v>
      </c>
      <c r="E196" s="16"/>
      <c r="F196" s="97">
        <f>' WP II-I-1.4'!L196</f>
        <v>0</v>
      </c>
      <c r="G196" s="10" t="s">
        <v>751</v>
      </c>
      <c r="H196" s="45" t="s">
        <v>303</v>
      </c>
      <c r="I196" s="16"/>
      <c r="J196" s="370">
        <f ca="1">'II-I-DIST'!J196+'II-I-MET'!J196+'II-I-TBILLTDCS'!J196</f>
        <v>0</v>
      </c>
      <c r="K196" s="370">
        <f ca="1">'II-I-DIST'!K196+'II-I-MET'!K196+'II-I-TBILLTDCS'!K196</f>
        <v>0</v>
      </c>
      <c r="L196" s="370">
        <f ca="1">'II-I-DIST'!L196+'II-I-MET'!L196+'II-I-TBILLTDCS'!L196</f>
        <v>0</v>
      </c>
      <c r="M196" s="370">
        <f ca="1">'II-I-DIST'!M196+'II-I-MET'!M196+'II-I-TBILLTDCS'!M196</f>
        <v>0</v>
      </c>
      <c r="N196" s="370">
        <f ca="1">'II-I-DIST'!N196+'II-I-MET'!N196+'II-I-TBILLTDCS'!N196</f>
        <v>0</v>
      </c>
      <c r="O196" s="370">
        <f ca="1">'II-I-DIST'!O196+'II-I-MET'!O196+'II-I-TBILLTDCS'!O196</f>
        <v>0</v>
      </c>
      <c r="P196" s="370">
        <f ca="1">'II-I-DIST'!P196+'II-I-MET'!P196+'II-I-TBILLTDCS'!P196</f>
        <v>0</v>
      </c>
      <c r="Q196" s="370">
        <f ca="1">'II-I-DIST'!Q196+'II-I-MET'!Q196+'II-I-TBILLTDCS'!Q196</f>
        <v>0</v>
      </c>
      <c r="R196" s="370">
        <f ca="1">'II-I-DIST'!R196+'II-I-MET'!R196+'II-I-TBILLTDCS'!R196</f>
        <v>0</v>
      </c>
      <c r="S196" s="370">
        <f ca="1">'II-I-DIST'!S196+'II-I-MET'!S196+'II-I-TBILLTDCS'!S196</f>
        <v>0</v>
      </c>
      <c r="T196" s="16"/>
      <c r="U196" s="97">
        <f ca="1">SUM(I196:T196)</f>
        <v>0</v>
      </c>
      <c r="V196" s="64"/>
      <c r="X196" s="305">
        <f t="shared" ca="1" si="55"/>
        <v>0</v>
      </c>
    </row>
    <row r="197" spans="1:24" ht="15" x14ac:dyDescent="0.25">
      <c r="A197" s="45"/>
      <c r="B197" s="16">
        <f t="shared" si="65"/>
        <v>15</v>
      </c>
      <c r="C197" s="8"/>
      <c r="D197" s="233" t="s">
        <v>444</v>
      </c>
      <c r="E197" s="19"/>
      <c r="F197" s="20">
        <f>+F196+F195</f>
        <v>11160406.970000021</v>
      </c>
      <c r="G197" s="19"/>
      <c r="H197" s="19"/>
      <c r="I197" s="912"/>
      <c r="J197" s="804">
        <f t="shared" ref="J197:Q197" ca="1" si="68">+J196+J195</f>
        <v>6053109.6951218098</v>
      </c>
      <c r="K197" s="804">
        <f t="shared" ca="1" si="68"/>
        <v>250622.79803502443</v>
      </c>
      <c r="L197" s="804">
        <f t="shared" ca="1" si="68"/>
        <v>3786229.5100995493</v>
      </c>
      <c r="M197" s="804">
        <f t="shared" ca="1" si="68"/>
        <v>19460.408271393797</v>
      </c>
      <c r="N197" s="804">
        <f t="shared" ca="1" si="68"/>
        <v>776160.59148727579</v>
      </c>
      <c r="O197" s="804">
        <f ca="1">+O196+O195</f>
        <v>78751.040753835317</v>
      </c>
      <c r="P197" s="804">
        <f t="shared" ca="1" si="68"/>
        <v>22229.228832792454</v>
      </c>
      <c r="Q197" s="804">
        <f t="shared" ca="1" si="68"/>
        <v>142570.99843881716</v>
      </c>
      <c r="R197" s="804">
        <f ca="1">+R196+R195</f>
        <v>5636.1546826042577</v>
      </c>
      <c r="S197" s="804">
        <f ca="1">+S196+S195</f>
        <v>25636.544276917721</v>
      </c>
      <c r="T197" s="19"/>
      <c r="U197" s="20">
        <f ca="1">SUM(I197:T197)</f>
        <v>11160406.970000021</v>
      </c>
      <c r="V197" s="64"/>
      <c r="W197" s="1099" t="b">
        <f>' WP II-I-1.4'!$L$197=F197</f>
        <v>1</v>
      </c>
      <c r="X197" s="305">
        <f t="shared" ca="1" si="55"/>
        <v>0</v>
      </c>
    </row>
    <row r="198" spans="1:24" ht="15.75" thickBot="1" x14ac:dyDescent="0.3">
      <c r="A198" s="45"/>
      <c r="B198" s="16">
        <f t="shared" si="65"/>
        <v>16</v>
      </c>
      <c r="C198" s="8"/>
      <c r="D198" s="233"/>
      <c r="E198" s="19"/>
      <c r="F198" s="21"/>
      <c r="G198" s="19"/>
      <c r="H198" s="19"/>
      <c r="I198" s="19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9"/>
      <c r="U198" s="8"/>
      <c r="V198" s="64"/>
      <c r="X198" s="305">
        <f t="shared" si="55"/>
        <v>0</v>
      </c>
    </row>
    <row r="199" spans="1:24" ht="15.75" thickBot="1" x14ac:dyDescent="0.3">
      <c r="A199" s="45"/>
      <c r="B199" s="16">
        <f t="shared" si="65"/>
        <v>17</v>
      </c>
      <c r="C199" s="223" t="s">
        <v>504</v>
      </c>
      <c r="D199" s="224"/>
      <c r="E199" s="252" t="s">
        <v>86</v>
      </c>
      <c r="F199" s="194">
        <f>+F197+F193</f>
        <v>396911048.73000002</v>
      </c>
      <c r="G199" s="252"/>
      <c r="H199" s="379"/>
      <c r="I199" s="963"/>
      <c r="J199" s="381">
        <f t="shared" ref="J199:Q199" ca="1" si="69">+J197+J193</f>
        <v>214326005.79040724</v>
      </c>
      <c r="K199" s="812">
        <f t="shared" ca="1" si="69"/>
        <v>9594975.4472822044</v>
      </c>
      <c r="L199" s="812">
        <f t="shared" ca="1" si="69"/>
        <v>133448650.87514158</v>
      </c>
      <c r="M199" s="812">
        <f t="shared" ca="1" si="69"/>
        <v>833500.67844055127</v>
      </c>
      <c r="N199" s="812">
        <f t="shared" ca="1" si="69"/>
        <v>27830698.133414101</v>
      </c>
      <c r="O199" s="812">
        <f ca="1">+O197+O193</f>
        <v>2734915.0247194436</v>
      </c>
      <c r="P199" s="812">
        <f t="shared" ca="1" si="69"/>
        <v>848578.81008942728</v>
      </c>
      <c r="Q199" s="812">
        <f t="shared" ca="1" si="69"/>
        <v>6207935.1497369613</v>
      </c>
      <c r="R199" s="812">
        <f ca="1">+R197+R193</f>
        <v>197386.02691324861</v>
      </c>
      <c r="S199" s="315">
        <f ca="1">+S197+S193</f>
        <v>888402.79385508003</v>
      </c>
      <c r="T199" s="380"/>
      <c r="U199" s="195">
        <f ca="1">SUM(I199:T199)</f>
        <v>396911048.72999972</v>
      </c>
      <c r="V199" s="64"/>
      <c r="W199" s="1099" t="b">
        <f>' WP II-I-1.4'!$L$199=F199</f>
        <v>1</v>
      </c>
      <c r="X199" s="305">
        <f t="shared" ca="1" si="55"/>
        <v>0</v>
      </c>
    </row>
    <row r="200" spans="1:24" x14ac:dyDescent="0.2">
      <c r="A200" s="45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X200" s="305">
        <f t="shared" si="55"/>
        <v>0</v>
      </c>
    </row>
    <row r="201" spans="1:24" x14ac:dyDescent="0.2">
      <c r="A201" s="45"/>
      <c r="B201" s="64"/>
      <c r="C201" s="64"/>
      <c r="D201" s="64"/>
      <c r="E201" s="64"/>
      <c r="F201" s="64"/>
      <c r="G201" s="64"/>
      <c r="H201" s="105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105"/>
      <c r="V201" s="105"/>
      <c r="X201" s="305"/>
    </row>
    <row r="202" spans="1:24" ht="15" thickBot="1" x14ac:dyDescent="0.25">
      <c r="A202" s="45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X202" s="305">
        <f t="shared" si="55"/>
        <v>0</v>
      </c>
    </row>
    <row r="203" spans="1:24" ht="15" x14ac:dyDescent="0.25">
      <c r="A203" s="45"/>
      <c r="B203" s="829" t="str">
        <f>+$B$4</f>
        <v>2025 RATE CASE</v>
      </c>
      <c r="C203" s="844"/>
      <c r="D203" s="547"/>
      <c r="F203" s="11"/>
      <c r="U203" s="105"/>
      <c r="X203" s="305">
        <f t="shared" si="55"/>
        <v>0</v>
      </c>
    </row>
    <row r="204" spans="1:24" ht="15" x14ac:dyDescent="0.25">
      <c r="A204" s="229"/>
      <c r="B204" s="826" t="str">
        <f>+$B$5</f>
        <v>ONCOR ELECTRIC DELIVERY COMPANY LLC</v>
      </c>
      <c r="C204" s="8"/>
      <c r="D204" s="548"/>
      <c r="F204" s="11"/>
      <c r="U204" s="105"/>
      <c r="V204" s="64"/>
      <c r="X204" s="305">
        <f t="shared" si="55"/>
        <v>0</v>
      </c>
    </row>
    <row r="205" spans="1:24" ht="15" x14ac:dyDescent="0.25">
      <c r="A205" s="45"/>
      <c r="B205" s="826" t="str">
        <f>+$B$6</f>
        <v>II-I-1-TOT:  CLASS REVENUE REQUIREMENT</v>
      </c>
      <c r="C205" s="82"/>
      <c r="D205" s="548"/>
      <c r="F205" s="11"/>
      <c r="U205" s="11"/>
      <c r="V205" s="64"/>
      <c r="X205" s="305">
        <f t="shared" si="55"/>
        <v>0</v>
      </c>
    </row>
    <row r="206" spans="1:24" ht="15" x14ac:dyDescent="0.25">
      <c r="A206" s="45"/>
      <c r="B206" s="341" t="str">
        <f>+$B$7</f>
        <v>TEST YEAR ENDING 12/31/2024</v>
      </c>
      <c r="C206" s="82"/>
      <c r="D206" s="548"/>
      <c r="F206" s="11"/>
      <c r="U206" s="11"/>
      <c r="V206" s="64"/>
      <c r="X206" s="305">
        <f t="shared" si="55"/>
        <v>0</v>
      </c>
    </row>
    <row r="207" spans="1:24" ht="15" x14ac:dyDescent="0.25">
      <c r="A207" s="45"/>
      <c r="B207" s="341" t="str">
        <f>+$B$8</f>
        <v>SPONSOR:  MATTHEW A. TROXLE</v>
      </c>
      <c r="C207" s="82"/>
      <c r="D207" s="548"/>
      <c r="F207" s="11"/>
      <c r="U207" s="11"/>
      <c r="V207" s="64"/>
      <c r="X207" s="305">
        <f t="shared" si="55"/>
        <v>0</v>
      </c>
    </row>
    <row r="208" spans="1:24" ht="15.75" thickBot="1" x14ac:dyDescent="0.3">
      <c r="A208" s="45"/>
      <c r="B208" s="345"/>
      <c r="C208" s="843"/>
      <c r="D208" s="549"/>
      <c r="F208" s="11"/>
      <c r="U208" s="11"/>
      <c r="V208" s="64"/>
      <c r="X208" s="305">
        <f t="shared" si="55"/>
        <v>0</v>
      </c>
    </row>
    <row r="209" spans="1:24" ht="15" thickBot="1" x14ac:dyDescent="0.25">
      <c r="A209" s="45"/>
      <c r="B209" s="12"/>
      <c r="C209" s="13"/>
      <c r="D209" s="13"/>
      <c r="E209" s="13"/>
      <c r="F209" s="12"/>
      <c r="G209" s="13"/>
      <c r="H209" s="13"/>
      <c r="I209" s="13"/>
      <c r="J209" s="177"/>
      <c r="K209" s="177"/>
      <c r="L209" s="13"/>
      <c r="M209" s="177"/>
      <c r="N209" s="177"/>
      <c r="O209" s="177"/>
      <c r="P209" s="177"/>
      <c r="Q209" s="13"/>
      <c r="R209" s="328" t="str">
        <f>R$10</f>
        <v xml:space="preserve"> </v>
      </c>
      <c r="S209" s="329"/>
      <c r="T209" s="177"/>
      <c r="U209" s="12"/>
      <c r="V209" s="64"/>
      <c r="X209" s="305">
        <f t="shared" si="55"/>
        <v>0</v>
      </c>
    </row>
    <row r="210" spans="1:24" ht="15" x14ac:dyDescent="0.25">
      <c r="A210" s="45"/>
      <c r="B210" s="14" t="s">
        <v>2</v>
      </c>
      <c r="C210" s="14" t="s">
        <v>349</v>
      </c>
      <c r="D210" s="226" t="s">
        <v>103</v>
      </c>
      <c r="E210" s="14" t="s">
        <v>350</v>
      </c>
      <c r="F210" s="226" t="str">
        <f>F$11</f>
        <v>TOTAL</v>
      </c>
      <c r="G210" s="181" t="s">
        <v>688</v>
      </c>
      <c r="H210" s="181" t="s">
        <v>355</v>
      </c>
      <c r="I210" s="14"/>
      <c r="J210" s="181" t="s">
        <v>679</v>
      </c>
      <c r="K210" s="181" t="s">
        <v>388</v>
      </c>
      <c r="L210" s="14" t="s">
        <v>388</v>
      </c>
      <c r="M210" s="181" t="s">
        <v>389</v>
      </c>
      <c r="N210" s="181" t="s">
        <v>389</v>
      </c>
      <c r="O210" s="181" t="s">
        <v>389</v>
      </c>
      <c r="P210" s="181" t="s">
        <v>390</v>
      </c>
      <c r="Q210" s="14" t="s">
        <v>391</v>
      </c>
      <c r="R210" s="331" t="str">
        <f>R$11</f>
        <v>Wholesale</v>
      </c>
      <c r="S210" s="12" t="str">
        <f>S$11</f>
        <v>Wholesale</v>
      </c>
      <c r="T210" s="181"/>
      <c r="U210" s="14" t="s">
        <v>10</v>
      </c>
      <c r="V210" s="64"/>
      <c r="X210" s="305"/>
    </row>
    <row r="211" spans="1:24" x14ac:dyDescent="0.2">
      <c r="A211" s="45"/>
      <c r="B211" s="14"/>
      <c r="C211" s="14"/>
      <c r="D211" s="14"/>
      <c r="E211" s="14"/>
      <c r="F211" s="14" t="str">
        <f>F$12</f>
        <v>(Dist+Met+Cust)</v>
      </c>
      <c r="G211" s="181" t="s">
        <v>689</v>
      </c>
      <c r="H211" s="181" t="s">
        <v>690</v>
      </c>
      <c r="I211" s="14"/>
      <c r="J211" s="181"/>
      <c r="K211" s="181" t="s">
        <v>680</v>
      </c>
      <c r="L211" s="14" t="s">
        <v>681</v>
      </c>
      <c r="M211" s="181" t="s">
        <v>680</v>
      </c>
      <c r="N211" s="181" t="s">
        <v>681</v>
      </c>
      <c r="O211" s="181" t="s">
        <v>393</v>
      </c>
      <c r="P211" s="181"/>
      <c r="Q211" s="14"/>
      <c r="R211" s="174" t="str">
        <f>R$12</f>
        <v>XFMR</v>
      </c>
      <c r="S211" s="14" t="str">
        <f>S$12</f>
        <v>DLS</v>
      </c>
      <c r="T211" s="181"/>
      <c r="U211" s="14"/>
      <c r="V211" s="64"/>
      <c r="X211" s="305"/>
    </row>
    <row r="212" spans="1:24" ht="15" thickBot="1" x14ac:dyDescent="0.25">
      <c r="A212" s="45"/>
      <c r="B212" s="15"/>
      <c r="C212" s="15"/>
      <c r="D212" s="15"/>
      <c r="E212" s="15"/>
      <c r="F212" s="15" t="s">
        <v>13</v>
      </c>
      <c r="G212" s="15" t="s">
        <v>14</v>
      </c>
      <c r="H212" s="15" t="s">
        <v>15</v>
      </c>
      <c r="I212" s="15"/>
      <c r="J212" s="182" t="str">
        <f t="shared" ref="J212:Q212" si="70">J$13</f>
        <v>(d)</v>
      </c>
      <c r="K212" s="182" t="str">
        <f t="shared" si="70"/>
        <v>(e)</v>
      </c>
      <c r="L212" s="15" t="str">
        <f t="shared" si="70"/>
        <v>(f)</v>
      </c>
      <c r="M212" s="182" t="str">
        <f t="shared" si="70"/>
        <v>(g)</v>
      </c>
      <c r="N212" s="182" t="str">
        <f t="shared" si="70"/>
        <v>(h)</v>
      </c>
      <c r="O212" s="182" t="str">
        <f>O$13</f>
        <v>(i)</v>
      </c>
      <c r="P212" s="182" t="str">
        <f t="shared" si="70"/>
        <v>(j)</v>
      </c>
      <c r="Q212" s="182" t="str">
        <f t="shared" si="70"/>
        <v>(k)</v>
      </c>
      <c r="R212" s="182" t="str">
        <f>R$13</f>
        <v>(l)</v>
      </c>
      <c r="S212" s="15" t="str">
        <f>S$13</f>
        <v>(m)</v>
      </c>
      <c r="T212" s="15"/>
      <c r="U212" s="15" t="s">
        <v>683</v>
      </c>
      <c r="V212" s="64"/>
      <c r="X212" s="305"/>
    </row>
    <row r="213" spans="1:24" x14ac:dyDescent="0.2">
      <c r="A213" s="45"/>
      <c r="B213" s="64"/>
      <c r="C213" s="96"/>
      <c r="D213" s="96"/>
      <c r="E213" s="251"/>
      <c r="F213" s="96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1"/>
      <c r="V213" s="64"/>
      <c r="X213" s="305">
        <f t="shared" ref="X213:X281" si="71">U213-F213</f>
        <v>0</v>
      </c>
    </row>
    <row r="214" spans="1:24" ht="15" x14ac:dyDescent="0.25">
      <c r="A214" s="45"/>
      <c r="B214" s="16">
        <f>B213+1</f>
        <v>1</v>
      </c>
      <c r="C214" s="1" t="s">
        <v>1237</v>
      </c>
      <c r="D214" s="1" t="s">
        <v>1230</v>
      </c>
      <c r="E214" s="16" t="s">
        <v>104</v>
      </c>
      <c r="F214" s="97">
        <f>' WP II-I-1.4'!L214</f>
        <v>127973596.83999991</v>
      </c>
      <c r="G214" s="16"/>
      <c r="H214" s="16"/>
      <c r="I214" s="16"/>
      <c r="J214" s="369">
        <f ca="1">'II-I-DIST'!J214+'II-I-MET'!J214+'II-I-TBILLTDCS'!J214</f>
        <v>67142477.549647734</v>
      </c>
      <c r="K214" s="369">
        <f ca="1">'II-I-DIST'!K214+'II-I-MET'!K214+'II-I-TBILLTDCS'!K214</f>
        <v>5177790.4531088881</v>
      </c>
      <c r="L214" s="369">
        <f ca="1">'II-I-DIST'!L214+'II-I-MET'!L214+'II-I-TBILLTDCS'!L214</f>
        <v>40059747.2491422</v>
      </c>
      <c r="M214" s="369">
        <f ca="1">'II-I-DIST'!M214+'II-I-MET'!M214+'II-I-TBILLTDCS'!M214</f>
        <v>698273.15485660452</v>
      </c>
      <c r="N214" s="369">
        <f ca="1">'II-I-DIST'!N214+'II-I-MET'!N214+'II-I-TBILLTDCS'!N214</f>
        <v>9796854.187342599</v>
      </c>
      <c r="O214" s="369">
        <f ca="1">'II-I-DIST'!O214+'II-I-MET'!O214+'II-I-TBILLTDCS'!O214</f>
        <v>697586.41842842731</v>
      </c>
      <c r="P214" s="369">
        <f ca="1">'II-I-DIST'!P214+'II-I-MET'!P214+'II-I-TBILLTDCS'!P214</f>
        <v>452431.39177357394</v>
      </c>
      <c r="Q214" s="369">
        <f ca="1">'II-I-DIST'!Q214+'II-I-MET'!Q214+'II-I-TBILLTDCS'!Q214</f>
        <v>3672316.4280791339</v>
      </c>
      <c r="R214" s="369">
        <f ca="1">'II-I-DIST'!R214+'II-I-MET'!R214+'II-I-TBILLTDCS'!R214</f>
        <v>55431.152513962959</v>
      </c>
      <c r="S214" s="369">
        <f ca="1">'II-I-DIST'!S214+'II-I-MET'!S214+'II-I-TBILLTDCS'!S214</f>
        <v>220688.85510676852</v>
      </c>
      <c r="T214" s="1291"/>
      <c r="U214" s="97">
        <f t="shared" ref="U214:U215" ca="1" si="72">SUM(I214:T214)</f>
        <v>127973596.83999988</v>
      </c>
      <c r="V214" s="64"/>
      <c r="X214" s="305"/>
    </row>
    <row r="215" spans="1:24" ht="15" x14ac:dyDescent="0.25">
      <c r="A215" s="45"/>
      <c r="B215" s="16">
        <f>B214+1</f>
        <v>2</v>
      </c>
      <c r="C215" s="1" t="s">
        <v>1238</v>
      </c>
      <c r="D215" s="1" t="s">
        <v>1232</v>
      </c>
      <c r="E215" s="16"/>
      <c r="F215" s="97">
        <f>' WP II-I-1.4'!L215</f>
        <v>193764541.67999995</v>
      </c>
      <c r="G215" s="16"/>
      <c r="H215" s="16"/>
      <c r="I215" s="16"/>
      <c r="J215" s="369">
        <f ca="1">'II-I-DIST'!J215+'II-I-MET'!J215+'II-I-TBILLTDCS'!J215</f>
        <v>105573166.50342971</v>
      </c>
      <c r="K215" s="369">
        <f ca="1">'II-I-DIST'!K215+'II-I-MET'!K215+'II-I-TBILLTDCS'!K215</f>
        <v>3123261.9298582589</v>
      </c>
      <c r="L215" s="369">
        <f ca="1">'II-I-DIST'!L215+'II-I-MET'!L215+'II-I-TBILLTDCS'!L215</f>
        <v>66966375.005214065</v>
      </c>
      <c r="M215" s="369">
        <f ca="1">'II-I-DIST'!M215+'II-I-MET'!M215+'II-I-TBILLTDCS'!M215</f>
        <v>86756.769055856959</v>
      </c>
      <c r="N215" s="369">
        <f ca="1">'II-I-DIST'!N215+'II-I-MET'!N215+'II-I-TBILLTDCS'!N215</f>
        <v>12897177.565145852</v>
      </c>
      <c r="O215" s="369">
        <f ca="1">'II-I-DIST'!O215+'II-I-MET'!O215+'II-I-TBILLTDCS'!O215</f>
        <v>1463588.3444574019</v>
      </c>
      <c r="P215" s="369">
        <f ca="1">'II-I-DIST'!P215+'II-I-MET'!P215+'II-I-TBILLTDCS'!P215</f>
        <v>279501.05177662882</v>
      </c>
      <c r="Q215" s="369">
        <f ca="1">'II-I-DIST'!Q215+'II-I-MET'!Q215+'II-I-TBILLTDCS'!Q215</f>
        <v>2793041.7134031481</v>
      </c>
      <c r="R215" s="369">
        <f ca="1">'II-I-DIST'!R215+'II-I-MET'!R215+'II-I-TBILLTDCS'!R215</f>
        <v>101868.81909633552</v>
      </c>
      <c r="S215" s="369">
        <f ca="1">'II-I-DIST'!S215+'II-I-MET'!S215+'II-I-TBILLTDCS'!S215</f>
        <v>479803.97856268397</v>
      </c>
      <c r="T215" s="1291"/>
      <c r="U215" s="97">
        <f t="shared" ca="1" si="72"/>
        <v>193764541.67999986</v>
      </c>
      <c r="V215" s="64"/>
      <c r="X215" s="305"/>
    </row>
    <row r="216" spans="1:24" ht="15" x14ac:dyDescent="0.25">
      <c r="A216" s="45"/>
      <c r="B216" s="16">
        <f t="shared" ref="B216:B225" si="73">B215+1</f>
        <v>3</v>
      </c>
      <c r="C216" s="1" t="s">
        <v>1239</v>
      </c>
      <c r="D216" s="1" t="s">
        <v>103</v>
      </c>
      <c r="E216" s="1315"/>
      <c r="F216" s="97">
        <f>' WP II-I-1.4'!L216</f>
        <v>77085072.029999986</v>
      </c>
      <c r="G216" s="16" t="s">
        <v>751</v>
      </c>
      <c r="H216" s="45" t="s">
        <v>303</v>
      </c>
      <c r="I216" s="903"/>
      <c r="J216" s="370">
        <f ca="1">'II-I-DIST'!J216+'II-I-MET'!J216+'II-I-TBILLTDCS'!J216</f>
        <v>41395808.121169433</v>
      </c>
      <c r="K216" s="370">
        <f ca="1">'II-I-DIST'!K216+'II-I-MET'!K216+'II-I-TBILLTDCS'!K216</f>
        <v>2184618.9279257217</v>
      </c>
      <c r="L216" s="370">
        <f ca="1">'II-I-DIST'!L216+'II-I-MET'!L216+'II-I-TBILLTDCS'!L216</f>
        <v>25516311.796468314</v>
      </c>
      <c r="M216" s="370">
        <f ca="1">'II-I-DIST'!M216+'II-I-MET'!M216+'II-I-TBILLTDCS'!M216</f>
        <v>227850.7313805364</v>
      </c>
      <c r="N216" s="370">
        <f ca="1">'II-I-DIST'!N216+'II-I-MET'!N216+'II-I-TBILLTDCS'!N216</f>
        <v>5542076.8923725327</v>
      </c>
      <c r="O216" s="370">
        <f ca="1">'II-I-DIST'!O216+'II-I-MET'!O216+'II-I-TBILLTDCS'!O216</f>
        <v>504092.82662419439</v>
      </c>
      <c r="P216" s="370">
        <f ca="1">'II-I-DIST'!P216+'II-I-MET'!P216+'II-I-TBILLTDCS'!P216</f>
        <v>192477.31718665094</v>
      </c>
      <c r="Q216" s="370">
        <f ca="1">'II-I-DIST'!Q216+'II-I-MET'!Q216+'II-I-TBILLTDCS'!Q216</f>
        <v>1321832.1952525978</v>
      </c>
      <c r="R216" s="370">
        <f ca="1">'II-I-DIST'!R216+'II-I-MET'!R216+'II-I-TBILLTDCS'!R216</f>
        <v>37158.847141243685</v>
      </c>
      <c r="S216" s="370">
        <f ca="1">'II-I-DIST'!S216+'II-I-MET'!S216+'II-I-TBILLTDCS'!S216</f>
        <v>162844.37447874376</v>
      </c>
      <c r="T216" s="903"/>
      <c r="U216" s="97">
        <f ca="1">SUM(I216:T216)</f>
        <v>77085072.029999986</v>
      </c>
      <c r="V216" s="64"/>
      <c r="X216" s="305">
        <f t="shared" ca="1" si="71"/>
        <v>0</v>
      </c>
    </row>
    <row r="217" spans="1:24" ht="15" x14ac:dyDescent="0.25">
      <c r="A217" s="45"/>
      <c r="B217" s="16">
        <f t="shared" si="73"/>
        <v>4</v>
      </c>
      <c r="C217" s="8"/>
      <c r="D217" s="233" t="s">
        <v>444</v>
      </c>
      <c r="E217" s="19"/>
      <c r="F217" s="21">
        <f>SUM(F214:F216)</f>
        <v>398823210.54999983</v>
      </c>
      <c r="G217" s="19"/>
      <c r="H217" s="19"/>
      <c r="I217" s="19"/>
      <c r="J217" s="805">
        <f t="shared" ref="J217:S217" ca="1" si="74">SUM(J214:J216)</f>
        <v>214111452.17424691</v>
      </c>
      <c r="K217" s="805">
        <f t="shared" ca="1" si="74"/>
        <v>10485671.310892869</v>
      </c>
      <c r="L217" s="805">
        <f t="shared" ca="1" si="74"/>
        <v>132542434.05082458</v>
      </c>
      <c r="M217" s="805">
        <f t="shared" ca="1" si="74"/>
        <v>1012880.6552929978</v>
      </c>
      <c r="N217" s="805">
        <f t="shared" ca="1" si="74"/>
        <v>28236108.644860983</v>
      </c>
      <c r="O217" s="805">
        <f t="shared" ca="1" si="74"/>
        <v>2665267.5895100236</v>
      </c>
      <c r="P217" s="805">
        <f t="shared" ca="1" si="74"/>
        <v>924409.7607368537</v>
      </c>
      <c r="Q217" s="805">
        <f t="shared" ca="1" si="74"/>
        <v>7787190.3367348798</v>
      </c>
      <c r="R217" s="805">
        <f t="shared" ca="1" si="74"/>
        <v>194458.81875154216</v>
      </c>
      <c r="S217" s="805">
        <f t="shared" ca="1" si="74"/>
        <v>863337.20814819622</v>
      </c>
      <c r="T217" s="19"/>
      <c r="U217" s="805">
        <f ca="1">SUM(U214:U216)</f>
        <v>398823210.54999971</v>
      </c>
      <c r="V217" s="64"/>
      <c r="W217" s="1099" t="b">
        <f>' WP II-I-1.4'!$L$217=F217</f>
        <v>1</v>
      </c>
      <c r="X217" s="305">
        <f t="shared" ca="1" si="71"/>
        <v>0</v>
      </c>
    </row>
    <row r="218" spans="1:24" ht="15.75" thickBot="1" x14ac:dyDescent="0.3">
      <c r="A218" s="45"/>
      <c r="B218" s="16">
        <f t="shared" si="73"/>
        <v>5</v>
      </c>
      <c r="C218" s="1"/>
      <c r="D218" s="233"/>
      <c r="E218" s="16"/>
      <c r="F218" s="18"/>
      <c r="G218" s="16"/>
      <c r="H218" s="16"/>
      <c r="I218" s="1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6"/>
      <c r="U218" s="1"/>
      <c r="V218" s="64"/>
      <c r="X218" s="305">
        <f t="shared" si="71"/>
        <v>0</v>
      </c>
    </row>
    <row r="219" spans="1:24" ht="15.75" thickBot="1" x14ac:dyDescent="0.3">
      <c r="A219" s="45"/>
      <c r="B219" s="16">
        <f t="shared" si="73"/>
        <v>6</v>
      </c>
      <c r="C219" s="223" t="s">
        <v>505</v>
      </c>
      <c r="D219" s="224"/>
      <c r="E219" s="252"/>
      <c r="F219" s="253">
        <f>+F217</f>
        <v>398823210.54999983</v>
      </c>
      <c r="G219" s="252"/>
      <c r="H219" s="379"/>
      <c r="I219" s="380"/>
      <c r="J219" s="382">
        <f t="shared" ref="J219:Q219" ca="1" si="75">+J217</f>
        <v>214111452.17424691</v>
      </c>
      <c r="K219" s="253">
        <f t="shared" ca="1" si="75"/>
        <v>10485671.310892869</v>
      </c>
      <c r="L219" s="253">
        <f t="shared" ca="1" si="75"/>
        <v>132542434.05082458</v>
      </c>
      <c r="M219" s="253">
        <f t="shared" ca="1" si="75"/>
        <v>1012880.6552929978</v>
      </c>
      <c r="N219" s="253">
        <f t="shared" ca="1" si="75"/>
        <v>28236108.644860983</v>
      </c>
      <c r="O219" s="253">
        <f ca="1">+O217</f>
        <v>2665267.5895100236</v>
      </c>
      <c r="P219" s="253">
        <f t="shared" ca="1" si="75"/>
        <v>924409.7607368537</v>
      </c>
      <c r="Q219" s="253">
        <f t="shared" ca="1" si="75"/>
        <v>7787190.3367348798</v>
      </c>
      <c r="R219" s="253">
        <f ca="1">+R217</f>
        <v>194458.81875154216</v>
      </c>
      <c r="S219" s="195">
        <f ca="1">+S217</f>
        <v>863337.20814819622</v>
      </c>
      <c r="T219" s="380"/>
      <c r="U219" s="195">
        <f ca="1">SUM(I219:T219)</f>
        <v>398823210.54999983</v>
      </c>
      <c r="V219" s="64"/>
      <c r="W219" s="1099" t="b">
        <f>' WP II-I-1.4'!$L$219=F219</f>
        <v>1</v>
      </c>
      <c r="X219" s="305">
        <f t="shared" ca="1" si="71"/>
        <v>0</v>
      </c>
    </row>
    <row r="220" spans="1:24" ht="15" thickBot="1" x14ac:dyDescent="0.25">
      <c r="A220" s="45"/>
      <c r="B220" s="16">
        <f t="shared" si="73"/>
        <v>7</v>
      </c>
      <c r="C220" s="11"/>
      <c r="D220" s="11"/>
      <c r="E220" s="10"/>
      <c r="F220" s="11"/>
      <c r="G220" s="10"/>
      <c r="H220" s="10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0"/>
      <c r="U220" s="11"/>
      <c r="V220" s="64"/>
      <c r="X220" s="305">
        <f t="shared" si="71"/>
        <v>0</v>
      </c>
    </row>
    <row r="221" spans="1:24" ht="15.75" thickBot="1" x14ac:dyDescent="0.3">
      <c r="A221" s="45"/>
      <c r="B221" s="16">
        <f t="shared" si="73"/>
        <v>8</v>
      </c>
      <c r="C221" s="223" t="s">
        <v>506</v>
      </c>
      <c r="D221" s="224"/>
      <c r="E221" s="252" t="s">
        <v>507</v>
      </c>
      <c r="F221" s="253">
        <f>+F199+F219</f>
        <v>795734259.27999985</v>
      </c>
      <c r="G221" s="252"/>
      <c r="H221" s="379"/>
      <c r="I221" s="380"/>
      <c r="J221" s="382">
        <f t="shared" ref="J221:Q221" ca="1" si="76">+J199+J219</f>
        <v>428437457.96465415</v>
      </c>
      <c r="K221" s="253">
        <f t="shared" ca="1" si="76"/>
        <v>20080646.758175075</v>
      </c>
      <c r="L221" s="253">
        <f t="shared" ca="1" si="76"/>
        <v>265991084.92596614</v>
      </c>
      <c r="M221" s="253">
        <f t="shared" ca="1" si="76"/>
        <v>1846381.3337335491</v>
      </c>
      <c r="N221" s="253">
        <f t="shared" ca="1" si="76"/>
        <v>56066806.778275087</v>
      </c>
      <c r="O221" s="253">
        <f ca="1">+O199+O219</f>
        <v>5400182.6142294668</v>
      </c>
      <c r="P221" s="253">
        <f t="shared" ca="1" si="76"/>
        <v>1772988.5708262809</v>
      </c>
      <c r="Q221" s="253">
        <f t="shared" ca="1" si="76"/>
        <v>13995125.486471841</v>
      </c>
      <c r="R221" s="253">
        <f ca="1">+R199+R219</f>
        <v>391844.84566479077</v>
      </c>
      <c r="S221" s="195">
        <f ca="1">+S199+S219</f>
        <v>1751740.0020032763</v>
      </c>
      <c r="T221" s="380"/>
      <c r="U221" s="195">
        <f ca="1">SUM(I221:T221)</f>
        <v>795734259.27999973</v>
      </c>
      <c r="V221" s="64"/>
      <c r="W221" s="1099" t="b">
        <f>' WP II-I-1.4'!$L$221=F221</f>
        <v>1</v>
      </c>
      <c r="X221" s="305">
        <f t="shared" ca="1" si="71"/>
        <v>0</v>
      </c>
    </row>
    <row r="222" spans="1:24" ht="15" thickBot="1" x14ac:dyDescent="0.25">
      <c r="A222" s="45"/>
      <c r="B222" s="16">
        <f t="shared" si="73"/>
        <v>9</v>
      </c>
      <c r="C222" s="11"/>
      <c r="D222" s="11"/>
      <c r="E222" s="10"/>
      <c r="F222" s="11"/>
      <c r="G222" s="10"/>
      <c r="H222" s="10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0"/>
      <c r="U222" s="11"/>
      <c r="V222" s="64"/>
      <c r="X222" s="305">
        <f t="shared" si="71"/>
        <v>0</v>
      </c>
    </row>
    <row r="223" spans="1:24" ht="15.75" thickBot="1" x14ac:dyDescent="0.3">
      <c r="A223" s="45"/>
      <c r="B223" s="16">
        <f t="shared" si="73"/>
        <v>10</v>
      </c>
      <c r="C223" s="223" t="s">
        <v>508</v>
      </c>
      <c r="D223" s="224"/>
      <c r="E223" s="252" t="s">
        <v>509</v>
      </c>
      <c r="F223" s="194">
        <f>+F221+F167</f>
        <v>21831886876.859997</v>
      </c>
      <c r="G223" s="252"/>
      <c r="H223" s="379"/>
      <c r="I223" s="380"/>
      <c r="J223" s="381">
        <f t="shared" ref="J223:Q223" ca="1" si="77">+J221+J167</f>
        <v>11697828611.586966</v>
      </c>
      <c r="K223" s="812">
        <f t="shared" ca="1" si="77"/>
        <v>448204171.50986189</v>
      </c>
      <c r="L223" s="812">
        <f t="shared" ca="1" si="77"/>
        <v>7342588921.5391855</v>
      </c>
      <c r="M223" s="812">
        <f t="shared" ca="1" si="77"/>
        <v>17112245.01252747</v>
      </c>
      <c r="N223" s="812">
        <f t="shared" ca="1" si="77"/>
        <v>1386102278.0593946</v>
      </c>
      <c r="O223" s="812">
        <f ca="1">+O221+O167</f>
        <v>141928619.17566586</v>
      </c>
      <c r="P223" s="812">
        <f t="shared" ca="1" si="77"/>
        <v>31880328.910868958</v>
      </c>
      <c r="Q223" s="812">
        <f t="shared" ca="1" si="77"/>
        <v>706478309.52641892</v>
      </c>
      <c r="R223" s="812">
        <f ca="1">+R221+R167</f>
        <v>9968151.8678078037</v>
      </c>
      <c r="S223" s="315">
        <f ca="1">+S221+S167</f>
        <v>49795239.671303645</v>
      </c>
      <c r="T223" s="380"/>
      <c r="U223" s="195">
        <f ca="1">SUM(I223:T223)</f>
        <v>21831886876.860004</v>
      </c>
      <c r="V223" s="64"/>
      <c r="W223" s="1099" t="b">
        <f>' WP II-I-1.4'!$L$223=F223</f>
        <v>1</v>
      </c>
      <c r="X223" s="305">
        <f t="shared" ca="1" si="71"/>
        <v>0</v>
      </c>
    </row>
    <row r="224" spans="1:24" ht="15.75" thickBot="1" x14ac:dyDescent="0.3">
      <c r="A224" s="45"/>
      <c r="B224" s="16">
        <f t="shared" si="73"/>
        <v>11</v>
      </c>
      <c r="C224" s="8"/>
      <c r="D224" s="1"/>
      <c r="E224" s="16"/>
      <c r="F224" s="1"/>
      <c r="G224" s="16"/>
      <c r="H224" s="16"/>
      <c r="I224" s="1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64"/>
      <c r="X224" s="305">
        <f t="shared" si="71"/>
        <v>0</v>
      </c>
    </row>
    <row r="225" spans="1:24" ht="15.75" thickBot="1" x14ac:dyDescent="0.3">
      <c r="A225" s="45"/>
      <c r="B225" s="16">
        <f t="shared" si="73"/>
        <v>12</v>
      </c>
      <c r="C225" s="223" t="s">
        <v>510</v>
      </c>
      <c r="D225" s="224"/>
      <c r="E225" s="252" t="s">
        <v>509</v>
      </c>
      <c r="F225" s="194">
        <f>+F221+F168</f>
        <v>21822771406.859997</v>
      </c>
      <c r="G225" s="252"/>
      <c r="H225" s="379"/>
      <c r="I225" s="380"/>
      <c r="J225" s="381">
        <f t="shared" ref="J225:Q225" ca="1" si="78">+J221+J168</f>
        <v>11692870660.630877</v>
      </c>
      <c r="K225" s="812">
        <f t="shared" ca="1" si="78"/>
        <v>448045558.5053826</v>
      </c>
      <c r="L225" s="812">
        <f t="shared" ca="1" si="78"/>
        <v>7339453378.6949158</v>
      </c>
      <c r="M225" s="812">
        <f t="shared" ca="1" si="78"/>
        <v>17105762.876935255</v>
      </c>
      <c r="N225" s="812">
        <f t="shared" ca="1" si="78"/>
        <v>1385490601.5460451</v>
      </c>
      <c r="O225" s="812">
        <f ca="1">+O221+O168</f>
        <v>141860756.02864146</v>
      </c>
      <c r="P225" s="812">
        <f t="shared" ca="1" si="78"/>
        <v>31866173.936561424</v>
      </c>
      <c r="Q225" s="812">
        <f t="shared" ca="1" si="78"/>
        <v>706342089.70181203</v>
      </c>
      <c r="R225" s="812">
        <f ca="1">+R221+R168</f>
        <v>9963402.6996884774</v>
      </c>
      <c r="S225" s="315">
        <f ca="1">+S221+S168</f>
        <v>49773022.239141777</v>
      </c>
      <c r="T225" s="380"/>
      <c r="U225" s="195">
        <f ca="1">SUM(I225:T225)</f>
        <v>21822771406.860001</v>
      </c>
      <c r="V225" s="64"/>
      <c r="W225" s="1099" t="b">
        <f>' WP II-I-1.4'!$L$225=F225</f>
        <v>1</v>
      </c>
      <c r="X225" s="305">
        <f t="shared" ca="1" si="71"/>
        <v>0</v>
      </c>
    </row>
    <row r="226" spans="1:24" x14ac:dyDescent="0.2">
      <c r="A226" s="45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X226" s="305">
        <f t="shared" si="71"/>
        <v>0</v>
      </c>
    </row>
    <row r="227" spans="1:24" x14ac:dyDescent="0.2">
      <c r="A227" s="45"/>
      <c r="B227" s="64"/>
      <c r="C227" s="64"/>
      <c r="D227" s="64"/>
      <c r="E227" s="64"/>
      <c r="F227" s="64"/>
      <c r="G227" s="64"/>
      <c r="H227" s="105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105"/>
      <c r="V227" s="105"/>
      <c r="X227" s="305"/>
    </row>
    <row r="228" spans="1:24" ht="15" thickBot="1" x14ac:dyDescent="0.25">
      <c r="A228" s="45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X228" s="305">
        <f t="shared" si="71"/>
        <v>0</v>
      </c>
    </row>
    <row r="229" spans="1:24" ht="15" x14ac:dyDescent="0.25">
      <c r="A229" s="45"/>
      <c r="B229" s="829" t="str">
        <f>+$B$4</f>
        <v>2025 RATE CASE</v>
      </c>
      <c r="C229" s="844"/>
      <c r="D229" s="547"/>
      <c r="F229" s="11"/>
      <c r="U229" s="105"/>
      <c r="X229" s="305">
        <f t="shared" si="71"/>
        <v>0</v>
      </c>
    </row>
    <row r="230" spans="1:24" ht="15" x14ac:dyDescent="0.25">
      <c r="A230" s="45"/>
      <c r="B230" s="826" t="str">
        <f>+$B$5</f>
        <v>ONCOR ELECTRIC DELIVERY COMPANY LLC</v>
      </c>
      <c r="C230" s="8"/>
      <c r="D230" s="548"/>
      <c r="F230" s="11"/>
      <c r="U230" s="105"/>
      <c r="V230" s="64"/>
      <c r="X230" s="305">
        <f t="shared" si="71"/>
        <v>0</v>
      </c>
    </row>
    <row r="231" spans="1:24" ht="15" x14ac:dyDescent="0.25">
      <c r="A231" s="45"/>
      <c r="B231" s="826" t="str">
        <f>+$B$6</f>
        <v>II-I-1-TOT:  CLASS REVENUE REQUIREMENT</v>
      </c>
      <c r="C231" s="82"/>
      <c r="D231" s="548"/>
      <c r="F231" s="11"/>
      <c r="U231" s="11"/>
      <c r="V231" s="64"/>
      <c r="X231" s="305">
        <f t="shared" si="71"/>
        <v>0</v>
      </c>
    </row>
    <row r="232" spans="1:24" ht="15" x14ac:dyDescent="0.25">
      <c r="A232" s="45"/>
      <c r="B232" s="341" t="str">
        <f>+$B$7</f>
        <v>TEST YEAR ENDING 12/31/2024</v>
      </c>
      <c r="C232" s="82"/>
      <c r="D232" s="548"/>
      <c r="F232" s="11"/>
      <c r="U232" s="11"/>
      <c r="V232" s="64"/>
      <c r="X232" s="305">
        <f t="shared" si="71"/>
        <v>0</v>
      </c>
    </row>
    <row r="233" spans="1:24" ht="15" x14ac:dyDescent="0.25">
      <c r="A233" s="45"/>
      <c r="B233" s="341" t="str">
        <f>+$B$8</f>
        <v>SPONSOR:  MATTHEW A. TROXLE</v>
      </c>
      <c r="C233" s="82"/>
      <c r="D233" s="548"/>
      <c r="F233" s="11"/>
      <c r="U233" s="11"/>
      <c r="V233" s="64"/>
      <c r="X233" s="305">
        <f t="shared" si="71"/>
        <v>0</v>
      </c>
    </row>
    <row r="234" spans="1:24" ht="15.75" thickBot="1" x14ac:dyDescent="0.3">
      <c r="A234" s="45"/>
      <c r="B234" s="345"/>
      <c r="C234" s="843"/>
      <c r="D234" s="549"/>
      <c r="F234" s="11"/>
      <c r="U234" s="11"/>
      <c r="V234" s="64"/>
      <c r="X234" s="305">
        <f t="shared" si="71"/>
        <v>0</v>
      </c>
    </row>
    <row r="235" spans="1:24" ht="15" thickBot="1" x14ac:dyDescent="0.25">
      <c r="A235" s="45"/>
      <c r="B235" s="12"/>
      <c r="C235" s="13"/>
      <c r="D235" s="13"/>
      <c r="E235" s="13"/>
      <c r="F235" s="12"/>
      <c r="G235" s="13"/>
      <c r="H235" s="13"/>
      <c r="I235" s="13"/>
      <c r="J235" s="177"/>
      <c r="K235" s="177"/>
      <c r="L235" s="13"/>
      <c r="M235" s="177"/>
      <c r="N235" s="177"/>
      <c r="O235" s="177"/>
      <c r="P235" s="177"/>
      <c r="Q235" s="13"/>
      <c r="R235" s="328" t="str">
        <f>R$10</f>
        <v xml:space="preserve"> </v>
      </c>
      <c r="S235" s="329"/>
      <c r="T235" s="177"/>
      <c r="U235" s="12"/>
      <c r="V235" s="64"/>
      <c r="X235" s="305">
        <f t="shared" si="71"/>
        <v>0</v>
      </c>
    </row>
    <row r="236" spans="1:24" ht="15" x14ac:dyDescent="0.25">
      <c r="A236" s="45"/>
      <c r="B236" s="14" t="s">
        <v>2</v>
      </c>
      <c r="C236" s="14" t="s">
        <v>349</v>
      </c>
      <c r="D236" s="226" t="s">
        <v>511</v>
      </c>
      <c r="E236" s="14" t="s">
        <v>350</v>
      </c>
      <c r="F236" s="226" t="str">
        <f>F$11</f>
        <v>TOTAL</v>
      </c>
      <c r="G236" s="181" t="s">
        <v>688</v>
      </c>
      <c r="H236" s="181" t="s">
        <v>355</v>
      </c>
      <c r="I236" s="14"/>
      <c r="J236" s="181" t="s">
        <v>679</v>
      </c>
      <c r="K236" s="181" t="s">
        <v>388</v>
      </c>
      <c r="L236" s="14" t="s">
        <v>388</v>
      </c>
      <c r="M236" s="181" t="s">
        <v>389</v>
      </c>
      <c r="N236" s="181" t="s">
        <v>389</v>
      </c>
      <c r="O236" s="181" t="s">
        <v>389</v>
      </c>
      <c r="P236" s="181" t="s">
        <v>390</v>
      </c>
      <c r="Q236" s="14" t="s">
        <v>391</v>
      </c>
      <c r="R236" s="331" t="str">
        <f>R$11</f>
        <v>Wholesale</v>
      </c>
      <c r="S236" s="12" t="str">
        <f>S$11</f>
        <v>Wholesale</v>
      </c>
      <c r="T236" s="181"/>
      <c r="U236" s="14" t="s">
        <v>10</v>
      </c>
      <c r="V236" s="64"/>
      <c r="X236" s="305"/>
    </row>
    <row r="237" spans="1:24" x14ac:dyDescent="0.2">
      <c r="A237" s="45"/>
      <c r="B237" s="14"/>
      <c r="C237" s="14"/>
      <c r="D237" s="14"/>
      <c r="E237" s="14"/>
      <c r="F237" s="14" t="str">
        <f>F$12</f>
        <v>(Dist+Met+Cust)</v>
      </c>
      <c r="G237" s="181" t="s">
        <v>689</v>
      </c>
      <c r="H237" s="181" t="s">
        <v>690</v>
      </c>
      <c r="I237" s="14"/>
      <c r="J237" s="181"/>
      <c r="K237" s="181" t="s">
        <v>680</v>
      </c>
      <c r="L237" s="14" t="s">
        <v>681</v>
      </c>
      <c r="M237" s="181" t="s">
        <v>680</v>
      </c>
      <c r="N237" s="181" t="s">
        <v>681</v>
      </c>
      <c r="O237" s="181" t="s">
        <v>393</v>
      </c>
      <c r="P237" s="181"/>
      <c r="Q237" s="14"/>
      <c r="R237" s="174" t="str">
        <f>R$12</f>
        <v>XFMR</v>
      </c>
      <c r="S237" s="14" t="str">
        <f>S$12</f>
        <v>DLS</v>
      </c>
      <c r="T237" s="181"/>
      <c r="U237" s="14"/>
      <c r="V237" s="64"/>
      <c r="X237" s="305"/>
    </row>
    <row r="238" spans="1:24" ht="15" thickBot="1" x14ac:dyDescent="0.25">
      <c r="A238" s="45"/>
      <c r="B238" s="15"/>
      <c r="C238" s="15"/>
      <c r="D238" s="15"/>
      <c r="E238" s="15"/>
      <c r="F238" s="15" t="s">
        <v>13</v>
      </c>
      <c r="G238" s="15" t="s">
        <v>14</v>
      </c>
      <c r="H238" s="15" t="s">
        <v>15</v>
      </c>
      <c r="I238" s="15"/>
      <c r="J238" s="182" t="str">
        <f t="shared" ref="J238:Q238" si="79">J$13</f>
        <v>(d)</v>
      </c>
      <c r="K238" s="182" t="str">
        <f t="shared" si="79"/>
        <v>(e)</v>
      </c>
      <c r="L238" s="15" t="str">
        <f t="shared" si="79"/>
        <v>(f)</v>
      </c>
      <c r="M238" s="182" t="str">
        <f t="shared" si="79"/>
        <v>(g)</v>
      </c>
      <c r="N238" s="182" t="str">
        <f t="shared" si="79"/>
        <v>(h)</v>
      </c>
      <c r="O238" s="182" t="str">
        <f>O$13</f>
        <v>(i)</v>
      </c>
      <c r="P238" s="182" t="str">
        <f t="shared" si="79"/>
        <v>(j)</v>
      </c>
      <c r="Q238" s="182" t="str">
        <f t="shared" si="79"/>
        <v>(k)</v>
      </c>
      <c r="R238" s="182" t="str">
        <f>R$13</f>
        <v>(l)</v>
      </c>
      <c r="S238" s="15" t="str">
        <f>S$13</f>
        <v>(m)</v>
      </c>
      <c r="T238" s="15"/>
      <c r="U238" s="15" t="s">
        <v>683</v>
      </c>
      <c r="V238" s="64"/>
      <c r="X238" s="305"/>
    </row>
    <row r="239" spans="1:24" x14ac:dyDescent="0.2">
      <c r="A239" s="45"/>
      <c r="B239" s="64"/>
      <c r="C239" s="96"/>
      <c r="D239" s="96"/>
      <c r="E239" s="251"/>
      <c r="F239" s="96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1"/>
      <c r="V239" s="64"/>
      <c r="X239" s="305">
        <f t="shared" si="71"/>
        <v>0</v>
      </c>
    </row>
    <row r="240" spans="1:24" ht="15" x14ac:dyDescent="0.25">
      <c r="A240" s="45"/>
      <c r="B240" s="16">
        <f>B239+1</f>
        <v>1</v>
      </c>
      <c r="C240" s="8"/>
      <c r="D240" s="8" t="s">
        <v>511</v>
      </c>
      <c r="E240" s="19"/>
      <c r="F240" s="8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8"/>
      <c r="V240" s="64"/>
      <c r="X240" s="305">
        <f t="shared" si="71"/>
        <v>0</v>
      </c>
    </row>
    <row r="241" spans="1:24" x14ac:dyDescent="0.2">
      <c r="A241" s="45"/>
      <c r="B241" s="16">
        <f>B240+1</f>
        <v>2</v>
      </c>
      <c r="C241" s="1" t="s">
        <v>512</v>
      </c>
      <c r="D241" s="1" t="s">
        <v>111</v>
      </c>
      <c r="E241" s="16"/>
      <c r="F241" s="97">
        <f>' WP II-I-1.4'!L241</f>
        <v>0</v>
      </c>
      <c r="G241" s="38" t="s">
        <v>751</v>
      </c>
      <c r="H241" s="45" t="s">
        <v>303</v>
      </c>
      <c r="I241" s="16"/>
      <c r="J241" s="370">
        <f>'II-I-DIST'!J241+'II-I-MET'!J241+'II-I-TBILLTDCS'!J241</f>
        <v>0</v>
      </c>
      <c r="K241" s="370">
        <f>'II-I-DIST'!K241+'II-I-MET'!K241+'II-I-TBILLTDCS'!K241</f>
        <v>0</v>
      </c>
      <c r="L241" s="370">
        <f>'II-I-DIST'!L241+'II-I-MET'!L241+'II-I-TBILLTDCS'!L241</f>
        <v>0</v>
      </c>
      <c r="M241" s="370">
        <f>'II-I-DIST'!M241+'II-I-MET'!M241+'II-I-TBILLTDCS'!M241</f>
        <v>0</v>
      </c>
      <c r="N241" s="370">
        <f>'II-I-DIST'!N241+'II-I-MET'!N241+'II-I-TBILLTDCS'!N241</f>
        <v>0</v>
      </c>
      <c r="O241" s="370">
        <f>'II-I-DIST'!O241+'II-I-MET'!O241+'II-I-TBILLTDCS'!O241</f>
        <v>0</v>
      </c>
      <c r="P241" s="370">
        <f>'II-I-DIST'!P241+'II-I-MET'!P241+'II-I-TBILLTDCS'!P241</f>
        <v>0</v>
      </c>
      <c r="Q241" s="370">
        <f>'II-I-DIST'!Q241+'II-I-MET'!Q241+'II-I-TBILLTDCS'!Q241</f>
        <v>0</v>
      </c>
      <c r="R241" s="370">
        <f>'II-I-DIST'!R241+'II-I-MET'!R241+'II-I-TBILLTDCS'!R241</f>
        <v>0</v>
      </c>
      <c r="S241" s="370">
        <f>'II-I-DIST'!S241+'II-I-MET'!S241+'II-I-TBILLTDCS'!S241</f>
        <v>0</v>
      </c>
      <c r="T241" s="16"/>
      <c r="U241" s="97">
        <f>SUM(I241:T241)</f>
        <v>0</v>
      </c>
      <c r="V241" s="64"/>
      <c r="X241" s="305">
        <f t="shared" si="71"/>
        <v>0</v>
      </c>
    </row>
    <row r="242" spans="1:24" ht="15" x14ac:dyDescent="0.25">
      <c r="A242" s="45"/>
      <c r="B242" s="16">
        <f>B241+1</f>
        <v>3</v>
      </c>
      <c r="C242" s="1"/>
      <c r="D242" s="233" t="s">
        <v>444</v>
      </c>
      <c r="E242" s="19"/>
      <c r="F242" s="21">
        <f>+F241</f>
        <v>0</v>
      </c>
      <c r="G242" s="19"/>
      <c r="H242" s="19"/>
      <c r="I242" s="19"/>
      <c r="J242" s="21">
        <f t="shared" ref="J242:Q242" si="80">+J241</f>
        <v>0</v>
      </c>
      <c r="K242" s="21">
        <f t="shared" si="80"/>
        <v>0</v>
      </c>
      <c r="L242" s="21">
        <f t="shared" si="80"/>
        <v>0</v>
      </c>
      <c r="M242" s="21">
        <f t="shared" si="80"/>
        <v>0</v>
      </c>
      <c r="N242" s="21">
        <f t="shared" si="80"/>
        <v>0</v>
      </c>
      <c r="O242" s="21">
        <f>+O241</f>
        <v>0</v>
      </c>
      <c r="P242" s="21">
        <f t="shared" si="80"/>
        <v>0</v>
      </c>
      <c r="Q242" s="21">
        <f t="shared" si="80"/>
        <v>0</v>
      </c>
      <c r="R242" s="21">
        <f>+R241</f>
        <v>0</v>
      </c>
      <c r="S242" s="21">
        <f>+S241</f>
        <v>0</v>
      </c>
      <c r="T242" s="19"/>
      <c r="U242" s="235">
        <f>SUM(I242:T242)</f>
        <v>0</v>
      </c>
      <c r="V242" s="64"/>
      <c r="W242" s="1099" t="b">
        <f>' WP II-I-1.4'!$L$242=F242</f>
        <v>1</v>
      </c>
      <c r="X242" s="305">
        <f t="shared" si="71"/>
        <v>0</v>
      </c>
    </row>
    <row r="243" spans="1:24" ht="15.75" thickBot="1" x14ac:dyDescent="0.3">
      <c r="A243" s="45"/>
      <c r="B243" s="16">
        <f>B242+1</f>
        <v>4</v>
      </c>
      <c r="C243" s="1"/>
      <c r="D243" s="1"/>
      <c r="E243" s="19"/>
      <c r="F243" s="18"/>
      <c r="G243" s="19"/>
      <c r="H243" s="19"/>
      <c r="I243" s="19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9"/>
      <c r="U243" s="8"/>
      <c r="V243" s="64"/>
      <c r="X243" s="305">
        <f t="shared" si="71"/>
        <v>0</v>
      </c>
    </row>
    <row r="244" spans="1:24" ht="15.75" thickBot="1" x14ac:dyDescent="0.3">
      <c r="A244" s="45"/>
      <c r="B244" s="16">
        <f>B243+1</f>
        <v>5</v>
      </c>
      <c r="C244" s="223" t="s">
        <v>513</v>
      </c>
      <c r="D244" s="224"/>
      <c r="E244" s="252" t="s">
        <v>112</v>
      </c>
      <c r="F244" s="194">
        <f>+F242</f>
        <v>0</v>
      </c>
      <c r="G244" s="252"/>
      <c r="H244" s="379"/>
      <c r="I244" s="380"/>
      <c r="J244" s="381">
        <f t="shared" ref="J244:Q244" si="81">+J242</f>
        <v>0</v>
      </c>
      <c r="K244" s="812">
        <f t="shared" si="81"/>
        <v>0</v>
      </c>
      <c r="L244" s="812">
        <f t="shared" si="81"/>
        <v>0</v>
      </c>
      <c r="M244" s="812">
        <f t="shared" si="81"/>
        <v>0</v>
      </c>
      <c r="N244" s="812">
        <f t="shared" si="81"/>
        <v>0</v>
      </c>
      <c r="O244" s="812">
        <f>+O242</f>
        <v>0</v>
      </c>
      <c r="P244" s="812">
        <f t="shared" si="81"/>
        <v>0</v>
      </c>
      <c r="Q244" s="812">
        <f t="shared" si="81"/>
        <v>0</v>
      </c>
      <c r="R244" s="812">
        <f>+R242</f>
        <v>0</v>
      </c>
      <c r="S244" s="315">
        <f>+S242</f>
        <v>0</v>
      </c>
      <c r="T244" s="380"/>
      <c r="U244" s="195">
        <f>SUM(I244:T244)</f>
        <v>0</v>
      </c>
      <c r="V244" s="64"/>
      <c r="X244" s="305">
        <f t="shared" si="71"/>
        <v>0</v>
      </c>
    </row>
    <row r="245" spans="1:24" ht="15" thickBot="1" x14ac:dyDescent="0.25">
      <c r="A245" s="45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X245" s="305">
        <f t="shared" si="71"/>
        <v>0</v>
      </c>
    </row>
    <row r="246" spans="1:24" ht="15" x14ac:dyDescent="0.25">
      <c r="A246" s="45"/>
      <c r="B246" s="829" t="str">
        <f>+$B$4</f>
        <v>2025 RATE CASE</v>
      </c>
      <c r="C246" s="844"/>
      <c r="D246" s="868"/>
      <c r="E246" s="64"/>
      <c r="F246" s="64"/>
      <c r="G246" s="64"/>
      <c r="H246" s="105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105"/>
      <c r="V246" s="105"/>
      <c r="X246" s="305"/>
    </row>
    <row r="247" spans="1:24" ht="15" x14ac:dyDescent="0.25">
      <c r="A247" s="229"/>
      <c r="B247" s="826" t="str">
        <f>+$B$5</f>
        <v>ONCOR ELECTRIC DELIVERY COMPANY LLC</v>
      </c>
      <c r="C247" s="8"/>
      <c r="D247" s="869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105"/>
      <c r="V247" s="64"/>
      <c r="X247" s="305">
        <f t="shared" si="71"/>
        <v>0</v>
      </c>
    </row>
    <row r="248" spans="1:24" ht="15" x14ac:dyDescent="0.25">
      <c r="A248" s="45"/>
      <c r="B248" s="826" t="str">
        <f>+$B$6</f>
        <v>II-I-1-TOT:  CLASS REVENUE REQUIREMENT</v>
      </c>
      <c r="C248" s="82"/>
      <c r="D248" s="830"/>
      <c r="E248" s="64"/>
      <c r="F248" s="11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11"/>
      <c r="V248" s="64"/>
      <c r="X248" s="305">
        <f t="shared" si="71"/>
        <v>0</v>
      </c>
    </row>
    <row r="249" spans="1:24" ht="15" x14ac:dyDescent="0.25">
      <c r="A249" s="45"/>
      <c r="B249" s="341" t="str">
        <f>+$B$7</f>
        <v>TEST YEAR ENDING 12/31/2024</v>
      </c>
      <c r="C249" s="82"/>
      <c r="D249" s="830"/>
      <c r="E249" s="64"/>
      <c r="F249" s="11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11"/>
      <c r="V249" s="64"/>
      <c r="X249" s="305">
        <f t="shared" si="71"/>
        <v>0</v>
      </c>
    </row>
    <row r="250" spans="1:24" ht="15" x14ac:dyDescent="0.25">
      <c r="A250" s="45"/>
      <c r="B250" s="341" t="str">
        <f>+$B$8</f>
        <v>SPONSOR:  MATTHEW A. TROXLE</v>
      </c>
      <c r="C250" s="82"/>
      <c r="D250" s="830"/>
      <c r="E250" s="64"/>
      <c r="F250" s="11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11"/>
      <c r="V250" s="64"/>
      <c r="X250" s="305">
        <f t="shared" si="71"/>
        <v>0</v>
      </c>
    </row>
    <row r="251" spans="1:24" ht="15.75" thickBot="1" x14ac:dyDescent="0.3">
      <c r="A251" s="45"/>
      <c r="B251" s="345"/>
      <c r="C251" s="843"/>
      <c r="D251" s="839"/>
      <c r="E251" s="64"/>
      <c r="F251" s="11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11"/>
      <c r="V251" s="64"/>
      <c r="W251" s="101"/>
      <c r="X251" s="305">
        <f t="shared" si="71"/>
        <v>0</v>
      </c>
    </row>
    <row r="252" spans="1:24" ht="15" thickBot="1" x14ac:dyDescent="0.25">
      <c r="A252" s="45"/>
      <c r="B252" s="12"/>
      <c r="C252" s="13"/>
      <c r="D252" s="13"/>
      <c r="E252" s="13"/>
      <c r="F252" s="12"/>
      <c r="G252" s="13"/>
      <c r="H252" s="13"/>
      <c r="I252" s="13"/>
      <c r="J252" s="177"/>
      <c r="K252" s="177"/>
      <c r="L252" s="13"/>
      <c r="M252" s="177"/>
      <c r="N252" s="177"/>
      <c r="O252" s="177"/>
      <c r="P252" s="177"/>
      <c r="Q252" s="13"/>
      <c r="R252" s="328" t="str">
        <f>R$10</f>
        <v xml:space="preserve"> </v>
      </c>
      <c r="S252" s="329"/>
      <c r="T252" s="177"/>
      <c r="U252" s="12"/>
      <c r="V252" s="64"/>
      <c r="W252" s="101"/>
      <c r="X252" s="305">
        <f t="shared" si="71"/>
        <v>0</v>
      </c>
    </row>
    <row r="253" spans="1:24" ht="15" x14ac:dyDescent="0.25">
      <c r="A253" s="45"/>
      <c r="B253" s="14" t="s">
        <v>2</v>
      </c>
      <c r="C253" s="14" t="s">
        <v>349</v>
      </c>
      <c r="D253" s="226" t="s">
        <v>514</v>
      </c>
      <c r="E253" s="14" t="s">
        <v>350</v>
      </c>
      <c r="F253" s="226" t="str">
        <f>F$11</f>
        <v>TOTAL</v>
      </c>
      <c r="G253" s="181" t="s">
        <v>688</v>
      </c>
      <c r="H253" s="181" t="s">
        <v>355</v>
      </c>
      <c r="I253" s="14"/>
      <c r="J253" s="181" t="s">
        <v>679</v>
      </c>
      <c r="K253" s="181" t="s">
        <v>388</v>
      </c>
      <c r="L253" s="14" t="s">
        <v>388</v>
      </c>
      <c r="M253" s="181" t="s">
        <v>389</v>
      </c>
      <c r="N253" s="181" t="s">
        <v>389</v>
      </c>
      <c r="O253" s="181" t="s">
        <v>389</v>
      </c>
      <c r="P253" s="181" t="s">
        <v>390</v>
      </c>
      <c r="Q253" s="14" t="s">
        <v>391</v>
      </c>
      <c r="R253" s="331" t="str">
        <f>R$11</f>
        <v>Wholesale</v>
      </c>
      <c r="S253" s="12" t="str">
        <f>S$11</f>
        <v>Wholesale</v>
      </c>
      <c r="T253" s="181"/>
      <c r="U253" s="14" t="s">
        <v>10</v>
      </c>
      <c r="V253" s="64"/>
      <c r="W253" s="101"/>
      <c r="X253" s="305"/>
    </row>
    <row r="254" spans="1:24" x14ac:dyDescent="0.2">
      <c r="A254" s="45"/>
      <c r="B254" s="14"/>
      <c r="C254" s="14"/>
      <c r="D254" s="14"/>
      <c r="E254" s="14"/>
      <c r="F254" s="14" t="str">
        <f>F$12</f>
        <v>(Dist+Met+Cust)</v>
      </c>
      <c r="G254" s="181" t="s">
        <v>689</v>
      </c>
      <c r="H254" s="181" t="s">
        <v>690</v>
      </c>
      <c r="I254" s="14"/>
      <c r="J254" s="181"/>
      <c r="K254" s="181" t="s">
        <v>680</v>
      </c>
      <c r="L254" s="14" t="s">
        <v>681</v>
      </c>
      <c r="M254" s="181" t="s">
        <v>680</v>
      </c>
      <c r="N254" s="181" t="s">
        <v>681</v>
      </c>
      <c r="O254" s="181" t="s">
        <v>393</v>
      </c>
      <c r="P254" s="181"/>
      <c r="Q254" s="14"/>
      <c r="R254" s="174" t="str">
        <f>R$12</f>
        <v>XFMR</v>
      </c>
      <c r="S254" s="14" t="str">
        <f>S$12</f>
        <v>DLS</v>
      </c>
      <c r="T254" s="181"/>
      <c r="U254" s="14"/>
      <c r="V254" s="64"/>
      <c r="W254" s="101"/>
      <c r="X254" s="305"/>
    </row>
    <row r="255" spans="1:24" ht="15" thickBot="1" x14ac:dyDescent="0.25">
      <c r="A255" s="45"/>
      <c r="B255" s="15"/>
      <c r="C255" s="15"/>
      <c r="D255" s="15"/>
      <c r="E255" s="15"/>
      <c r="F255" s="15" t="s">
        <v>13</v>
      </c>
      <c r="G255" s="15" t="s">
        <v>14</v>
      </c>
      <c r="H255" s="15" t="s">
        <v>15</v>
      </c>
      <c r="I255" s="15"/>
      <c r="J255" s="182" t="str">
        <f t="shared" ref="J255:Q255" si="82">J$13</f>
        <v>(d)</v>
      </c>
      <c r="K255" s="182" t="str">
        <f t="shared" si="82"/>
        <v>(e)</v>
      </c>
      <c r="L255" s="15" t="str">
        <f t="shared" si="82"/>
        <v>(f)</v>
      </c>
      <c r="M255" s="182" t="str">
        <f t="shared" si="82"/>
        <v>(g)</v>
      </c>
      <c r="N255" s="182" t="str">
        <f t="shared" si="82"/>
        <v>(h)</v>
      </c>
      <c r="O255" s="182" t="str">
        <f>O$13</f>
        <v>(i)</v>
      </c>
      <c r="P255" s="182" t="str">
        <f t="shared" si="82"/>
        <v>(j)</v>
      </c>
      <c r="Q255" s="182" t="str">
        <f t="shared" si="82"/>
        <v>(k)</v>
      </c>
      <c r="R255" s="182" t="str">
        <f>R$13</f>
        <v>(l)</v>
      </c>
      <c r="S255" s="15" t="str">
        <f>S$13</f>
        <v>(m)</v>
      </c>
      <c r="T255" s="15"/>
      <c r="U255" s="15" t="s">
        <v>683</v>
      </c>
      <c r="V255" s="64"/>
      <c r="W255" s="101"/>
      <c r="X255" s="305"/>
    </row>
    <row r="256" spans="1:24" x14ac:dyDescent="0.2">
      <c r="A256" s="45"/>
      <c r="B256" s="64"/>
      <c r="C256" s="64"/>
      <c r="D256" s="96"/>
      <c r="E256" s="96"/>
      <c r="F256" s="227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64"/>
      <c r="W256" s="101"/>
      <c r="X256" s="305">
        <f t="shared" si="71"/>
        <v>0</v>
      </c>
    </row>
    <row r="257" spans="1:24" ht="15" x14ac:dyDescent="0.25">
      <c r="A257" s="45"/>
      <c r="B257" s="16">
        <f t="shared" ref="B257:B276" si="83">B256+1</f>
        <v>1</v>
      </c>
      <c r="C257" s="8" t="s">
        <v>515</v>
      </c>
      <c r="D257" s="8"/>
      <c r="E257" s="19" t="s">
        <v>24</v>
      </c>
      <c r="F257" s="20"/>
      <c r="G257" s="19"/>
      <c r="H257" s="19"/>
      <c r="I257" s="19"/>
      <c r="J257" s="961"/>
      <c r="K257" s="961"/>
      <c r="L257" s="961"/>
      <c r="M257" s="961"/>
      <c r="N257" s="961"/>
      <c r="O257" s="961"/>
      <c r="P257" s="961"/>
      <c r="Q257" s="961"/>
      <c r="R257" s="961"/>
      <c r="S257" s="961"/>
      <c r="T257" s="19"/>
      <c r="U257" s="8"/>
      <c r="V257" s="64"/>
      <c r="W257" s="101"/>
      <c r="X257" s="305">
        <f t="shared" si="71"/>
        <v>0</v>
      </c>
    </row>
    <row r="258" spans="1:24" x14ac:dyDescent="0.2">
      <c r="A258" s="45"/>
      <c r="B258" s="16">
        <f t="shared" si="83"/>
        <v>2</v>
      </c>
      <c r="C258" s="1" t="s">
        <v>25</v>
      </c>
      <c r="D258" s="1" t="s">
        <v>26</v>
      </c>
      <c r="E258" s="16"/>
      <c r="F258" s="97">
        <f>' WP II-I-1.4'!L258</f>
        <v>0</v>
      </c>
      <c r="G258" s="16" t="s">
        <v>751</v>
      </c>
      <c r="H258" s="45" t="s">
        <v>303</v>
      </c>
      <c r="I258" s="16"/>
      <c r="J258" s="369">
        <f ca="1">'II-I-DIST'!J258+'II-I-MET'!J258+'II-I-TBILLTDCS'!J258</f>
        <v>0</v>
      </c>
      <c r="K258" s="369">
        <f ca="1">'II-I-DIST'!K258+'II-I-MET'!K258+'II-I-TBILLTDCS'!K258</f>
        <v>0</v>
      </c>
      <c r="L258" s="369">
        <f ca="1">'II-I-DIST'!L258+'II-I-MET'!L258+'II-I-TBILLTDCS'!L258</f>
        <v>0</v>
      </c>
      <c r="M258" s="369">
        <f ca="1">'II-I-DIST'!M258+'II-I-MET'!M258+'II-I-TBILLTDCS'!M258</f>
        <v>0</v>
      </c>
      <c r="N258" s="369">
        <f ca="1">'II-I-DIST'!N258+'II-I-MET'!N258+'II-I-TBILLTDCS'!N258</f>
        <v>0</v>
      </c>
      <c r="O258" s="369">
        <f ca="1">'II-I-DIST'!O258+'II-I-MET'!O258+'II-I-TBILLTDCS'!O258</f>
        <v>0</v>
      </c>
      <c r="P258" s="369">
        <f ca="1">'II-I-DIST'!P258+'II-I-MET'!P258+'II-I-TBILLTDCS'!P258</f>
        <v>0</v>
      </c>
      <c r="Q258" s="369">
        <f ca="1">'II-I-DIST'!Q258+'II-I-MET'!Q258+'II-I-TBILLTDCS'!Q258</f>
        <v>0</v>
      </c>
      <c r="R258" s="369">
        <f ca="1">'II-I-DIST'!R258+'II-I-MET'!R258+'II-I-TBILLTDCS'!R258</f>
        <v>0</v>
      </c>
      <c r="S258" s="369">
        <f ca="1">'II-I-DIST'!S258+'II-I-MET'!S258+'II-I-TBILLTDCS'!S258</f>
        <v>0</v>
      </c>
      <c r="T258" s="16"/>
      <c r="U258" s="97">
        <f ca="1">SUM(I258:T258)</f>
        <v>0</v>
      </c>
      <c r="V258" s="64"/>
      <c r="X258" s="305">
        <f t="shared" ca="1" si="71"/>
        <v>0</v>
      </c>
    </row>
    <row r="259" spans="1:24" x14ac:dyDescent="0.2">
      <c r="A259" s="45"/>
      <c r="B259" s="16">
        <f t="shared" si="83"/>
        <v>3</v>
      </c>
      <c r="C259" s="1" t="s">
        <v>27</v>
      </c>
      <c r="D259" s="1" t="s">
        <v>28</v>
      </c>
      <c r="E259" s="16"/>
      <c r="F259" s="97">
        <f>' WP II-I-1.4'!L259</f>
        <v>0</v>
      </c>
      <c r="G259" s="16" t="s">
        <v>751</v>
      </c>
      <c r="H259" s="45" t="s">
        <v>303</v>
      </c>
      <c r="I259" s="16"/>
      <c r="J259" s="369">
        <f ca="1">'II-I-DIST'!J259+'II-I-MET'!J259+'II-I-TBILLTDCS'!J259</f>
        <v>0</v>
      </c>
      <c r="K259" s="369">
        <f ca="1">'II-I-DIST'!K259+'II-I-MET'!K259+'II-I-TBILLTDCS'!K259</f>
        <v>0</v>
      </c>
      <c r="L259" s="369">
        <f ca="1">'II-I-DIST'!L259+'II-I-MET'!L259+'II-I-TBILLTDCS'!L259</f>
        <v>0</v>
      </c>
      <c r="M259" s="369">
        <f ca="1">'II-I-DIST'!M259+'II-I-MET'!M259+'II-I-TBILLTDCS'!M259</f>
        <v>0</v>
      </c>
      <c r="N259" s="369">
        <f ca="1">'II-I-DIST'!N259+'II-I-MET'!N259+'II-I-TBILLTDCS'!N259</f>
        <v>0</v>
      </c>
      <c r="O259" s="369">
        <f ca="1">'II-I-DIST'!O259+'II-I-MET'!O259+'II-I-TBILLTDCS'!O259</f>
        <v>0</v>
      </c>
      <c r="P259" s="369">
        <f ca="1">'II-I-DIST'!P259+'II-I-MET'!P259+'II-I-TBILLTDCS'!P259</f>
        <v>0</v>
      </c>
      <c r="Q259" s="369">
        <f ca="1">'II-I-DIST'!Q259+'II-I-MET'!Q259+'II-I-TBILLTDCS'!Q259</f>
        <v>0</v>
      </c>
      <c r="R259" s="369">
        <f ca="1">'II-I-DIST'!R259+'II-I-MET'!R259+'II-I-TBILLTDCS'!R259</f>
        <v>0</v>
      </c>
      <c r="S259" s="369">
        <f ca="1">'II-I-DIST'!S259+'II-I-MET'!S259+'II-I-TBILLTDCS'!S259</f>
        <v>0</v>
      </c>
      <c r="T259" s="16"/>
      <c r="U259" s="97">
        <f ca="1">SUM(I259:T259)</f>
        <v>0</v>
      </c>
      <c r="V259" s="64"/>
      <c r="X259" s="305">
        <f t="shared" ca="1" si="71"/>
        <v>0</v>
      </c>
    </row>
    <row r="260" spans="1:24" x14ac:dyDescent="0.2">
      <c r="A260" s="45"/>
      <c r="B260" s="16">
        <f t="shared" si="83"/>
        <v>4</v>
      </c>
      <c r="C260" s="1" t="s">
        <v>29</v>
      </c>
      <c r="D260" s="1" t="s">
        <v>32</v>
      </c>
      <c r="E260" s="16"/>
      <c r="F260" s="97">
        <f>' WP II-I-1.4'!L260</f>
        <v>3378549.8499999996</v>
      </c>
      <c r="G260" s="16" t="s">
        <v>751</v>
      </c>
      <c r="H260" s="45" t="s">
        <v>303</v>
      </c>
      <c r="I260" s="16"/>
      <c r="J260" s="370">
        <f ca="1">'II-I-DIST'!J260+'II-I-MET'!J260+'II-I-TBILLTDCS'!J260</f>
        <v>1837610.6179236746</v>
      </c>
      <c r="K260" s="370">
        <f ca="1">'II-I-DIST'!K260+'II-I-MET'!K260+'II-I-TBILLTDCS'!K260</f>
        <v>58788.185678665111</v>
      </c>
      <c r="L260" s="370">
        <f ca="1">'II-I-DIST'!L260+'II-I-MET'!L260+'II-I-TBILLTDCS'!L260</f>
        <v>1162154.8648795201</v>
      </c>
      <c r="M260" s="370">
        <f ca="1">'II-I-DIST'!M260+'II-I-MET'!M260+'II-I-TBILLTDCS'!M260</f>
        <v>2402.5330911546671</v>
      </c>
      <c r="N260" s="370">
        <f ca="1">'II-I-DIST'!N260+'II-I-MET'!N260+'II-I-TBILLTDCS'!N260</f>
        <v>226711.24941384164</v>
      </c>
      <c r="O260" s="370">
        <f ca="1">'II-I-DIST'!O260+'II-I-MET'!O260+'II-I-TBILLTDCS'!O260</f>
        <v>25152.737618207557</v>
      </c>
      <c r="P260" s="370">
        <f ca="1">'II-I-DIST'!P260+'II-I-MET'!P260+'II-I-TBILLTDCS'!P260</f>
        <v>5246.3873349843034</v>
      </c>
      <c r="Q260" s="370">
        <f ca="1">'II-I-DIST'!Q260+'II-I-MET'!Q260+'II-I-TBILLTDCS'!Q260</f>
        <v>50488.396853872437</v>
      </c>
      <c r="R260" s="370">
        <f ca="1">'II-I-DIST'!R260+'II-I-MET'!R260+'II-I-TBILLTDCS'!R260</f>
        <v>1760.2275292938677</v>
      </c>
      <c r="S260" s="370">
        <f ca="1">'II-I-DIST'!S260+'II-I-MET'!S260+'II-I-TBILLTDCS'!S260</f>
        <v>8234.649676784662</v>
      </c>
      <c r="T260" s="16"/>
      <c r="U260" s="97">
        <f ca="1">SUM(I260:T260)</f>
        <v>3378549.8499999996</v>
      </c>
      <c r="V260" s="64"/>
      <c r="X260" s="305">
        <f t="shared" ca="1" si="71"/>
        <v>0</v>
      </c>
    </row>
    <row r="261" spans="1:24" ht="15" x14ac:dyDescent="0.25">
      <c r="A261" s="45"/>
      <c r="B261" s="16">
        <f t="shared" si="83"/>
        <v>5</v>
      </c>
      <c r="C261" s="8"/>
      <c r="D261" s="233" t="s">
        <v>444</v>
      </c>
      <c r="E261" s="19"/>
      <c r="F261" s="234">
        <f>SUM(F258:F260)</f>
        <v>3378549.8499999996</v>
      </c>
      <c r="G261" s="16"/>
      <c r="H261" s="16"/>
      <c r="I261" s="903"/>
      <c r="J261" s="816">
        <f ca="1">SUM(J258:J260)</f>
        <v>1837610.6179236746</v>
      </c>
      <c r="K261" s="816">
        <f t="shared" ref="K261:Q261" ca="1" si="84">SUM(K258:K260)</f>
        <v>58788.185678665111</v>
      </c>
      <c r="L261" s="816">
        <f t="shared" ca="1" si="84"/>
        <v>1162154.8648795201</v>
      </c>
      <c r="M261" s="816">
        <f t="shared" ca="1" si="84"/>
        <v>2402.5330911546671</v>
      </c>
      <c r="N261" s="816">
        <f t="shared" ca="1" si="84"/>
        <v>226711.24941384164</v>
      </c>
      <c r="O261" s="816">
        <f ca="1">SUM(O258:O260)</f>
        <v>25152.737618207557</v>
      </c>
      <c r="P261" s="816">
        <f t="shared" ca="1" si="84"/>
        <v>5246.3873349843034</v>
      </c>
      <c r="Q261" s="816">
        <f t="shared" ca="1" si="84"/>
        <v>50488.396853872437</v>
      </c>
      <c r="R261" s="816">
        <f ca="1">SUM(R258:R260)</f>
        <v>1760.2275292938677</v>
      </c>
      <c r="S261" s="816">
        <f ca="1">SUM(S258:S260)</f>
        <v>8234.649676784662</v>
      </c>
      <c r="T261" s="903"/>
      <c r="U261" s="235">
        <f ca="1">SUM(I261:T261)</f>
        <v>3378549.8499999996</v>
      </c>
      <c r="V261" s="64"/>
      <c r="W261" s="1099" t="b">
        <f>' WP II-I-1.4'!$L$261=F261</f>
        <v>1</v>
      </c>
      <c r="X261" s="305">
        <f t="shared" ca="1" si="71"/>
        <v>0</v>
      </c>
    </row>
    <row r="262" spans="1:24" ht="15" x14ac:dyDescent="0.25">
      <c r="A262" s="45"/>
      <c r="B262" s="16">
        <f t="shared" si="83"/>
        <v>6</v>
      </c>
      <c r="C262" s="8" t="s">
        <v>516</v>
      </c>
      <c r="D262" s="8"/>
      <c r="E262" s="19" t="s">
        <v>24</v>
      </c>
      <c r="F262" s="21"/>
      <c r="G262" s="19"/>
      <c r="H262" s="19"/>
      <c r="I262" s="903"/>
      <c r="J262" s="961"/>
      <c r="K262" s="961"/>
      <c r="L262" s="961"/>
      <c r="M262" s="961"/>
      <c r="N262" s="961"/>
      <c r="O262" s="961"/>
      <c r="P262" s="961"/>
      <c r="Q262" s="961"/>
      <c r="R262" s="961"/>
      <c r="S262" s="961"/>
      <c r="T262" s="903"/>
      <c r="U262" s="8"/>
      <c r="V262" s="64"/>
      <c r="X262" s="305">
        <f t="shared" si="71"/>
        <v>0</v>
      </c>
    </row>
    <row r="263" spans="1:24" ht="15" x14ac:dyDescent="0.25">
      <c r="A263" s="45"/>
      <c r="B263" s="16">
        <f t="shared" si="83"/>
        <v>7</v>
      </c>
      <c r="C263" s="1" t="s">
        <v>37</v>
      </c>
      <c r="D263" s="1" t="s">
        <v>38</v>
      </c>
      <c r="E263" s="19"/>
      <c r="F263" s="97">
        <f>' WP II-I-1.4'!L263</f>
        <v>0</v>
      </c>
      <c r="G263" s="16" t="s">
        <v>751</v>
      </c>
      <c r="H263" s="26" t="s">
        <v>303</v>
      </c>
      <c r="I263" s="903"/>
      <c r="J263" s="369">
        <f>'II-I-DIST'!J263+'II-I-MET'!J263+'II-I-TBILLTDCS'!J263</f>
        <v>0</v>
      </c>
      <c r="K263" s="369">
        <f>'II-I-DIST'!K263+'II-I-MET'!K263+'II-I-TBILLTDCS'!K263</f>
        <v>0</v>
      </c>
      <c r="L263" s="369">
        <f>'II-I-DIST'!L263+'II-I-MET'!L263+'II-I-TBILLTDCS'!L263</f>
        <v>0</v>
      </c>
      <c r="M263" s="369">
        <f>'II-I-DIST'!M263+'II-I-MET'!M263+'II-I-TBILLTDCS'!M263</f>
        <v>0</v>
      </c>
      <c r="N263" s="369">
        <f>'II-I-DIST'!N263+'II-I-MET'!N263+'II-I-TBILLTDCS'!N263</f>
        <v>0</v>
      </c>
      <c r="O263" s="369">
        <f>'II-I-DIST'!O263+'II-I-MET'!O263+'II-I-TBILLTDCS'!O263</f>
        <v>0</v>
      </c>
      <c r="P263" s="369">
        <f>'II-I-DIST'!P263+'II-I-MET'!P263+'II-I-TBILLTDCS'!P263</f>
        <v>0</v>
      </c>
      <c r="Q263" s="369">
        <f>'II-I-DIST'!Q263+'II-I-MET'!Q263+'II-I-TBILLTDCS'!Q263</f>
        <v>0</v>
      </c>
      <c r="R263" s="369">
        <f>'II-I-DIST'!R263+'II-I-MET'!R263+'II-I-TBILLTDCS'!R263</f>
        <v>0</v>
      </c>
      <c r="S263" s="369">
        <f>'II-I-DIST'!S263+'II-I-MET'!S263+'II-I-TBILLTDCS'!S263</f>
        <v>0</v>
      </c>
      <c r="T263" s="903"/>
      <c r="U263" s="97">
        <f t="shared" ref="U263:U276" si="85">SUM(I263:T263)</f>
        <v>0</v>
      </c>
      <c r="V263" s="64"/>
      <c r="X263" s="305">
        <f t="shared" si="71"/>
        <v>0</v>
      </c>
    </row>
    <row r="264" spans="1:24" x14ac:dyDescent="0.2">
      <c r="A264" s="45"/>
      <c r="B264" s="16">
        <f t="shared" si="83"/>
        <v>8</v>
      </c>
      <c r="C264" s="1" t="s">
        <v>39</v>
      </c>
      <c r="D264" s="1" t="s">
        <v>40</v>
      </c>
      <c r="E264" s="16"/>
      <c r="F264" s="97">
        <f>' WP II-I-1.4'!L264</f>
        <v>0</v>
      </c>
      <c r="G264" s="16" t="s">
        <v>751</v>
      </c>
      <c r="H264" s="26" t="s">
        <v>303</v>
      </c>
      <c r="I264" s="16"/>
      <c r="J264" s="369">
        <f>'II-I-DIST'!J264+'II-I-MET'!J264+'II-I-TBILLTDCS'!J264</f>
        <v>0</v>
      </c>
      <c r="K264" s="369">
        <f>'II-I-DIST'!K264+'II-I-MET'!K264+'II-I-TBILLTDCS'!K264</f>
        <v>0</v>
      </c>
      <c r="L264" s="369">
        <f>'II-I-DIST'!L264+'II-I-MET'!L264+'II-I-TBILLTDCS'!L264</f>
        <v>0</v>
      </c>
      <c r="M264" s="369">
        <f>'II-I-DIST'!M264+'II-I-MET'!M264+'II-I-TBILLTDCS'!M264</f>
        <v>0</v>
      </c>
      <c r="N264" s="369">
        <f>'II-I-DIST'!N264+'II-I-MET'!N264+'II-I-TBILLTDCS'!N264</f>
        <v>0</v>
      </c>
      <c r="O264" s="369">
        <f>'II-I-DIST'!O264+'II-I-MET'!O264+'II-I-TBILLTDCS'!O264</f>
        <v>0</v>
      </c>
      <c r="P264" s="369">
        <f>'II-I-DIST'!P264+'II-I-MET'!P264+'II-I-TBILLTDCS'!P264</f>
        <v>0</v>
      </c>
      <c r="Q264" s="369">
        <f>'II-I-DIST'!Q264+'II-I-MET'!Q264+'II-I-TBILLTDCS'!Q264</f>
        <v>0</v>
      </c>
      <c r="R264" s="369">
        <f>'II-I-DIST'!R264+'II-I-MET'!R264+'II-I-TBILLTDCS'!R264</f>
        <v>0</v>
      </c>
      <c r="S264" s="369">
        <f>'II-I-DIST'!S264+'II-I-MET'!S264+'II-I-TBILLTDCS'!S264</f>
        <v>0</v>
      </c>
      <c r="T264" s="16"/>
      <c r="U264" s="97">
        <f t="shared" si="85"/>
        <v>0</v>
      </c>
      <c r="V264" s="64"/>
      <c r="X264" s="305">
        <f t="shared" si="71"/>
        <v>0</v>
      </c>
    </row>
    <row r="265" spans="1:24" x14ac:dyDescent="0.2">
      <c r="A265" s="45"/>
      <c r="B265" s="16">
        <f t="shared" si="83"/>
        <v>9</v>
      </c>
      <c r="C265" s="1" t="s">
        <v>1229</v>
      </c>
      <c r="D265" s="1" t="s">
        <v>1230</v>
      </c>
      <c r="E265" s="16"/>
      <c r="F265" s="97">
        <f>' WP II-I-1.4'!L265</f>
        <v>0</v>
      </c>
      <c r="G265" s="16" t="s">
        <v>751</v>
      </c>
      <c r="H265" s="26" t="s">
        <v>303</v>
      </c>
      <c r="I265" s="16"/>
      <c r="J265" s="369">
        <f ca="1">'II-I-DIST'!J265+'II-I-MET'!J265+'II-I-TBILLTDCS'!J265</f>
        <v>0</v>
      </c>
      <c r="K265" s="369">
        <f ca="1">'II-I-DIST'!K265+'II-I-MET'!K265+'II-I-TBILLTDCS'!K265</f>
        <v>0</v>
      </c>
      <c r="L265" s="369">
        <f ca="1">'II-I-DIST'!L265+'II-I-MET'!L265+'II-I-TBILLTDCS'!L265</f>
        <v>0</v>
      </c>
      <c r="M265" s="369">
        <f ca="1">'II-I-DIST'!M265+'II-I-MET'!M265+'II-I-TBILLTDCS'!M265</f>
        <v>0</v>
      </c>
      <c r="N265" s="369">
        <f ca="1">'II-I-DIST'!N265+'II-I-MET'!N265+'II-I-TBILLTDCS'!N265</f>
        <v>0</v>
      </c>
      <c r="O265" s="369">
        <f ca="1">'II-I-DIST'!O265+'II-I-MET'!O265+'II-I-TBILLTDCS'!O265</f>
        <v>0</v>
      </c>
      <c r="P265" s="369">
        <f ca="1">'II-I-DIST'!P265+'II-I-MET'!P265+'II-I-TBILLTDCS'!P265</f>
        <v>0</v>
      </c>
      <c r="Q265" s="369">
        <f ca="1">'II-I-DIST'!Q265+'II-I-MET'!Q265+'II-I-TBILLTDCS'!Q265</f>
        <v>0</v>
      </c>
      <c r="R265" s="369">
        <f ca="1">'II-I-DIST'!R265+'II-I-MET'!R265+'II-I-TBILLTDCS'!R265</f>
        <v>0</v>
      </c>
      <c r="S265" s="369">
        <f ca="1">'II-I-DIST'!S265+'II-I-MET'!S265+'II-I-TBILLTDCS'!S265</f>
        <v>0</v>
      </c>
      <c r="T265" s="16"/>
      <c r="U265" s="229">
        <f ca="1">SUM(J265:T265)</f>
        <v>0</v>
      </c>
      <c r="V265" s="64"/>
      <c r="X265" s="305">
        <f t="shared" ca="1" si="71"/>
        <v>0</v>
      </c>
    </row>
    <row r="266" spans="1:24" x14ac:dyDescent="0.2">
      <c r="A266" s="45"/>
      <c r="B266" s="16">
        <f t="shared" si="83"/>
        <v>10</v>
      </c>
      <c r="C266" s="1" t="s">
        <v>1231</v>
      </c>
      <c r="D266" s="1" t="s">
        <v>1232</v>
      </c>
      <c r="E266" s="16"/>
      <c r="F266" s="97">
        <f>' WP II-I-1.4'!L266</f>
        <v>0</v>
      </c>
      <c r="G266" s="16" t="s">
        <v>751</v>
      </c>
      <c r="H266" s="26" t="s">
        <v>303</v>
      </c>
      <c r="I266" s="16"/>
      <c r="J266" s="369">
        <f ca="1">'II-I-DIST'!J266+'II-I-MET'!J266+'II-I-TBILLTDCS'!J266</f>
        <v>0</v>
      </c>
      <c r="K266" s="369">
        <f ca="1">'II-I-DIST'!K266+'II-I-MET'!K266+'II-I-TBILLTDCS'!K266</f>
        <v>0</v>
      </c>
      <c r="L266" s="369">
        <f ca="1">'II-I-DIST'!L266+'II-I-MET'!L266+'II-I-TBILLTDCS'!L266</f>
        <v>0</v>
      </c>
      <c r="M266" s="369">
        <f ca="1">'II-I-DIST'!M266+'II-I-MET'!M266+'II-I-TBILLTDCS'!M266</f>
        <v>0</v>
      </c>
      <c r="N266" s="369">
        <f ca="1">'II-I-DIST'!N266+'II-I-MET'!N266+'II-I-TBILLTDCS'!N266</f>
        <v>0</v>
      </c>
      <c r="O266" s="369">
        <f ca="1">'II-I-DIST'!O266+'II-I-MET'!O266+'II-I-TBILLTDCS'!O266</f>
        <v>0</v>
      </c>
      <c r="P266" s="369">
        <f ca="1">'II-I-DIST'!P266+'II-I-MET'!P266+'II-I-TBILLTDCS'!P266</f>
        <v>0</v>
      </c>
      <c r="Q266" s="369">
        <f ca="1">'II-I-DIST'!Q266+'II-I-MET'!Q266+'II-I-TBILLTDCS'!Q266</f>
        <v>0</v>
      </c>
      <c r="R266" s="369">
        <f ca="1">'II-I-DIST'!R266+'II-I-MET'!R266+'II-I-TBILLTDCS'!R266</f>
        <v>0</v>
      </c>
      <c r="S266" s="369">
        <f ca="1">'II-I-DIST'!S266+'II-I-MET'!S266+'II-I-TBILLTDCS'!S266</f>
        <v>0</v>
      </c>
      <c r="T266" s="16"/>
      <c r="U266" s="229">
        <f ca="1">SUM(J266:T266)</f>
        <v>0</v>
      </c>
      <c r="V266" s="64"/>
      <c r="X266" s="305"/>
    </row>
    <row r="267" spans="1:24" x14ac:dyDescent="0.2">
      <c r="A267" s="45"/>
      <c r="B267" s="16">
        <f t="shared" si="83"/>
        <v>11</v>
      </c>
      <c r="C267" s="1" t="s">
        <v>1233</v>
      </c>
      <c r="D267" s="1" t="s">
        <v>103</v>
      </c>
      <c r="E267" s="16"/>
      <c r="F267" s="97">
        <f>' WP II-I-1.4'!L267</f>
        <v>0</v>
      </c>
      <c r="G267" s="16" t="s">
        <v>751</v>
      </c>
      <c r="H267" s="26" t="s">
        <v>303</v>
      </c>
      <c r="I267" s="16"/>
      <c r="J267" s="369">
        <f ca="1">'II-I-DIST'!J267+'II-I-MET'!J267+'II-I-TBILLTDCS'!J267</f>
        <v>0</v>
      </c>
      <c r="K267" s="369">
        <f ca="1">'II-I-DIST'!K267+'II-I-MET'!K267+'II-I-TBILLTDCS'!K267</f>
        <v>0</v>
      </c>
      <c r="L267" s="369">
        <f ca="1">'II-I-DIST'!L267+'II-I-MET'!L267+'II-I-TBILLTDCS'!L267</f>
        <v>0</v>
      </c>
      <c r="M267" s="369">
        <f ca="1">'II-I-DIST'!M267+'II-I-MET'!M267+'II-I-TBILLTDCS'!M267</f>
        <v>0</v>
      </c>
      <c r="N267" s="369">
        <f ca="1">'II-I-DIST'!N267+'II-I-MET'!N267+'II-I-TBILLTDCS'!N267</f>
        <v>0</v>
      </c>
      <c r="O267" s="369">
        <f ca="1">'II-I-DIST'!O267+'II-I-MET'!O267+'II-I-TBILLTDCS'!O267</f>
        <v>0</v>
      </c>
      <c r="P267" s="369">
        <f ca="1">'II-I-DIST'!P267+'II-I-MET'!P267+'II-I-TBILLTDCS'!P267</f>
        <v>0</v>
      </c>
      <c r="Q267" s="369">
        <f ca="1">'II-I-DIST'!Q267+'II-I-MET'!Q267+'II-I-TBILLTDCS'!Q267</f>
        <v>0</v>
      </c>
      <c r="R267" s="369">
        <f ca="1">'II-I-DIST'!R267+'II-I-MET'!R267+'II-I-TBILLTDCS'!R267</f>
        <v>0</v>
      </c>
      <c r="S267" s="369">
        <f ca="1">'II-I-DIST'!S267+'II-I-MET'!S267+'II-I-TBILLTDCS'!S267</f>
        <v>0</v>
      </c>
      <c r="T267" s="16"/>
      <c r="U267" s="229">
        <f ca="1">SUM(J267:T267)</f>
        <v>0</v>
      </c>
      <c r="V267" s="64"/>
      <c r="X267" s="305"/>
    </row>
    <row r="268" spans="1:24" ht="13.5" customHeight="1" x14ac:dyDescent="0.2">
      <c r="A268" s="45"/>
      <c r="B268" s="16">
        <f t="shared" si="83"/>
        <v>12</v>
      </c>
      <c r="C268" s="1" t="s">
        <v>41</v>
      </c>
      <c r="D268" s="1" t="s">
        <v>42</v>
      </c>
      <c r="E268" s="16"/>
      <c r="F268" s="97">
        <f>' WP II-I-1.4'!L268</f>
        <v>0</v>
      </c>
      <c r="G268" s="16" t="s">
        <v>751</v>
      </c>
      <c r="H268" s="26" t="s">
        <v>303</v>
      </c>
      <c r="I268" s="16"/>
      <c r="J268" s="369">
        <f>'II-I-DIST'!J268+'II-I-MET'!J268+'II-I-TBILLTDCS'!J268</f>
        <v>0</v>
      </c>
      <c r="K268" s="369">
        <f>'II-I-DIST'!K268+'II-I-MET'!K268+'II-I-TBILLTDCS'!K268</f>
        <v>0</v>
      </c>
      <c r="L268" s="369">
        <f>'II-I-DIST'!L268+'II-I-MET'!L268+'II-I-TBILLTDCS'!L268</f>
        <v>0</v>
      </c>
      <c r="M268" s="369">
        <f>'II-I-DIST'!M268+'II-I-MET'!M268+'II-I-TBILLTDCS'!M268</f>
        <v>0</v>
      </c>
      <c r="N268" s="369">
        <f>'II-I-DIST'!N268+'II-I-MET'!N268+'II-I-TBILLTDCS'!N268</f>
        <v>0</v>
      </c>
      <c r="O268" s="369">
        <f>'II-I-DIST'!O268+'II-I-MET'!O268+'II-I-TBILLTDCS'!O268</f>
        <v>0</v>
      </c>
      <c r="P268" s="369">
        <f>'II-I-DIST'!P268+'II-I-MET'!P268+'II-I-TBILLTDCS'!P268</f>
        <v>0</v>
      </c>
      <c r="Q268" s="369">
        <f>'II-I-DIST'!Q268+'II-I-MET'!Q268+'II-I-TBILLTDCS'!Q268</f>
        <v>0</v>
      </c>
      <c r="R268" s="369">
        <f>'II-I-DIST'!R268+'II-I-MET'!R268+'II-I-TBILLTDCS'!R268</f>
        <v>0</v>
      </c>
      <c r="S268" s="369">
        <f>'II-I-DIST'!S268+'II-I-MET'!S268+'II-I-TBILLTDCS'!S268</f>
        <v>0</v>
      </c>
      <c r="T268" s="16"/>
      <c r="U268" s="97">
        <f t="shared" si="85"/>
        <v>0</v>
      </c>
      <c r="V268" s="64"/>
      <c r="X268" s="305">
        <f t="shared" si="71"/>
        <v>0</v>
      </c>
    </row>
    <row r="269" spans="1:24" x14ac:dyDescent="0.2">
      <c r="A269" s="45"/>
      <c r="B269" s="16">
        <f t="shared" si="83"/>
        <v>13</v>
      </c>
      <c r="C269" s="1" t="s">
        <v>43</v>
      </c>
      <c r="D269" s="1" t="s">
        <v>44</v>
      </c>
      <c r="E269" s="16"/>
      <c r="F269" s="97">
        <f>' WP II-I-1.4'!L269</f>
        <v>134427843.09999999</v>
      </c>
      <c r="G269" s="16" t="s">
        <v>751</v>
      </c>
      <c r="H269" s="26" t="s">
        <v>303</v>
      </c>
      <c r="I269" s="16"/>
      <c r="J269" s="369">
        <f>'II-I-DIST'!J269+'II-I-MET'!J269+'II-I-TBILLTDCS'!J269</f>
        <v>68930095.46772176</v>
      </c>
      <c r="K269" s="369">
        <f>'II-I-DIST'!K269+'II-I-MET'!K269+'II-I-TBILLTDCS'!K269</f>
        <v>1302273.3541013361</v>
      </c>
      <c r="L269" s="369">
        <f>'II-I-DIST'!L269+'II-I-MET'!L269+'II-I-TBILLTDCS'!L269</f>
        <v>44274091.403245762</v>
      </c>
      <c r="M269" s="369">
        <f>'II-I-DIST'!M269+'II-I-MET'!M269+'II-I-TBILLTDCS'!M269</f>
        <v>20717.650253388463</v>
      </c>
      <c r="N269" s="369">
        <f>'II-I-DIST'!N269+'II-I-MET'!N269+'II-I-TBILLTDCS'!N269</f>
        <v>13022847.257089725</v>
      </c>
      <c r="O269" s="369">
        <f>'II-I-DIST'!O269+'II-I-MET'!O269+'II-I-TBILLTDCS'!O269</f>
        <v>5597476.0834179716</v>
      </c>
      <c r="P269" s="369">
        <f>'II-I-DIST'!P269+'II-I-MET'!P269+'II-I-TBILLTDCS'!P269</f>
        <v>0</v>
      </c>
      <c r="Q269" s="369">
        <f>'II-I-DIST'!Q269+'II-I-MET'!Q269+'II-I-TBILLTDCS'!Q269</f>
        <v>393732.55578838981</v>
      </c>
      <c r="R269" s="369">
        <f>'II-I-DIST'!R269+'II-I-MET'!R269+'II-I-TBILLTDCS'!R269</f>
        <v>386919.41536830115</v>
      </c>
      <c r="S269" s="369">
        <f>'II-I-DIST'!S269+'II-I-MET'!S269+'II-I-TBILLTDCS'!S269</f>
        <v>499689.91301333852</v>
      </c>
      <c r="T269" s="16"/>
      <c r="U269" s="97">
        <f t="shared" si="85"/>
        <v>134427843.09999993</v>
      </c>
      <c r="V269" s="64"/>
      <c r="X269" s="305">
        <f t="shared" si="71"/>
        <v>0</v>
      </c>
    </row>
    <row r="270" spans="1:24" x14ac:dyDescent="0.2">
      <c r="A270" s="45"/>
      <c r="B270" s="16">
        <f t="shared" si="83"/>
        <v>14</v>
      </c>
      <c r="C270" s="1" t="s">
        <v>45</v>
      </c>
      <c r="D270" s="1" t="s">
        <v>46</v>
      </c>
      <c r="E270" s="16"/>
      <c r="F270" s="97">
        <f>' WP II-I-1.4'!L270</f>
        <v>0</v>
      </c>
      <c r="G270" s="16" t="s">
        <v>751</v>
      </c>
      <c r="H270" s="26" t="s">
        <v>303</v>
      </c>
      <c r="I270" s="16"/>
      <c r="J270" s="369">
        <f>'II-I-DIST'!J270+'II-I-MET'!J270+'II-I-TBILLTDCS'!J270</f>
        <v>0</v>
      </c>
      <c r="K270" s="369">
        <f>'II-I-DIST'!K270+'II-I-MET'!K270+'II-I-TBILLTDCS'!K270</f>
        <v>0</v>
      </c>
      <c r="L270" s="369">
        <f>'II-I-DIST'!L270+'II-I-MET'!L270+'II-I-TBILLTDCS'!L270</f>
        <v>0</v>
      </c>
      <c r="M270" s="369">
        <f>'II-I-DIST'!M270+'II-I-MET'!M270+'II-I-TBILLTDCS'!M270</f>
        <v>0</v>
      </c>
      <c r="N270" s="369">
        <f>'II-I-DIST'!N270+'II-I-MET'!N270+'II-I-TBILLTDCS'!N270</f>
        <v>0</v>
      </c>
      <c r="O270" s="369">
        <f>'II-I-DIST'!O270+'II-I-MET'!O270+'II-I-TBILLTDCS'!O270</f>
        <v>0</v>
      </c>
      <c r="P270" s="369">
        <f>'II-I-DIST'!P270+'II-I-MET'!P270+'II-I-TBILLTDCS'!P270</f>
        <v>0</v>
      </c>
      <c r="Q270" s="369">
        <f>'II-I-DIST'!Q270+'II-I-MET'!Q270+'II-I-TBILLTDCS'!Q270</f>
        <v>0</v>
      </c>
      <c r="R270" s="369">
        <f>'II-I-DIST'!R270+'II-I-MET'!R270+'II-I-TBILLTDCS'!R270</f>
        <v>0</v>
      </c>
      <c r="S270" s="369">
        <f>'II-I-DIST'!S270+'II-I-MET'!S270+'II-I-TBILLTDCS'!S270</f>
        <v>0</v>
      </c>
      <c r="T270" s="16"/>
      <c r="U270" s="97">
        <f t="shared" si="85"/>
        <v>0</v>
      </c>
      <c r="V270" s="64"/>
      <c r="X270" s="305">
        <f t="shared" si="71"/>
        <v>0</v>
      </c>
    </row>
    <row r="271" spans="1:24" x14ac:dyDescent="0.2">
      <c r="A271" s="45"/>
      <c r="B271" s="16">
        <f t="shared" si="83"/>
        <v>15</v>
      </c>
      <c r="C271" s="1" t="s">
        <v>47</v>
      </c>
      <c r="D271" s="1" t="s">
        <v>48</v>
      </c>
      <c r="E271" s="16"/>
      <c r="F271" s="97">
        <f>' WP II-I-1.4'!L271</f>
        <v>0</v>
      </c>
      <c r="G271" s="16" t="s">
        <v>751</v>
      </c>
      <c r="H271" s="26" t="s">
        <v>303</v>
      </c>
      <c r="I271" s="16"/>
      <c r="J271" s="369">
        <f>'II-I-DIST'!J271+'II-I-MET'!J271+'II-I-TBILLTDCS'!J271</f>
        <v>0</v>
      </c>
      <c r="K271" s="369">
        <f>'II-I-DIST'!K271+'II-I-MET'!K271+'II-I-TBILLTDCS'!K271</f>
        <v>0</v>
      </c>
      <c r="L271" s="369">
        <f>'II-I-DIST'!L271+'II-I-MET'!L271+'II-I-TBILLTDCS'!L271</f>
        <v>0</v>
      </c>
      <c r="M271" s="369">
        <f>'II-I-DIST'!M271+'II-I-MET'!M271+'II-I-TBILLTDCS'!M271</f>
        <v>0</v>
      </c>
      <c r="N271" s="369">
        <f>'II-I-DIST'!N271+'II-I-MET'!N271+'II-I-TBILLTDCS'!N271</f>
        <v>0</v>
      </c>
      <c r="O271" s="369">
        <f>'II-I-DIST'!O271+'II-I-MET'!O271+'II-I-TBILLTDCS'!O271</f>
        <v>0</v>
      </c>
      <c r="P271" s="369">
        <f>'II-I-DIST'!P271+'II-I-MET'!P271+'II-I-TBILLTDCS'!P271</f>
        <v>0</v>
      </c>
      <c r="Q271" s="369">
        <f>'II-I-DIST'!Q271+'II-I-MET'!Q271+'II-I-TBILLTDCS'!Q271</f>
        <v>0</v>
      </c>
      <c r="R271" s="369">
        <f>'II-I-DIST'!R271+'II-I-MET'!R271+'II-I-TBILLTDCS'!R271</f>
        <v>0</v>
      </c>
      <c r="S271" s="369">
        <f>'II-I-DIST'!S271+'II-I-MET'!S271+'II-I-TBILLTDCS'!S271</f>
        <v>0</v>
      </c>
      <c r="T271" s="16"/>
      <c r="U271" s="97">
        <f t="shared" si="85"/>
        <v>0</v>
      </c>
      <c r="V271" s="64"/>
      <c r="X271" s="305">
        <f t="shared" si="71"/>
        <v>0</v>
      </c>
    </row>
    <row r="272" spans="1:24" x14ac:dyDescent="0.2">
      <c r="A272" s="45"/>
      <c r="B272" s="16">
        <f t="shared" si="83"/>
        <v>16</v>
      </c>
      <c r="C272" s="1" t="s">
        <v>49</v>
      </c>
      <c r="D272" s="1" t="s">
        <v>486</v>
      </c>
      <c r="E272" s="16"/>
      <c r="F272" s="97">
        <f>' WP II-I-1.4'!L272</f>
        <v>0</v>
      </c>
      <c r="G272" s="16" t="s">
        <v>751</v>
      </c>
      <c r="H272" s="26" t="s">
        <v>303</v>
      </c>
      <c r="I272" s="16"/>
      <c r="J272" s="369">
        <f>'II-I-DIST'!J272+'II-I-MET'!J272+'II-I-TBILLTDCS'!J272</f>
        <v>0</v>
      </c>
      <c r="K272" s="369">
        <f>'II-I-DIST'!K272+'II-I-MET'!K272+'II-I-TBILLTDCS'!K272</f>
        <v>0</v>
      </c>
      <c r="L272" s="369">
        <f>'II-I-DIST'!L272+'II-I-MET'!L272+'II-I-TBILLTDCS'!L272</f>
        <v>0</v>
      </c>
      <c r="M272" s="369">
        <f>'II-I-DIST'!M272+'II-I-MET'!M272+'II-I-TBILLTDCS'!M272</f>
        <v>0</v>
      </c>
      <c r="N272" s="369">
        <f>'II-I-DIST'!N272+'II-I-MET'!N272+'II-I-TBILLTDCS'!N272</f>
        <v>0</v>
      </c>
      <c r="O272" s="369">
        <f>'II-I-DIST'!O272+'II-I-MET'!O272+'II-I-TBILLTDCS'!O272</f>
        <v>0</v>
      </c>
      <c r="P272" s="369">
        <f>'II-I-DIST'!P272+'II-I-MET'!P272+'II-I-TBILLTDCS'!P272</f>
        <v>0</v>
      </c>
      <c r="Q272" s="369">
        <f>'II-I-DIST'!Q272+'II-I-MET'!Q272+'II-I-TBILLTDCS'!Q272</f>
        <v>0</v>
      </c>
      <c r="R272" s="369">
        <f>'II-I-DIST'!R272+'II-I-MET'!R272+'II-I-TBILLTDCS'!R272</f>
        <v>0</v>
      </c>
      <c r="S272" s="369">
        <f>'II-I-DIST'!S272+'II-I-MET'!S272+'II-I-TBILLTDCS'!S272</f>
        <v>0</v>
      </c>
      <c r="T272" s="16"/>
      <c r="U272" s="97">
        <f t="shared" si="85"/>
        <v>0</v>
      </c>
      <c r="V272" s="64"/>
      <c r="X272" s="305">
        <f t="shared" si="71"/>
        <v>0</v>
      </c>
    </row>
    <row r="273" spans="1:24" x14ac:dyDescent="0.2">
      <c r="A273" s="45"/>
      <c r="B273" s="16">
        <f t="shared" si="83"/>
        <v>17</v>
      </c>
      <c r="C273" s="1" t="s">
        <v>51</v>
      </c>
      <c r="D273" s="647" t="s">
        <v>644</v>
      </c>
      <c r="E273" s="16"/>
      <c r="F273" s="97">
        <f>' WP II-I-1.4'!L273</f>
        <v>0</v>
      </c>
      <c r="G273" s="16" t="s">
        <v>751</v>
      </c>
      <c r="H273" s="26" t="s">
        <v>303</v>
      </c>
      <c r="I273" s="16"/>
      <c r="J273" s="369">
        <f>'II-I-DIST'!J273+'II-I-MET'!J273+'II-I-TBILLTDCS'!J273</f>
        <v>0</v>
      </c>
      <c r="K273" s="369">
        <f>'II-I-DIST'!K273+'II-I-MET'!K273+'II-I-TBILLTDCS'!K273</f>
        <v>0</v>
      </c>
      <c r="L273" s="369">
        <f>'II-I-DIST'!L273+'II-I-MET'!L273+'II-I-TBILLTDCS'!L273</f>
        <v>0</v>
      </c>
      <c r="M273" s="369">
        <f>'II-I-DIST'!M273+'II-I-MET'!M273+'II-I-TBILLTDCS'!M273</f>
        <v>0</v>
      </c>
      <c r="N273" s="369">
        <f>'II-I-DIST'!N273+'II-I-MET'!N273+'II-I-TBILLTDCS'!N273</f>
        <v>0</v>
      </c>
      <c r="O273" s="369">
        <f>'II-I-DIST'!O273+'II-I-MET'!O273+'II-I-TBILLTDCS'!O273</f>
        <v>0</v>
      </c>
      <c r="P273" s="369">
        <f>'II-I-DIST'!P273+'II-I-MET'!P273+'II-I-TBILLTDCS'!P273</f>
        <v>0</v>
      </c>
      <c r="Q273" s="369">
        <f>'II-I-DIST'!Q273+'II-I-MET'!Q273+'II-I-TBILLTDCS'!Q273</f>
        <v>0</v>
      </c>
      <c r="R273" s="369">
        <f>'II-I-DIST'!R273+'II-I-MET'!R273+'II-I-TBILLTDCS'!R273</f>
        <v>0</v>
      </c>
      <c r="S273" s="369">
        <f>'II-I-DIST'!S273+'II-I-MET'!S273+'II-I-TBILLTDCS'!S273</f>
        <v>0</v>
      </c>
      <c r="T273" s="16"/>
      <c r="U273" s="97">
        <f t="shared" si="85"/>
        <v>0</v>
      </c>
      <c r="V273" s="64"/>
      <c r="X273" s="305">
        <f t="shared" si="71"/>
        <v>0</v>
      </c>
    </row>
    <row r="274" spans="1:24" x14ac:dyDescent="0.2">
      <c r="A274" s="45"/>
      <c r="B274" s="16">
        <f t="shared" si="83"/>
        <v>18</v>
      </c>
      <c r="C274" s="1" t="s">
        <v>53</v>
      </c>
      <c r="D274" s="29" t="s">
        <v>487</v>
      </c>
      <c r="E274" s="16"/>
      <c r="F274" s="97">
        <f>' WP II-I-1.4'!L274</f>
        <v>0</v>
      </c>
      <c r="G274" s="16" t="s">
        <v>751</v>
      </c>
      <c r="H274" s="26" t="s">
        <v>303</v>
      </c>
      <c r="I274" s="16"/>
      <c r="J274" s="369">
        <f>'II-I-DIST'!J274+'II-I-MET'!J274+'II-I-TBILLTDCS'!J274</f>
        <v>0</v>
      </c>
      <c r="K274" s="369">
        <f>'II-I-DIST'!K274+'II-I-MET'!K274+'II-I-TBILLTDCS'!K274</f>
        <v>0</v>
      </c>
      <c r="L274" s="369">
        <f>'II-I-DIST'!L274+'II-I-MET'!L274+'II-I-TBILLTDCS'!L274</f>
        <v>0</v>
      </c>
      <c r="M274" s="369">
        <f>'II-I-DIST'!M274+'II-I-MET'!M274+'II-I-TBILLTDCS'!M274</f>
        <v>0</v>
      </c>
      <c r="N274" s="369">
        <f>'II-I-DIST'!N274+'II-I-MET'!N274+'II-I-TBILLTDCS'!N274</f>
        <v>0</v>
      </c>
      <c r="O274" s="369">
        <f>'II-I-DIST'!O274+'II-I-MET'!O274+'II-I-TBILLTDCS'!O274</f>
        <v>0</v>
      </c>
      <c r="P274" s="369">
        <f>'II-I-DIST'!P274+'II-I-MET'!P274+'II-I-TBILLTDCS'!P274</f>
        <v>0</v>
      </c>
      <c r="Q274" s="369">
        <f>'II-I-DIST'!Q274+'II-I-MET'!Q274+'II-I-TBILLTDCS'!Q274</f>
        <v>0</v>
      </c>
      <c r="R274" s="369">
        <f>'II-I-DIST'!R274+'II-I-MET'!R274+'II-I-TBILLTDCS'!R274</f>
        <v>0</v>
      </c>
      <c r="S274" s="369">
        <f>'II-I-DIST'!S274+'II-I-MET'!S274+'II-I-TBILLTDCS'!S274</f>
        <v>0</v>
      </c>
      <c r="T274" s="16"/>
      <c r="U274" s="97">
        <f t="shared" si="85"/>
        <v>0</v>
      </c>
      <c r="V274" s="64"/>
      <c r="X274" s="305">
        <f t="shared" si="71"/>
        <v>0</v>
      </c>
    </row>
    <row r="275" spans="1:24" x14ac:dyDescent="0.2">
      <c r="A275" s="45"/>
      <c r="B275" s="16">
        <f t="shared" si="83"/>
        <v>19</v>
      </c>
      <c r="C275" s="1" t="s">
        <v>55</v>
      </c>
      <c r="D275" s="1" t="s">
        <v>56</v>
      </c>
      <c r="E275" s="16"/>
      <c r="F275" s="97">
        <f>' WP II-I-1.4'!L275</f>
        <v>0</v>
      </c>
      <c r="G275" s="16" t="s">
        <v>751</v>
      </c>
      <c r="H275" s="26" t="s">
        <v>303</v>
      </c>
      <c r="I275" s="16"/>
      <c r="J275" s="370">
        <f>'II-I-DIST'!J275+'II-I-MET'!J275+'II-I-TBILLTDCS'!J275</f>
        <v>0</v>
      </c>
      <c r="K275" s="370">
        <f>'II-I-DIST'!K275+'II-I-MET'!K275+'II-I-TBILLTDCS'!K275</f>
        <v>0</v>
      </c>
      <c r="L275" s="370">
        <f>'II-I-DIST'!L275+'II-I-MET'!L275+'II-I-TBILLTDCS'!L275</f>
        <v>0</v>
      </c>
      <c r="M275" s="370">
        <f>'II-I-DIST'!M275+'II-I-MET'!M275+'II-I-TBILLTDCS'!M275</f>
        <v>0</v>
      </c>
      <c r="N275" s="370">
        <f>'II-I-DIST'!N275+'II-I-MET'!N275+'II-I-TBILLTDCS'!N275</f>
        <v>0</v>
      </c>
      <c r="O275" s="370">
        <f>'II-I-DIST'!O275+'II-I-MET'!O275+'II-I-TBILLTDCS'!O275</f>
        <v>0</v>
      </c>
      <c r="P275" s="370">
        <f>'II-I-DIST'!P275+'II-I-MET'!P275+'II-I-TBILLTDCS'!P275</f>
        <v>0</v>
      </c>
      <c r="Q275" s="370">
        <f>'II-I-DIST'!Q275+'II-I-MET'!Q275+'II-I-TBILLTDCS'!Q275</f>
        <v>0</v>
      </c>
      <c r="R275" s="370">
        <f>'II-I-DIST'!R275+'II-I-MET'!R275+'II-I-TBILLTDCS'!R275</f>
        <v>0</v>
      </c>
      <c r="S275" s="370">
        <f>'II-I-DIST'!S275+'II-I-MET'!S275+'II-I-TBILLTDCS'!S275</f>
        <v>0</v>
      </c>
      <c r="T275" s="16"/>
      <c r="U275" s="97">
        <f t="shared" si="85"/>
        <v>0</v>
      </c>
      <c r="V275" s="64"/>
      <c r="X275" s="305">
        <f t="shared" si="71"/>
        <v>0</v>
      </c>
    </row>
    <row r="276" spans="1:24" ht="15" x14ac:dyDescent="0.25">
      <c r="A276" s="45"/>
      <c r="B276" s="16">
        <f t="shared" si="83"/>
        <v>20</v>
      </c>
      <c r="C276" s="8"/>
      <c r="D276" s="233" t="s">
        <v>488</v>
      </c>
      <c r="E276" s="19"/>
      <c r="F276" s="21">
        <f>SUM(F263:F275)</f>
        <v>134427843.09999999</v>
      </c>
      <c r="G276" s="19"/>
      <c r="H276" s="19"/>
      <c r="I276" s="19"/>
      <c r="J276" s="805">
        <f t="shared" ref="J276:Q276" ca="1" si="86">SUM(J263:J275)</f>
        <v>68930095.46772176</v>
      </c>
      <c r="K276" s="805">
        <f t="shared" ca="1" si="86"/>
        <v>1302273.3541013361</v>
      </c>
      <c r="L276" s="805">
        <f t="shared" ca="1" si="86"/>
        <v>44274091.403245762</v>
      </c>
      <c r="M276" s="805">
        <f t="shared" ca="1" si="86"/>
        <v>20717.650253388463</v>
      </c>
      <c r="N276" s="805">
        <f t="shared" ca="1" si="86"/>
        <v>13022847.257089725</v>
      </c>
      <c r="O276" s="805">
        <f ca="1">SUM(O263:O275)</f>
        <v>5597476.0834179716</v>
      </c>
      <c r="P276" s="805">
        <f t="shared" ca="1" si="86"/>
        <v>0</v>
      </c>
      <c r="Q276" s="805">
        <f t="shared" ca="1" si="86"/>
        <v>393732.55578838981</v>
      </c>
      <c r="R276" s="805">
        <f ca="1">SUM(R263:R275)</f>
        <v>386919.41536830115</v>
      </c>
      <c r="S276" s="805">
        <f ca="1">SUM(S263:S275)</f>
        <v>499689.91301333852</v>
      </c>
      <c r="T276" s="19"/>
      <c r="U276" s="235">
        <f t="shared" ca="1" si="85"/>
        <v>134427843.09999993</v>
      </c>
      <c r="V276" s="64"/>
      <c r="W276" s="1099" t="b">
        <f>' WP II-I-1.4'!$L$276=F276</f>
        <v>1</v>
      </c>
      <c r="X276" s="305">
        <f t="shared" ca="1" si="71"/>
        <v>0</v>
      </c>
    </row>
    <row r="277" spans="1:24" ht="15.75" thickBot="1" x14ac:dyDescent="0.3">
      <c r="A277" s="45"/>
      <c r="B277" s="16"/>
      <c r="C277" s="8"/>
      <c r="D277" s="233"/>
      <c r="E277" s="19"/>
      <c r="F277" s="21"/>
      <c r="G277" s="19"/>
      <c r="H277" s="105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05"/>
      <c r="V277" s="105"/>
      <c r="X277" s="305"/>
    </row>
    <row r="278" spans="1:24" ht="15" x14ac:dyDescent="0.25">
      <c r="A278" s="45"/>
      <c r="B278" s="829" t="str">
        <f>+$B$4</f>
        <v>2025 RATE CASE</v>
      </c>
      <c r="C278" s="844"/>
      <c r="D278" s="551"/>
      <c r="F278" s="64"/>
      <c r="H278" s="105"/>
      <c r="U278" s="105"/>
      <c r="V278" s="105"/>
      <c r="X278" s="305"/>
    </row>
    <row r="279" spans="1:24" ht="15" x14ac:dyDescent="0.25">
      <c r="A279" s="229"/>
      <c r="B279" s="826" t="str">
        <f>+$B$5</f>
        <v>ONCOR ELECTRIC DELIVERY COMPANY LLC</v>
      </c>
      <c r="C279" s="8"/>
      <c r="D279" s="870"/>
      <c r="F279" s="64"/>
      <c r="U279" s="105"/>
      <c r="V279" s="64"/>
      <c r="X279" s="305">
        <f t="shared" si="71"/>
        <v>0</v>
      </c>
    </row>
    <row r="280" spans="1:24" ht="15" x14ac:dyDescent="0.25">
      <c r="A280" s="45"/>
      <c r="B280" s="826" t="str">
        <f>+$B$6</f>
        <v>II-I-1-TOT:  CLASS REVENUE REQUIREMENT</v>
      </c>
      <c r="C280" s="82"/>
      <c r="D280" s="870"/>
      <c r="F280" s="11"/>
      <c r="U280" s="11"/>
      <c r="V280" s="64"/>
      <c r="X280" s="305">
        <f t="shared" si="71"/>
        <v>0</v>
      </c>
    </row>
    <row r="281" spans="1:24" ht="15" x14ac:dyDescent="0.25">
      <c r="A281" s="45"/>
      <c r="B281" s="341" t="str">
        <f>+$B$7</f>
        <v>TEST YEAR ENDING 12/31/2024</v>
      </c>
      <c r="C281" s="82"/>
      <c r="D281" s="870"/>
      <c r="F281" s="11"/>
      <c r="U281" s="11"/>
      <c r="V281" s="64"/>
      <c r="X281" s="305">
        <f t="shared" si="71"/>
        <v>0</v>
      </c>
    </row>
    <row r="282" spans="1:24" ht="15" x14ac:dyDescent="0.25">
      <c r="A282" s="45"/>
      <c r="B282" s="341" t="str">
        <f>+$B$8</f>
        <v>SPONSOR:  MATTHEW A. TROXLE</v>
      </c>
      <c r="C282" s="82"/>
      <c r="D282" s="870"/>
      <c r="F282" s="11"/>
      <c r="U282" s="11"/>
      <c r="V282" s="64"/>
      <c r="X282" s="305">
        <f t="shared" ref="X282:X347" si="87">U282-F282</f>
        <v>0</v>
      </c>
    </row>
    <row r="283" spans="1:24" ht="15.75" thickBot="1" x14ac:dyDescent="0.3">
      <c r="A283" s="45"/>
      <c r="B283" s="345"/>
      <c r="C283" s="843"/>
      <c r="D283" s="871"/>
      <c r="F283" s="11"/>
      <c r="U283" s="11"/>
      <c r="V283" s="64"/>
      <c r="W283" s="101"/>
      <c r="X283" s="305">
        <f t="shared" si="87"/>
        <v>0</v>
      </c>
    </row>
    <row r="284" spans="1:24" ht="15" thickBot="1" x14ac:dyDescent="0.25">
      <c r="A284" s="45"/>
      <c r="B284" s="12"/>
      <c r="C284" s="13"/>
      <c r="D284" s="13"/>
      <c r="E284" s="13"/>
      <c r="F284" s="12"/>
      <c r="G284" s="13"/>
      <c r="H284" s="13"/>
      <c r="I284" s="13"/>
      <c r="J284" s="177"/>
      <c r="K284" s="177"/>
      <c r="L284" s="13"/>
      <c r="M284" s="177"/>
      <c r="N284" s="177"/>
      <c r="O284" s="177"/>
      <c r="P284" s="177"/>
      <c r="Q284" s="13"/>
      <c r="R284" s="328" t="str">
        <f>R$10</f>
        <v xml:space="preserve"> </v>
      </c>
      <c r="S284" s="329"/>
      <c r="T284" s="177"/>
      <c r="U284" s="12"/>
      <c r="V284" s="64"/>
      <c r="W284" s="101"/>
      <c r="X284" s="305">
        <f t="shared" si="87"/>
        <v>0</v>
      </c>
    </row>
    <row r="285" spans="1:24" ht="15" x14ac:dyDescent="0.25">
      <c r="A285" s="45"/>
      <c r="B285" s="14" t="s">
        <v>2</v>
      </c>
      <c r="C285" s="14" t="s">
        <v>349</v>
      </c>
      <c r="D285" s="226" t="s">
        <v>525</v>
      </c>
      <c r="E285" s="14" t="s">
        <v>350</v>
      </c>
      <c r="F285" s="226" t="str">
        <f>F$11</f>
        <v>TOTAL</v>
      </c>
      <c r="G285" s="181" t="s">
        <v>688</v>
      </c>
      <c r="H285" s="181" t="s">
        <v>355</v>
      </c>
      <c r="I285" s="14"/>
      <c r="J285" s="181" t="s">
        <v>679</v>
      </c>
      <c r="K285" s="181" t="s">
        <v>388</v>
      </c>
      <c r="L285" s="14" t="s">
        <v>388</v>
      </c>
      <c r="M285" s="181" t="s">
        <v>389</v>
      </c>
      <c r="N285" s="181" t="s">
        <v>389</v>
      </c>
      <c r="O285" s="181" t="s">
        <v>389</v>
      </c>
      <c r="P285" s="181" t="s">
        <v>390</v>
      </c>
      <c r="Q285" s="14" t="s">
        <v>391</v>
      </c>
      <c r="R285" s="331" t="str">
        <f>R$11</f>
        <v>Wholesale</v>
      </c>
      <c r="S285" s="12" t="str">
        <f>S$11</f>
        <v>Wholesale</v>
      </c>
      <c r="T285" s="181"/>
      <c r="U285" s="14" t="s">
        <v>10</v>
      </c>
      <c r="V285" s="64"/>
      <c r="W285" s="101"/>
      <c r="X285" s="305"/>
    </row>
    <row r="286" spans="1:24" x14ac:dyDescent="0.2">
      <c r="A286" s="45"/>
      <c r="B286" s="14"/>
      <c r="C286" s="14"/>
      <c r="D286" s="14"/>
      <c r="E286" s="14"/>
      <c r="F286" s="14" t="str">
        <f>F$12</f>
        <v>(Dist+Met+Cust)</v>
      </c>
      <c r="G286" s="181" t="s">
        <v>689</v>
      </c>
      <c r="H286" s="181" t="s">
        <v>690</v>
      </c>
      <c r="I286" s="14"/>
      <c r="J286" s="181"/>
      <c r="K286" s="181" t="s">
        <v>680</v>
      </c>
      <c r="L286" s="14" t="s">
        <v>681</v>
      </c>
      <c r="M286" s="181" t="s">
        <v>680</v>
      </c>
      <c r="N286" s="181" t="s">
        <v>681</v>
      </c>
      <c r="O286" s="181" t="s">
        <v>393</v>
      </c>
      <c r="P286" s="181"/>
      <c r="Q286" s="14"/>
      <c r="R286" s="174" t="str">
        <f>R$12</f>
        <v>XFMR</v>
      </c>
      <c r="S286" s="14" t="str">
        <f>S$12</f>
        <v>DLS</v>
      </c>
      <c r="T286" s="181"/>
      <c r="U286" s="14"/>
      <c r="V286" s="64"/>
      <c r="W286" s="101"/>
      <c r="X286" s="305"/>
    </row>
    <row r="287" spans="1:24" ht="15" thickBot="1" x14ac:dyDescent="0.25">
      <c r="A287" s="45"/>
      <c r="B287" s="15"/>
      <c r="C287" s="15"/>
      <c r="D287" s="15"/>
      <c r="E287" s="15"/>
      <c r="F287" s="15" t="s">
        <v>13</v>
      </c>
      <c r="G287" s="15" t="s">
        <v>14</v>
      </c>
      <c r="H287" s="15" t="s">
        <v>15</v>
      </c>
      <c r="I287" s="15"/>
      <c r="J287" s="182" t="str">
        <f t="shared" ref="J287:Q287" si="88">J$13</f>
        <v>(d)</v>
      </c>
      <c r="K287" s="182" t="str">
        <f t="shared" si="88"/>
        <v>(e)</v>
      </c>
      <c r="L287" s="15" t="str">
        <f t="shared" si="88"/>
        <v>(f)</v>
      </c>
      <c r="M287" s="182" t="str">
        <f t="shared" si="88"/>
        <v>(g)</v>
      </c>
      <c r="N287" s="182" t="str">
        <f t="shared" si="88"/>
        <v>(h)</v>
      </c>
      <c r="O287" s="182" t="str">
        <f>O$13</f>
        <v>(i)</v>
      </c>
      <c r="P287" s="182" t="str">
        <f t="shared" si="88"/>
        <v>(j)</v>
      </c>
      <c r="Q287" s="182" t="str">
        <f t="shared" si="88"/>
        <v>(k)</v>
      </c>
      <c r="R287" s="182" t="str">
        <f>R$13</f>
        <v>(l)</v>
      </c>
      <c r="S287" s="15" t="str">
        <f>S$13</f>
        <v>(m)</v>
      </c>
      <c r="T287" s="15"/>
      <c r="U287" s="15" t="s">
        <v>683</v>
      </c>
      <c r="V287" s="64"/>
      <c r="W287" s="101"/>
      <c r="X287" s="305"/>
    </row>
    <row r="288" spans="1:24" x14ac:dyDescent="0.2">
      <c r="A288" s="45"/>
      <c r="B288" s="64"/>
      <c r="C288" s="64"/>
      <c r="D288" s="96"/>
      <c r="E288" s="96"/>
      <c r="F288" s="227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64"/>
      <c r="W288" s="101"/>
      <c r="X288" s="305">
        <f t="shared" si="87"/>
        <v>0</v>
      </c>
    </row>
    <row r="289" spans="1:24" ht="15" x14ac:dyDescent="0.25">
      <c r="A289" s="45"/>
      <c r="B289" s="16">
        <v>1</v>
      </c>
      <c r="C289" s="8" t="s">
        <v>525</v>
      </c>
      <c r="D289" s="8"/>
      <c r="E289" s="19" t="s">
        <v>24</v>
      </c>
      <c r="F289" s="21"/>
      <c r="G289" s="19"/>
      <c r="H289" s="19"/>
      <c r="I289" s="19"/>
      <c r="J289" s="961"/>
      <c r="K289" s="961"/>
      <c r="L289" s="961"/>
      <c r="M289" s="961"/>
      <c r="N289" s="961"/>
      <c r="O289" s="961"/>
      <c r="P289" s="961"/>
      <c r="Q289" s="961"/>
      <c r="R289" s="961"/>
      <c r="S289" s="961"/>
      <c r="T289" s="19"/>
      <c r="U289" s="8"/>
      <c r="V289" s="64"/>
      <c r="X289" s="305">
        <f t="shared" si="87"/>
        <v>0</v>
      </c>
    </row>
    <row r="290" spans="1:24" x14ac:dyDescent="0.2">
      <c r="A290" s="45"/>
      <c r="B290" s="16">
        <f t="shared" ref="B290:B291" si="89">B289+1</f>
        <v>2</v>
      </c>
      <c r="C290" s="1" t="s">
        <v>59</v>
      </c>
      <c r="D290" s="1" t="s">
        <v>40</v>
      </c>
      <c r="E290" s="16"/>
      <c r="F290" s="97">
        <f>' WP II-I-1.4'!L290</f>
        <v>9501839.8499999996</v>
      </c>
      <c r="G290" s="16" t="s">
        <v>751</v>
      </c>
      <c r="H290" s="26" t="s">
        <v>303</v>
      </c>
      <c r="I290" s="16"/>
      <c r="J290" s="369">
        <f ca="1">'II-I-DIST'!J290+'II-I-MET'!J290+'II-I-TBILLTDCS'!J290</f>
        <v>5107757.3681396609</v>
      </c>
      <c r="K290" s="369">
        <f ca="1">'II-I-DIST'!K290+'II-I-MET'!K290+'II-I-TBILLTDCS'!K290</f>
        <v>167617.98182718459</v>
      </c>
      <c r="L290" s="369">
        <f ca="1">'II-I-DIST'!L290+'II-I-MET'!L290+'II-I-TBILLTDCS'!L290</f>
        <v>3227650.3085151399</v>
      </c>
      <c r="M290" s="369">
        <f ca="1">'II-I-DIST'!M290+'II-I-MET'!M290+'II-I-TBILLTDCS'!M290</f>
        <v>918.8190010641174</v>
      </c>
      <c r="N290" s="369">
        <f ca="1">'II-I-DIST'!N290+'II-I-MET'!N290+'II-I-TBILLTDCS'!N290</f>
        <v>577557.75203381141</v>
      </c>
      <c r="O290" s="369">
        <f ca="1">'II-I-DIST'!O290+'II-I-MET'!O290+'II-I-TBILLTDCS'!O290</f>
        <v>55515.980461490624</v>
      </c>
      <c r="P290" s="369">
        <f ca="1">'II-I-DIST'!P290+'II-I-MET'!P290+'II-I-TBILLTDCS'!P290</f>
        <v>11282.22440470853</v>
      </c>
      <c r="Q290" s="369">
        <f ca="1">'II-I-DIST'!Q290+'II-I-MET'!Q290+'II-I-TBILLTDCS'!Q290</f>
        <v>327540.89846314571</v>
      </c>
      <c r="R290" s="369">
        <f ca="1">'II-I-DIST'!R290+'II-I-MET'!R290+'II-I-TBILLTDCS'!R290</f>
        <v>3837.4814619380354</v>
      </c>
      <c r="S290" s="369">
        <f ca="1">'II-I-DIST'!S290+'II-I-MET'!S290+'II-I-TBILLTDCS'!S290</f>
        <v>22161.035691856003</v>
      </c>
      <c r="T290" s="16"/>
      <c r="U290" s="97">
        <f t="shared" ref="U290:U312" ca="1" si="90">SUM(I290:T290)</f>
        <v>9501839.8499999996</v>
      </c>
      <c r="V290" s="64"/>
      <c r="X290" s="305">
        <f t="shared" ca="1" si="87"/>
        <v>0</v>
      </c>
    </row>
    <row r="291" spans="1:24" x14ac:dyDescent="0.2">
      <c r="A291" s="45"/>
      <c r="B291" s="16">
        <f t="shared" si="89"/>
        <v>3</v>
      </c>
      <c r="C291" s="1" t="s">
        <v>60</v>
      </c>
      <c r="D291" s="29" t="s">
        <v>42</v>
      </c>
      <c r="E291" s="16"/>
      <c r="F291" s="97">
        <f>' WP II-I-1.4'!L291</f>
        <v>49998605.829999998</v>
      </c>
      <c r="G291" s="16" t="s">
        <v>751</v>
      </c>
      <c r="H291" s="26" t="s">
        <v>303</v>
      </c>
      <c r="I291" s="16"/>
      <c r="J291" s="369">
        <f ca="1">'II-I-DIST'!J291+'II-I-MET'!J291+'II-I-TBILLTDCS'!J291</f>
        <v>26876978.706907284</v>
      </c>
      <c r="K291" s="369">
        <f ca="1">'II-I-DIST'!K291+'II-I-MET'!K291+'II-I-TBILLTDCS'!K291</f>
        <v>882004.48920400452</v>
      </c>
      <c r="L291" s="369">
        <f ca="1">'II-I-DIST'!L291+'II-I-MET'!L291+'II-I-TBILLTDCS'!L291</f>
        <v>16983870.290397115</v>
      </c>
      <c r="M291" s="369">
        <f ca="1">'II-I-DIST'!M291+'II-I-MET'!M291+'II-I-TBILLTDCS'!M291</f>
        <v>4834.8182866204752</v>
      </c>
      <c r="N291" s="369">
        <f ca="1">'II-I-DIST'!N291+'II-I-MET'!N291+'II-I-TBILLTDCS'!N291</f>
        <v>3039104.3044152572</v>
      </c>
      <c r="O291" s="369">
        <f ca="1">'II-I-DIST'!O291+'II-I-MET'!O291+'II-I-TBILLTDCS'!O291</f>
        <v>292124.64829746116</v>
      </c>
      <c r="P291" s="369">
        <f ca="1">'II-I-DIST'!P291+'II-I-MET'!P291+'II-I-TBILLTDCS'!P291</f>
        <v>59366.975217607796</v>
      </c>
      <c r="Q291" s="369">
        <f ca="1">'II-I-DIST'!Q291+'II-I-MET'!Q291+'II-I-TBILLTDCS'!Q291</f>
        <v>1723517.6064836406</v>
      </c>
      <c r="R291" s="369">
        <f ca="1">'II-I-DIST'!R291+'II-I-MET'!R291+'II-I-TBILLTDCS'!R291</f>
        <v>20192.796976616268</v>
      </c>
      <c r="S291" s="369">
        <f ca="1">'II-I-DIST'!S291+'II-I-MET'!S291+'II-I-TBILLTDCS'!S291</f>
        <v>116611.19381439267</v>
      </c>
      <c r="T291" s="16"/>
      <c r="U291" s="97">
        <f t="shared" ca="1" si="90"/>
        <v>49998605.829999991</v>
      </c>
      <c r="V291" s="64"/>
      <c r="X291" s="305">
        <f t="shared" ca="1" si="87"/>
        <v>0</v>
      </c>
    </row>
    <row r="292" spans="1:24" x14ac:dyDescent="0.2">
      <c r="A292" s="45"/>
      <c r="B292" s="16">
        <f>B291+1</f>
        <v>4</v>
      </c>
      <c r="C292" s="1" t="s">
        <v>61</v>
      </c>
      <c r="D292" s="1" t="s">
        <v>44</v>
      </c>
      <c r="E292" s="16"/>
      <c r="F292" s="97">
        <f>' WP II-I-1.4'!L292</f>
        <v>506199349.29000002</v>
      </c>
      <c r="G292" s="16" t="s">
        <v>751</v>
      </c>
      <c r="H292" s="26" t="s">
        <v>303</v>
      </c>
      <c r="I292" s="16"/>
      <c r="J292" s="369">
        <f>'II-I-DIST'!J292+'II-I-MET'!J292+'II-I-TBILLTDCS'!J292</f>
        <v>259562071.87154025</v>
      </c>
      <c r="K292" s="369">
        <f>'II-I-DIST'!K292+'II-I-MET'!K292+'II-I-TBILLTDCS'!K292</f>
        <v>4903819.8429875886</v>
      </c>
      <c r="L292" s="369">
        <f>'II-I-DIST'!L292+'II-I-MET'!L292+'II-I-TBILLTDCS'!L292</f>
        <v>166717814.86560944</v>
      </c>
      <c r="M292" s="369">
        <f>'II-I-DIST'!M292+'II-I-MET'!M292+'II-I-TBILLTDCS'!M292</f>
        <v>78014.054493767631</v>
      </c>
      <c r="N292" s="369">
        <f>'II-I-DIST'!N292+'II-I-MET'!N292+'II-I-TBILLTDCS'!N292</f>
        <v>49038626.637325563</v>
      </c>
      <c r="O292" s="369">
        <f>'II-I-DIST'!O292+'II-I-MET'!O292+'II-I-TBILLTDCS'!O292</f>
        <v>21077766.969635438</v>
      </c>
      <c r="P292" s="369">
        <f>'II-I-DIST'!P292+'II-I-MET'!P292+'II-I-TBILLTDCS'!P292</f>
        <v>0</v>
      </c>
      <c r="Q292" s="369">
        <f>'II-I-DIST'!Q292+'II-I-MET'!Q292+'II-I-TBILLTDCS'!Q292</f>
        <v>1482633.0538243349</v>
      </c>
      <c r="R292" s="369">
        <f>'II-I-DIST'!R292+'II-I-MET'!R292+'II-I-TBILLTDCS'!R292</f>
        <v>1456977.6005511265</v>
      </c>
      <c r="S292" s="369">
        <f>'II-I-DIST'!S292+'II-I-MET'!S292+'II-I-TBILLTDCS'!S292</f>
        <v>1881624.3940324644</v>
      </c>
      <c r="T292" s="16"/>
      <c r="U292" s="97">
        <f t="shared" si="90"/>
        <v>506199349.28999996</v>
      </c>
      <c r="V292" s="64"/>
      <c r="X292" s="305">
        <f t="shared" si="87"/>
        <v>0</v>
      </c>
    </row>
    <row r="293" spans="1:24" x14ac:dyDescent="0.2">
      <c r="A293" s="45"/>
      <c r="B293" s="16">
        <f t="shared" ref="B293:B327" si="91">B292+1</f>
        <v>5</v>
      </c>
      <c r="C293" s="1" t="s">
        <v>1234</v>
      </c>
      <c r="D293" s="1" t="s">
        <v>1230</v>
      </c>
      <c r="E293" s="16"/>
      <c r="F293" s="229">
        <f>' WP II-I-1.4'!L293</f>
        <v>0</v>
      </c>
      <c r="G293" s="16" t="s">
        <v>751</v>
      </c>
      <c r="H293" s="26" t="s">
        <v>303</v>
      </c>
      <c r="I293" s="16"/>
      <c r="J293" s="369">
        <f ca="1">'II-I-DIST'!J293+'II-I-MET'!J293+'II-I-TBILLTDCS'!J293</f>
        <v>0</v>
      </c>
      <c r="K293" s="369">
        <f ca="1">'II-I-DIST'!K293+'II-I-MET'!K293+'II-I-TBILLTDCS'!K293</f>
        <v>0</v>
      </c>
      <c r="L293" s="369">
        <f ca="1">'II-I-DIST'!L293+'II-I-MET'!L293+'II-I-TBILLTDCS'!L293</f>
        <v>0</v>
      </c>
      <c r="M293" s="369">
        <f ca="1">'II-I-DIST'!M293+'II-I-MET'!M293+'II-I-TBILLTDCS'!M293</f>
        <v>0</v>
      </c>
      <c r="N293" s="369">
        <f ca="1">'II-I-DIST'!N293+'II-I-MET'!N293+'II-I-TBILLTDCS'!N293</f>
        <v>0</v>
      </c>
      <c r="O293" s="369">
        <f ca="1">'II-I-DIST'!O293+'II-I-MET'!O293+'II-I-TBILLTDCS'!O293</f>
        <v>0</v>
      </c>
      <c r="P293" s="369">
        <f ca="1">'II-I-DIST'!P293+'II-I-MET'!P293+'II-I-TBILLTDCS'!P293</f>
        <v>0</v>
      </c>
      <c r="Q293" s="369">
        <f ca="1">'II-I-DIST'!Q293+'II-I-MET'!Q293+'II-I-TBILLTDCS'!Q293</f>
        <v>0</v>
      </c>
      <c r="R293" s="369">
        <f ca="1">'II-I-DIST'!R293+'II-I-MET'!R293+'II-I-TBILLTDCS'!R293</f>
        <v>0</v>
      </c>
      <c r="S293" s="369">
        <f ca="1">'II-I-DIST'!S293+'II-I-MET'!S293+'II-I-TBILLTDCS'!S293</f>
        <v>0</v>
      </c>
      <c r="T293" s="16"/>
      <c r="U293" s="97">
        <f t="shared" ref="U293:U294" ca="1" si="92">SUM(I293:T293)</f>
        <v>0</v>
      </c>
      <c r="V293" s="64"/>
      <c r="X293" s="305"/>
    </row>
    <row r="294" spans="1:24" x14ac:dyDescent="0.2">
      <c r="A294" s="45"/>
      <c r="B294" s="16">
        <f t="shared" si="91"/>
        <v>6</v>
      </c>
      <c r="C294" s="1" t="s">
        <v>1235</v>
      </c>
      <c r="D294" s="1" t="s">
        <v>1232</v>
      </c>
      <c r="E294" s="16"/>
      <c r="F294" s="229">
        <f>' WP II-I-1.4'!L294</f>
        <v>288603718.38999999</v>
      </c>
      <c r="G294" s="16" t="s">
        <v>751</v>
      </c>
      <c r="H294" s="26" t="s">
        <v>303</v>
      </c>
      <c r="I294" s="16"/>
      <c r="J294" s="369">
        <f ca="1">'II-I-DIST'!J294+'II-I-MET'!J294+'II-I-TBILLTDCS'!J294</f>
        <v>149693480.21293685</v>
      </c>
      <c r="K294" s="369">
        <f ca="1">'II-I-DIST'!K294+'II-I-MET'!K294+'II-I-TBILLTDCS'!K294</f>
        <v>15356200.976225182</v>
      </c>
      <c r="L294" s="369">
        <f ca="1">'II-I-DIST'!L294+'II-I-MET'!L294+'II-I-TBILLTDCS'!L294</f>
        <v>86426880.320110977</v>
      </c>
      <c r="M294" s="369">
        <f ca="1">'II-I-DIST'!M294+'II-I-MET'!M294+'II-I-TBILLTDCS'!M294</f>
        <v>2325844.044845677</v>
      </c>
      <c r="N294" s="369">
        <f ca="1">'II-I-DIST'!N294+'II-I-MET'!N294+'II-I-TBILLTDCS'!N294</f>
        <v>23699978.552899905</v>
      </c>
      <c r="O294" s="369">
        <f ca="1">'II-I-DIST'!O294+'II-I-MET'!O294+'II-I-TBILLTDCS'!O294</f>
        <v>1201133.8263365175</v>
      </c>
      <c r="P294" s="369">
        <f ca="1">'II-I-DIST'!P294+'II-I-MET'!P294+'II-I-TBILLTDCS'!P294</f>
        <v>1340672.9149103481</v>
      </c>
      <c r="Q294" s="369">
        <f ca="1">'II-I-DIST'!Q294+'II-I-MET'!Q294+'II-I-TBILLTDCS'!Q294</f>
        <v>8063230.6956371777</v>
      </c>
      <c r="R294" s="369">
        <f ca="1">'II-I-DIST'!R294+'II-I-MET'!R294+'II-I-TBILLTDCS'!R294</f>
        <v>107198.58754981437</v>
      </c>
      <c r="S294" s="369">
        <f ca="1">'II-I-DIST'!S294+'II-I-MET'!S294+'II-I-TBILLTDCS'!S294</f>
        <v>389098.25854755536</v>
      </c>
      <c r="T294" s="16"/>
      <c r="U294" s="97">
        <f t="shared" ca="1" si="92"/>
        <v>288603718.38999999</v>
      </c>
      <c r="V294" s="64"/>
      <c r="X294" s="305"/>
    </row>
    <row r="295" spans="1:24" x14ac:dyDescent="0.2">
      <c r="A295" s="45"/>
      <c r="B295" s="16">
        <f t="shared" si="91"/>
        <v>7</v>
      </c>
      <c r="C295" s="1" t="s">
        <v>1236</v>
      </c>
      <c r="D295" s="1" t="s">
        <v>1241</v>
      </c>
      <c r="E295" s="16"/>
      <c r="F295" s="229">
        <f>' WP II-I-1.4'!L295</f>
        <v>39392672.700000003</v>
      </c>
      <c r="G295" s="16" t="s">
        <v>751</v>
      </c>
      <c r="H295" s="26" t="s">
        <v>303</v>
      </c>
      <c r="I295" s="16"/>
      <c r="J295" s="369">
        <f ca="1">'II-I-DIST'!J295+'II-I-MET'!J295+'II-I-TBILLTDCS'!J295</f>
        <v>20564687.686553583</v>
      </c>
      <c r="K295" s="369">
        <f ca="1">'II-I-DIST'!K295+'II-I-MET'!K295+'II-I-TBILLTDCS'!K295</f>
        <v>2884918.8484774227</v>
      </c>
      <c r="L295" s="369">
        <f ca="1">'II-I-DIST'!L295+'II-I-MET'!L295+'II-I-TBILLTDCS'!L295</f>
        <v>11345449.361802191</v>
      </c>
      <c r="M295" s="369">
        <f ca="1">'II-I-DIST'!M295+'II-I-MET'!M295+'II-I-TBILLTDCS'!M295</f>
        <v>477780.17502977658</v>
      </c>
      <c r="N295" s="369">
        <f ca="1">'II-I-DIST'!N295+'II-I-MET'!N295+'II-I-TBILLTDCS'!N295</f>
        <v>3679159.5676660445</v>
      </c>
      <c r="O295" s="369">
        <f ca="1">'II-I-DIST'!O295+'II-I-MET'!O295+'II-I-TBILLTDCS'!O295</f>
        <v>120721.31375470756</v>
      </c>
      <c r="P295" s="369">
        <f ca="1">'II-I-DIST'!P295+'II-I-MET'!P295+'II-I-TBILLTDCS'!P295</f>
        <v>251811.32930429809</v>
      </c>
      <c r="Q295" s="369">
        <f ca="1">'II-I-DIST'!Q295+'II-I-MET'!Q295+'II-I-TBILLTDCS'!Q295</f>
        <v>20970.108197315829</v>
      </c>
      <c r="R295" s="369">
        <f ca="1">'II-I-DIST'!R295+'II-I-MET'!R295+'II-I-TBILLTDCS'!R295</f>
        <v>13331.188021992251</v>
      </c>
      <c r="S295" s="369">
        <f ca="1">'II-I-DIST'!S295+'II-I-MET'!S295+'II-I-TBILLTDCS'!S295</f>
        <v>33843.12119267138</v>
      </c>
      <c r="T295" s="16"/>
      <c r="U295" s="97">
        <f t="shared" ca="1" si="90"/>
        <v>39392672.70000001</v>
      </c>
      <c r="V295" s="64"/>
      <c r="X295" s="305">
        <f t="shared" ca="1" si="87"/>
        <v>0</v>
      </c>
    </row>
    <row r="296" spans="1:24" x14ac:dyDescent="0.2">
      <c r="A296" s="45"/>
      <c r="B296" s="16">
        <f t="shared" si="91"/>
        <v>8</v>
      </c>
      <c r="C296" s="1" t="s">
        <v>359</v>
      </c>
      <c r="D296" s="29" t="s">
        <v>489</v>
      </c>
      <c r="E296" s="16"/>
      <c r="F296" s="97">
        <f>' WP II-I-1.4'!L296</f>
        <v>1014653070.4718791</v>
      </c>
      <c r="G296" s="16" t="s">
        <v>751</v>
      </c>
      <c r="H296" s="26" t="s">
        <v>303</v>
      </c>
      <c r="I296" s="16"/>
      <c r="J296" s="369">
        <f>'II-I-DIST'!J296+'II-I-MET'!J296+'II-I-TBILLTDCS'!J296</f>
        <v>544520832.47867262</v>
      </c>
      <c r="K296" s="369">
        <f>'II-I-DIST'!K296+'II-I-MET'!K296+'II-I-TBILLTDCS'!K296</f>
        <v>10287450.874373348</v>
      </c>
      <c r="L296" s="369">
        <f>'II-I-DIST'!L296+'II-I-MET'!L296+'II-I-TBILLTDCS'!L296</f>
        <v>349748030.15355563</v>
      </c>
      <c r="M296" s="369">
        <f>'II-I-DIST'!M296+'II-I-MET'!M296+'II-I-TBILLTDCS'!M296</f>
        <v>163661.34540260091</v>
      </c>
      <c r="N296" s="369">
        <f>'II-I-DIST'!N296+'II-I-MET'!N296+'II-I-TBILLTDCS'!N296</f>
        <v>102875407.05632319</v>
      </c>
      <c r="O296" s="369">
        <f>'II-I-DIST'!O296+'II-I-MET'!O296+'II-I-TBILLTDCS'!O296</f>
        <v>0</v>
      </c>
      <c r="P296" s="369">
        <f>'II-I-DIST'!P296+'II-I-MET'!P296+'II-I-TBILLTDCS'!P296</f>
        <v>0</v>
      </c>
      <c r="Q296" s="369">
        <f>'II-I-DIST'!Q296+'II-I-MET'!Q296+'II-I-TBILLTDCS'!Q296</f>
        <v>3110333.4123807424</v>
      </c>
      <c r="R296" s="369">
        <f>'II-I-DIST'!R296+'II-I-MET'!R296+'II-I-TBILLTDCS'!R296</f>
        <v>0</v>
      </c>
      <c r="S296" s="369">
        <f>'II-I-DIST'!S296+'II-I-MET'!S296+'II-I-TBILLTDCS'!S296</f>
        <v>3947355.1511709746</v>
      </c>
      <c r="T296" s="16"/>
      <c r="U296" s="97">
        <f t="shared" si="90"/>
        <v>1014653070.471879</v>
      </c>
      <c r="V296" s="64"/>
      <c r="X296" s="305">
        <f t="shared" si="87"/>
        <v>0</v>
      </c>
    </row>
    <row r="297" spans="1:24" x14ac:dyDescent="0.2">
      <c r="A297" s="45"/>
      <c r="B297" s="16">
        <f t="shared" si="91"/>
        <v>9</v>
      </c>
      <c r="C297" s="1" t="s">
        <v>361</v>
      </c>
      <c r="D297" s="29" t="s">
        <v>490</v>
      </c>
      <c r="E297" s="16"/>
      <c r="F297" s="97">
        <f>' WP II-I-1.4'!L297</f>
        <v>187903577.88812062</v>
      </c>
      <c r="G297" s="16" t="s">
        <v>751</v>
      </c>
      <c r="H297" s="26" t="s">
        <v>303</v>
      </c>
      <c r="I297" s="16"/>
      <c r="J297" s="369">
        <f>'II-I-DIST'!J297+'II-I-MET'!J297+'II-I-TBILLTDCS'!J297</f>
        <v>112725760.06254123</v>
      </c>
      <c r="K297" s="369">
        <f>'II-I-DIST'!K297+'II-I-MET'!K297+'II-I-TBILLTDCS'!K297</f>
        <v>2129690.2703262703</v>
      </c>
      <c r="L297" s="369">
        <f>'II-I-DIST'!L297+'II-I-MET'!L297+'II-I-TBILLTDCS'!L297</f>
        <v>72404231.716846853</v>
      </c>
      <c r="M297" s="369">
        <f>'II-I-DIST'!M297+'II-I-MET'!M297+'II-I-TBILLTDCS'!M297</f>
        <v>0</v>
      </c>
      <c r="N297" s="369">
        <f>'II-I-DIST'!N297+'II-I-MET'!N297+'II-I-TBILLTDCS'!N297</f>
        <v>0</v>
      </c>
      <c r="O297" s="369">
        <f>'II-I-DIST'!O297+'II-I-MET'!O297+'II-I-TBILLTDCS'!O297</f>
        <v>0</v>
      </c>
      <c r="P297" s="369">
        <f>'II-I-DIST'!P297+'II-I-MET'!P297+'II-I-TBILLTDCS'!P297</f>
        <v>0</v>
      </c>
      <c r="Q297" s="369">
        <f>'II-I-DIST'!Q297+'II-I-MET'!Q297+'II-I-TBILLTDCS'!Q297</f>
        <v>643895.83840627316</v>
      </c>
      <c r="R297" s="369">
        <f>'II-I-DIST'!R297+'II-I-MET'!R297+'II-I-TBILLTDCS'!R297</f>
        <v>0</v>
      </c>
      <c r="S297" s="369">
        <f>'II-I-DIST'!S297+'II-I-MET'!S297+'II-I-TBILLTDCS'!S297</f>
        <v>0</v>
      </c>
      <c r="T297" s="16"/>
      <c r="U297" s="97">
        <f t="shared" si="90"/>
        <v>187903577.88812062</v>
      </c>
      <c r="V297" s="64"/>
      <c r="X297" s="305">
        <f t="shared" si="87"/>
        <v>0</v>
      </c>
    </row>
    <row r="298" spans="1:24" x14ac:dyDescent="0.2">
      <c r="A298" s="45"/>
      <c r="B298" s="16">
        <f t="shared" si="91"/>
        <v>10</v>
      </c>
      <c r="C298" s="1" t="s">
        <v>364</v>
      </c>
      <c r="D298" s="1" t="s">
        <v>491</v>
      </c>
      <c r="E298" s="16"/>
      <c r="F298" s="97">
        <f>' WP II-I-1.4'!L298</f>
        <v>601790975.08809602</v>
      </c>
      <c r="G298" s="16" t="s">
        <v>751</v>
      </c>
      <c r="H298" s="26" t="s">
        <v>303</v>
      </c>
      <c r="I298" s="16"/>
      <c r="J298" s="369">
        <f>'II-I-DIST'!J298+'II-I-MET'!J298+'II-I-TBILLTDCS'!J298</f>
        <v>322955433.99945188</v>
      </c>
      <c r="K298" s="369">
        <f>'II-I-DIST'!K298+'II-I-MET'!K298+'II-I-TBILLTDCS'!K298</f>
        <v>6101489.5366953919</v>
      </c>
      <c r="L298" s="369">
        <f>'II-I-DIST'!L298+'II-I-MET'!L298+'II-I-TBILLTDCS'!L298</f>
        <v>207435639.06366983</v>
      </c>
      <c r="M298" s="369">
        <f>'II-I-DIST'!M298+'II-I-MET'!M298+'II-I-TBILLTDCS'!M298</f>
        <v>97067.582507050145</v>
      </c>
      <c r="N298" s="369">
        <f>'II-I-DIST'!N298+'II-I-MET'!N298+'II-I-TBILLTDCS'!N298</f>
        <v>61015428.156362474</v>
      </c>
      <c r="O298" s="369">
        <f>'II-I-DIST'!O298+'II-I-MET'!O298+'II-I-TBILLTDCS'!O298</f>
        <v>0</v>
      </c>
      <c r="P298" s="369">
        <f>'II-I-DIST'!P298+'II-I-MET'!P298+'II-I-TBILLTDCS'!P298</f>
        <v>0</v>
      </c>
      <c r="Q298" s="369">
        <f>'II-I-DIST'!Q298+'II-I-MET'!Q298+'II-I-TBILLTDCS'!Q298</f>
        <v>1844739.4794904608</v>
      </c>
      <c r="R298" s="369">
        <f>'II-I-DIST'!R298+'II-I-MET'!R298+'II-I-TBILLTDCS'!R298</f>
        <v>0</v>
      </c>
      <c r="S298" s="369">
        <f>'II-I-DIST'!S298+'II-I-MET'!S298+'II-I-TBILLTDCS'!S298</f>
        <v>2341177.2699189158</v>
      </c>
      <c r="T298" s="16"/>
      <c r="U298" s="97">
        <f t="shared" si="90"/>
        <v>601790975.08809614</v>
      </c>
      <c r="V298" s="64"/>
      <c r="X298" s="305">
        <f t="shared" si="87"/>
        <v>0</v>
      </c>
    </row>
    <row r="299" spans="1:24" x14ac:dyDescent="0.2">
      <c r="A299" s="45"/>
      <c r="B299" s="16">
        <f t="shared" si="91"/>
        <v>11</v>
      </c>
      <c r="C299" s="1" t="s">
        <v>366</v>
      </c>
      <c r="D299" s="1" t="s">
        <v>492</v>
      </c>
      <c r="E299" s="16"/>
      <c r="F299" s="97">
        <f>' WP II-I-1.4'!L299</f>
        <v>87364481.331903979</v>
      </c>
      <c r="G299" s="16" t="s">
        <v>751</v>
      </c>
      <c r="H299" s="26" t="s">
        <v>303</v>
      </c>
      <c r="I299" s="16"/>
      <c r="J299" s="369">
        <f>'II-I-DIST'!J299+'II-I-MET'!J299+'II-I-TBILLTDCS'!J299</f>
        <v>52411069.929026514</v>
      </c>
      <c r="K299" s="369">
        <f>'II-I-DIST'!K299+'II-I-MET'!K299+'II-I-TBILLTDCS'!K299</f>
        <v>990184.90204288845</v>
      </c>
      <c r="L299" s="369">
        <f>'II-I-DIST'!L299+'II-I-MET'!L299+'II-I-TBILLTDCS'!L299</f>
        <v>33663851.541685954</v>
      </c>
      <c r="M299" s="369">
        <f>'II-I-DIST'!M299+'II-I-MET'!M299+'II-I-TBILLTDCS'!M299</f>
        <v>0</v>
      </c>
      <c r="N299" s="369">
        <f>'II-I-DIST'!N299+'II-I-MET'!N299+'II-I-TBILLTDCS'!N299</f>
        <v>0</v>
      </c>
      <c r="O299" s="369">
        <f>'II-I-DIST'!O299+'II-I-MET'!O299+'II-I-TBILLTDCS'!O299</f>
        <v>0</v>
      </c>
      <c r="P299" s="369">
        <f>'II-I-DIST'!P299+'II-I-MET'!P299+'II-I-TBILLTDCS'!P299</f>
        <v>0</v>
      </c>
      <c r="Q299" s="369">
        <f>'II-I-DIST'!Q299+'II-I-MET'!Q299+'II-I-TBILLTDCS'!Q299</f>
        <v>299374.95914861927</v>
      </c>
      <c r="R299" s="369">
        <f>'II-I-DIST'!R299+'II-I-MET'!R299+'II-I-TBILLTDCS'!R299</f>
        <v>0</v>
      </c>
      <c r="S299" s="369">
        <f>'II-I-DIST'!S299+'II-I-MET'!S299+'II-I-TBILLTDCS'!S299</f>
        <v>0</v>
      </c>
      <c r="T299" s="16"/>
      <c r="U299" s="97">
        <f t="shared" si="90"/>
        <v>87364481.331903964</v>
      </c>
      <c r="V299" s="64"/>
      <c r="X299" s="305">
        <f t="shared" si="87"/>
        <v>0</v>
      </c>
    </row>
    <row r="300" spans="1:24" x14ac:dyDescent="0.2">
      <c r="A300" s="45"/>
      <c r="B300" s="16">
        <f t="shared" si="91"/>
        <v>12</v>
      </c>
      <c r="C300" s="1" t="s">
        <v>369</v>
      </c>
      <c r="D300" s="1" t="s">
        <v>370</v>
      </c>
      <c r="E300" s="16"/>
      <c r="F300" s="97">
        <f>' WP II-I-1.4'!L300</f>
        <v>362924857.21233314</v>
      </c>
      <c r="G300" s="16" t="s">
        <v>751</v>
      </c>
      <c r="H300" s="26" t="s">
        <v>303</v>
      </c>
      <c r="I300" s="16"/>
      <c r="J300" s="369">
        <f>'II-I-DIST'!J300+'II-I-MET'!J300+'II-I-TBILLTDCS'!J300</f>
        <v>194766222.19706771</v>
      </c>
      <c r="K300" s="369">
        <f>'II-I-DIST'!K300+'II-I-MET'!K300+'II-I-TBILLTDCS'!K300</f>
        <v>3679653.4188030274</v>
      </c>
      <c r="L300" s="369">
        <f>'II-I-DIST'!L300+'II-I-MET'!L300+'II-I-TBILLTDCS'!L300</f>
        <v>125099166.99383986</v>
      </c>
      <c r="M300" s="369">
        <f>'II-I-DIST'!M300+'II-I-MET'!M300+'II-I-TBILLTDCS'!M300</f>
        <v>58538.994401104945</v>
      </c>
      <c r="N300" s="369">
        <f>'II-I-DIST'!N300+'II-I-MET'!N300+'II-I-TBILLTDCS'!N300</f>
        <v>36796855.499794699</v>
      </c>
      <c r="O300" s="369">
        <f>'II-I-DIST'!O300+'II-I-MET'!O300+'II-I-TBILLTDCS'!O300</f>
        <v>0</v>
      </c>
      <c r="P300" s="369">
        <f>'II-I-DIST'!P300+'II-I-MET'!P300+'II-I-TBILLTDCS'!P300</f>
        <v>0</v>
      </c>
      <c r="Q300" s="369">
        <f>'II-I-DIST'!Q300+'II-I-MET'!Q300+'II-I-TBILLTDCS'!Q300</f>
        <v>1112515.5409484515</v>
      </c>
      <c r="R300" s="369">
        <f>'II-I-DIST'!R300+'II-I-MET'!R300+'II-I-TBILLTDCS'!R300</f>
        <v>0</v>
      </c>
      <c r="S300" s="369">
        <f>'II-I-DIST'!S300+'II-I-MET'!S300+'II-I-TBILLTDCS'!S300</f>
        <v>1411904.5674782665</v>
      </c>
      <c r="T300" s="16"/>
      <c r="U300" s="97">
        <f t="shared" si="90"/>
        <v>362924857.21233308</v>
      </c>
      <c r="V300" s="64"/>
      <c r="X300" s="305">
        <f t="shared" si="87"/>
        <v>0</v>
      </c>
    </row>
    <row r="301" spans="1:24" x14ac:dyDescent="0.2">
      <c r="A301" s="45"/>
      <c r="B301" s="16">
        <f t="shared" si="91"/>
        <v>13</v>
      </c>
      <c r="C301" s="1" t="s">
        <v>371</v>
      </c>
      <c r="D301" s="1" t="s">
        <v>372</v>
      </c>
      <c r="E301" s="16"/>
      <c r="F301" s="97">
        <f>' WP II-I-1.4'!L301</f>
        <v>187316242.59766677</v>
      </c>
      <c r="G301" s="16" t="s">
        <v>751</v>
      </c>
      <c r="H301" s="26" t="s">
        <v>303</v>
      </c>
      <c r="I301" s="16"/>
      <c r="J301" s="369">
        <f>'II-I-DIST'!J301+'II-I-MET'!J301+'II-I-TBILLTDCS'!J301</f>
        <v>112373410.10852714</v>
      </c>
      <c r="K301" s="369">
        <f>'II-I-DIST'!K301+'II-I-MET'!K301+'II-I-TBILLTDCS'!K301</f>
        <v>2123033.4399052784</v>
      </c>
      <c r="L301" s="369">
        <f>'II-I-DIST'!L301+'II-I-MET'!L301+'II-I-TBILLTDCS'!L301</f>
        <v>72177915.853447899</v>
      </c>
      <c r="M301" s="369">
        <f>'II-I-DIST'!M301+'II-I-MET'!M301+'II-I-TBILLTDCS'!M301</f>
        <v>0</v>
      </c>
      <c r="N301" s="369">
        <f>'II-I-DIST'!N301+'II-I-MET'!N301+'II-I-TBILLTDCS'!N301</f>
        <v>0</v>
      </c>
      <c r="O301" s="369">
        <f>'II-I-DIST'!O301+'II-I-MET'!O301+'II-I-TBILLTDCS'!O301</f>
        <v>0</v>
      </c>
      <c r="P301" s="369">
        <f>'II-I-DIST'!P301+'II-I-MET'!P301+'II-I-TBILLTDCS'!P301</f>
        <v>0</v>
      </c>
      <c r="Q301" s="369">
        <f>'II-I-DIST'!Q301+'II-I-MET'!Q301+'II-I-TBILLTDCS'!Q301</f>
        <v>641883.19578646333</v>
      </c>
      <c r="R301" s="369">
        <f>'II-I-DIST'!R301+'II-I-MET'!R301+'II-I-TBILLTDCS'!R301</f>
        <v>0</v>
      </c>
      <c r="S301" s="369">
        <f>'II-I-DIST'!S301+'II-I-MET'!S301+'II-I-TBILLTDCS'!S301</f>
        <v>0</v>
      </c>
      <c r="T301" s="16"/>
      <c r="U301" s="97">
        <f t="shared" si="90"/>
        <v>187316242.5976668</v>
      </c>
      <c r="V301" s="64"/>
      <c r="X301" s="305">
        <f t="shared" si="87"/>
        <v>0</v>
      </c>
    </row>
    <row r="302" spans="1:24" x14ac:dyDescent="0.2">
      <c r="A302" s="45"/>
      <c r="B302" s="16">
        <f t="shared" si="91"/>
        <v>14</v>
      </c>
      <c r="C302" s="1" t="s">
        <v>374</v>
      </c>
      <c r="D302" s="29" t="s">
        <v>493</v>
      </c>
      <c r="E302" s="28"/>
      <c r="F302" s="97">
        <f>' WP II-I-1.4'!L302</f>
        <v>551736249.74043524</v>
      </c>
      <c r="G302" s="16" t="s">
        <v>751</v>
      </c>
      <c r="H302" s="26" t="s">
        <v>303</v>
      </c>
      <c r="I302" s="28"/>
      <c r="J302" s="369">
        <f>'II-I-DIST'!J302+'II-I-MET'!J302+'II-I-TBILLTDCS'!J302</f>
        <v>296093207.38329053</v>
      </c>
      <c r="K302" s="369">
        <f>'II-I-DIST'!K302+'II-I-MET'!K302+'II-I-TBILLTDCS'!K302</f>
        <v>5593990.4288428603</v>
      </c>
      <c r="L302" s="369">
        <f>'II-I-DIST'!L302+'II-I-MET'!L302+'II-I-TBILLTDCS'!L302</f>
        <v>190181917.47183555</v>
      </c>
      <c r="M302" s="369">
        <f>'II-I-DIST'!M302+'II-I-MET'!M302+'II-I-TBILLTDCS'!M302</f>
        <v>88993.863585225947</v>
      </c>
      <c r="N302" s="369">
        <f>'II-I-DIST'!N302+'II-I-MET'!N302+'II-I-TBILLTDCS'!N302</f>
        <v>55940392.76240436</v>
      </c>
      <c r="O302" s="369">
        <f>'II-I-DIST'!O302+'II-I-MET'!O302+'II-I-TBILLTDCS'!O302</f>
        <v>0</v>
      </c>
      <c r="P302" s="369">
        <f>'II-I-DIST'!P302+'II-I-MET'!P302+'II-I-TBILLTDCS'!P302</f>
        <v>0</v>
      </c>
      <c r="Q302" s="369">
        <f>'II-I-DIST'!Q302+'II-I-MET'!Q302+'II-I-TBILLTDCS'!Q302</f>
        <v>1691300.9405187448</v>
      </c>
      <c r="R302" s="369">
        <f>'II-I-DIST'!R302+'II-I-MET'!R302+'II-I-TBILLTDCS'!R302</f>
        <v>0</v>
      </c>
      <c r="S302" s="369">
        <f>'II-I-DIST'!S302+'II-I-MET'!S302+'II-I-TBILLTDCS'!S302</f>
        <v>2146446.8899579626</v>
      </c>
      <c r="T302" s="28"/>
      <c r="U302" s="97">
        <f t="shared" si="90"/>
        <v>551736249.74043512</v>
      </c>
      <c r="V302" s="64"/>
      <c r="X302" s="305">
        <f t="shared" si="87"/>
        <v>0</v>
      </c>
    </row>
    <row r="303" spans="1:24" x14ac:dyDescent="0.2">
      <c r="A303" s="45"/>
      <c r="B303" s="16">
        <f t="shared" si="91"/>
        <v>15</v>
      </c>
      <c r="C303" s="1" t="s">
        <v>376</v>
      </c>
      <c r="D303" s="29" t="s">
        <v>494</v>
      </c>
      <c r="E303" s="28"/>
      <c r="F303" s="97">
        <f>' WP II-I-1.4'!L303</f>
        <v>139509208.03956473</v>
      </c>
      <c r="G303" s="16" t="s">
        <v>751</v>
      </c>
      <c r="H303" s="26" t="s">
        <v>303</v>
      </c>
      <c r="I303" s="28"/>
      <c r="J303" s="369">
        <f>'II-I-DIST'!J303+'II-I-MET'!J303+'II-I-TBILLTDCS'!J303</f>
        <v>83693358.523203224</v>
      </c>
      <c r="K303" s="369">
        <f>'II-I-DIST'!K303+'II-I-MET'!K303+'II-I-TBILLTDCS'!K303</f>
        <v>1581190.7698728712</v>
      </c>
      <c r="L303" s="369">
        <f>'II-I-DIST'!L303+'II-I-MET'!L303+'II-I-TBILLTDCS'!L303</f>
        <v>53756597.607442535</v>
      </c>
      <c r="M303" s="369">
        <f>'II-I-DIST'!M303+'II-I-MET'!M303+'II-I-TBILLTDCS'!M303</f>
        <v>0</v>
      </c>
      <c r="N303" s="369">
        <f>'II-I-DIST'!N303+'II-I-MET'!N303+'II-I-TBILLTDCS'!N303</f>
        <v>0</v>
      </c>
      <c r="O303" s="369">
        <f>'II-I-DIST'!O303+'II-I-MET'!O303+'II-I-TBILLTDCS'!O303</f>
        <v>0</v>
      </c>
      <c r="P303" s="369">
        <f>'II-I-DIST'!P303+'II-I-MET'!P303+'II-I-TBILLTDCS'!P303</f>
        <v>0</v>
      </c>
      <c r="Q303" s="369">
        <f>'II-I-DIST'!Q303+'II-I-MET'!Q303+'II-I-TBILLTDCS'!Q303</f>
        <v>478061.13904609042</v>
      </c>
      <c r="R303" s="369">
        <f>'II-I-DIST'!R303+'II-I-MET'!R303+'II-I-TBILLTDCS'!R303</f>
        <v>0</v>
      </c>
      <c r="S303" s="369">
        <f>'II-I-DIST'!S303+'II-I-MET'!S303+'II-I-TBILLTDCS'!S303</f>
        <v>0</v>
      </c>
      <c r="T303" s="28"/>
      <c r="U303" s="97">
        <f t="shared" si="90"/>
        <v>139509208.03956473</v>
      </c>
      <c r="V303" s="64"/>
      <c r="X303" s="305">
        <f t="shared" si="87"/>
        <v>0</v>
      </c>
    </row>
    <row r="304" spans="1:24" x14ac:dyDescent="0.2">
      <c r="A304" s="45"/>
      <c r="B304" s="16">
        <f t="shared" si="91"/>
        <v>16</v>
      </c>
      <c r="C304" s="1" t="s">
        <v>379</v>
      </c>
      <c r="D304" s="1" t="str">
        <f>'WP II-I-1.2'!D39</f>
        <v>Regulators, Protectors, Primary Transformers</v>
      </c>
      <c r="E304" s="16"/>
      <c r="F304" s="97">
        <f>' WP II-I-1.4'!L304</f>
        <v>52554365.188390315</v>
      </c>
      <c r="G304" s="16" t="s">
        <v>751</v>
      </c>
      <c r="H304" s="26" t="s">
        <v>303</v>
      </c>
      <c r="I304" s="16"/>
      <c r="J304" s="369">
        <f>'II-I-DIST'!J304+'II-I-MET'!J304+'II-I-TBILLTDCS'!J304</f>
        <v>28203676.227443669</v>
      </c>
      <c r="K304" s="369">
        <f>'II-I-DIST'!K304+'II-I-MET'!K304+'II-I-TBILLTDCS'!K304</f>
        <v>532842.66893116955</v>
      </c>
      <c r="L304" s="369">
        <f>'II-I-DIST'!L304+'II-I-MET'!L304+'II-I-TBILLTDCS'!L304</f>
        <v>18115340.341957334</v>
      </c>
      <c r="M304" s="369">
        <f>'II-I-DIST'!M304+'II-I-MET'!M304+'II-I-TBILLTDCS'!M304</f>
        <v>8476.9054209942897</v>
      </c>
      <c r="N304" s="369">
        <f>'II-I-DIST'!N304+'II-I-MET'!N304+'II-I-TBILLTDCS'!N304</f>
        <v>5328473.2177747414</v>
      </c>
      <c r="O304" s="369">
        <f>'II-I-DIST'!O304+'II-I-MET'!O304+'II-I-TBILLTDCS'!O304</f>
        <v>0</v>
      </c>
      <c r="P304" s="369">
        <f>'II-I-DIST'!P304+'II-I-MET'!P304+'II-I-TBILLTDCS'!P304</f>
        <v>0</v>
      </c>
      <c r="Q304" s="369">
        <f>'II-I-DIST'!Q304+'II-I-MET'!Q304+'II-I-TBILLTDCS'!Q304</f>
        <v>161100.97408554587</v>
      </c>
      <c r="R304" s="369">
        <f>'II-I-DIST'!R304+'II-I-MET'!R304+'II-I-TBILLTDCS'!R304</f>
        <v>0</v>
      </c>
      <c r="S304" s="369">
        <f>'II-I-DIST'!S304+'II-I-MET'!S304+'II-I-TBILLTDCS'!S304</f>
        <v>204454.8527768561</v>
      </c>
      <c r="T304" s="16"/>
      <c r="U304" s="97">
        <f t="shared" si="90"/>
        <v>52554365.188390315</v>
      </c>
      <c r="V304" s="64"/>
      <c r="X304" s="305">
        <f t="shared" si="87"/>
        <v>0</v>
      </c>
    </row>
    <row r="305" spans="1:24" x14ac:dyDescent="0.2">
      <c r="A305" s="45"/>
      <c r="B305" s="16">
        <f t="shared" si="91"/>
        <v>17</v>
      </c>
      <c r="C305" s="1" t="s">
        <v>381</v>
      </c>
      <c r="D305" s="1" t="str">
        <f>'WP II-I-1.2'!D40</f>
        <v>Secondary Transformers</v>
      </c>
      <c r="E305" s="16"/>
      <c r="F305" s="97">
        <f>' WP II-I-1.4'!L305</f>
        <v>668691543.73156512</v>
      </c>
      <c r="G305" s="16" t="s">
        <v>751</v>
      </c>
      <c r="H305" s="26" t="s">
        <v>303</v>
      </c>
      <c r="I305" s="16"/>
      <c r="J305" s="369">
        <f>'II-I-DIST'!J305+'II-I-MET'!J305+'II-I-TBILLTDCS'!J305</f>
        <v>401156611.07536685</v>
      </c>
      <c r="K305" s="369">
        <f>'II-I-DIST'!K305+'II-I-MET'!K305+'II-I-TBILLTDCS'!K305</f>
        <v>7578918.350253514</v>
      </c>
      <c r="L305" s="369">
        <f>'II-I-DIST'!L305+'II-I-MET'!L305+'II-I-TBILLTDCS'!L305</f>
        <v>257664585.33463168</v>
      </c>
      <c r="M305" s="369">
        <f>'II-I-DIST'!M305+'II-I-MET'!M305+'II-I-TBILLTDCS'!M305</f>
        <v>0</v>
      </c>
      <c r="N305" s="369">
        <f>'II-I-DIST'!N305+'II-I-MET'!N305+'II-I-TBILLTDCS'!N305</f>
        <v>0</v>
      </c>
      <c r="O305" s="369">
        <f>'II-I-DIST'!O305+'II-I-MET'!O305+'II-I-TBILLTDCS'!O305</f>
        <v>0</v>
      </c>
      <c r="P305" s="369">
        <f>'II-I-DIST'!P305+'II-I-MET'!P305+'II-I-TBILLTDCS'!P305</f>
        <v>0</v>
      </c>
      <c r="Q305" s="369">
        <f>'II-I-DIST'!Q305+'II-I-MET'!Q305+'II-I-TBILLTDCS'!Q305</f>
        <v>2291428.9713130682</v>
      </c>
      <c r="R305" s="369">
        <f>'II-I-DIST'!R305+'II-I-MET'!R305+'II-I-TBILLTDCS'!R305</f>
        <v>0</v>
      </c>
      <c r="S305" s="369">
        <f>'II-I-DIST'!S305+'II-I-MET'!S305+'II-I-TBILLTDCS'!S305</f>
        <v>0</v>
      </c>
      <c r="T305" s="16"/>
      <c r="U305" s="97">
        <f t="shared" si="90"/>
        <v>668691543.73156512</v>
      </c>
      <c r="V305" s="64"/>
      <c r="X305" s="305">
        <f t="shared" si="87"/>
        <v>0</v>
      </c>
    </row>
    <row r="306" spans="1:24" x14ac:dyDescent="0.2">
      <c r="A306" s="45"/>
      <c r="B306" s="16">
        <f t="shared" si="91"/>
        <v>18</v>
      </c>
      <c r="C306" s="1" t="s">
        <v>383</v>
      </c>
      <c r="D306" s="1" t="str">
        <f>'WP II-I-1.2'!D41</f>
        <v>Capacitors</v>
      </c>
      <c r="E306" s="16"/>
      <c r="F306" s="97">
        <f>' WP II-I-1.4'!L306</f>
        <v>40381281.260044515</v>
      </c>
      <c r="G306" s="16" t="s">
        <v>751</v>
      </c>
      <c r="H306" s="26" t="s">
        <v>303</v>
      </c>
      <c r="I306" s="16"/>
      <c r="J306" s="369">
        <f>'II-I-DIST'!J306+'II-I-MET'!J306+'II-I-TBILLTDCS'!J306</f>
        <v>17969545.993723504</v>
      </c>
      <c r="K306" s="369">
        <f>'II-I-DIST'!K306+'II-I-MET'!K306+'II-I-TBILLTDCS'!K306</f>
        <v>339492.65228977887</v>
      </c>
      <c r="L306" s="369">
        <f>'II-I-DIST'!L306+'II-I-MET'!L306+'II-I-TBILLTDCS'!L306</f>
        <v>11541915.275215248</v>
      </c>
      <c r="M306" s="369">
        <f>'II-I-DIST'!M306+'II-I-MET'!M306+'II-I-TBILLTDCS'!M306</f>
        <v>5400.9321557442781</v>
      </c>
      <c r="N306" s="369">
        <f>'II-I-DIST'!N306+'II-I-MET'!N306+'II-I-TBILLTDCS'!N306</f>
        <v>3394956.1678047143</v>
      </c>
      <c r="O306" s="369">
        <f>'II-I-DIST'!O306+'II-I-MET'!O306+'II-I-TBILLTDCS'!O306</f>
        <v>1459218.9847879661</v>
      </c>
      <c r="P306" s="369">
        <f>'II-I-DIST'!P306+'II-I-MET'!P306+'II-I-TBILLTDCS'!P306</f>
        <v>5336975.967392412</v>
      </c>
      <c r="Q306" s="369">
        <f>'II-I-DIST'!Q306+'II-I-MET'!Q306+'II-I-TBILLTDCS'!Q306</f>
        <v>102643.05050584054</v>
      </c>
      <c r="R306" s="369">
        <f>'II-I-DIST'!R306+'II-I-MET'!R306+'II-I-TBILLTDCS'!R306</f>
        <v>100866.91717380694</v>
      </c>
      <c r="S306" s="369">
        <f>'II-I-DIST'!S306+'II-I-MET'!S306+'II-I-TBILLTDCS'!S306</f>
        <v>130265.31899549764</v>
      </c>
      <c r="T306" s="16"/>
      <c r="U306" s="97">
        <f t="shared" si="90"/>
        <v>40381281.260044515</v>
      </c>
      <c r="V306" s="64"/>
      <c r="X306" s="305">
        <f t="shared" si="87"/>
        <v>0</v>
      </c>
    </row>
    <row r="307" spans="1:24" x14ac:dyDescent="0.2">
      <c r="A307" s="45"/>
      <c r="B307" s="16">
        <f t="shared" si="91"/>
        <v>19</v>
      </c>
      <c r="C307" s="1" t="s">
        <v>72</v>
      </c>
      <c r="D307" s="29" t="s">
        <v>73</v>
      </c>
      <c r="E307" s="28"/>
      <c r="F307" s="97">
        <f>' WP II-I-1.4'!L307</f>
        <v>1237313769.03</v>
      </c>
      <c r="G307" s="16" t="s">
        <v>751</v>
      </c>
      <c r="H307" s="26" t="s">
        <v>303</v>
      </c>
      <c r="I307" s="28"/>
      <c r="J307" s="369">
        <f>'II-I-DIST'!J307+'II-I-MET'!J307+'II-I-TBILLTDCS'!J307</f>
        <v>730840769.32553804</v>
      </c>
      <c r="K307" s="369">
        <f>'II-I-DIST'!K307+'II-I-MET'!K307+'II-I-TBILLTDCS'!K307</f>
        <v>102526055.47914997</v>
      </c>
      <c r="L307" s="369">
        <f>'II-I-DIST'!L307+'II-I-MET'!L307+'II-I-TBILLTDCS'!L307</f>
        <v>403201695.36759204</v>
      </c>
      <c r="M307" s="369">
        <f>'II-I-DIST'!M307+'II-I-MET'!M307+'II-I-TBILLTDCS'!M307</f>
        <v>0</v>
      </c>
      <c r="N307" s="369">
        <f>'II-I-DIST'!N307+'II-I-MET'!N307+'II-I-TBILLTDCS'!N307</f>
        <v>0</v>
      </c>
      <c r="O307" s="369">
        <f>'II-I-DIST'!O307+'II-I-MET'!O307+'II-I-TBILLTDCS'!O307</f>
        <v>0</v>
      </c>
      <c r="P307" s="369">
        <f>'II-I-DIST'!P307+'II-I-MET'!P307+'II-I-TBILLTDCS'!P307</f>
        <v>0</v>
      </c>
      <c r="Q307" s="369">
        <f>'II-I-DIST'!Q307+'II-I-MET'!Q307+'II-I-TBILLTDCS'!Q307</f>
        <v>745248.85771968239</v>
      </c>
      <c r="R307" s="369">
        <f>'II-I-DIST'!R307+'II-I-MET'!R307+'II-I-TBILLTDCS'!R307</f>
        <v>0</v>
      </c>
      <c r="S307" s="369">
        <f>'II-I-DIST'!S307+'II-I-MET'!S307+'II-I-TBILLTDCS'!S307</f>
        <v>0</v>
      </c>
      <c r="T307" s="28"/>
      <c r="U307" s="97">
        <f t="shared" si="90"/>
        <v>1237313769.0299997</v>
      </c>
      <c r="V307" s="64"/>
      <c r="X307" s="305">
        <f t="shared" si="87"/>
        <v>0</v>
      </c>
    </row>
    <row r="308" spans="1:24" x14ac:dyDescent="0.2">
      <c r="A308" s="45"/>
      <c r="B308" s="16">
        <f t="shared" si="91"/>
        <v>20</v>
      </c>
      <c r="C308" s="1" t="s">
        <v>74</v>
      </c>
      <c r="D308" s="1" t="s">
        <v>75</v>
      </c>
      <c r="E308" s="16"/>
      <c r="F308" s="97">
        <f>' WP II-I-1.4'!L308</f>
        <v>298670487.00999999</v>
      </c>
      <c r="G308" s="16" t="s">
        <v>751</v>
      </c>
      <c r="H308" s="26" t="s">
        <v>303</v>
      </c>
      <c r="I308" s="16"/>
      <c r="J308" s="369">
        <f>'II-I-DIST'!J308+'II-I-MET'!J308+'II-I-TBILLTDCS'!J308</f>
        <v>155918978.46909755</v>
      </c>
      <c r="K308" s="369">
        <f>'II-I-DIST'!K308+'II-I-MET'!K308+'II-I-TBILLTDCS'!K308</f>
        <v>21873106.301291406</v>
      </c>
      <c r="L308" s="369">
        <f>'II-I-DIST'!L308+'II-I-MET'!L308+'II-I-TBILLTDCS'!L308</f>
        <v>86019826.88614966</v>
      </c>
      <c r="M308" s="369">
        <f>'II-I-DIST'!M308+'II-I-MET'!M308+'II-I-TBILLTDCS'!M308</f>
        <v>3622471.5861908589</v>
      </c>
      <c r="N308" s="369">
        <f>'II-I-DIST'!N308+'II-I-MET'!N308+'II-I-TBILLTDCS'!N308</f>
        <v>27894943.514769904</v>
      </c>
      <c r="O308" s="369">
        <f>'II-I-DIST'!O308+'II-I-MET'!O308+'II-I-TBILLTDCS'!O308</f>
        <v>915294.421533513</v>
      </c>
      <c r="P308" s="369">
        <f>'II-I-DIST'!P308+'II-I-MET'!P308+'II-I-TBILLTDCS'!P308</f>
        <v>1909203.087861316</v>
      </c>
      <c r="Q308" s="369">
        <f>'II-I-DIST'!Q308+'II-I-MET'!Q308+'II-I-TBILLTDCS'!Q308</f>
        <v>158992.82781959375</v>
      </c>
      <c r="R308" s="369">
        <f>'II-I-DIST'!R308+'II-I-MET'!R308+'II-I-TBILLTDCS'!R308</f>
        <v>101075.45759265791</v>
      </c>
      <c r="S308" s="369">
        <f>'II-I-DIST'!S308+'II-I-MET'!S308+'II-I-TBILLTDCS'!S308</f>
        <v>256594.45769348906</v>
      </c>
      <c r="T308" s="16"/>
      <c r="U308" s="97">
        <f t="shared" si="90"/>
        <v>298670487.00999993</v>
      </c>
      <c r="V308" s="64"/>
      <c r="X308" s="305">
        <f t="shared" si="87"/>
        <v>0</v>
      </c>
    </row>
    <row r="309" spans="1:24" x14ac:dyDescent="0.2">
      <c r="A309" s="45"/>
      <c r="B309" s="16">
        <f t="shared" si="91"/>
        <v>21</v>
      </c>
      <c r="C309" s="1" t="s">
        <v>76</v>
      </c>
      <c r="D309" s="1" t="s">
        <v>495</v>
      </c>
      <c r="E309" s="16"/>
      <c r="F309" s="97">
        <f>' WP II-I-1.4'!L309</f>
        <v>74784255.819999993</v>
      </c>
      <c r="G309" s="16" t="s">
        <v>751</v>
      </c>
      <c r="H309" s="26" t="s">
        <v>303</v>
      </c>
      <c r="I309" s="16"/>
      <c r="J309" s="369">
        <f>'II-I-DIST'!J309+'II-I-MET'!J309+'II-I-TBILLTDCS'!J309</f>
        <v>0</v>
      </c>
      <c r="K309" s="369">
        <f>'II-I-DIST'!K309+'II-I-MET'!K309+'II-I-TBILLTDCS'!K309</f>
        <v>0</v>
      </c>
      <c r="L309" s="369">
        <f>'II-I-DIST'!L309+'II-I-MET'!L309+'II-I-TBILLTDCS'!L309</f>
        <v>0</v>
      </c>
      <c r="M309" s="369">
        <f>'II-I-DIST'!M309+'II-I-MET'!M309+'II-I-TBILLTDCS'!M309</f>
        <v>0</v>
      </c>
      <c r="N309" s="369">
        <f>'II-I-DIST'!N309+'II-I-MET'!N309+'II-I-TBILLTDCS'!N309</f>
        <v>0</v>
      </c>
      <c r="O309" s="369">
        <f>'II-I-DIST'!O309+'II-I-MET'!O309+'II-I-TBILLTDCS'!O309</f>
        <v>0</v>
      </c>
      <c r="P309" s="369">
        <f>'II-I-DIST'!P309+'II-I-MET'!P309+'II-I-TBILLTDCS'!P309</f>
        <v>0</v>
      </c>
      <c r="Q309" s="369">
        <f>'II-I-DIST'!Q309+'II-I-MET'!Q309+'II-I-TBILLTDCS'!Q309</f>
        <v>74784255.819999993</v>
      </c>
      <c r="R309" s="369">
        <f>'II-I-DIST'!R309+'II-I-MET'!R309+'II-I-TBILLTDCS'!R309</f>
        <v>0</v>
      </c>
      <c r="S309" s="369">
        <f>'II-I-DIST'!S309+'II-I-MET'!S309+'II-I-TBILLTDCS'!S309</f>
        <v>0</v>
      </c>
      <c r="T309" s="16"/>
      <c r="U309" s="97">
        <f t="shared" si="90"/>
        <v>74784255.819999993</v>
      </c>
      <c r="V309" s="64"/>
      <c r="X309" s="305">
        <f t="shared" si="87"/>
        <v>0</v>
      </c>
    </row>
    <row r="310" spans="1:24" x14ac:dyDescent="0.2">
      <c r="A310" s="45"/>
      <c r="B310" s="16">
        <f t="shared" si="91"/>
        <v>22</v>
      </c>
      <c r="C310" s="1" t="s">
        <v>78</v>
      </c>
      <c r="D310" s="1" t="s">
        <v>496</v>
      </c>
      <c r="E310" s="16"/>
      <c r="F310" s="97">
        <f>' WP II-I-1.4'!L310</f>
        <v>0</v>
      </c>
      <c r="G310" s="16" t="s">
        <v>751</v>
      </c>
      <c r="H310" s="26" t="s">
        <v>303</v>
      </c>
      <c r="I310" s="16"/>
      <c r="J310" s="369">
        <f>'II-I-DIST'!J310+'II-I-MET'!J310+'II-I-TBILLTDCS'!J310</f>
        <v>0</v>
      </c>
      <c r="K310" s="369">
        <f>'II-I-DIST'!K310+'II-I-MET'!K310+'II-I-TBILLTDCS'!K310</f>
        <v>0</v>
      </c>
      <c r="L310" s="369">
        <f>'II-I-DIST'!L310+'II-I-MET'!L310+'II-I-TBILLTDCS'!L310</f>
        <v>0</v>
      </c>
      <c r="M310" s="369">
        <f>'II-I-DIST'!M310+'II-I-MET'!M310+'II-I-TBILLTDCS'!M310</f>
        <v>0</v>
      </c>
      <c r="N310" s="369">
        <f>'II-I-DIST'!N310+'II-I-MET'!N310+'II-I-TBILLTDCS'!N310</f>
        <v>0</v>
      </c>
      <c r="O310" s="369">
        <f>'II-I-DIST'!O310+'II-I-MET'!O310+'II-I-TBILLTDCS'!O310</f>
        <v>0</v>
      </c>
      <c r="P310" s="369">
        <f>'II-I-DIST'!P310+'II-I-MET'!P310+'II-I-TBILLTDCS'!P310</f>
        <v>0</v>
      </c>
      <c r="Q310" s="369">
        <f>'II-I-DIST'!Q310+'II-I-MET'!Q310+'II-I-TBILLTDCS'!Q310</f>
        <v>0</v>
      </c>
      <c r="R310" s="369">
        <f>'II-I-DIST'!R310+'II-I-MET'!R310+'II-I-TBILLTDCS'!R310</f>
        <v>0</v>
      </c>
      <c r="S310" s="369">
        <f>'II-I-DIST'!S310+'II-I-MET'!S310+'II-I-TBILLTDCS'!S310</f>
        <v>0</v>
      </c>
      <c r="T310" s="16"/>
      <c r="U310" s="97">
        <f t="shared" si="90"/>
        <v>0</v>
      </c>
      <c r="V310" s="64"/>
      <c r="X310" s="305">
        <f t="shared" si="87"/>
        <v>0</v>
      </c>
    </row>
    <row r="311" spans="1:24" x14ac:dyDescent="0.2">
      <c r="A311" s="45"/>
      <c r="B311" s="16">
        <f t="shared" si="91"/>
        <v>23</v>
      </c>
      <c r="C311" s="1" t="s">
        <v>80</v>
      </c>
      <c r="D311" s="1" t="s">
        <v>84</v>
      </c>
      <c r="E311" s="16"/>
      <c r="F311" s="97">
        <f>' WP II-I-1.4'!L311</f>
        <v>379251735.44</v>
      </c>
      <c r="G311" s="16" t="s">
        <v>751</v>
      </c>
      <c r="H311" s="26" t="s">
        <v>303</v>
      </c>
      <c r="I311" s="16"/>
      <c r="J311" s="370">
        <f>'II-I-DIST'!J311+'II-I-MET'!J311+'II-I-TBILLTDCS'!J311</f>
        <v>0</v>
      </c>
      <c r="K311" s="370">
        <f>'II-I-DIST'!K311+'II-I-MET'!K311+'II-I-TBILLTDCS'!K311</f>
        <v>0</v>
      </c>
      <c r="L311" s="370">
        <f>'II-I-DIST'!L311+'II-I-MET'!L311+'II-I-TBILLTDCS'!L311</f>
        <v>0</v>
      </c>
      <c r="M311" s="370">
        <f>'II-I-DIST'!M311+'II-I-MET'!M311+'II-I-TBILLTDCS'!M311</f>
        <v>0</v>
      </c>
      <c r="N311" s="370">
        <f>'II-I-DIST'!N311+'II-I-MET'!N311+'II-I-TBILLTDCS'!N311</f>
        <v>0</v>
      </c>
      <c r="O311" s="370">
        <f>'II-I-DIST'!O311+'II-I-MET'!O311+'II-I-TBILLTDCS'!O311</f>
        <v>0</v>
      </c>
      <c r="P311" s="370">
        <f>'II-I-DIST'!P311+'II-I-MET'!P311+'II-I-TBILLTDCS'!P311</f>
        <v>0</v>
      </c>
      <c r="Q311" s="370">
        <f>'II-I-DIST'!Q311+'II-I-MET'!Q311+'II-I-TBILLTDCS'!Q311</f>
        <v>379251735.44</v>
      </c>
      <c r="R311" s="370">
        <f>'II-I-DIST'!R311+'II-I-MET'!R311+'II-I-TBILLTDCS'!R311</f>
        <v>0</v>
      </c>
      <c r="S311" s="370">
        <f>'II-I-DIST'!S311+'II-I-MET'!S311+'II-I-TBILLTDCS'!S311</f>
        <v>0</v>
      </c>
      <c r="T311" s="16"/>
      <c r="U311" s="97">
        <f t="shared" si="90"/>
        <v>379251735.44</v>
      </c>
      <c r="V311" s="64"/>
      <c r="X311" s="305">
        <f t="shared" si="87"/>
        <v>0</v>
      </c>
    </row>
    <row r="312" spans="1:24" ht="15" x14ac:dyDescent="0.25">
      <c r="A312" s="45"/>
      <c r="B312" s="16">
        <f t="shared" si="91"/>
        <v>24</v>
      </c>
      <c r="C312" s="64"/>
      <c r="D312" s="233" t="s">
        <v>444</v>
      </c>
      <c r="E312" s="121"/>
      <c r="F312" s="21">
        <f>SUM(F290:F311)</f>
        <v>6778542285.9099979</v>
      </c>
      <c r="G312" s="121"/>
      <c r="H312" s="121"/>
      <c r="I312" s="121"/>
      <c r="J312" s="805">
        <f t="shared" ref="J312:S312" ca="1" si="93">SUM(J290:J311)</f>
        <v>3515433851.6190286</v>
      </c>
      <c r="K312" s="805">
        <f t="shared" ca="1" si="93"/>
        <v>189531661.23149917</v>
      </c>
      <c r="L312" s="805">
        <f t="shared" ca="1" si="93"/>
        <v>2165712378.7543049</v>
      </c>
      <c r="M312" s="805">
        <f t="shared" ca="1" si="93"/>
        <v>6932003.1213204842</v>
      </c>
      <c r="N312" s="805">
        <f t="shared" ca="1" si="93"/>
        <v>373280883.18957472</v>
      </c>
      <c r="O312" s="805">
        <f t="shared" ca="1" si="93"/>
        <v>25121776.144807097</v>
      </c>
      <c r="P312" s="805">
        <f t="shared" ca="1" si="93"/>
        <v>8909312.4990906902</v>
      </c>
      <c r="Q312" s="805">
        <f t="shared" ca="1" si="93"/>
        <v>478935402.80977517</v>
      </c>
      <c r="R312" s="805">
        <f t="shared" ca="1" si="93"/>
        <v>1803480.0293279525</v>
      </c>
      <c r="S312" s="805">
        <f t="shared" ca="1" si="93"/>
        <v>12881536.511270899</v>
      </c>
      <c r="T312" s="121"/>
      <c r="U312" s="235">
        <f t="shared" ca="1" si="90"/>
        <v>6778542285.9099998</v>
      </c>
      <c r="V312" s="64"/>
      <c r="W312" s="1099" t="b">
        <f>' WP II-I-1.4'!$L$312=F312</f>
        <v>1</v>
      </c>
      <c r="X312" s="305">
        <f t="shared" ca="1" si="87"/>
        <v>0</v>
      </c>
    </row>
    <row r="313" spans="1:24" x14ac:dyDescent="0.2">
      <c r="A313" s="45"/>
      <c r="B313" s="16">
        <f t="shared" si="91"/>
        <v>25</v>
      </c>
      <c r="C313" s="64"/>
      <c r="D313" s="1"/>
      <c r="E313" s="16"/>
      <c r="F313" s="18"/>
      <c r="G313" s="16"/>
      <c r="H313" s="16"/>
      <c r="I313" s="1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6"/>
      <c r="U313" s="1"/>
      <c r="V313" s="64"/>
      <c r="X313" s="305">
        <f t="shared" si="87"/>
        <v>0</v>
      </c>
    </row>
    <row r="314" spans="1:24" ht="15" x14ac:dyDescent="0.25">
      <c r="A314" s="45"/>
      <c r="B314" s="16">
        <f t="shared" si="91"/>
        <v>26</v>
      </c>
      <c r="C314" s="64"/>
      <c r="D314" s="233" t="s">
        <v>519</v>
      </c>
      <c r="E314" s="16"/>
      <c r="F314" s="21">
        <f>SUM(F296:F297)</f>
        <v>1202556648.3599997</v>
      </c>
      <c r="G314" s="16"/>
      <c r="H314" s="16"/>
      <c r="I314" s="16"/>
      <c r="J314" s="805">
        <f t="shared" ref="J314:Q314" si="94">SUM(J296:J297)</f>
        <v>657246592.54121387</v>
      </c>
      <c r="K314" s="805">
        <f t="shared" si="94"/>
        <v>12417141.144699618</v>
      </c>
      <c r="L314" s="805">
        <f t="shared" si="94"/>
        <v>422152261.87040246</v>
      </c>
      <c r="M314" s="805">
        <f t="shared" si="94"/>
        <v>163661.34540260091</v>
      </c>
      <c r="N314" s="805">
        <f t="shared" si="94"/>
        <v>102875407.05632319</v>
      </c>
      <c r="O314" s="805">
        <f>SUM(O296:O297)</f>
        <v>0</v>
      </c>
      <c r="P314" s="805">
        <f t="shared" si="94"/>
        <v>0</v>
      </c>
      <c r="Q314" s="805">
        <f t="shared" si="94"/>
        <v>3754229.2507870155</v>
      </c>
      <c r="R314" s="805">
        <f>SUM(R296:R297)</f>
        <v>0</v>
      </c>
      <c r="S314" s="805">
        <f>SUM(S296:S297)</f>
        <v>3947355.1511709746</v>
      </c>
      <c r="T314" s="16"/>
      <c r="U314" s="235">
        <f>SUM(I314:T314)</f>
        <v>1202556648.3599999</v>
      </c>
      <c r="V314" s="64"/>
      <c r="W314" s="1099" t="b">
        <f>' WP II-I-1.4'!$L$314=F314</f>
        <v>1</v>
      </c>
      <c r="X314" s="305">
        <f t="shared" si="87"/>
        <v>0</v>
      </c>
    </row>
    <row r="315" spans="1:24" ht="15" x14ac:dyDescent="0.25">
      <c r="A315" s="45"/>
      <c r="B315" s="16">
        <f t="shared" si="91"/>
        <v>27</v>
      </c>
      <c r="C315" s="64"/>
      <c r="D315" s="233" t="s">
        <v>520</v>
      </c>
      <c r="E315" s="16"/>
      <c r="F315" s="21">
        <f>SUM(F298:F299)</f>
        <v>689155456.41999996</v>
      </c>
      <c r="G315" s="16"/>
      <c r="H315" s="16"/>
      <c r="I315" s="16"/>
      <c r="J315" s="805">
        <f t="shared" ref="J315:Q315" si="95">SUM(J298:J299)</f>
        <v>375366503.92847836</v>
      </c>
      <c r="K315" s="805">
        <f t="shared" si="95"/>
        <v>7091674.43873828</v>
      </c>
      <c r="L315" s="805">
        <f t="shared" si="95"/>
        <v>241099490.6053558</v>
      </c>
      <c r="M315" s="805">
        <f t="shared" si="95"/>
        <v>97067.582507050145</v>
      </c>
      <c r="N315" s="805">
        <f t="shared" si="95"/>
        <v>61015428.156362474</v>
      </c>
      <c r="O315" s="805">
        <f>SUM(O298:O299)</f>
        <v>0</v>
      </c>
      <c r="P315" s="805">
        <f t="shared" si="95"/>
        <v>0</v>
      </c>
      <c r="Q315" s="805">
        <f t="shared" si="95"/>
        <v>2144114.4386390802</v>
      </c>
      <c r="R315" s="805">
        <f>SUM(R298:R299)</f>
        <v>0</v>
      </c>
      <c r="S315" s="805">
        <f>SUM(S298:S299)</f>
        <v>2341177.2699189158</v>
      </c>
      <c r="T315" s="16"/>
      <c r="U315" s="235">
        <f>SUM(I315:T315)</f>
        <v>689155456.41999996</v>
      </c>
      <c r="V315" s="64"/>
      <c r="W315" s="1099" t="b">
        <f>' WP II-I-1.4'!$L$315=F315</f>
        <v>1</v>
      </c>
      <c r="X315" s="305">
        <f t="shared" si="87"/>
        <v>0</v>
      </c>
    </row>
    <row r="316" spans="1:24" ht="15" x14ac:dyDescent="0.25">
      <c r="A316" s="45"/>
      <c r="B316" s="16">
        <f t="shared" si="91"/>
        <v>28</v>
      </c>
      <c r="C316" s="64"/>
      <c r="D316" s="233" t="s">
        <v>521</v>
      </c>
      <c r="E316" s="16"/>
      <c r="F316" s="21">
        <f>SUM(F300:F301)</f>
        <v>550241099.80999994</v>
      </c>
      <c r="G316" s="16"/>
      <c r="H316" s="16"/>
      <c r="I316" s="16"/>
      <c r="J316" s="805">
        <f t="shared" ref="J316:Q316" si="96">SUM(J300:J301)</f>
        <v>307139632.30559486</v>
      </c>
      <c r="K316" s="805">
        <f t="shared" si="96"/>
        <v>5802686.8587083053</v>
      </c>
      <c r="L316" s="805">
        <f t="shared" si="96"/>
        <v>197277082.84728777</v>
      </c>
      <c r="M316" s="805">
        <f t="shared" si="96"/>
        <v>58538.994401104945</v>
      </c>
      <c r="N316" s="805">
        <f t="shared" si="96"/>
        <v>36796855.499794699</v>
      </c>
      <c r="O316" s="805">
        <f>SUM(O300:O301)</f>
        <v>0</v>
      </c>
      <c r="P316" s="805">
        <f t="shared" si="96"/>
        <v>0</v>
      </c>
      <c r="Q316" s="805">
        <f t="shared" si="96"/>
        <v>1754398.7367349148</v>
      </c>
      <c r="R316" s="805">
        <f>SUM(R300:R301)</f>
        <v>0</v>
      </c>
      <c r="S316" s="805">
        <f>SUM(S300:S301)</f>
        <v>1411904.5674782665</v>
      </c>
      <c r="T316" s="16"/>
      <c r="U316" s="235">
        <f>SUM(I316:T316)</f>
        <v>550241099.80999994</v>
      </c>
      <c r="V316" s="64"/>
      <c r="W316" s="1099" t="b">
        <f>' WP II-I-1.4'!$L$316=F316</f>
        <v>1</v>
      </c>
      <c r="X316" s="305">
        <f t="shared" si="87"/>
        <v>0</v>
      </c>
    </row>
    <row r="317" spans="1:24" ht="15" x14ac:dyDescent="0.25">
      <c r="A317" s="45"/>
      <c r="B317" s="16">
        <f t="shared" si="91"/>
        <v>29</v>
      </c>
      <c r="C317" s="64"/>
      <c r="D317" s="233" t="s">
        <v>522</v>
      </c>
      <c r="E317" s="16"/>
      <c r="F317" s="21">
        <f>SUM(F302:F303)</f>
        <v>691245457.77999997</v>
      </c>
      <c r="G317" s="16"/>
      <c r="H317" s="16"/>
      <c r="I317" s="16"/>
      <c r="J317" s="805">
        <f t="shared" ref="J317:Q317" si="97">SUM(J302:J303)</f>
        <v>379786565.90649378</v>
      </c>
      <c r="K317" s="805">
        <f t="shared" si="97"/>
        <v>7175181.1987157315</v>
      </c>
      <c r="L317" s="805">
        <f t="shared" si="97"/>
        <v>243938515.07927808</v>
      </c>
      <c r="M317" s="805">
        <f t="shared" si="97"/>
        <v>88993.863585225947</v>
      </c>
      <c r="N317" s="805">
        <f t="shared" si="97"/>
        <v>55940392.76240436</v>
      </c>
      <c r="O317" s="805">
        <f>SUM(O302:O303)</f>
        <v>0</v>
      </c>
      <c r="P317" s="805">
        <f t="shared" si="97"/>
        <v>0</v>
      </c>
      <c r="Q317" s="805">
        <f t="shared" si="97"/>
        <v>2169362.0795648349</v>
      </c>
      <c r="R317" s="805">
        <f>SUM(R302:R303)</f>
        <v>0</v>
      </c>
      <c r="S317" s="805">
        <f>SUM(S302:S303)</f>
        <v>2146446.8899579626</v>
      </c>
      <c r="T317" s="16"/>
      <c r="U317" s="235">
        <f>SUM(I317:T317)</f>
        <v>691245457.77999985</v>
      </c>
      <c r="V317" s="64"/>
      <c r="W317" s="1099" t="b">
        <f>' WP II-I-1.4'!$L$317=F317</f>
        <v>1</v>
      </c>
      <c r="X317" s="305">
        <f t="shared" si="87"/>
        <v>0</v>
      </c>
    </row>
    <row r="318" spans="1:24" ht="15" x14ac:dyDescent="0.25">
      <c r="A318" s="45"/>
      <c r="B318" s="16">
        <f t="shared" si="91"/>
        <v>30</v>
      </c>
      <c r="C318" s="64"/>
      <c r="D318" s="233" t="s">
        <v>523</v>
      </c>
      <c r="E318" s="16"/>
      <c r="F318" s="21">
        <f>SUM(F304:F306)</f>
        <v>761627190.18000007</v>
      </c>
      <c r="G318" s="16"/>
      <c r="H318" s="16"/>
      <c r="I318" s="16"/>
      <c r="J318" s="805">
        <f t="shared" ref="J318:Q318" si="98">SUM(J304:J306)</f>
        <v>447329833.29653406</v>
      </c>
      <c r="K318" s="805">
        <f t="shared" si="98"/>
        <v>8451253.6714744624</v>
      </c>
      <c r="L318" s="805">
        <f t="shared" si="98"/>
        <v>287321840.95180428</v>
      </c>
      <c r="M318" s="805">
        <f t="shared" si="98"/>
        <v>13877.837576738568</v>
      </c>
      <c r="N318" s="805">
        <f t="shared" si="98"/>
        <v>8723429.3855794556</v>
      </c>
      <c r="O318" s="805">
        <f>SUM(O304:O306)</f>
        <v>1459218.9847879661</v>
      </c>
      <c r="P318" s="805">
        <f t="shared" si="98"/>
        <v>5336975.967392412</v>
      </c>
      <c r="Q318" s="805">
        <f t="shared" si="98"/>
        <v>2555172.9959044545</v>
      </c>
      <c r="R318" s="805">
        <f>SUM(R304:R306)</f>
        <v>100866.91717380694</v>
      </c>
      <c r="S318" s="805">
        <f>SUM(S304:S306)</f>
        <v>334720.17177235376</v>
      </c>
      <c r="T318" s="16"/>
      <c r="U318" s="235">
        <f>SUM(I318:T318)</f>
        <v>761627190.18000007</v>
      </c>
      <c r="V318" s="64"/>
      <c r="W318" s="1099" t="b">
        <f>' WP II-I-1.4'!$L$318=F318</f>
        <v>1</v>
      </c>
      <c r="X318" s="305">
        <f t="shared" si="87"/>
        <v>0</v>
      </c>
    </row>
    <row r="319" spans="1:24" ht="15" thickBot="1" x14ac:dyDescent="0.25">
      <c r="A319" s="45"/>
      <c r="B319" s="16">
        <f t="shared" si="91"/>
        <v>31</v>
      </c>
      <c r="C319" s="64"/>
      <c r="D319" s="1"/>
      <c r="E319" s="16"/>
      <c r="F319" s="18"/>
      <c r="G319" s="16"/>
      <c r="H319" s="16"/>
      <c r="I319" s="1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6"/>
      <c r="U319" s="1"/>
      <c r="V319" s="64"/>
      <c r="W319" s="1099" t="b">
        <f>' WP II-I-1.4'!$L$319=F319</f>
        <v>1</v>
      </c>
      <c r="X319" s="305">
        <f t="shared" si="87"/>
        <v>0</v>
      </c>
    </row>
    <row r="320" spans="1:24" ht="15" x14ac:dyDescent="0.25">
      <c r="A320" s="45"/>
      <c r="B320" s="16">
        <f t="shared" si="91"/>
        <v>32</v>
      </c>
      <c r="C320" s="239" t="s">
        <v>526</v>
      </c>
      <c r="D320" s="240"/>
      <c r="E320" s="241" t="s">
        <v>24</v>
      </c>
      <c r="F320" s="242">
        <f>F261+F276+F312</f>
        <v>6916348678.8599977</v>
      </c>
      <c r="G320" s="241"/>
      <c r="H320" s="372"/>
      <c r="I320" s="769"/>
      <c r="J320" s="374">
        <f t="shared" ref="J320:S320" ca="1" si="99">J261+J276+J312</f>
        <v>3586201557.7046738</v>
      </c>
      <c r="K320" s="817">
        <f t="shared" ca="1" si="99"/>
        <v>190892722.77127916</v>
      </c>
      <c r="L320" s="817">
        <f t="shared" ca="1" si="99"/>
        <v>2211148625.0224299</v>
      </c>
      <c r="M320" s="817">
        <f t="shared" ca="1" si="99"/>
        <v>6955123.3046650272</v>
      </c>
      <c r="N320" s="817">
        <f t="shared" ca="1" si="99"/>
        <v>386530441.6960783</v>
      </c>
      <c r="O320" s="817">
        <f t="shared" ca="1" si="99"/>
        <v>30744404.965843275</v>
      </c>
      <c r="P320" s="817">
        <f t="shared" ca="1" si="99"/>
        <v>8914558.886425674</v>
      </c>
      <c r="Q320" s="817">
        <f t="shared" ca="1" si="99"/>
        <v>479379623.76241744</v>
      </c>
      <c r="R320" s="817">
        <f t="shared" ca="1" si="99"/>
        <v>2192159.6722255475</v>
      </c>
      <c r="S320" s="566">
        <f t="shared" ca="1" si="99"/>
        <v>13389461.073961023</v>
      </c>
      <c r="T320" s="372"/>
      <c r="U320" s="243">
        <f ca="1">SUM(I320:T320)</f>
        <v>6916348678.8599997</v>
      </c>
      <c r="V320" s="64"/>
      <c r="W320" s="1099" t="b">
        <f>' WP II-I-1.4'!$L$320=F320</f>
        <v>1</v>
      </c>
      <c r="X320" s="305">
        <f t="shared" ca="1" si="87"/>
        <v>0</v>
      </c>
    </row>
    <row r="321" spans="1:24" ht="15.75" thickBot="1" x14ac:dyDescent="0.3">
      <c r="A321" s="45"/>
      <c r="B321" s="16">
        <f t="shared" si="91"/>
        <v>33</v>
      </c>
      <c r="C321" s="245" t="s">
        <v>527</v>
      </c>
      <c r="D321" s="246"/>
      <c r="E321" s="247" t="s">
        <v>24</v>
      </c>
      <c r="F321" s="248">
        <f>F276+F312</f>
        <v>6912970129.0099983</v>
      </c>
      <c r="G321" s="247"/>
      <c r="H321" s="375"/>
      <c r="I321" s="964"/>
      <c r="J321" s="377">
        <f t="shared" ref="J321:S321" ca="1" si="100">J276+J312</f>
        <v>3584363947.0867505</v>
      </c>
      <c r="K321" s="248">
        <f t="shared" ca="1" si="100"/>
        <v>190833934.5856005</v>
      </c>
      <c r="L321" s="248">
        <f t="shared" ca="1" si="100"/>
        <v>2209986470.1575508</v>
      </c>
      <c r="M321" s="248">
        <f t="shared" ca="1" si="100"/>
        <v>6952720.7715738723</v>
      </c>
      <c r="N321" s="248">
        <f t="shared" ca="1" si="100"/>
        <v>386303730.44666445</v>
      </c>
      <c r="O321" s="248">
        <f t="shared" ca="1" si="100"/>
        <v>30719252.228225067</v>
      </c>
      <c r="P321" s="248">
        <f t="shared" ca="1" si="100"/>
        <v>8909312.4990906902</v>
      </c>
      <c r="Q321" s="248">
        <f t="shared" ca="1" si="100"/>
        <v>479329135.36556357</v>
      </c>
      <c r="R321" s="248">
        <f t="shared" ca="1" si="100"/>
        <v>2190399.4446962536</v>
      </c>
      <c r="S321" s="378">
        <f t="shared" ca="1" si="100"/>
        <v>13381226.424284238</v>
      </c>
      <c r="T321" s="375"/>
      <c r="U321" s="249">
        <f ca="1">SUM(I321:T321)</f>
        <v>6912970129.0100002</v>
      </c>
      <c r="V321" s="64"/>
      <c r="W321" s="1099" t="b">
        <f>' WP II-I-1.4'!$L$321=F321</f>
        <v>1</v>
      </c>
      <c r="X321" s="305">
        <f t="shared" ca="1" si="87"/>
        <v>0</v>
      </c>
    </row>
    <row r="322" spans="1:24" ht="15.75" thickBot="1" x14ac:dyDescent="0.3">
      <c r="A322" s="45"/>
      <c r="B322" s="16">
        <f t="shared" si="91"/>
        <v>34</v>
      </c>
      <c r="C322" s="8"/>
      <c r="D322" s="8"/>
      <c r="E322" s="19"/>
      <c r="F322" s="21"/>
      <c r="G322" s="19"/>
      <c r="H322" s="19"/>
      <c r="I322" s="19"/>
      <c r="J322" s="805"/>
      <c r="K322" s="805"/>
      <c r="L322" s="805"/>
      <c r="M322" s="805"/>
      <c r="N322" s="805"/>
      <c r="O322" s="805"/>
      <c r="P322" s="805"/>
      <c r="Q322" s="805"/>
      <c r="R322" s="805"/>
      <c r="S322" s="805"/>
      <c r="T322" s="19"/>
      <c r="U322" s="21"/>
      <c r="V322" s="64"/>
      <c r="W322" s="1099" t="b">
        <f>' WP II-I-1.4'!$L$322=F322</f>
        <v>1</v>
      </c>
      <c r="X322" s="305">
        <f t="shared" si="87"/>
        <v>0</v>
      </c>
    </row>
    <row r="323" spans="1:24" ht="15" x14ac:dyDescent="0.25">
      <c r="A323" s="45"/>
      <c r="B323" s="16">
        <f t="shared" si="91"/>
        <v>35</v>
      </c>
      <c r="C323" s="255" t="s">
        <v>528</v>
      </c>
      <c r="D323" s="240"/>
      <c r="E323" s="256"/>
      <c r="F323" s="242">
        <f>F106-F261</f>
        <v>5736920.1500000004</v>
      </c>
      <c r="G323" s="256"/>
      <c r="H323" s="383"/>
      <c r="I323" s="965"/>
      <c r="J323" s="374">
        <f t="shared" ref="J323:S323" ca="1" si="101">J106-J261</f>
        <v>3120340.3381651859</v>
      </c>
      <c r="K323" s="817">
        <f t="shared" ca="1" si="101"/>
        <v>99824.818800634472</v>
      </c>
      <c r="L323" s="817">
        <f t="shared" ca="1" si="101"/>
        <v>1973387.9793906086</v>
      </c>
      <c r="M323" s="817">
        <f t="shared" ca="1" si="101"/>
        <v>4079.6025010590774</v>
      </c>
      <c r="N323" s="817">
        <f t="shared" ca="1" si="101"/>
        <v>384965.26393568306</v>
      </c>
      <c r="O323" s="817">
        <f t="shared" ca="1" si="101"/>
        <v>42710.409406191815</v>
      </c>
      <c r="P323" s="817">
        <f t="shared" ca="1" si="101"/>
        <v>8908.5869725506527</v>
      </c>
      <c r="Q323" s="817">
        <f t="shared" ca="1" si="101"/>
        <v>85731.427752968157</v>
      </c>
      <c r="R323" s="817">
        <f t="shared" ca="1" si="101"/>
        <v>2988.9405900321017</v>
      </c>
      <c r="S323" s="566">
        <f t="shared" ca="1" si="101"/>
        <v>13982.782485085958</v>
      </c>
      <c r="T323" s="383"/>
      <c r="U323" s="243">
        <f ca="1">SUM(I323:T323)</f>
        <v>5736920.1499999985</v>
      </c>
      <c r="V323" s="64"/>
      <c r="W323" s="1099" t="b">
        <f>' WP II-I-1.4'!$L$323=F323</f>
        <v>1</v>
      </c>
      <c r="X323" s="305">
        <f t="shared" ca="1" si="87"/>
        <v>0</v>
      </c>
    </row>
    <row r="324" spans="1:24" ht="15" x14ac:dyDescent="0.25">
      <c r="A324" s="45"/>
      <c r="B324" s="16">
        <f t="shared" si="91"/>
        <v>36</v>
      </c>
      <c r="C324" s="173" t="s">
        <v>529</v>
      </c>
      <c r="D324" s="225"/>
      <c r="E324" s="257"/>
      <c r="F324" s="258">
        <f>F121-F276</f>
        <v>334548282.40999997</v>
      </c>
      <c r="G324" s="257"/>
      <c r="H324" s="385"/>
      <c r="I324" s="966"/>
      <c r="J324" s="567">
        <f t="shared" ref="J324:S324" ca="1" si="102">J121-J276</f>
        <v>171545153.9896324</v>
      </c>
      <c r="K324" s="258">
        <f t="shared" ca="1" si="102"/>
        <v>3240945.5050083422</v>
      </c>
      <c r="L324" s="258">
        <f t="shared" ca="1" si="102"/>
        <v>110184176.82414795</v>
      </c>
      <c r="M324" s="258">
        <f t="shared" ca="1" si="102"/>
        <v>51559.663147211599</v>
      </c>
      <c r="N324" s="258">
        <f t="shared" ca="1" si="102"/>
        <v>32409738.053344898</v>
      </c>
      <c r="O324" s="258">
        <f t="shared" ca="1" si="102"/>
        <v>13930343.34520641</v>
      </c>
      <c r="P324" s="258">
        <f t="shared" ca="1" si="102"/>
        <v>0</v>
      </c>
      <c r="Q324" s="258">
        <f t="shared" ca="1" si="102"/>
        <v>979875.5022046864</v>
      </c>
      <c r="R324" s="258">
        <f t="shared" ca="1" si="102"/>
        <v>962919.75574029377</v>
      </c>
      <c r="S324" s="259">
        <f t="shared" ca="1" si="102"/>
        <v>1243569.7715677675</v>
      </c>
      <c r="T324" s="385"/>
      <c r="U324" s="259">
        <f ca="1">SUM(I324:T324)</f>
        <v>334548282.40999991</v>
      </c>
      <c r="V324" s="64"/>
      <c r="W324" s="1099" t="b">
        <f>' WP II-I-1.4'!$L$324=F324</f>
        <v>1</v>
      </c>
      <c r="X324" s="305">
        <f t="shared" ca="1" si="87"/>
        <v>0</v>
      </c>
    </row>
    <row r="325" spans="1:24" ht="15" x14ac:dyDescent="0.25">
      <c r="A325" s="45"/>
      <c r="B325" s="16">
        <f t="shared" si="91"/>
        <v>37</v>
      </c>
      <c r="C325" s="173" t="s">
        <v>530</v>
      </c>
      <c r="D325" s="225"/>
      <c r="E325" s="257"/>
      <c r="F325" s="258">
        <f>F159-F312</f>
        <v>13779518736.160002</v>
      </c>
      <c r="G325" s="257"/>
      <c r="H325" s="385"/>
      <c r="I325" s="966"/>
      <c r="J325" s="567">
        <f t="shared" ref="J325:S325" ca="1" si="103">J159-J312</f>
        <v>7508524101.5898399</v>
      </c>
      <c r="K325" s="258">
        <f t="shared" ca="1" si="103"/>
        <v>233890031.65659866</v>
      </c>
      <c r="L325" s="258">
        <f t="shared" ca="1" si="103"/>
        <v>4753291646.7872505</v>
      </c>
      <c r="M325" s="258">
        <f t="shared" ca="1" si="103"/>
        <v>8255101.108480623</v>
      </c>
      <c r="N325" s="258">
        <f t="shared" ca="1" si="103"/>
        <v>910710326.26776075</v>
      </c>
      <c r="O325" s="258">
        <f t="shared" ca="1" si="103"/>
        <v>91810977.840980515</v>
      </c>
      <c r="P325" s="258">
        <f t="shared" ca="1" si="103"/>
        <v>21183872.866644453</v>
      </c>
      <c r="Q325" s="258">
        <f t="shared" ca="1" si="103"/>
        <v>212037953.34757191</v>
      </c>
      <c r="R325" s="258">
        <f t="shared" ca="1" si="103"/>
        <v>6418238.6535871401</v>
      </c>
      <c r="S325" s="259">
        <f t="shared" ca="1" si="103"/>
        <v>33396486.041286495</v>
      </c>
      <c r="T325" s="385"/>
      <c r="U325" s="261">
        <f ca="1">SUM(I325:T325)</f>
        <v>13779518736.160002</v>
      </c>
      <c r="V325" s="64"/>
      <c r="W325" s="1099" t="b">
        <f>' WP II-I-1.4'!$L$325=F325</f>
        <v>1</v>
      </c>
      <c r="X325" s="305">
        <f t="shared" ca="1" si="87"/>
        <v>0</v>
      </c>
    </row>
    <row r="326" spans="1:24" ht="15" x14ac:dyDescent="0.25">
      <c r="A326" s="45"/>
      <c r="B326" s="16">
        <f t="shared" si="91"/>
        <v>38</v>
      </c>
      <c r="C326" s="173" t="s">
        <v>531</v>
      </c>
      <c r="D326" s="225"/>
      <c r="E326" s="257"/>
      <c r="F326" s="258">
        <f>SUM(F324:F325)</f>
        <v>14114067018.570002</v>
      </c>
      <c r="G326" s="257"/>
      <c r="H326" s="385"/>
      <c r="I326" s="966"/>
      <c r="J326" s="567">
        <f t="shared" ref="J326:Q326" ca="1" si="104">SUM(J324:J325)</f>
        <v>7680069255.5794725</v>
      </c>
      <c r="K326" s="258">
        <f t="shared" ca="1" si="104"/>
        <v>237130977.161607</v>
      </c>
      <c r="L326" s="258">
        <f t="shared" ca="1" si="104"/>
        <v>4863475823.6113987</v>
      </c>
      <c r="M326" s="258">
        <f t="shared" ca="1" si="104"/>
        <v>8306660.771627835</v>
      </c>
      <c r="N326" s="258">
        <f t="shared" ca="1" si="104"/>
        <v>943120064.3211056</v>
      </c>
      <c r="O326" s="258">
        <f ca="1">SUM(O324:O325)</f>
        <v>105741321.18618692</v>
      </c>
      <c r="P326" s="258">
        <f t="shared" ca="1" si="104"/>
        <v>21183872.866644453</v>
      </c>
      <c r="Q326" s="258">
        <f t="shared" ca="1" si="104"/>
        <v>213017828.8497766</v>
      </c>
      <c r="R326" s="258">
        <f ca="1">SUM(R324:R325)</f>
        <v>7381158.4093274344</v>
      </c>
      <c r="S326" s="259">
        <f ca="1">SUM(S324:S325)</f>
        <v>34640055.81285426</v>
      </c>
      <c r="T326" s="385"/>
      <c r="U326" s="261">
        <f ca="1">SUM(I326:T326)</f>
        <v>14114067018.570002</v>
      </c>
      <c r="V326" s="64"/>
      <c r="W326" s="1099" t="b">
        <f>' WP II-I-1.4'!$L$326=F326</f>
        <v>1</v>
      </c>
      <c r="X326" s="305">
        <f t="shared" ca="1" si="87"/>
        <v>0</v>
      </c>
    </row>
    <row r="327" spans="1:24" ht="15.75" thickBot="1" x14ac:dyDescent="0.3">
      <c r="A327" s="45"/>
      <c r="B327" s="16">
        <f t="shared" si="91"/>
        <v>39</v>
      </c>
      <c r="C327" s="262" t="s">
        <v>532</v>
      </c>
      <c r="D327" s="246"/>
      <c r="E327" s="263"/>
      <c r="F327" s="248">
        <f>SUM(F323:F325)</f>
        <v>14119803938.720001</v>
      </c>
      <c r="G327" s="263"/>
      <c r="H327" s="387"/>
      <c r="I327" s="967"/>
      <c r="J327" s="377">
        <f t="shared" ref="J327:Q327" ca="1" si="105">SUM(J323:J325)</f>
        <v>7683189595.9176378</v>
      </c>
      <c r="K327" s="248">
        <f t="shared" ca="1" si="105"/>
        <v>237230801.98040763</v>
      </c>
      <c r="L327" s="248">
        <f t="shared" ca="1" si="105"/>
        <v>4865449211.5907888</v>
      </c>
      <c r="M327" s="248">
        <f t="shared" ca="1" si="105"/>
        <v>8310740.3741288939</v>
      </c>
      <c r="N327" s="248">
        <f t="shared" ca="1" si="105"/>
        <v>943505029.58504128</v>
      </c>
      <c r="O327" s="248">
        <f ca="1">SUM(O323:O325)</f>
        <v>105784031.59559312</v>
      </c>
      <c r="P327" s="248">
        <f t="shared" ca="1" si="105"/>
        <v>21192781.453617003</v>
      </c>
      <c r="Q327" s="248">
        <f t="shared" ca="1" si="105"/>
        <v>213103560.27752957</v>
      </c>
      <c r="R327" s="248">
        <f ca="1">SUM(R323:R325)</f>
        <v>7384147.3499174658</v>
      </c>
      <c r="S327" s="378">
        <f ca="1">SUM(S323:S325)</f>
        <v>34654038.59533935</v>
      </c>
      <c r="T327" s="387"/>
      <c r="U327" s="249">
        <f ca="1">SUM(I327:T327)</f>
        <v>14119803938.719999</v>
      </c>
      <c r="V327" s="64"/>
      <c r="W327" s="1099" t="b">
        <f>' WP II-I-1.4'!$L$327=F327</f>
        <v>1</v>
      </c>
      <c r="X327" s="305">
        <f t="shared" ca="1" si="87"/>
        <v>0</v>
      </c>
    </row>
    <row r="328" spans="1:24" x14ac:dyDescent="0.2">
      <c r="A328" s="45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X328" s="305">
        <f t="shared" si="87"/>
        <v>0</v>
      </c>
    </row>
    <row r="329" spans="1:24" x14ac:dyDescent="0.2">
      <c r="A329" s="45"/>
      <c r="B329" s="16"/>
      <c r="C329" s="1"/>
      <c r="D329" s="1"/>
      <c r="E329" s="16"/>
      <c r="F329" s="17"/>
      <c r="G329" s="16"/>
      <c r="H329" s="105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05"/>
      <c r="V329" s="105"/>
      <c r="X329" s="305"/>
    </row>
    <row r="330" spans="1:24" ht="15" thickBot="1" x14ac:dyDescent="0.25">
      <c r="A330" s="45"/>
      <c r="B330" s="16"/>
      <c r="C330" s="1"/>
      <c r="D330" s="1"/>
      <c r="E330" s="16"/>
      <c r="F330" s="1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"/>
      <c r="V330" s="64"/>
      <c r="X330" s="305">
        <f t="shared" si="87"/>
        <v>0</v>
      </c>
    </row>
    <row r="331" spans="1:24" ht="15" x14ac:dyDescent="0.25">
      <c r="A331" s="45"/>
      <c r="B331" s="829" t="str">
        <f>+$B$4</f>
        <v>2025 RATE CASE</v>
      </c>
      <c r="C331" s="844"/>
      <c r="D331" s="547"/>
      <c r="F331" s="11"/>
      <c r="U331" s="105"/>
      <c r="X331" s="305">
        <f t="shared" si="87"/>
        <v>0</v>
      </c>
    </row>
    <row r="332" spans="1:24" ht="15" x14ac:dyDescent="0.25">
      <c r="A332" s="45"/>
      <c r="B332" s="826" t="str">
        <f>+$B$5</f>
        <v>ONCOR ELECTRIC DELIVERY COMPANY LLC</v>
      </c>
      <c r="C332" s="8"/>
      <c r="D332" s="548"/>
      <c r="F332" s="11"/>
      <c r="U332" s="105"/>
      <c r="V332" s="64"/>
      <c r="X332" s="305">
        <f t="shared" si="87"/>
        <v>0</v>
      </c>
    </row>
    <row r="333" spans="1:24" ht="15" x14ac:dyDescent="0.25">
      <c r="A333" s="45"/>
      <c r="B333" s="826" t="str">
        <f>+$B$6</f>
        <v>II-I-1-TOT:  CLASS REVENUE REQUIREMENT</v>
      </c>
      <c r="C333" s="82"/>
      <c r="D333" s="548"/>
      <c r="F333" s="11"/>
      <c r="U333" s="11"/>
      <c r="V333" s="64"/>
      <c r="X333" s="305">
        <f t="shared" si="87"/>
        <v>0</v>
      </c>
    </row>
    <row r="334" spans="1:24" ht="15" x14ac:dyDescent="0.25">
      <c r="A334" s="45"/>
      <c r="B334" s="341" t="str">
        <f>+$B$7</f>
        <v>TEST YEAR ENDING 12/31/2024</v>
      </c>
      <c r="C334" s="82"/>
      <c r="D334" s="548"/>
      <c r="F334" s="11"/>
      <c r="U334" s="11"/>
      <c r="V334" s="64"/>
      <c r="X334" s="305">
        <f t="shared" si="87"/>
        <v>0</v>
      </c>
    </row>
    <row r="335" spans="1:24" ht="15" x14ac:dyDescent="0.25">
      <c r="A335" s="45"/>
      <c r="B335" s="341" t="str">
        <f>+$B$8</f>
        <v>SPONSOR:  MATTHEW A. TROXLE</v>
      </c>
      <c r="C335" s="82"/>
      <c r="D335" s="548"/>
      <c r="F335" s="11"/>
      <c r="U335" s="11"/>
      <c r="V335" s="64"/>
      <c r="X335" s="305">
        <f t="shared" si="87"/>
        <v>0</v>
      </c>
    </row>
    <row r="336" spans="1:24" ht="15.75" thickBot="1" x14ac:dyDescent="0.3">
      <c r="A336" s="45"/>
      <c r="B336" s="345"/>
      <c r="C336" s="843"/>
      <c r="D336" s="549"/>
      <c r="F336" s="11"/>
      <c r="U336" s="11"/>
      <c r="V336" s="64"/>
      <c r="X336" s="305">
        <f t="shared" si="87"/>
        <v>0</v>
      </c>
    </row>
    <row r="337" spans="1:24" ht="15" thickBot="1" x14ac:dyDescent="0.25">
      <c r="A337" s="45"/>
      <c r="B337" s="12"/>
      <c r="C337" s="13"/>
      <c r="D337" s="13"/>
      <c r="E337" s="13"/>
      <c r="F337" s="12"/>
      <c r="G337" s="13"/>
      <c r="H337" s="13"/>
      <c r="I337" s="13"/>
      <c r="J337" s="177"/>
      <c r="K337" s="177"/>
      <c r="L337" s="13"/>
      <c r="M337" s="177"/>
      <c r="N337" s="177"/>
      <c r="O337" s="177"/>
      <c r="P337" s="177"/>
      <c r="Q337" s="13"/>
      <c r="R337" s="328" t="str">
        <f>R$10</f>
        <v xml:space="preserve"> </v>
      </c>
      <c r="S337" s="329"/>
      <c r="T337" s="177"/>
      <c r="U337" s="12"/>
      <c r="V337" s="64"/>
      <c r="X337" s="305">
        <f t="shared" si="87"/>
        <v>0</v>
      </c>
    </row>
    <row r="338" spans="1:24" ht="15" x14ac:dyDescent="0.25">
      <c r="A338" s="45"/>
      <c r="B338" s="14" t="s">
        <v>2</v>
      </c>
      <c r="C338" s="14" t="s">
        <v>349</v>
      </c>
      <c r="D338" s="226" t="s">
        <v>533</v>
      </c>
      <c r="E338" s="14" t="s">
        <v>350</v>
      </c>
      <c r="F338" s="226" t="str">
        <f>F$11</f>
        <v>TOTAL</v>
      </c>
      <c r="G338" s="181" t="s">
        <v>688</v>
      </c>
      <c r="H338" s="181" t="s">
        <v>355</v>
      </c>
      <c r="I338" s="14"/>
      <c r="J338" s="181" t="s">
        <v>679</v>
      </c>
      <c r="K338" s="181" t="s">
        <v>388</v>
      </c>
      <c r="L338" s="14" t="s">
        <v>388</v>
      </c>
      <c r="M338" s="181" t="s">
        <v>389</v>
      </c>
      <c r="N338" s="181" t="s">
        <v>389</v>
      </c>
      <c r="O338" s="181" t="s">
        <v>389</v>
      </c>
      <c r="P338" s="181" t="s">
        <v>390</v>
      </c>
      <c r="Q338" s="14" t="s">
        <v>391</v>
      </c>
      <c r="R338" s="331" t="str">
        <f>R$11</f>
        <v>Wholesale</v>
      </c>
      <c r="S338" s="12" t="str">
        <f>S$11</f>
        <v>Wholesale</v>
      </c>
      <c r="T338" s="181"/>
      <c r="U338" s="14" t="s">
        <v>10</v>
      </c>
      <c r="V338" s="64"/>
      <c r="X338" s="305"/>
    </row>
    <row r="339" spans="1:24" x14ac:dyDescent="0.2">
      <c r="A339" s="45"/>
      <c r="B339" s="14"/>
      <c r="C339" s="14"/>
      <c r="D339" s="14"/>
      <c r="E339" s="14"/>
      <c r="F339" s="14" t="str">
        <f>F$12</f>
        <v>(Dist+Met+Cust)</v>
      </c>
      <c r="G339" s="181" t="s">
        <v>689</v>
      </c>
      <c r="H339" s="181" t="s">
        <v>690</v>
      </c>
      <c r="I339" s="14"/>
      <c r="J339" s="181"/>
      <c r="K339" s="181" t="s">
        <v>680</v>
      </c>
      <c r="L339" s="14" t="s">
        <v>681</v>
      </c>
      <c r="M339" s="181" t="s">
        <v>680</v>
      </c>
      <c r="N339" s="181" t="s">
        <v>681</v>
      </c>
      <c r="O339" s="181" t="s">
        <v>393</v>
      </c>
      <c r="P339" s="181"/>
      <c r="Q339" s="14"/>
      <c r="R339" s="174" t="str">
        <f>R$12</f>
        <v>XFMR</v>
      </c>
      <c r="S339" s="14" t="str">
        <f>S$12</f>
        <v>DLS</v>
      </c>
      <c r="T339" s="181"/>
      <c r="U339" s="14"/>
      <c r="V339" s="64"/>
      <c r="X339" s="305"/>
    </row>
    <row r="340" spans="1:24" ht="15" thickBot="1" x14ac:dyDescent="0.25">
      <c r="A340" s="45"/>
      <c r="B340" s="15"/>
      <c r="C340" s="15"/>
      <c r="D340" s="15"/>
      <c r="E340" s="15"/>
      <c r="F340" s="15" t="s">
        <v>13</v>
      </c>
      <c r="G340" s="15" t="s">
        <v>14</v>
      </c>
      <c r="H340" s="15" t="s">
        <v>15</v>
      </c>
      <c r="I340" s="15"/>
      <c r="J340" s="182" t="str">
        <f t="shared" ref="J340:Q340" si="106">J$13</f>
        <v>(d)</v>
      </c>
      <c r="K340" s="182" t="str">
        <f t="shared" si="106"/>
        <v>(e)</v>
      </c>
      <c r="L340" s="15" t="str">
        <f t="shared" si="106"/>
        <v>(f)</v>
      </c>
      <c r="M340" s="182" t="str">
        <f t="shared" si="106"/>
        <v>(g)</v>
      </c>
      <c r="N340" s="182" t="str">
        <f t="shared" si="106"/>
        <v>(h)</v>
      </c>
      <c r="O340" s="182" t="str">
        <f>O$13</f>
        <v>(i)</v>
      </c>
      <c r="P340" s="182" t="str">
        <f t="shared" si="106"/>
        <v>(j)</v>
      </c>
      <c r="Q340" s="182" t="str">
        <f t="shared" si="106"/>
        <v>(k)</v>
      </c>
      <c r="R340" s="182" t="str">
        <f>R$13</f>
        <v>(l)</v>
      </c>
      <c r="S340" s="15" t="str">
        <f>S$13</f>
        <v>(m)</v>
      </c>
      <c r="T340" s="15"/>
      <c r="U340" s="15" t="s">
        <v>683</v>
      </c>
      <c r="V340" s="64"/>
      <c r="X340" s="305"/>
    </row>
    <row r="341" spans="1:24" x14ac:dyDescent="0.2">
      <c r="A341" s="45"/>
      <c r="B341" s="6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"/>
      <c r="V341" s="64"/>
      <c r="X341" s="305">
        <f t="shared" si="87"/>
        <v>0</v>
      </c>
    </row>
    <row r="342" spans="1:24" x14ac:dyDescent="0.2">
      <c r="A342" s="45"/>
      <c r="B342" s="16"/>
      <c r="C342" s="1"/>
      <c r="D342" s="1"/>
      <c r="E342" s="16"/>
      <c r="F342" s="1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"/>
      <c r="V342" s="64"/>
      <c r="X342" s="305">
        <f t="shared" si="87"/>
        <v>0</v>
      </c>
    </row>
    <row r="343" spans="1:24" ht="15" x14ac:dyDescent="0.25">
      <c r="A343" s="45"/>
      <c r="B343" s="16">
        <f t="shared" ref="B343:B368" si="107">B342+1</f>
        <v>1</v>
      </c>
      <c r="C343" s="8" t="s">
        <v>284</v>
      </c>
      <c r="D343" s="1"/>
      <c r="E343" s="19" t="s">
        <v>34</v>
      </c>
      <c r="F343" s="17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"/>
      <c r="V343" s="64"/>
      <c r="X343" s="305">
        <f t="shared" si="87"/>
        <v>0</v>
      </c>
    </row>
    <row r="344" spans="1:24" ht="15" x14ac:dyDescent="0.25">
      <c r="A344" s="45"/>
      <c r="B344" s="16">
        <f t="shared" si="107"/>
        <v>2</v>
      </c>
      <c r="C344" s="8" t="s">
        <v>534</v>
      </c>
      <c r="D344" s="8"/>
      <c r="E344" s="19"/>
      <c r="F344" s="8"/>
      <c r="G344" s="19"/>
      <c r="H344" s="19"/>
      <c r="I344" s="19"/>
      <c r="J344" s="961"/>
      <c r="K344" s="961"/>
      <c r="L344" s="961"/>
      <c r="M344" s="961"/>
      <c r="N344" s="961"/>
      <c r="O344" s="961"/>
      <c r="P344" s="961"/>
      <c r="Q344" s="961"/>
      <c r="R344" s="961"/>
      <c r="S344" s="961"/>
      <c r="T344" s="19"/>
      <c r="U344" s="8"/>
      <c r="V344" s="64"/>
      <c r="X344" s="305">
        <f t="shared" si="87"/>
        <v>0</v>
      </c>
    </row>
    <row r="345" spans="1:24" x14ac:dyDescent="0.2">
      <c r="A345" s="45"/>
      <c r="B345" s="16">
        <f t="shared" si="107"/>
        <v>3</v>
      </c>
      <c r="C345" s="1" t="s">
        <v>87</v>
      </c>
      <c r="D345" s="1" t="s">
        <v>38</v>
      </c>
      <c r="E345" s="16"/>
      <c r="F345" s="97">
        <f>' WP II-I-1.4'!L345</f>
        <v>0</v>
      </c>
      <c r="G345" s="16" t="s">
        <v>751</v>
      </c>
      <c r="H345" s="45" t="s">
        <v>303</v>
      </c>
      <c r="I345" s="16"/>
      <c r="J345" s="369">
        <f ca="1">'II-I-DIST'!J345+'II-I-MET'!J345+'II-I-TBILLTDCS'!J345</f>
        <v>0</v>
      </c>
      <c r="K345" s="369">
        <f ca="1">'II-I-DIST'!K345+'II-I-MET'!K345+'II-I-TBILLTDCS'!K345</f>
        <v>0</v>
      </c>
      <c r="L345" s="369">
        <f ca="1">'II-I-DIST'!L345+'II-I-MET'!L345+'II-I-TBILLTDCS'!L345</f>
        <v>0</v>
      </c>
      <c r="M345" s="369">
        <f ca="1">'II-I-DIST'!M345+'II-I-MET'!M345+'II-I-TBILLTDCS'!M345</f>
        <v>0</v>
      </c>
      <c r="N345" s="369">
        <f ca="1">'II-I-DIST'!N345+'II-I-MET'!N345+'II-I-TBILLTDCS'!N345</f>
        <v>0</v>
      </c>
      <c r="O345" s="369">
        <f ca="1">'II-I-DIST'!O345+'II-I-MET'!O345+'II-I-TBILLTDCS'!O345</f>
        <v>0</v>
      </c>
      <c r="P345" s="369">
        <f ca="1">'II-I-DIST'!P345+'II-I-MET'!P345+'II-I-TBILLTDCS'!P345</f>
        <v>0</v>
      </c>
      <c r="Q345" s="369">
        <f ca="1">'II-I-DIST'!Q345+'II-I-MET'!Q345+'II-I-TBILLTDCS'!Q345</f>
        <v>0</v>
      </c>
      <c r="R345" s="369">
        <f ca="1">'II-I-DIST'!R345+'II-I-MET'!R345+'II-I-TBILLTDCS'!R345</f>
        <v>0</v>
      </c>
      <c r="S345" s="369">
        <f ca="1">'II-I-DIST'!S345+'II-I-MET'!S345+'II-I-TBILLTDCS'!S345</f>
        <v>0</v>
      </c>
      <c r="T345" s="16"/>
      <c r="U345" s="97">
        <f t="shared" ref="U345:U354" ca="1" si="108">SUM(I345:T345)</f>
        <v>0</v>
      </c>
      <c r="V345" s="64"/>
      <c r="X345" s="305">
        <f t="shared" ca="1" si="87"/>
        <v>0</v>
      </c>
    </row>
    <row r="346" spans="1:24" ht="15" x14ac:dyDescent="0.25">
      <c r="A346" s="45"/>
      <c r="B346" s="16">
        <f t="shared" si="107"/>
        <v>4</v>
      </c>
      <c r="C346" s="1" t="s">
        <v>88</v>
      </c>
      <c r="D346" s="1" t="s">
        <v>40</v>
      </c>
      <c r="E346" s="19"/>
      <c r="F346" s="97">
        <f>' WP II-I-1.4'!L346</f>
        <v>19572.2</v>
      </c>
      <c r="G346" s="16" t="s">
        <v>751</v>
      </c>
      <c r="H346" s="45" t="s">
        <v>303</v>
      </c>
      <c r="I346" s="903"/>
      <c r="J346" s="369">
        <f ca="1">'II-I-DIST'!J346+'II-I-MET'!J346+'II-I-TBILLTDCS'!J346</f>
        <v>10642.843918651617</v>
      </c>
      <c r="K346" s="369">
        <f ca="1">'II-I-DIST'!K346+'II-I-MET'!K346+'II-I-TBILLTDCS'!K346</f>
        <v>346.7671499632641</v>
      </c>
      <c r="L346" s="369">
        <f ca="1">'II-I-DIST'!L346+'II-I-MET'!L346+'II-I-TBILLTDCS'!L346</f>
        <v>6726.1218236583036</v>
      </c>
      <c r="M346" s="369">
        <f ca="1">'II-I-DIST'!M346+'II-I-MET'!M346+'II-I-TBILLTDCS'!M346</f>
        <v>15.186865897846715</v>
      </c>
      <c r="N346" s="369">
        <f ca="1">'II-I-DIST'!N346+'II-I-MET'!N346+'II-I-TBILLTDCS'!N346</f>
        <v>1316.2564080376874</v>
      </c>
      <c r="O346" s="369">
        <f ca="1">'II-I-DIST'!O346+'II-I-MET'!O346+'II-I-TBILLTDCS'!O346</f>
        <v>145.22247681429241</v>
      </c>
      <c r="P346" s="369">
        <f ca="1">'II-I-DIST'!P346+'II-I-MET'!P346+'II-I-TBILLTDCS'!P346</f>
        <v>30.930111501914737</v>
      </c>
      <c r="Q346" s="369">
        <f ca="1">'II-I-DIST'!Q346+'II-I-MET'!Q346+'II-I-TBILLTDCS'!Q346</f>
        <v>291.16681872339296</v>
      </c>
      <c r="R346" s="369">
        <f ca="1">'II-I-DIST'!R346+'II-I-MET'!R346+'II-I-TBILLTDCS'!R346</f>
        <v>10.176670945411072</v>
      </c>
      <c r="S346" s="369">
        <f ca="1">'II-I-DIST'!S346+'II-I-MET'!S346+'II-I-TBILLTDCS'!S346</f>
        <v>47.527755806269127</v>
      </c>
      <c r="T346" s="903"/>
      <c r="U346" s="97">
        <f t="shared" ca="1" si="108"/>
        <v>19572.199999999993</v>
      </c>
      <c r="V346" s="64"/>
      <c r="X346" s="305">
        <f t="shared" ca="1" si="87"/>
        <v>0</v>
      </c>
    </row>
    <row r="347" spans="1:24" ht="15" x14ac:dyDescent="0.25">
      <c r="A347" s="45"/>
      <c r="B347" s="16">
        <f t="shared" si="107"/>
        <v>5</v>
      </c>
      <c r="C347" s="1" t="s">
        <v>89</v>
      </c>
      <c r="D347" s="1" t="s">
        <v>42</v>
      </c>
      <c r="E347" s="19"/>
      <c r="F347" s="97">
        <f>' WP II-I-1.4'!L347</f>
        <v>25734806.630000003</v>
      </c>
      <c r="G347" s="16" t="s">
        <v>751</v>
      </c>
      <c r="H347" s="45" t="s">
        <v>303</v>
      </c>
      <c r="I347" s="903"/>
      <c r="J347" s="369">
        <f ca="1">'II-I-DIST'!J347+'II-I-MET'!J347+'II-I-TBILLTDCS'!J347</f>
        <v>13897150.697465768</v>
      </c>
      <c r="K347" s="369">
        <f ca="1">'II-I-DIST'!K347+'II-I-MET'!K347+'II-I-TBILLTDCS'!K347</f>
        <v>622018.9386037743</v>
      </c>
      <c r="L347" s="369">
        <f ca="1">'II-I-DIST'!L347+'II-I-MET'!L347+'II-I-TBILLTDCS'!L347</f>
        <v>8653142.8955760971</v>
      </c>
      <c r="M347" s="369">
        <f ca="1">'II-I-DIST'!M347+'II-I-MET'!M347+'II-I-TBILLTDCS'!M347</f>
        <v>54020.313442933555</v>
      </c>
      <c r="N347" s="369">
        <f ca="1">'II-I-DIST'!N347+'II-I-MET'!N347+'II-I-TBILLTDCS'!N347</f>
        <v>1804530.0863827472</v>
      </c>
      <c r="O347" s="369">
        <f ca="1">'II-I-DIST'!O347+'II-I-MET'!O347+'II-I-TBILLTDCS'!O347</f>
        <v>177346.00984013686</v>
      </c>
      <c r="P347" s="369">
        <f ca="1">'II-I-DIST'!P347+'II-I-MET'!P347+'II-I-TBILLTDCS'!P347</f>
        <v>55012.588366135242</v>
      </c>
      <c r="Q347" s="369">
        <f ca="1">'II-I-DIST'!Q347+'II-I-MET'!Q347+'II-I-TBILLTDCS'!Q347</f>
        <v>401176.89987382939</v>
      </c>
      <c r="R347" s="369">
        <f ca="1">'II-I-DIST'!R347+'II-I-MET'!R347+'II-I-TBILLTDCS'!R347</f>
        <v>12799.235095884575</v>
      </c>
      <c r="S347" s="369">
        <f ca="1">'II-I-DIST'!S347+'II-I-MET'!S347+'II-I-TBILLTDCS'!S347</f>
        <v>57608.965352694599</v>
      </c>
      <c r="T347" s="903"/>
      <c r="U347" s="97">
        <f t="shared" ca="1" si="108"/>
        <v>25734806.630000006</v>
      </c>
      <c r="V347" s="64"/>
      <c r="X347" s="305">
        <f t="shared" ca="1" si="87"/>
        <v>0</v>
      </c>
    </row>
    <row r="348" spans="1:24" ht="15" x14ac:dyDescent="0.25">
      <c r="A348" s="45"/>
      <c r="B348" s="16">
        <f t="shared" si="107"/>
        <v>6</v>
      </c>
      <c r="C348" s="1" t="s">
        <v>90</v>
      </c>
      <c r="D348" s="1" t="s">
        <v>91</v>
      </c>
      <c r="E348" s="19"/>
      <c r="F348" s="97">
        <f>' WP II-I-1.4'!L348</f>
        <v>2577698.5700000003</v>
      </c>
      <c r="G348" s="16" t="s">
        <v>751</v>
      </c>
      <c r="H348" s="45" t="s">
        <v>303</v>
      </c>
      <c r="I348" s="903"/>
      <c r="J348" s="369">
        <f ca="1">'II-I-DIST'!J348+'II-I-MET'!J348+'II-I-TBILLTDCS'!J348</f>
        <v>1392040.4229144459</v>
      </c>
      <c r="K348" s="369">
        <f ca="1">'II-I-DIST'!K348+'II-I-MET'!K348+'II-I-TBILLTDCS'!K348</f>
        <v>60295.533645920324</v>
      </c>
      <c r="L348" s="369">
        <f ca="1">'II-I-DIST'!L348+'II-I-MET'!L348+'II-I-TBILLTDCS'!L348</f>
        <v>868179.43069108797</v>
      </c>
      <c r="M348" s="369">
        <f ca="1">'II-I-DIST'!M348+'II-I-MET'!M348+'II-I-TBILLTDCS'!M348</f>
        <v>5002.3679024837184</v>
      </c>
      <c r="N348" s="369">
        <f ca="1">'II-I-DIST'!N348+'II-I-MET'!N348+'II-I-TBILLTDCS'!N348</f>
        <v>179701.15691130236</v>
      </c>
      <c r="O348" s="369">
        <f ca="1">'II-I-DIST'!O348+'II-I-MET'!O348+'II-I-TBILLTDCS'!O348</f>
        <v>17907.86209686859</v>
      </c>
      <c r="P348" s="369">
        <f ca="1">'II-I-DIST'!P348+'II-I-MET'!P348+'II-I-TBILLTDCS'!P348</f>
        <v>5335.033452005835</v>
      </c>
      <c r="Q348" s="369">
        <f ca="1">'II-I-DIST'!Q348+'II-I-MET'!Q348+'II-I-TBILLTDCS'!Q348</f>
        <v>42126.382618046264</v>
      </c>
      <c r="R348" s="369">
        <f ca="1">'II-I-DIST'!R348+'II-I-MET'!R348+'II-I-TBILLTDCS'!R348</f>
        <v>1287.6885107775706</v>
      </c>
      <c r="S348" s="369">
        <f ca="1">'II-I-DIST'!S348+'II-I-MET'!S348+'II-I-TBILLTDCS'!S348</f>
        <v>5822.6912570616823</v>
      </c>
      <c r="T348" s="903"/>
      <c r="U348" s="97">
        <f t="shared" ca="1" si="108"/>
        <v>2577698.5700000003</v>
      </c>
      <c r="V348" s="64"/>
      <c r="X348" s="305">
        <f t="shared" ref="X348:X413" ca="1" si="109">U348-F348</f>
        <v>0</v>
      </c>
    </row>
    <row r="349" spans="1:24" ht="15" x14ac:dyDescent="0.25">
      <c r="A349" s="45"/>
      <c r="B349" s="16">
        <f t="shared" si="107"/>
        <v>7</v>
      </c>
      <c r="C349" s="1" t="s">
        <v>92</v>
      </c>
      <c r="D349" s="1" t="s">
        <v>94</v>
      </c>
      <c r="E349" s="19"/>
      <c r="F349" s="97">
        <f>' WP II-I-1.4'!L349</f>
        <v>1911250.96</v>
      </c>
      <c r="G349" s="16" t="s">
        <v>751</v>
      </c>
      <c r="H349" s="45" t="s">
        <v>303</v>
      </c>
      <c r="I349" s="903"/>
      <c r="J349" s="369">
        <f ca="1">'II-I-DIST'!J349+'II-I-MET'!J349+'II-I-TBILLTDCS'!J349</f>
        <v>1042744.595598802</v>
      </c>
      <c r="K349" s="369">
        <f ca="1">'II-I-DIST'!K349+'II-I-MET'!K349+'II-I-TBILLTDCS'!K349</f>
        <v>27602.44839172651</v>
      </c>
      <c r="L349" s="369">
        <f ca="1">'II-I-DIST'!L349+'II-I-MET'!L349+'II-I-TBILLTDCS'!L349</f>
        <v>663860.95770839695</v>
      </c>
      <c r="M349" s="369">
        <f ca="1">'II-I-DIST'!M349+'II-I-MET'!M349+'II-I-TBILLTDCS'!M349</f>
        <v>200.01197068826613</v>
      </c>
      <c r="N349" s="369">
        <f ca="1">'II-I-DIST'!N349+'II-I-MET'!N349+'II-I-TBILLTDCS'!N349</f>
        <v>125724.94042546081</v>
      </c>
      <c r="O349" s="369">
        <f ca="1">'II-I-DIST'!O349+'II-I-MET'!O349+'II-I-TBILLTDCS'!O349</f>
        <v>14690.446192518144</v>
      </c>
      <c r="P349" s="369">
        <f ca="1">'II-I-DIST'!P349+'II-I-MET'!P349+'II-I-TBILLTDCS'!P349</f>
        <v>2479.3865099750324</v>
      </c>
      <c r="Q349" s="369">
        <f ca="1">'II-I-DIST'!Q349+'II-I-MET'!Q349+'II-I-TBILLTDCS'!Q349</f>
        <v>28108.614695233002</v>
      </c>
      <c r="R349" s="369">
        <f ca="1">'II-I-DIST'!R349+'II-I-MET'!R349+'II-I-TBILLTDCS'!R349</f>
        <v>1015.4610341519834</v>
      </c>
      <c r="S349" s="369">
        <f ca="1">'II-I-DIST'!S349+'II-I-MET'!S349+'II-I-TBILLTDCS'!S349</f>
        <v>4824.0974730471589</v>
      </c>
      <c r="T349" s="903"/>
      <c r="U349" s="97">
        <f t="shared" ca="1" si="108"/>
        <v>1911250.9599999997</v>
      </c>
      <c r="V349" s="64"/>
      <c r="X349" s="305">
        <f t="shared" ca="1" si="109"/>
        <v>0</v>
      </c>
    </row>
    <row r="350" spans="1:24" ht="15" x14ac:dyDescent="0.25">
      <c r="A350" s="45"/>
      <c r="B350" s="16">
        <f t="shared" si="107"/>
        <v>8</v>
      </c>
      <c r="C350" s="1" t="s">
        <v>95</v>
      </c>
      <c r="D350" s="1" t="s">
        <v>500</v>
      </c>
      <c r="E350" s="19"/>
      <c r="F350" s="97">
        <f>' WP II-I-1.4'!L350</f>
        <v>982553.51</v>
      </c>
      <c r="G350" s="16" t="s">
        <v>751</v>
      </c>
      <c r="H350" s="45" t="s">
        <v>303</v>
      </c>
      <c r="I350" s="903"/>
      <c r="J350" s="369">
        <f ca="1">'II-I-DIST'!J350+'II-I-MET'!J350+'II-I-TBILLTDCS'!J350</f>
        <v>534055.74363994133</v>
      </c>
      <c r="K350" s="369">
        <f ca="1">'II-I-DIST'!K350+'II-I-MET'!K350+'II-I-TBILLTDCS'!K350</f>
        <v>19205.528312024529</v>
      </c>
      <c r="L350" s="369">
        <f ca="1">'II-I-DIST'!L350+'II-I-MET'!L350+'II-I-TBILLTDCS'!L350</f>
        <v>336222.1395153965</v>
      </c>
      <c r="M350" s="369">
        <f ca="1">'II-I-DIST'!M350+'II-I-MET'!M350+'II-I-TBILLTDCS'!M350</f>
        <v>1128.5492815162625</v>
      </c>
      <c r="N350" s="369">
        <f ca="1">'II-I-DIST'!N350+'II-I-MET'!N350+'II-I-TBILLTDCS'!N350</f>
        <v>66989.621715306086</v>
      </c>
      <c r="O350" s="369">
        <f ca="1">'II-I-DIST'!O350+'II-I-MET'!O350+'II-I-TBILLTDCS'!O350</f>
        <v>7157.9360707309952</v>
      </c>
      <c r="P350" s="369">
        <f ca="1">'II-I-DIST'!P350+'II-I-MET'!P350+'II-I-TBILLTDCS'!P350</f>
        <v>1709.2691264903801</v>
      </c>
      <c r="Q350" s="369">
        <f ca="1">'II-I-DIST'!Q350+'II-I-MET'!Q350+'II-I-TBILLTDCS'!Q350</f>
        <v>13241.15223353144</v>
      </c>
      <c r="R350" s="369">
        <f ca="1">'II-I-DIST'!R350+'II-I-MET'!R350+'II-I-TBILLTDCS'!R350</f>
        <v>505.58288823376841</v>
      </c>
      <c r="S350" s="369">
        <f ca="1">'II-I-DIST'!S350+'II-I-MET'!S350+'II-I-TBILLTDCS'!S350</f>
        <v>2337.9872168286433</v>
      </c>
      <c r="T350" s="903"/>
      <c r="U350" s="97">
        <f t="shared" ca="1" si="108"/>
        <v>982553.51</v>
      </c>
      <c r="V350" s="64"/>
      <c r="X350" s="305">
        <f t="shared" ca="1" si="109"/>
        <v>0</v>
      </c>
    </row>
    <row r="351" spans="1:24" ht="15" x14ac:dyDescent="0.25">
      <c r="A351" s="45"/>
      <c r="B351" s="16">
        <f t="shared" si="107"/>
        <v>9</v>
      </c>
      <c r="C351" s="1" t="s">
        <v>97</v>
      </c>
      <c r="D351" s="1" t="s">
        <v>501</v>
      </c>
      <c r="E351" s="19"/>
      <c r="F351" s="97">
        <f>' WP II-I-1.4'!L351</f>
        <v>5966200.0499999998</v>
      </c>
      <c r="G351" s="16" t="s">
        <v>751</v>
      </c>
      <c r="H351" s="45" t="s">
        <v>303</v>
      </c>
      <c r="I351" s="903"/>
      <c r="J351" s="369">
        <f ca="1">'II-I-DIST'!J351+'II-I-MET'!J351+'II-I-TBILLTDCS'!J351</f>
        <v>3244408.0716754198</v>
      </c>
      <c r="K351" s="369">
        <f ca="1">'II-I-DIST'!K351+'II-I-MET'!K351+'II-I-TBILLTDCS'!K351</f>
        <v>112751.80835396599</v>
      </c>
      <c r="L351" s="369">
        <f ca="1">'II-I-DIST'!L351+'II-I-MET'!L351+'II-I-TBILLTDCS'!L351</f>
        <v>2045489.5048761813</v>
      </c>
      <c r="M351" s="369">
        <f ca="1">'II-I-DIST'!M351+'II-I-MET'!M351+'II-I-TBILLTDCS'!M351</f>
        <v>6061.88820152474</v>
      </c>
      <c r="N351" s="369">
        <f ca="1">'II-I-DIST'!N351+'II-I-MET'!N351+'II-I-TBILLTDCS'!N351</f>
        <v>404953.92258379707</v>
      </c>
      <c r="O351" s="369">
        <f ca="1">'II-I-DIST'!O351+'II-I-MET'!O351+'II-I-TBILLTDCS'!O351</f>
        <v>43767.943651122914</v>
      </c>
      <c r="P351" s="369">
        <f ca="1">'II-I-DIST'!P351+'II-I-MET'!P351+'II-I-TBILLTDCS'!P351</f>
        <v>10043.814027783963</v>
      </c>
      <c r="Q351" s="369">
        <f ca="1">'II-I-DIST'!Q351+'II-I-MET'!Q351+'II-I-TBILLTDCS'!Q351</f>
        <v>81334.359188885312</v>
      </c>
      <c r="R351" s="369">
        <f ca="1">'II-I-DIST'!R351+'II-I-MET'!R351+'II-I-TBILLTDCS'!R351</f>
        <v>3082.6551361407514</v>
      </c>
      <c r="S351" s="369">
        <f ca="1">'II-I-DIST'!S351+'II-I-MET'!S351+'II-I-TBILLTDCS'!S351</f>
        <v>14306.082305178114</v>
      </c>
      <c r="T351" s="903"/>
      <c r="U351" s="97">
        <f t="shared" ca="1" si="108"/>
        <v>5966200.0500000007</v>
      </c>
      <c r="V351" s="64"/>
      <c r="X351" s="305">
        <f t="shared" ca="1" si="109"/>
        <v>0</v>
      </c>
    </row>
    <row r="352" spans="1:24" ht="15" x14ac:dyDescent="0.25">
      <c r="A352" s="45"/>
      <c r="B352" s="16">
        <f t="shared" si="107"/>
        <v>10</v>
      </c>
      <c r="C352" s="1" t="s">
        <v>99</v>
      </c>
      <c r="D352" s="1" t="s">
        <v>100</v>
      </c>
      <c r="E352" s="19"/>
      <c r="F352" s="97">
        <f>' WP II-I-1.4'!L352</f>
        <v>5261702.1199999992</v>
      </c>
      <c r="G352" s="16" t="s">
        <v>751</v>
      </c>
      <c r="H352" s="45" t="s">
        <v>303</v>
      </c>
      <c r="I352" s="903"/>
      <c r="J352" s="369">
        <f ca="1">'II-I-DIST'!J352+'II-I-MET'!J352+'II-I-TBILLTDCS'!J352</f>
        <v>2858048.3130779876</v>
      </c>
      <c r="K352" s="369">
        <f ca="1">'II-I-DIST'!K352+'II-I-MET'!K352+'II-I-TBILLTDCS'!K352</f>
        <v>107568.28131639463</v>
      </c>
      <c r="L352" s="369">
        <f ca="1">'II-I-DIST'!L352+'II-I-MET'!L352+'II-I-TBILLTDCS'!L352</f>
        <v>1795749.7161989391</v>
      </c>
      <c r="M352" s="369">
        <f ca="1">'II-I-DIST'!M352+'II-I-MET'!M352+'II-I-TBILLTDCS'!M352</f>
        <v>7008.8741701324743</v>
      </c>
      <c r="N352" s="369">
        <f ca="1">'II-I-DIST'!N352+'II-I-MET'!N352+'II-I-TBILLTDCS'!N352</f>
        <v>360955.26774912514</v>
      </c>
      <c r="O352" s="369">
        <f ca="1">'II-I-DIST'!O352+'II-I-MET'!O352+'II-I-TBILLTDCS'!O352</f>
        <v>37960.625229694364</v>
      </c>
      <c r="P352" s="369">
        <f ca="1">'II-I-DIST'!P352+'II-I-MET'!P352+'II-I-TBILLTDCS'!P352</f>
        <v>9562.4168254144424</v>
      </c>
      <c r="Q352" s="369">
        <f ca="1">'II-I-DIST'!Q352+'II-I-MET'!Q352+'II-I-TBILLTDCS'!Q352</f>
        <v>69770.091618079896</v>
      </c>
      <c r="R352" s="369">
        <f ca="1">'II-I-DIST'!R352+'II-I-MET'!R352+'II-I-TBILLTDCS'!R352</f>
        <v>2691.976197857422</v>
      </c>
      <c r="S352" s="369">
        <f ca="1">'II-I-DIST'!S352+'II-I-MET'!S352+'II-I-TBILLTDCS'!S352</f>
        <v>12386.557616374104</v>
      </c>
      <c r="T352" s="903"/>
      <c r="U352" s="97">
        <f t="shared" ca="1" si="108"/>
        <v>5261702.1199999992</v>
      </c>
      <c r="V352" s="64"/>
      <c r="X352" s="305">
        <f t="shared" ca="1" si="109"/>
        <v>0</v>
      </c>
    </row>
    <row r="353" spans="1:24" ht="15" x14ac:dyDescent="0.25">
      <c r="A353" s="45"/>
      <c r="B353" s="16">
        <f t="shared" si="107"/>
        <v>11</v>
      </c>
      <c r="C353" s="1" t="s">
        <v>101</v>
      </c>
      <c r="D353" s="1" t="s">
        <v>102</v>
      </c>
      <c r="E353" s="19"/>
      <c r="F353" s="97">
        <f>' WP II-I-1.4'!L353</f>
        <v>2059672.71</v>
      </c>
      <c r="G353" s="16" t="s">
        <v>751</v>
      </c>
      <c r="H353" s="45" t="s">
        <v>303</v>
      </c>
      <c r="I353" s="903"/>
      <c r="J353" s="370">
        <f ca="1">'II-I-DIST'!J353+'II-I-MET'!J353+'II-I-TBILLTDCS'!J353</f>
        <v>1119159.0912413059</v>
      </c>
      <c r="K353" s="370">
        <f ca="1">'II-I-DIST'!K353+'II-I-MET'!K353+'II-I-TBILLTDCS'!K353</f>
        <v>41139.922214355916</v>
      </c>
      <c r="L353" s="370">
        <f ca="1">'II-I-DIST'!L353+'II-I-MET'!L353+'II-I-TBILLTDCS'!L353</f>
        <v>703915.37434888352</v>
      </c>
      <c r="M353" s="370">
        <f ca="1">'II-I-DIST'!M353+'II-I-MET'!M353+'II-I-TBILLTDCS'!M353</f>
        <v>2545.7771959768143</v>
      </c>
      <c r="N353" s="370">
        <f ca="1">'II-I-DIST'!N353+'II-I-MET'!N353+'II-I-TBILLTDCS'!N353</f>
        <v>140840.19569015322</v>
      </c>
      <c r="O353" s="370">
        <f ca="1">'II-I-DIST'!O353+'II-I-MET'!O353+'II-I-TBILLTDCS'!O353</f>
        <v>14935.575128815221</v>
      </c>
      <c r="P353" s="370">
        <f ca="1">'II-I-DIST'!P353+'II-I-MET'!P353+'II-I-TBILLTDCS'!P353</f>
        <v>3659.3462901923849</v>
      </c>
      <c r="Q353" s="370">
        <f ca="1">'II-I-DIST'!Q353+'II-I-MET'!Q353+'II-I-TBILLTDCS'!Q353</f>
        <v>27544.429943154362</v>
      </c>
      <c r="R353" s="370">
        <f ca="1">'II-I-DIST'!R353+'II-I-MET'!R353+'II-I-TBILLTDCS'!R353</f>
        <v>1056.9369653568863</v>
      </c>
      <c r="S353" s="370">
        <f ca="1">'II-I-DIST'!S353+'II-I-MET'!S353+'II-I-TBILLTDCS'!S353</f>
        <v>4876.0609818057201</v>
      </c>
      <c r="T353" s="903"/>
      <c r="U353" s="97">
        <f t="shared" ca="1" si="108"/>
        <v>2059672.7099999997</v>
      </c>
      <c r="V353" s="64"/>
      <c r="X353" s="305">
        <f t="shared" ca="1" si="109"/>
        <v>0</v>
      </c>
    </row>
    <row r="354" spans="1:24" ht="15" x14ac:dyDescent="0.25">
      <c r="A354" s="45"/>
      <c r="B354" s="16">
        <f t="shared" si="107"/>
        <v>12</v>
      </c>
      <c r="C354" s="8"/>
      <c r="D354" s="233" t="s">
        <v>444</v>
      </c>
      <c r="E354" s="19"/>
      <c r="F354" s="234">
        <f>SUM(F345:F353)</f>
        <v>44513456.75</v>
      </c>
      <c r="G354" s="19"/>
      <c r="H354" s="19"/>
      <c r="I354" s="903"/>
      <c r="J354" s="816">
        <f t="shared" ref="J354:Q354" ca="1" si="110">SUM(J345:J353)</f>
        <v>24098249.779532321</v>
      </c>
      <c r="K354" s="816">
        <f t="shared" ca="1" si="110"/>
        <v>990929.22798812541</v>
      </c>
      <c r="L354" s="816">
        <f t="shared" ca="1" si="110"/>
        <v>15073286.14073864</v>
      </c>
      <c r="M354" s="816">
        <f t="shared" ca="1" si="110"/>
        <v>75982.969031153683</v>
      </c>
      <c r="N354" s="816">
        <f t="shared" ca="1" si="110"/>
        <v>3085011.4478659295</v>
      </c>
      <c r="O354" s="816">
        <f ca="1">SUM(O345:O353)</f>
        <v>313911.62068670138</v>
      </c>
      <c r="P354" s="816">
        <f t="shared" ca="1" si="110"/>
        <v>87832.784709499188</v>
      </c>
      <c r="Q354" s="816">
        <f t="shared" ca="1" si="110"/>
        <v>663593.09698948311</v>
      </c>
      <c r="R354" s="816">
        <f ca="1">SUM(R345:R353)</f>
        <v>22449.712499348367</v>
      </c>
      <c r="S354" s="816">
        <f ca="1">SUM(S345:S353)</f>
        <v>102209.96995879628</v>
      </c>
      <c r="T354" s="903"/>
      <c r="U354" s="235">
        <f t="shared" ca="1" si="108"/>
        <v>44513456.750000007</v>
      </c>
      <c r="V354" s="64"/>
      <c r="W354" s="1099" t="b">
        <f>' WP II-I-1.4'!$L$354=F354</f>
        <v>1</v>
      </c>
      <c r="X354" s="305">
        <f t="shared" ca="1" si="109"/>
        <v>0</v>
      </c>
    </row>
    <row r="355" spans="1:24" ht="15" x14ac:dyDescent="0.25">
      <c r="A355" s="45"/>
      <c r="B355" s="16">
        <f t="shared" si="107"/>
        <v>13</v>
      </c>
      <c r="C355" s="1"/>
      <c r="D355" s="233"/>
      <c r="E355" s="19"/>
      <c r="F355" s="21"/>
      <c r="G355" s="19"/>
      <c r="H355" s="19"/>
      <c r="I355" s="903"/>
      <c r="J355" s="961"/>
      <c r="K355" s="961"/>
      <c r="L355" s="961"/>
      <c r="M355" s="961"/>
      <c r="N355" s="961"/>
      <c r="O355" s="961"/>
      <c r="P355" s="961"/>
      <c r="Q355" s="961"/>
      <c r="R355" s="961"/>
      <c r="S355" s="961"/>
      <c r="T355" s="903"/>
      <c r="U355" s="18"/>
      <c r="V355" s="64"/>
      <c r="X355" s="305">
        <f t="shared" si="109"/>
        <v>0</v>
      </c>
    </row>
    <row r="356" spans="1:24" ht="15" x14ac:dyDescent="0.25">
      <c r="A356" s="45"/>
      <c r="B356" s="1308">
        <f t="shared" si="107"/>
        <v>14</v>
      </c>
      <c r="C356" s="647" t="s">
        <v>1237</v>
      </c>
      <c r="D356" s="650" t="s">
        <v>1230</v>
      </c>
      <c r="E356" s="1308"/>
      <c r="F356" s="97">
        <f>' WP II-I-1.4'!L356</f>
        <v>52634766.129999995</v>
      </c>
      <c r="G356" s="16" t="s">
        <v>751</v>
      </c>
      <c r="H356" s="45" t="s">
        <v>303</v>
      </c>
      <c r="I356" s="1291"/>
      <c r="J356" s="369">
        <f ca="1">'II-I-DIST'!J356+'II-I-MET'!J356+'II-I-TBILLTDCS'!J356</f>
        <v>27615192.370632358</v>
      </c>
      <c r="K356" s="369">
        <f ca="1">'II-I-DIST'!K356+'II-I-MET'!K356+'II-I-TBILLTDCS'!K356</f>
        <v>2129721.2556781499</v>
      </c>
      <c r="L356" s="369">
        <f ca="1">'II-I-DIST'!L356+'II-I-MET'!L356+'II-I-TBILLTDCS'!L356</f>
        <v>16476163.705739088</v>
      </c>
      <c r="M356" s="369">
        <f ca="1">'II-I-DIST'!M356+'II-I-MET'!M356+'II-I-TBILLTDCS'!M356</f>
        <v>287221.72308334924</v>
      </c>
      <c r="N356" s="369">
        <f ca="1">'II-I-DIST'!N356+'II-I-MET'!N356+'II-I-TBILLTDCS'!N356</f>
        <v>4029439.5904427441</v>
      </c>
      <c r="O356" s="369">
        <f ca="1">'II-I-DIST'!O356+'II-I-MET'!O356+'II-I-TBILLTDCS'!O356</f>
        <v>286902.13078232697</v>
      </c>
      <c r="P356" s="369">
        <f ca="1">'II-I-DIST'!P356+'II-I-MET'!P356+'II-I-TBILLTDCS'!P356</f>
        <v>186093.25063513231</v>
      </c>
      <c r="Q356" s="369">
        <f ca="1">'II-I-DIST'!Q356+'II-I-MET'!Q356+'II-I-TBILLTDCS'!Q356</f>
        <v>1510470.0091805856</v>
      </c>
      <c r="R356" s="369">
        <f ca="1">'II-I-DIST'!R356+'II-I-MET'!R356+'II-I-TBILLTDCS'!R356</f>
        <v>22798.017122266658</v>
      </c>
      <c r="S356" s="369">
        <f ca="1">'II-I-DIST'!S356+'II-I-MET'!S356+'II-I-TBILLTDCS'!S356</f>
        <v>90764.076703995859</v>
      </c>
      <c r="T356" s="1291"/>
      <c r="U356" s="97">
        <f t="shared" ref="U356:U357" ca="1" si="111">SUM(I356:T356)</f>
        <v>52634766.129999995</v>
      </c>
      <c r="V356" s="64"/>
      <c r="X356" s="305"/>
    </row>
    <row r="357" spans="1:24" ht="15" x14ac:dyDescent="0.25">
      <c r="A357" s="45"/>
      <c r="B357" s="1308">
        <f t="shared" si="107"/>
        <v>15</v>
      </c>
      <c r="C357" s="647" t="s">
        <v>1238</v>
      </c>
      <c r="D357" s="650" t="s">
        <v>1232</v>
      </c>
      <c r="E357" s="1308"/>
      <c r="F357" s="97">
        <f>' WP II-I-1.4'!L357</f>
        <v>53351062.580000006</v>
      </c>
      <c r="G357" s="16" t="s">
        <v>751</v>
      </c>
      <c r="H357" s="45" t="s">
        <v>303</v>
      </c>
      <c r="I357" s="1291"/>
      <c r="J357" s="369">
        <f ca="1">'II-I-DIST'!J357+'II-I-MET'!J357+'II-I-TBILLTDCS'!J357</f>
        <v>29068479.527349249</v>
      </c>
      <c r="K357" s="369">
        <f ca="1">'II-I-DIST'!K357+'II-I-MET'!K357+'II-I-TBILLTDCS'!K357</f>
        <v>859957.87024054746</v>
      </c>
      <c r="L357" s="369">
        <f ca="1">'II-I-DIST'!L357+'II-I-MET'!L357+'II-I-TBILLTDCS'!L357</f>
        <v>18438498.771677054</v>
      </c>
      <c r="M357" s="369">
        <f ca="1">'II-I-DIST'!M357+'II-I-MET'!M357+'II-I-TBILLTDCS'!M357</f>
        <v>23887.579007465614</v>
      </c>
      <c r="N357" s="369">
        <f ca="1">'II-I-DIST'!N357+'II-I-MET'!N357+'II-I-TBILLTDCS'!N357</f>
        <v>3551104.4558638041</v>
      </c>
      <c r="O357" s="369">
        <f ca="1">'II-I-DIST'!O357+'II-I-MET'!O357+'II-I-TBILLTDCS'!O357</f>
        <v>402983.91380805953</v>
      </c>
      <c r="P357" s="369">
        <f ca="1">'II-I-DIST'!P357+'II-I-MET'!P357+'II-I-TBILLTDCS'!P357</f>
        <v>76957.723885529267</v>
      </c>
      <c r="Q357" s="369">
        <f ca="1">'II-I-DIST'!Q357+'II-I-MET'!Q357+'II-I-TBILLTDCS'!Q357</f>
        <v>769035.14915479918</v>
      </c>
      <c r="R357" s="369">
        <f ca="1">'II-I-DIST'!R357+'II-I-MET'!R357+'II-I-TBILLTDCS'!R357</f>
        <v>28048.525781541124</v>
      </c>
      <c r="S357" s="369">
        <f ca="1">'II-I-DIST'!S357+'II-I-MET'!S357+'II-I-TBILLTDCS'!S357</f>
        <v>132109.06323194594</v>
      </c>
      <c r="T357" s="1291"/>
      <c r="U357" s="97">
        <f t="shared" ca="1" si="111"/>
        <v>53351062.579999998</v>
      </c>
      <c r="V357" s="64"/>
      <c r="X357" s="305"/>
    </row>
    <row r="358" spans="1:24" ht="15" x14ac:dyDescent="0.25">
      <c r="A358" s="45"/>
      <c r="B358" s="1308">
        <f t="shared" si="107"/>
        <v>16</v>
      </c>
      <c r="C358" s="647" t="s">
        <v>1239</v>
      </c>
      <c r="D358" s="650" t="s">
        <v>103</v>
      </c>
      <c r="E358" s="1308"/>
      <c r="F358" s="97">
        <f>' WP II-I-1.4'!L358</f>
        <v>12968638.07</v>
      </c>
      <c r="G358" s="16" t="s">
        <v>751</v>
      </c>
      <c r="H358" s="45" t="s">
        <v>303</v>
      </c>
      <c r="I358" s="903"/>
      <c r="J358" s="369">
        <f ca="1">'II-I-DIST'!J358+'II-I-MET'!J358+'II-I-TBILLTDCS'!J358</f>
        <v>6955800.58744484</v>
      </c>
      <c r="K358" s="369">
        <f ca="1">'II-I-DIST'!K358+'II-I-MET'!K358+'II-I-TBILLTDCS'!K358</f>
        <v>380225.31068253872</v>
      </c>
      <c r="L358" s="369">
        <f ca="1">'II-I-DIST'!L358+'II-I-MET'!L358+'II-I-TBILLTDCS'!L358</f>
        <v>4277349.0719835842</v>
      </c>
      <c r="M358" s="369">
        <f ca="1">'II-I-DIST'!M358+'II-I-MET'!M358+'II-I-TBILLTDCS'!M358</f>
        <v>40938.457093838202</v>
      </c>
      <c r="N358" s="369">
        <f ca="1">'II-I-DIST'!N358+'II-I-MET'!N358+'II-I-TBILLTDCS'!N358</f>
        <v>937870.27785794635</v>
      </c>
      <c r="O358" s="369">
        <f ca="1">'II-I-DIST'!O358+'II-I-MET'!O358+'II-I-TBILLTDCS'!O358</f>
        <v>83747.350538735278</v>
      </c>
      <c r="P358" s="369">
        <f ca="1">'II-I-DIST'!P358+'II-I-MET'!P358+'II-I-TBILLTDCS'!P358</f>
        <v>33476.188474361741</v>
      </c>
      <c r="Q358" s="369">
        <f ca="1">'II-I-DIST'!Q358+'II-I-MET'!Q358+'II-I-TBILLTDCS'!Q358</f>
        <v>226008.60095768975</v>
      </c>
      <c r="R358" s="369">
        <f ca="1">'II-I-DIST'!R358+'II-I-MET'!R358+'II-I-TBILLTDCS'!R358</f>
        <v>6205.6741119345697</v>
      </c>
      <c r="S358" s="369">
        <f ca="1">'II-I-DIST'!S358+'II-I-MET'!S358+'II-I-TBILLTDCS'!S358</f>
        <v>27016.550854529487</v>
      </c>
      <c r="T358" s="903"/>
      <c r="U358" s="97">
        <f ca="1">SUM(I358:T358)</f>
        <v>12968638.07</v>
      </c>
      <c r="V358" s="64"/>
      <c r="X358" s="305">
        <f t="shared" ca="1" si="109"/>
        <v>0</v>
      </c>
    </row>
    <row r="359" spans="1:24" ht="15" x14ac:dyDescent="0.25">
      <c r="A359" s="45"/>
      <c r="B359" s="16">
        <f t="shared" si="107"/>
        <v>17</v>
      </c>
      <c r="C359" s="1" t="s">
        <v>105</v>
      </c>
      <c r="D359" s="1" t="s">
        <v>502</v>
      </c>
      <c r="E359" s="19"/>
      <c r="F359" s="97">
        <f>' WP II-I-1.4'!L359</f>
        <v>1438372.6199999999</v>
      </c>
      <c r="G359" s="16" t="s">
        <v>751</v>
      </c>
      <c r="H359" s="45" t="s">
        <v>303</v>
      </c>
      <c r="I359" s="903"/>
      <c r="J359" s="369">
        <f ca="1">'II-I-DIST'!J359+'II-I-MET'!J359+'II-I-TBILLTDCS'!J359</f>
        <v>779761.83775046328</v>
      </c>
      <c r="K359" s="369">
        <f ca="1">'II-I-DIST'!K359+'II-I-MET'!K359+'II-I-TBILLTDCS'!K359</f>
        <v>33233.456137172761</v>
      </c>
      <c r="L359" s="369">
        <f ca="1">'II-I-DIST'!L359+'II-I-MET'!L359+'II-I-TBILLTDCS'!L359</f>
        <v>487034.48092242109</v>
      </c>
      <c r="M359" s="369">
        <f ca="1">'II-I-DIST'!M359+'II-I-MET'!M359+'II-I-TBILLTDCS'!M359</f>
        <v>2698.8534373060493</v>
      </c>
      <c r="N359" s="369">
        <f ca="1">'II-I-DIST'!N359+'II-I-MET'!N359+'II-I-TBILLTDCS'!N359</f>
        <v>100471.04817828526</v>
      </c>
      <c r="O359" s="369">
        <f ca="1">'II-I-DIST'!O359+'II-I-MET'!O359+'II-I-TBILLTDCS'!O359</f>
        <v>10076.246432049806</v>
      </c>
      <c r="P359" s="369">
        <f ca="1">'II-I-DIST'!P359+'II-I-MET'!P359+'II-I-TBILLTDCS'!P359</f>
        <v>2945.7756367311331</v>
      </c>
      <c r="Q359" s="369">
        <f ca="1">'II-I-DIST'!Q359+'II-I-MET'!Q359+'II-I-TBILLTDCS'!Q359</f>
        <v>18149.916302654943</v>
      </c>
      <c r="R359" s="369">
        <f ca="1">'II-I-DIST'!R359+'II-I-MET'!R359+'II-I-TBILLTDCS'!R359</f>
        <v>723.33719046912233</v>
      </c>
      <c r="S359" s="369">
        <f ca="1">'II-I-DIST'!S359+'II-I-MET'!S359+'II-I-TBILLTDCS'!S359</f>
        <v>3277.6680124464647</v>
      </c>
      <c r="T359" s="903"/>
      <c r="U359" s="97">
        <f ca="1">SUM(I359:T359)</f>
        <v>1438372.62</v>
      </c>
      <c r="V359" s="64"/>
      <c r="X359" s="305">
        <f t="shared" ca="1" si="109"/>
        <v>0</v>
      </c>
    </row>
    <row r="360" spans="1:24" ht="15" x14ac:dyDescent="0.25">
      <c r="A360" s="45"/>
      <c r="B360" s="16">
        <f t="shared" si="107"/>
        <v>18</v>
      </c>
      <c r="C360" s="1" t="s">
        <v>107</v>
      </c>
      <c r="D360" s="1" t="s">
        <v>108</v>
      </c>
      <c r="E360" s="19"/>
      <c r="F360" s="97">
        <f>' WP II-I-1.4'!L360</f>
        <v>0</v>
      </c>
      <c r="G360" s="16" t="s">
        <v>751</v>
      </c>
      <c r="H360" s="45" t="s">
        <v>303</v>
      </c>
      <c r="I360" s="903"/>
      <c r="J360" s="370">
        <f ca="1">'II-I-DIST'!J360+'II-I-MET'!J360+'II-I-TBILLTDCS'!J360</f>
        <v>0</v>
      </c>
      <c r="K360" s="370">
        <f ca="1">'II-I-DIST'!K360+'II-I-MET'!K360+'II-I-TBILLTDCS'!K360</f>
        <v>0</v>
      </c>
      <c r="L360" s="370">
        <f ca="1">'II-I-DIST'!L360+'II-I-MET'!L360+'II-I-TBILLTDCS'!L360</f>
        <v>0</v>
      </c>
      <c r="M360" s="370">
        <f ca="1">'II-I-DIST'!M360+'II-I-MET'!M360+'II-I-TBILLTDCS'!M360</f>
        <v>0</v>
      </c>
      <c r="N360" s="370">
        <f ca="1">'II-I-DIST'!N360+'II-I-MET'!N360+'II-I-TBILLTDCS'!N360</f>
        <v>0</v>
      </c>
      <c r="O360" s="370">
        <f ca="1">'II-I-DIST'!O360+'II-I-MET'!O360+'II-I-TBILLTDCS'!O360</f>
        <v>0</v>
      </c>
      <c r="P360" s="370">
        <f ca="1">'II-I-DIST'!P360+'II-I-MET'!P360+'II-I-TBILLTDCS'!P360</f>
        <v>0</v>
      </c>
      <c r="Q360" s="370">
        <f ca="1">'II-I-DIST'!Q360+'II-I-MET'!Q360+'II-I-TBILLTDCS'!Q360</f>
        <v>0</v>
      </c>
      <c r="R360" s="370">
        <f ca="1">'II-I-DIST'!R360+'II-I-MET'!R360+'II-I-TBILLTDCS'!R360</f>
        <v>0</v>
      </c>
      <c r="S360" s="370">
        <f ca="1">'II-I-DIST'!S360+'II-I-MET'!S360+'II-I-TBILLTDCS'!S360</f>
        <v>0</v>
      </c>
      <c r="T360" s="903"/>
      <c r="U360" s="97">
        <f ca="1">SUM(I360:T360)</f>
        <v>0</v>
      </c>
      <c r="V360" s="64"/>
      <c r="X360" s="305">
        <f t="shared" ca="1" si="109"/>
        <v>0</v>
      </c>
    </row>
    <row r="361" spans="1:24" ht="15" x14ac:dyDescent="0.25">
      <c r="A361" s="45"/>
      <c r="B361" s="16">
        <f t="shared" si="107"/>
        <v>19</v>
      </c>
      <c r="C361" s="8"/>
      <c r="D361" s="233" t="s">
        <v>444</v>
      </c>
      <c r="E361" s="19"/>
      <c r="F361" s="21">
        <f>SUM(F356:F360)</f>
        <v>120392839.40000001</v>
      </c>
      <c r="G361" s="19"/>
      <c r="H361" s="19"/>
      <c r="I361" s="903"/>
      <c r="J361" s="805">
        <f t="shared" ref="J361:S361" ca="1" si="112">SUM(J356:J360)</f>
        <v>64419234.323176913</v>
      </c>
      <c r="K361" s="805">
        <f t="shared" ca="1" si="112"/>
        <v>3403137.8927384093</v>
      </c>
      <c r="L361" s="805">
        <f t="shared" ca="1" si="112"/>
        <v>39679046.030322149</v>
      </c>
      <c r="M361" s="805">
        <f t="shared" ca="1" si="112"/>
        <v>354746.61262195912</v>
      </c>
      <c r="N361" s="805">
        <f t="shared" ca="1" si="112"/>
        <v>8618885.3723427802</v>
      </c>
      <c r="O361" s="805">
        <f t="shared" ca="1" si="112"/>
        <v>783709.64156117162</v>
      </c>
      <c r="P361" s="805">
        <f t="shared" ca="1" si="112"/>
        <v>299472.93863175443</v>
      </c>
      <c r="Q361" s="805">
        <f t="shared" ca="1" si="112"/>
        <v>2523663.6755957296</v>
      </c>
      <c r="R361" s="805">
        <f t="shared" ca="1" si="112"/>
        <v>57775.554206211476</v>
      </c>
      <c r="S361" s="805">
        <f t="shared" ca="1" si="112"/>
        <v>253167.35880291773</v>
      </c>
      <c r="T361" s="19"/>
      <c r="U361" s="235">
        <f ca="1">SUM(I361:T361)</f>
        <v>120392839.39999999</v>
      </c>
      <c r="V361" s="64"/>
      <c r="W361" s="1099" t="b">
        <f>' WP II-I-1.4'!$L$361=F361</f>
        <v>1</v>
      </c>
      <c r="X361" s="305">
        <f t="shared" ca="1" si="109"/>
        <v>0</v>
      </c>
    </row>
    <row r="362" spans="1:24" ht="15" thickBot="1" x14ac:dyDescent="0.25">
      <c r="A362" s="45"/>
      <c r="B362" s="16">
        <f t="shared" si="107"/>
        <v>20</v>
      </c>
      <c r="C362" s="1"/>
      <c r="D362" s="1"/>
      <c r="E362" s="16"/>
      <c r="F362" s="17"/>
      <c r="G362" s="16"/>
      <c r="H362" s="16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6"/>
      <c r="U362" s="1"/>
      <c r="V362" s="64"/>
      <c r="X362" s="305">
        <f t="shared" si="109"/>
        <v>0</v>
      </c>
    </row>
    <row r="363" spans="1:24" ht="15" x14ac:dyDescent="0.25">
      <c r="A363" s="45"/>
      <c r="B363" s="16">
        <f t="shared" si="107"/>
        <v>21</v>
      </c>
      <c r="C363" s="255" t="s">
        <v>536</v>
      </c>
      <c r="D363" s="240"/>
      <c r="E363" s="241"/>
      <c r="F363" s="264">
        <f>+F361+F354</f>
        <v>164906296.15000001</v>
      </c>
      <c r="G363" s="241"/>
      <c r="H363" s="241"/>
      <c r="I363" s="769"/>
      <c r="J363" s="389">
        <f t="shared" ref="J363:Q363" ca="1" si="113">+J361+J354</f>
        <v>88517484.102709234</v>
      </c>
      <c r="K363" s="264">
        <f t="shared" ca="1" si="113"/>
        <v>4394067.1207265351</v>
      </c>
      <c r="L363" s="264">
        <f t="shared" ca="1" si="113"/>
        <v>54752332.171060786</v>
      </c>
      <c r="M363" s="264">
        <f t="shared" ca="1" si="113"/>
        <v>430729.58165311278</v>
      </c>
      <c r="N363" s="264">
        <f t="shared" ca="1" si="113"/>
        <v>11703896.82020871</v>
      </c>
      <c r="O363" s="264">
        <f ca="1">+O361+O354</f>
        <v>1097621.262247873</v>
      </c>
      <c r="P363" s="264">
        <f t="shared" ca="1" si="113"/>
        <v>387305.72334125359</v>
      </c>
      <c r="Q363" s="264">
        <f t="shared" ca="1" si="113"/>
        <v>3187256.7725852127</v>
      </c>
      <c r="R363" s="264">
        <f ca="1">+R361+R354</f>
        <v>80225.266705559843</v>
      </c>
      <c r="S363" s="243">
        <f ca="1">+S361+S354</f>
        <v>355377.32876171404</v>
      </c>
      <c r="T363" s="373"/>
      <c r="U363" s="243">
        <f ca="1">SUM(I363:T363)</f>
        <v>164906296.15000001</v>
      </c>
      <c r="V363" s="64"/>
      <c r="W363" s="1099" t="b">
        <f>' WP II-I-1.4'!$L$363=F363</f>
        <v>1</v>
      </c>
      <c r="X363" s="305">
        <f t="shared" ca="1" si="109"/>
        <v>0</v>
      </c>
    </row>
    <row r="364" spans="1:24" ht="15.75" thickBot="1" x14ac:dyDescent="0.3">
      <c r="A364" s="45"/>
      <c r="B364" s="16">
        <f t="shared" si="107"/>
        <v>22</v>
      </c>
      <c r="C364" s="262" t="s">
        <v>537</v>
      </c>
      <c r="D364" s="246"/>
      <c r="E364" s="263"/>
      <c r="F364" s="248">
        <f>+F221-F363</f>
        <v>630827963.12999988</v>
      </c>
      <c r="G364" s="263"/>
      <c r="H364" s="263"/>
      <c r="I364" s="967"/>
      <c r="J364" s="377">
        <f t="shared" ref="J364:S364" ca="1" si="114">+J221-J363</f>
        <v>339919973.86194491</v>
      </c>
      <c r="K364" s="248">
        <f t="shared" ca="1" si="114"/>
        <v>15686579.63744854</v>
      </c>
      <c r="L364" s="248">
        <f t="shared" ca="1" si="114"/>
        <v>211238752.75490534</v>
      </c>
      <c r="M364" s="248">
        <f t="shared" ca="1" si="114"/>
        <v>1415651.7520804363</v>
      </c>
      <c r="N364" s="248">
        <f t="shared" ca="1" si="114"/>
        <v>44362909.958066374</v>
      </c>
      <c r="O364" s="248">
        <f t="shared" ca="1" si="114"/>
        <v>4302561.3519815933</v>
      </c>
      <c r="P364" s="248">
        <f t="shared" ca="1" si="114"/>
        <v>1385682.8474850273</v>
      </c>
      <c r="Q364" s="248">
        <f t="shared" ca="1" si="114"/>
        <v>10807868.713886628</v>
      </c>
      <c r="R364" s="248">
        <f t="shared" ca="1" si="114"/>
        <v>311619.57895923092</v>
      </c>
      <c r="S364" s="378">
        <f t="shared" ca="1" si="114"/>
        <v>1396362.6732415622</v>
      </c>
      <c r="T364" s="388"/>
      <c r="U364" s="249">
        <f ca="1">SUM(I364:T364)</f>
        <v>630827963.12999976</v>
      </c>
      <c r="V364" s="64"/>
      <c r="W364" s="1099" t="b">
        <f>' WP II-I-1.4'!$L$364=F364</f>
        <v>1</v>
      </c>
      <c r="X364" s="305">
        <f t="shared" ca="1" si="109"/>
        <v>0</v>
      </c>
    </row>
    <row r="365" spans="1:24" ht="15" thickBot="1" x14ac:dyDescent="0.25">
      <c r="A365" s="45"/>
      <c r="B365" s="16">
        <f t="shared" si="107"/>
        <v>23</v>
      </c>
      <c r="C365" s="1"/>
      <c r="D365" s="29"/>
      <c r="E365" s="265"/>
      <c r="F365" s="17"/>
      <c r="G365" s="265"/>
      <c r="H365" s="265"/>
      <c r="I365" s="265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265"/>
      <c r="U365" s="17"/>
      <c r="V365" s="64"/>
      <c r="W365" s="1099"/>
      <c r="X365" s="305">
        <f t="shared" si="109"/>
        <v>0</v>
      </c>
    </row>
    <row r="366" spans="1:24" ht="15.75" thickBot="1" x14ac:dyDescent="0.3">
      <c r="A366" s="45"/>
      <c r="B366" s="16">
        <f t="shared" si="107"/>
        <v>24</v>
      </c>
      <c r="C366" s="223" t="s">
        <v>538</v>
      </c>
      <c r="D366" s="224"/>
      <c r="E366" s="266"/>
      <c r="F366" s="812">
        <f>F364+F327</f>
        <v>14750631901.85</v>
      </c>
      <c r="G366" s="266"/>
      <c r="H366" s="266"/>
      <c r="I366" s="969"/>
      <c r="J366" s="381">
        <f t="shared" ref="J366:Q366" ca="1" si="115">J364+J327</f>
        <v>8023109569.779583</v>
      </c>
      <c r="K366" s="812">
        <f t="shared" ca="1" si="115"/>
        <v>252917381.61785617</v>
      </c>
      <c r="L366" s="812">
        <f t="shared" ca="1" si="115"/>
        <v>5076687964.3456945</v>
      </c>
      <c r="M366" s="812">
        <f t="shared" ca="1" si="115"/>
        <v>9726392.1262093298</v>
      </c>
      <c r="N366" s="812">
        <f t="shared" ca="1" si="115"/>
        <v>987867939.54310763</v>
      </c>
      <c r="O366" s="812">
        <f ca="1">O364+O327</f>
        <v>110086592.94757472</v>
      </c>
      <c r="P366" s="812">
        <f t="shared" ca="1" si="115"/>
        <v>22578464.301102031</v>
      </c>
      <c r="Q366" s="812">
        <f t="shared" ca="1" si="115"/>
        <v>223911428.99141619</v>
      </c>
      <c r="R366" s="812">
        <f ca="1">R364+R327</f>
        <v>7695766.9288766971</v>
      </c>
      <c r="S366" s="315">
        <f ca="1">S364+S327</f>
        <v>36050401.268580914</v>
      </c>
      <c r="T366" s="391"/>
      <c r="U366" s="195">
        <f ca="1">SUM(I366:T366)</f>
        <v>14750631901.850002</v>
      </c>
      <c r="V366" s="64"/>
      <c r="W366" s="1099" t="b">
        <f>' WP II-I-1.4'!$L$366=F366</f>
        <v>1</v>
      </c>
      <c r="X366" s="305">
        <f t="shared" ca="1" si="109"/>
        <v>0</v>
      </c>
    </row>
    <row r="367" spans="1:24" ht="15.75" thickBot="1" x14ac:dyDescent="0.3">
      <c r="A367" s="45"/>
      <c r="B367" s="16">
        <f t="shared" si="107"/>
        <v>25</v>
      </c>
      <c r="C367" s="8"/>
      <c r="D367" s="8"/>
      <c r="E367" s="233"/>
      <c r="F367" s="21"/>
      <c r="G367" s="233"/>
      <c r="H367" s="233"/>
      <c r="I367" s="233"/>
      <c r="J367" s="805"/>
      <c r="K367" s="805"/>
      <c r="L367" s="805"/>
      <c r="M367" s="805"/>
      <c r="N367" s="21"/>
      <c r="O367" s="21"/>
      <c r="P367" s="21"/>
      <c r="Q367" s="21"/>
      <c r="R367" s="21"/>
      <c r="S367" s="21"/>
      <c r="T367" s="233"/>
      <c r="U367" s="21"/>
      <c r="V367" s="64"/>
      <c r="W367" s="1099"/>
      <c r="X367" s="305">
        <f t="shared" si="109"/>
        <v>0</v>
      </c>
    </row>
    <row r="368" spans="1:24" ht="15.75" thickBot="1" x14ac:dyDescent="0.3">
      <c r="A368" s="45"/>
      <c r="B368" s="16">
        <f t="shared" si="107"/>
        <v>26</v>
      </c>
      <c r="C368" s="223" t="s">
        <v>539</v>
      </c>
      <c r="D368" s="224"/>
      <c r="E368" s="266"/>
      <c r="F368" s="812">
        <f>F364+F326</f>
        <v>14744894981.700001</v>
      </c>
      <c r="G368" s="266"/>
      <c r="H368" s="266"/>
      <c r="I368" s="969"/>
      <c r="J368" s="381">
        <f t="shared" ref="J368:Q368" ca="1" si="116">J364+J326</f>
        <v>8019989229.4414177</v>
      </c>
      <c r="K368" s="812">
        <f t="shared" ca="1" si="116"/>
        <v>252817556.79905555</v>
      </c>
      <c r="L368" s="812">
        <f t="shared" ca="1" si="116"/>
        <v>5074714576.3663044</v>
      </c>
      <c r="M368" s="812">
        <f t="shared" ca="1" si="116"/>
        <v>9722312.5237082709</v>
      </c>
      <c r="N368" s="812">
        <f t="shared" ca="1" si="116"/>
        <v>987482974.27917194</v>
      </c>
      <c r="O368" s="812">
        <f ca="1">O364+O326</f>
        <v>110043882.53816852</v>
      </c>
      <c r="P368" s="812">
        <f t="shared" ca="1" si="116"/>
        <v>22569555.714129481</v>
      </c>
      <c r="Q368" s="812">
        <f t="shared" ca="1" si="116"/>
        <v>223825697.56366321</v>
      </c>
      <c r="R368" s="812">
        <f ca="1">R364+R326</f>
        <v>7692777.9882866656</v>
      </c>
      <c r="S368" s="315">
        <f ca="1">S364+S326</f>
        <v>36036418.486095823</v>
      </c>
      <c r="T368" s="391"/>
      <c r="U368" s="195">
        <f ca="1">SUM(I368:T368)</f>
        <v>14744894981.700001</v>
      </c>
      <c r="V368" s="64"/>
      <c r="W368" s="1099" t="b">
        <f>' WP II-I-1.4'!$L$368=F368</f>
        <v>1</v>
      </c>
      <c r="X368" s="305">
        <f t="shared" ca="1" si="109"/>
        <v>0</v>
      </c>
    </row>
    <row r="369" spans="1:24" x14ac:dyDescent="0.2">
      <c r="A369" s="45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X369" s="305">
        <f t="shared" si="109"/>
        <v>0</v>
      </c>
    </row>
    <row r="370" spans="1:24" x14ac:dyDescent="0.2">
      <c r="A370" s="45"/>
      <c r="B370" s="64"/>
      <c r="C370" s="64"/>
      <c r="D370" s="64"/>
      <c r="E370" s="64"/>
      <c r="F370" s="64"/>
      <c r="G370" s="64"/>
      <c r="H370" s="105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105"/>
      <c r="V370" s="105"/>
      <c r="X370" s="305"/>
    </row>
    <row r="371" spans="1:24" ht="15" thickBot="1" x14ac:dyDescent="0.25">
      <c r="A371" s="45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X371" s="305">
        <f t="shared" si="109"/>
        <v>0</v>
      </c>
    </row>
    <row r="372" spans="1:24" ht="15" x14ac:dyDescent="0.25">
      <c r="A372" s="45"/>
      <c r="B372" s="829" t="str">
        <f>+$B$4</f>
        <v>2025 RATE CASE</v>
      </c>
      <c r="C372" s="844"/>
      <c r="D372" s="872"/>
      <c r="F372" s="267"/>
      <c r="U372" s="105"/>
      <c r="X372" s="305">
        <f t="shared" si="109"/>
        <v>0</v>
      </c>
    </row>
    <row r="373" spans="1:24" ht="15" x14ac:dyDescent="0.25">
      <c r="A373" s="45"/>
      <c r="B373" s="826" t="str">
        <f>+$B$5</f>
        <v>ONCOR ELECTRIC DELIVERY COMPANY LLC</v>
      </c>
      <c r="C373" s="8"/>
      <c r="D373" s="873"/>
      <c r="F373" s="267"/>
      <c r="U373" s="105"/>
      <c r="V373" s="64"/>
      <c r="X373" s="305">
        <f t="shared" si="109"/>
        <v>0</v>
      </c>
    </row>
    <row r="374" spans="1:24" ht="15" x14ac:dyDescent="0.25">
      <c r="A374" s="45"/>
      <c r="B374" s="826" t="str">
        <f>+$B$6</f>
        <v>II-I-1-TOT:  CLASS REVENUE REQUIREMENT</v>
      </c>
      <c r="C374" s="82"/>
      <c r="D374" s="873"/>
      <c r="F374" s="267"/>
      <c r="U374" s="267"/>
      <c r="V374" s="64"/>
      <c r="X374" s="305">
        <f t="shared" si="109"/>
        <v>0</v>
      </c>
    </row>
    <row r="375" spans="1:24" ht="15" x14ac:dyDescent="0.25">
      <c r="A375" s="45"/>
      <c r="B375" s="341" t="str">
        <f>+$B$7</f>
        <v>TEST YEAR ENDING 12/31/2024</v>
      </c>
      <c r="C375" s="82"/>
      <c r="D375" s="873"/>
      <c r="F375" s="267"/>
      <c r="U375" s="267"/>
      <c r="V375" s="64"/>
      <c r="X375" s="305">
        <f t="shared" si="109"/>
        <v>0</v>
      </c>
    </row>
    <row r="376" spans="1:24" ht="15" x14ac:dyDescent="0.25">
      <c r="A376" s="45"/>
      <c r="B376" s="341" t="str">
        <f>+$B$8</f>
        <v>SPONSOR:  MATTHEW A. TROXLE</v>
      </c>
      <c r="C376" s="82"/>
      <c r="D376" s="873"/>
      <c r="F376" s="267"/>
      <c r="U376" s="267"/>
      <c r="V376" s="64"/>
      <c r="X376" s="305">
        <f t="shared" si="109"/>
        <v>0</v>
      </c>
    </row>
    <row r="377" spans="1:24" ht="15.75" thickBot="1" x14ac:dyDescent="0.3">
      <c r="A377" s="45"/>
      <c r="B377" s="345"/>
      <c r="C377" s="843"/>
      <c r="D377" s="845"/>
      <c r="F377" s="267"/>
      <c r="U377" s="267"/>
      <c r="V377" s="64"/>
      <c r="X377" s="305">
        <f t="shared" si="109"/>
        <v>0</v>
      </c>
    </row>
    <row r="378" spans="1:24" ht="15" thickBot="1" x14ac:dyDescent="0.25">
      <c r="A378" s="45"/>
      <c r="B378" s="12"/>
      <c r="C378" s="13"/>
      <c r="D378" s="13"/>
      <c r="E378" s="13"/>
      <c r="F378" s="12"/>
      <c r="G378" s="13"/>
      <c r="H378" s="13"/>
      <c r="I378" s="13"/>
      <c r="J378" s="177"/>
      <c r="K378" s="177"/>
      <c r="L378" s="13"/>
      <c r="M378" s="177"/>
      <c r="N378" s="177"/>
      <c r="O378" s="177"/>
      <c r="P378" s="177"/>
      <c r="Q378" s="13"/>
      <c r="R378" s="328" t="str">
        <f>R$10</f>
        <v xml:space="preserve"> </v>
      </c>
      <c r="S378" s="329"/>
      <c r="T378" s="177"/>
      <c r="U378" s="12"/>
      <c r="V378" s="64"/>
      <c r="X378" s="305">
        <f t="shared" si="109"/>
        <v>0</v>
      </c>
    </row>
    <row r="379" spans="1:24" ht="15" x14ac:dyDescent="0.25">
      <c r="A379" s="45"/>
      <c r="B379" s="14" t="s">
        <v>2</v>
      </c>
      <c r="C379" s="14" t="s">
        <v>349</v>
      </c>
      <c r="D379" s="226" t="s">
        <v>113</v>
      </c>
      <c r="E379" s="14" t="s">
        <v>350</v>
      </c>
      <c r="F379" s="226" t="str">
        <f>F$11</f>
        <v>TOTAL</v>
      </c>
      <c r="G379" s="181" t="s">
        <v>688</v>
      </c>
      <c r="H379" s="181" t="s">
        <v>355</v>
      </c>
      <c r="I379" s="14"/>
      <c r="J379" s="181" t="s">
        <v>679</v>
      </c>
      <c r="K379" s="181" t="s">
        <v>388</v>
      </c>
      <c r="L379" s="14" t="s">
        <v>388</v>
      </c>
      <c r="M379" s="181" t="s">
        <v>389</v>
      </c>
      <c r="N379" s="181" t="s">
        <v>389</v>
      </c>
      <c r="O379" s="181" t="s">
        <v>389</v>
      </c>
      <c r="P379" s="181" t="s">
        <v>390</v>
      </c>
      <c r="Q379" s="14" t="s">
        <v>391</v>
      </c>
      <c r="R379" s="331" t="str">
        <f>R$11</f>
        <v>Wholesale</v>
      </c>
      <c r="S379" s="12" t="str">
        <f>S$11</f>
        <v>Wholesale</v>
      </c>
      <c r="T379" s="181"/>
      <c r="U379" s="14" t="s">
        <v>10</v>
      </c>
      <c r="V379" s="64"/>
      <c r="X379" s="305"/>
    </row>
    <row r="380" spans="1:24" x14ac:dyDescent="0.2">
      <c r="A380" s="45"/>
      <c r="B380" s="14"/>
      <c r="C380" s="14"/>
      <c r="D380" s="14"/>
      <c r="E380" s="14"/>
      <c r="F380" s="14" t="str">
        <f>F$12</f>
        <v>(Dist+Met+Cust)</v>
      </c>
      <c r="G380" s="181" t="s">
        <v>689</v>
      </c>
      <c r="H380" s="181" t="s">
        <v>690</v>
      </c>
      <c r="I380" s="14"/>
      <c r="J380" s="181"/>
      <c r="K380" s="181" t="s">
        <v>680</v>
      </c>
      <c r="L380" s="14" t="s">
        <v>681</v>
      </c>
      <c r="M380" s="181" t="s">
        <v>680</v>
      </c>
      <c r="N380" s="181" t="s">
        <v>681</v>
      </c>
      <c r="O380" s="181" t="s">
        <v>393</v>
      </c>
      <c r="P380" s="181"/>
      <c r="Q380" s="14"/>
      <c r="R380" s="174" t="str">
        <f>R$12</f>
        <v>XFMR</v>
      </c>
      <c r="S380" s="14" t="str">
        <f>S$12</f>
        <v>DLS</v>
      </c>
      <c r="T380" s="181"/>
      <c r="U380" s="14"/>
      <c r="V380" s="64"/>
      <c r="X380" s="305"/>
    </row>
    <row r="381" spans="1:24" ht="15" thickBot="1" x14ac:dyDescent="0.25">
      <c r="A381" s="45"/>
      <c r="B381" s="15"/>
      <c r="C381" s="15"/>
      <c r="D381" s="15"/>
      <c r="E381" s="15"/>
      <c r="F381" s="15" t="s">
        <v>13</v>
      </c>
      <c r="G381" s="15" t="s">
        <v>14</v>
      </c>
      <c r="H381" s="15" t="s">
        <v>15</v>
      </c>
      <c r="I381" s="15"/>
      <c r="J381" s="182" t="str">
        <f t="shared" ref="J381:Q381" si="117">J$13</f>
        <v>(d)</v>
      </c>
      <c r="K381" s="182" t="str">
        <f t="shared" si="117"/>
        <v>(e)</v>
      </c>
      <c r="L381" s="15" t="str">
        <f t="shared" si="117"/>
        <v>(f)</v>
      </c>
      <c r="M381" s="182" t="str">
        <f t="shared" si="117"/>
        <v>(g)</v>
      </c>
      <c r="N381" s="182" t="str">
        <f t="shared" si="117"/>
        <v>(h)</v>
      </c>
      <c r="O381" s="182" t="str">
        <f>O$13</f>
        <v>(i)</v>
      </c>
      <c r="P381" s="182" t="str">
        <f t="shared" si="117"/>
        <v>(j)</v>
      </c>
      <c r="Q381" s="182" t="str">
        <f t="shared" si="117"/>
        <v>(k)</v>
      </c>
      <c r="R381" s="182" t="str">
        <f>R$13</f>
        <v>(l)</v>
      </c>
      <c r="S381" s="15" t="str">
        <f>S$13</f>
        <v>(m)</v>
      </c>
      <c r="T381" s="15"/>
      <c r="U381" s="15" t="s">
        <v>683</v>
      </c>
      <c r="V381" s="64"/>
      <c r="X381" s="305"/>
    </row>
    <row r="382" spans="1:24" x14ac:dyDescent="0.2">
      <c r="A382" s="45"/>
      <c r="B382" s="64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41"/>
      <c r="V382" s="64"/>
      <c r="X382" s="305">
        <f t="shared" si="109"/>
        <v>0</v>
      </c>
    </row>
    <row r="383" spans="1:24" ht="15" x14ac:dyDescent="0.25">
      <c r="A383" s="45"/>
      <c r="B383" s="16">
        <f t="shared" ref="B383:B388" si="118">B382+1</f>
        <v>1</v>
      </c>
      <c r="C383" s="269" t="s">
        <v>110</v>
      </c>
      <c r="D383" s="34"/>
      <c r="E383" s="35"/>
      <c r="F383" s="37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4"/>
      <c r="V383" s="64"/>
      <c r="X383" s="305">
        <f t="shared" si="109"/>
        <v>0</v>
      </c>
    </row>
    <row r="384" spans="1:24" ht="15" x14ac:dyDescent="0.25">
      <c r="A384" s="45"/>
      <c r="B384" s="16">
        <f t="shared" si="118"/>
        <v>2</v>
      </c>
      <c r="C384" s="269"/>
      <c r="D384" s="41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41"/>
      <c r="V384" s="64"/>
      <c r="X384" s="305">
        <f t="shared" si="109"/>
        <v>0</v>
      </c>
    </row>
    <row r="385" spans="1:24" ht="15" x14ac:dyDescent="0.25">
      <c r="A385" s="45"/>
      <c r="B385" s="16">
        <f t="shared" si="118"/>
        <v>3</v>
      </c>
      <c r="C385" s="41" t="s">
        <v>540</v>
      </c>
      <c r="D385" s="41" t="s">
        <v>113</v>
      </c>
      <c r="E385" s="36" t="s">
        <v>114</v>
      </c>
      <c r="F385" s="97">
        <f>' WP II-I-1.4'!L385</f>
        <v>6705448.3699999982</v>
      </c>
      <c r="G385" s="38" t="s">
        <v>751</v>
      </c>
      <c r="H385" s="45" t="s">
        <v>303</v>
      </c>
      <c r="I385" s="36"/>
      <c r="J385" s="369">
        <f>'II-I-DIST'!J385+'II-I-MET'!J385+'II-I-TBILLTDCS'!J385</f>
        <v>3438329.3344530286</v>
      </c>
      <c r="K385" s="369">
        <f>'II-I-DIST'!K385+'II-I-MET'!K385+'II-I-TBILLTDCS'!K385</f>
        <v>64959.211858047252</v>
      </c>
      <c r="L385" s="369">
        <f>'II-I-DIST'!L385+'II-I-MET'!L385+'II-I-TBILLTDCS'!L385</f>
        <v>2208453.4512115913</v>
      </c>
      <c r="M385" s="369">
        <f>'II-I-DIST'!M385+'II-I-MET'!M385+'II-I-TBILLTDCS'!M385</f>
        <v>1033.425300281514</v>
      </c>
      <c r="N385" s="369">
        <f>'II-I-DIST'!N385+'II-I-MET'!N385+'II-I-TBILLTDCS'!N385</f>
        <v>649597.79089702026</v>
      </c>
      <c r="O385" s="369">
        <f>'II-I-DIST'!O385+'II-I-MET'!O385+'II-I-TBILLTDCS'!O385</f>
        <v>279209.91674134071</v>
      </c>
      <c r="P385" s="369">
        <f>'II-I-DIST'!P385+'II-I-MET'!P385+'II-I-TBILLTDCS'!P385</f>
        <v>0</v>
      </c>
      <c r="Q385" s="369">
        <f>'II-I-DIST'!Q385+'II-I-MET'!Q385+'II-I-TBILLTDCS'!Q385</f>
        <v>19639.929225548898</v>
      </c>
      <c r="R385" s="369">
        <f>'II-I-DIST'!R385+'II-I-MET'!R385+'II-I-TBILLTDCS'!R385</f>
        <v>19300.080275577431</v>
      </c>
      <c r="S385" s="369">
        <f>'II-I-DIST'!S385+'II-I-MET'!S385+'II-I-TBILLTDCS'!S385</f>
        <v>24925.230037561556</v>
      </c>
      <c r="T385" s="36"/>
      <c r="U385" s="97">
        <f>SUM(I385:T385)</f>
        <v>6705448.3699999973</v>
      </c>
      <c r="V385" s="64"/>
      <c r="X385" s="305">
        <f t="shared" si="109"/>
        <v>0</v>
      </c>
    </row>
    <row r="386" spans="1:24" ht="15" x14ac:dyDescent="0.25">
      <c r="A386" s="45"/>
      <c r="B386" s="16">
        <f t="shared" si="118"/>
        <v>4</v>
      </c>
      <c r="C386" s="34"/>
      <c r="D386" s="42" t="s">
        <v>444</v>
      </c>
      <c r="E386" s="37"/>
      <c r="F386" s="37">
        <f>+F385</f>
        <v>6705448.3699999982</v>
      </c>
      <c r="G386" s="37"/>
      <c r="H386" s="37"/>
      <c r="I386" s="37"/>
      <c r="J386" s="37">
        <f t="shared" ref="J386:Q386" si="119">+J385</f>
        <v>3438329.3344530286</v>
      </c>
      <c r="K386" s="37">
        <f t="shared" si="119"/>
        <v>64959.211858047252</v>
      </c>
      <c r="L386" s="37">
        <f t="shared" si="119"/>
        <v>2208453.4512115913</v>
      </c>
      <c r="M386" s="37">
        <f t="shared" si="119"/>
        <v>1033.425300281514</v>
      </c>
      <c r="N386" s="37">
        <f t="shared" si="119"/>
        <v>649597.79089702026</v>
      </c>
      <c r="O386" s="37">
        <f>+O385</f>
        <v>279209.91674134071</v>
      </c>
      <c r="P386" s="37">
        <f t="shared" si="119"/>
        <v>0</v>
      </c>
      <c r="Q386" s="37">
        <f t="shared" si="119"/>
        <v>19639.929225548898</v>
      </c>
      <c r="R386" s="37">
        <f>+R385</f>
        <v>19300.080275577431</v>
      </c>
      <c r="S386" s="37">
        <f>+S385</f>
        <v>24925.230037561556</v>
      </c>
      <c r="T386" s="37"/>
      <c r="U386" s="235">
        <f>SUM(I386:T386)</f>
        <v>6705448.3699999973</v>
      </c>
      <c r="V386" s="64"/>
      <c r="W386" s="1099" t="b">
        <f>' WP II-I-1.4'!$L$386=F386</f>
        <v>1</v>
      </c>
      <c r="X386" s="305">
        <f t="shared" si="109"/>
        <v>0</v>
      </c>
    </row>
    <row r="387" spans="1:24" ht="15" thickBot="1" x14ac:dyDescent="0.25">
      <c r="A387" s="45"/>
      <c r="B387" s="16">
        <f t="shared" si="118"/>
        <v>5</v>
      </c>
      <c r="C387" s="41"/>
      <c r="D387" s="41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41"/>
      <c r="V387" s="64"/>
      <c r="X387" s="305">
        <f t="shared" si="109"/>
        <v>0</v>
      </c>
    </row>
    <row r="388" spans="1:24" ht="15.75" thickBot="1" x14ac:dyDescent="0.3">
      <c r="A388" s="45"/>
      <c r="B388" s="16">
        <f t="shared" si="118"/>
        <v>6</v>
      </c>
      <c r="C388" s="270" t="s">
        <v>541</v>
      </c>
      <c r="D388" s="271"/>
      <c r="E388" s="272" t="s">
        <v>114</v>
      </c>
      <c r="F388" s="217">
        <f>+F386</f>
        <v>6705448.3699999982</v>
      </c>
      <c r="G388" s="272"/>
      <c r="H388" s="392"/>
      <c r="I388" s="393"/>
      <c r="J388" s="291">
        <f t="shared" ref="J388:Q388" si="120">+J386</f>
        <v>3438329.3344530286</v>
      </c>
      <c r="K388" s="814">
        <f t="shared" si="120"/>
        <v>64959.211858047252</v>
      </c>
      <c r="L388" s="814">
        <f t="shared" si="120"/>
        <v>2208453.4512115913</v>
      </c>
      <c r="M388" s="814">
        <f t="shared" si="120"/>
        <v>1033.425300281514</v>
      </c>
      <c r="N388" s="814">
        <f t="shared" si="120"/>
        <v>649597.79089702026</v>
      </c>
      <c r="O388" s="814">
        <f>+O386</f>
        <v>279209.91674134071</v>
      </c>
      <c r="P388" s="814">
        <f t="shared" si="120"/>
        <v>0</v>
      </c>
      <c r="Q388" s="814">
        <f t="shared" si="120"/>
        <v>19639.929225548898</v>
      </c>
      <c r="R388" s="814">
        <f>+R386</f>
        <v>19300.080275577431</v>
      </c>
      <c r="S388" s="218">
        <f>+S386</f>
        <v>24925.230037561556</v>
      </c>
      <c r="T388" s="393"/>
      <c r="U388" s="195">
        <f>SUM(I388:T388)</f>
        <v>6705448.3699999973</v>
      </c>
      <c r="V388" s="64"/>
      <c r="W388" s="1099" t="b">
        <f>' WP II-I-1.4'!$L$386=F388</f>
        <v>1</v>
      </c>
      <c r="X388" s="305">
        <f t="shared" si="109"/>
        <v>0</v>
      </c>
    </row>
    <row r="389" spans="1:24" x14ac:dyDescent="0.2">
      <c r="A389" s="45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X389" s="305">
        <f t="shared" si="109"/>
        <v>0</v>
      </c>
    </row>
    <row r="390" spans="1:24" x14ac:dyDescent="0.2">
      <c r="A390" s="45"/>
      <c r="B390" s="64"/>
      <c r="C390" s="64"/>
      <c r="D390" s="64"/>
      <c r="E390" s="64"/>
      <c r="F390" s="64"/>
      <c r="G390" s="64"/>
      <c r="H390" s="105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105"/>
      <c r="V390" s="105"/>
      <c r="X390" s="305"/>
    </row>
    <row r="391" spans="1:24" ht="15" thickBot="1" x14ac:dyDescent="0.25">
      <c r="A391" s="45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X391" s="305">
        <f t="shared" si="109"/>
        <v>0</v>
      </c>
    </row>
    <row r="392" spans="1:24" ht="15" x14ac:dyDescent="0.25">
      <c r="A392" s="45"/>
      <c r="B392" s="829" t="str">
        <f>+$B$4</f>
        <v>2025 RATE CASE</v>
      </c>
      <c r="C392" s="844"/>
      <c r="D392" s="872"/>
      <c r="F392" s="267"/>
      <c r="U392" s="105"/>
      <c r="X392" s="305">
        <f t="shared" si="109"/>
        <v>0</v>
      </c>
    </row>
    <row r="393" spans="1:24" ht="15" x14ac:dyDescent="0.25">
      <c r="A393" s="45"/>
      <c r="B393" s="826" t="str">
        <f>+$B$5</f>
        <v>ONCOR ELECTRIC DELIVERY COMPANY LLC</v>
      </c>
      <c r="C393" s="8"/>
      <c r="D393" s="873"/>
      <c r="F393" s="267"/>
      <c r="U393" s="105"/>
      <c r="V393" s="64"/>
      <c r="X393" s="305">
        <f t="shared" si="109"/>
        <v>0</v>
      </c>
    </row>
    <row r="394" spans="1:24" ht="15" x14ac:dyDescent="0.25">
      <c r="A394" s="45"/>
      <c r="B394" s="826" t="str">
        <f>+$B$6</f>
        <v>II-I-1-TOT:  CLASS REVENUE REQUIREMENT</v>
      </c>
      <c r="C394" s="82"/>
      <c r="D394" s="873"/>
      <c r="F394" s="267"/>
      <c r="U394" s="267"/>
      <c r="V394" s="64"/>
      <c r="X394" s="305">
        <f t="shared" si="109"/>
        <v>0</v>
      </c>
    </row>
    <row r="395" spans="1:24" ht="15" x14ac:dyDescent="0.25">
      <c r="A395" s="45"/>
      <c r="B395" s="341" t="str">
        <f>+$B$7</f>
        <v>TEST YEAR ENDING 12/31/2024</v>
      </c>
      <c r="C395" s="82"/>
      <c r="D395" s="873"/>
      <c r="F395" s="267"/>
      <c r="U395" s="267"/>
      <c r="V395" s="64"/>
      <c r="X395" s="305">
        <f t="shared" si="109"/>
        <v>0</v>
      </c>
    </row>
    <row r="396" spans="1:24" ht="15" x14ac:dyDescent="0.25">
      <c r="A396" s="45"/>
      <c r="B396" s="341" t="str">
        <f>+$B$8</f>
        <v>SPONSOR:  MATTHEW A. TROXLE</v>
      </c>
      <c r="C396" s="82"/>
      <c r="D396" s="873"/>
      <c r="F396" s="267"/>
      <c r="U396" s="267"/>
      <c r="V396" s="64"/>
      <c r="X396" s="305">
        <f t="shared" si="109"/>
        <v>0</v>
      </c>
    </row>
    <row r="397" spans="1:24" ht="15.75" thickBot="1" x14ac:dyDescent="0.3">
      <c r="A397" s="45"/>
      <c r="B397" s="345"/>
      <c r="C397" s="843"/>
      <c r="D397" s="845"/>
      <c r="F397" s="267"/>
      <c r="U397" s="267"/>
      <c r="V397" s="64"/>
      <c r="X397" s="305">
        <f t="shared" si="109"/>
        <v>0</v>
      </c>
    </row>
    <row r="398" spans="1:24" ht="15" thickBot="1" x14ac:dyDescent="0.25">
      <c r="A398" s="45"/>
      <c r="B398" s="12"/>
      <c r="C398" s="13"/>
      <c r="D398" s="13"/>
      <c r="E398" s="13"/>
      <c r="F398" s="12"/>
      <c r="G398" s="13"/>
      <c r="H398" s="13"/>
      <c r="I398" s="13"/>
      <c r="J398" s="177"/>
      <c r="K398" s="177"/>
      <c r="L398" s="13"/>
      <c r="M398" s="177"/>
      <c r="N398" s="177"/>
      <c r="O398" s="177"/>
      <c r="P398" s="177"/>
      <c r="Q398" s="13"/>
      <c r="R398" s="328" t="str">
        <f>R$10</f>
        <v xml:space="preserve"> </v>
      </c>
      <c r="S398" s="329"/>
      <c r="T398" s="177"/>
      <c r="U398" s="12"/>
      <c r="V398" s="64"/>
      <c r="X398" s="305">
        <f t="shared" si="109"/>
        <v>0</v>
      </c>
    </row>
    <row r="399" spans="1:24" ht="15" x14ac:dyDescent="0.25">
      <c r="A399" s="45"/>
      <c r="B399" s="14" t="s">
        <v>2</v>
      </c>
      <c r="C399" s="14" t="s">
        <v>349</v>
      </c>
      <c r="D399" s="226" t="s">
        <v>542</v>
      </c>
      <c r="E399" s="14" t="s">
        <v>350</v>
      </c>
      <c r="F399" s="226" t="str">
        <f>F$11</f>
        <v>TOTAL</v>
      </c>
      <c r="G399" s="181" t="s">
        <v>688</v>
      </c>
      <c r="H399" s="181" t="s">
        <v>355</v>
      </c>
      <c r="I399" s="14"/>
      <c r="J399" s="181" t="s">
        <v>679</v>
      </c>
      <c r="K399" s="181" t="s">
        <v>388</v>
      </c>
      <c r="L399" s="14" t="s">
        <v>388</v>
      </c>
      <c r="M399" s="181" t="s">
        <v>389</v>
      </c>
      <c r="N399" s="181" t="s">
        <v>389</v>
      </c>
      <c r="O399" s="181" t="s">
        <v>389</v>
      </c>
      <c r="P399" s="181" t="s">
        <v>390</v>
      </c>
      <c r="Q399" s="14" t="s">
        <v>391</v>
      </c>
      <c r="R399" s="331" t="str">
        <f>R$11</f>
        <v>Wholesale</v>
      </c>
      <c r="S399" s="12" t="str">
        <f>S$11</f>
        <v>Wholesale</v>
      </c>
      <c r="T399" s="181"/>
      <c r="U399" s="14" t="s">
        <v>10</v>
      </c>
      <c r="V399" s="64"/>
      <c r="X399" s="305"/>
    </row>
    <row r="400" spans="1:24" x14ac:dyDescent="0.2">
      <c r="A400" s="45"/>
      <c r="B400" s="14"/>
      <c r="C400" s="14"/>
      <c r="D400" s="14"/>
      <c r="E400" s="14"/>
      <c r="F400" s="14" t="str">
        <f>F$12</f>
        <v>(Dist+Met+Cust)</v>
      </c>
      <c r="G400" s="181" t="s">
        <v>689</v>
      </c>
      <c r="H400" s="181" t="s">
        <v>690</v>
      </c>
      <c r="I400" s="14"/>
      <c r="J400" s="181"/>
      <c r="K400" s="181" t="s">
        <v>680</v>
      </c>
      <c r="L400" s="14" t="s">
        <v>681</v>
      </c>
      <c r="M400" s="181" t="s">
        <v>680</v>
      </c>
      <c r="N400" s="181" t="s">
        <v>681</v>
      </c>
      <c r="O400" s="181" t="s">
        <v>393</v>
      </c>
      <c r="P400" s="181"/>
      <c r="Q400" s="14"/>
      <c r="R400" s="174" t="str">
        <f>R$12</f>
        <v>XFMR</v>
      </c>
      <c r="S400" s="14" t="str">
        <f>S$12</f>
        <v>DLS</v>
      </c>
      <c r="T400" s="181"/>
      <c r="U400" s="14"/>
      <c r="V400" s="64"/>
      <c r="X400" s="305"/>
    </row>
    <row r="401" spans="1:24" ht="15" thickBot="1" x14ac:dyDescent="0.25">
      <c r="A401" s="45"/>
      <c r="B401" s="15"/>
      <c r="C401" s="15"/>
      <c r="D401" s="15"/>
      <c r="E401" s="15"/>
      <c r="F401" s="15" t="s">
        <v>13</v>
      </c>
      <c r="G401" s="15" t="s">
        <v>14</v>
      </c>
      <c r="H401" s="15" t="s">
        <v>15</v>
      </c>
      <c r="I401" s="15"/>
      <c r="J401" s="182" t="str">
        <f t="shared" ref="J401:Q401" si="121">J$13</f>
        <v>(d)</v>
      </c>
      <c r="K401" s="182" t="str">
        <f t="shared" si="121"/>
        <v>(e)</v>
      </c>
      <c r="L401" s="15" t="str">
        <f t="shared" si="121"/>
        <v>(f)</v>
      </c>
      <c r="M401" s="182" t="str">
        <f t="shared" si="121"/>
        <v>(g)</v>
      </c>
      <c r="N401" s="182" t="str">
        <f t="shared" si="121"/>
        <v>(h)</v>
      </c>
      <c r="O401" s="182" t="str">
        <f>O$13</f>
        <v>(i)</v>
      </c>
      <c r="P401" s="182" t="str">
        <f t="shared" si="121"/>
        <v>(j)</v>
      </c>
      <c r="Q401" s="182" t="str">
        <f t="shared" si="121"/>
        <v>(k)</v>
      </c>
      <c r="R401" s="182" t="str">
        <f>R$13</f>
        <v>(l)</v>
      </c>
      <c r="S401" s="15" t="str">
        <f>S$13</f>
        <v>(m)</v>
      </c>
      <c r="T401" s="15"/>
      <c r="U401" s="15" t="s">
        <v>683</v>
      </c>
      <c r="V401" s="64"/>
      <c r="X401" s="305"/>
    </row>
    <row r="402" spans="1:24" x14ac:dyDescent="0.2">
      <c r="A402" s="45"/>
      <c r="B402" s="64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41"/>
      <c r="V402" s="64"/>
      <c r="X402" s="305">
        <f t="shared" si="109"/>
        <v>0</v>
      </c>
    </row>
    <row r="403" spans="1:24" ht="15" x14ac:dyDescent="0.25">
      <c r="A403" s="45"/>
      <c r="B403" s="16">
        <f t="shared" ref="B403:B413" si="122">B402+1</f>
        <v>1</v>
      </c>
      <c r="C403" s="269" t="s">
        <v>110</v>
      </c>
      <c r="D403" s="34"/>
      <c r="E403" s="35"/>
      <c r="F403" s="273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42"/>
      <c r="V403" s="64"/>
      <c r="X403" s="305">
        <f t="shared" si="109"/>
        <v>0</v>
      </c>
    </row>
    <row r="404" spans="1:24" ht="15" x14ac:dyDescent="0.25">
      <c r="A404" s="45"/>
      <c r="B404" s="16">
        <f t="shared" si="122"/>
        <v>2</v>
      </c>
      <c r="C404" s="269"/>
      <c r="D404" s="41"/>
      <c r="E404" s="202"/>
      <c r="F404" s="274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75"/>
      <c r="V404" s="64"/>
      <c r="X404" s="305">
        <f t="shared" si="109"/>
        <v>0</v>
      </c>
    </row>
    <row r="405" spans="1:24" ht="15" x14ac:dyDescent="0.25">
      <c r="A405" s="45"/>
      <c r="B405" s="16">
        <f t="shared" si="122"/>
        <v>3</v>
      </c>
      <c r="C405" s="41"/>
      <c r="D405" s="41" t="s">
        <v>131</v>
      </c>
      <c r="E405" s="35" t="s">
        <v>475</v>
      </c>
      <c r="F405" s="97">
        <f>' WP II-I-1.4'!L405</f>
        <v>0</v>
      </c>
      <c r="G405" s="293" t="s">
        <v>751</v>
      </c>
      <c r="H405" s="45" t="s">
        <v>303</v>
      </c>
      <c r="I405" s="806"/>
      <c r="J405" s="806"/>
      <c r="K405" s="806"/>
      <c r="L405" s="806"/>
      <c r="M405" s="806"/>
      <c r="N405" s="806"/>
      <c r="O405" s="806"/>
      <c r="P405" s="806"/>
      <c r="Q405" s="806"/>
      <c r="R405" s="806"/>
      <c r="S405" s="806"/>
      <c r="T405" s="806"/>
      <c r="U405" s="97">
        <f>SUM(I405:T405)</f>
        <v>0</v>
      </c>
      <c r="V405" s="64"/>
      <c r="X405" s="305">
        <f t="shared" si="109"/>
        <v>0</v>
      </c>
    </row>
    <row r="406" spans="1:24" ht="15" x14ac:dyDescent="0.25">
      <c r="A406" s="45"/>
      <c r="B406" s="16">
        <f t="shared" si="122"/>
        <v>4</v>
      </c>
      <c r="C406" s="41"/>
      <c r="D406" s="41" t="s">
        <v>543</v>
      </c>
      <c r="E406" s="35"/>
      <c r="F406" s="97">
        <f>' WP II-I-1.4'!L406</f>
        <v>0</v>
      </c>
      <c r="G406" s="293" t="s">
        <v>751</v>
      </c>
      <c r="H406" s="45" t="s">
        <v>303</v>
      </c>
      <c r="I406" s="806"/>
      <c r="J406" s="806"/>
      <c r="K406" s="806"/>
      <c r="L406" s="806"/>
      <c r="M406" s="806"/>
      <c r="N406" s="806"/>
      <c r="O406" s="806"/>
      <c r="P406" s="806"/>
      <c r="Q406" s="806"/>
      <c r="R406" s="806"/>
      <c r="S406" s="806"/>
      <c r="T406" s="806"/>
      <c r="U406" s="97">
        <f>SUM(I406:T406)</f>
        <v>0</v>
      </c>
      <c r="V406" s="64"/>
      <c r="X406" s="305">
        <f t="shared" si="109"/>
        <v>0</v>
      </c>
    </row>
    <row r="407" spans="1:24" ht="15" x14ac:dyDescent="0.25">
      <c r="A407" s="45"/>
      <c r="B407" s="16">
        <f t="shared" si="122"/>
        <v>5</v>
      </c>
      <c r="C407" s="41"/>
      <c r="D407" s="41" t="s">
        <v>544</v>
      </c>
      <c r="E407" s="35"/>
      <c r="F407" s="97">
        <f>' WP II-I-1.4'!L407</f>
        <v>0</v>
      </c>
      <c r="G407" s="293" t="s">
        <v>751</v>
      </c>
      <c r="H407" s="45" t="s">
        <v>303</v>
      </c>
      <c r="I407" s="806"/>
      <c r="J407" s="806"/>
      <c r="K407" s="806"/>
      <c r="L407" s="806"/>
      <c r="M407" s="806"/>
      <c r="N407" s="806"/>
      <c r="O407" s="806"/>
      <c r="P407" s="806"/>
      <c r="Q407" s="806"/>
      <c r="R407" s="806"/>
      <c r="S407" s="806"/>
      <c r="T407" s="806"/>
      <c r="U407" s="97">
        <f>SUM(I407:T407)</f>
        <v>0</v>
      </c>
      <c r="V407" s="64"/>
      <c r="X407" s="305">
        <f t="shared" si="109"/>
        <v>0</v>
      </c>
    </row>
    <row r="408" spans="1:24" ht="15.75" thickBot="1" x14ac:dyDescent="0.3">
      <c r="A408" s="45"/>
      <c r="B408" s="16">
        <f t="shared" si="122"/>
        <v>6</v>
      </c>
      <c r="C408" s="41"/>
      <c r="D408" s="41"/>
      <c r="E408" s="35"/>
      <c r="F408" s="2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97"/>
      <c r="V408" s="64"/>
      <c r="X408" s="305">
        <f t="shared" si="109"/>
        <v>0</v>
      </c>
    </row>
    <row r="409" spans="1:24" ht="15.75" thickBot="1" x14ac:dyDescent="0.3">
      <c r="A409" s="45"/>
      <c r="B409" s="16">
        <f t="shared" si="122"/>
        <v>7</v>
      </c>
      <c r="C409" s="276" t="s">
        <v>545</v>
      </c>
      <c r="D409" s="271"/>
      <c r="E409" s="272" t="s">
        <v>475</v>
      </c>
      <c r="F409" s="277">
        <f>SUM(F405:F407)</f>
        <v>0</v>
      </c>
      <c r="G409" s="272"/>
      <c r="H409" s="392"/>
      <c r="I409" s="393"/>
      <c r="J409" s="395">
        <f t="shared" ref="J409:Q409" si="123">SUM(J405:J407)</f>
        <v>0</v>
      </c>
      <c r="K409" s="277">
        <f t="shared" si="123"/>
        <v>0</v>
      </c>
      <c r="L409" s="277">
        <f t="shared" si="123"/>
        <v>0</v>
      </c>
      <c r="M409" s="277">
        <f t="shared" si="123"/>
        <v>0</v>
      </c>
      <c r="N409" s="277">
        <f t="shared" si="123"/>
        <v>0</v>
      </c>
      <c r="O409" s="277">
        <f>SUM(O405:O407)</f>
        <v>0</v>
      </c>
      <c r="P409" s="277">
        <f t="shared" si="123"/>
        <v>0</v>
      </c>
      <c r="Q409" s="277">
        <f t="shared" si="123"/>
        <v>0</v>
      </c>
      <c r="R409" s="277">
        <f>SUM(R405:R407)</f>
        <v>0</v>
      </c>
      <c r="S409" s="396">
        <f>SUM(S405:S407)</f>
        <v>0</v>
      </c>
      <c r="T409" s="393"/>
      <c r="U409" s="195">
        <f>SUM(I409:T409)</f>
        <v>0</v>
      </c>
      <c r="V409" s="64"/>
      <c r="X409" s="305">
        <f t="shared" si="109"/>
        <v>0</v>
      </c>
    </row>
    <row r="410" spans="1:24" x14ac:dyDescent="0.2">
      <c r="A410" s="45"/>
      <c r="B410" s="16">
        <f t="shared" si="122"/>
        <v>8</v>
      </c>
      <c r="C410" s="41"/>
      <c r="D410" s="41"/>
      <c r="E410" s="202"/>
      <c r="F410" s="274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79"/>
      <c r="V410" s="64"/>
      <c r="X410" s="305">
        <f t="shared" si="109"/>
        <v>0</v>
      </c>
    </row>
    <row r="411" spans="1:24" ht="15" x14ac:dyDescent="0.25">
      <c r="A411" s="118"/>
      <c r="B411" s="16">
        <f t="shared" si="122"/>
        <v>9</v>
      </c>
      <c r="C411" s="34" t="s">
        <v>546</v>
      </c>
      <c r="D411" s="42"/>
      <c r="E411" s="35" t="s">
        <v>125</v>
      </c>
      <c r="F411" s="97">
        <f>' WP II-I-1.4'!L411</f>
        <v>-1498324764.0700002</v>
      </c>
      <c r="G411" s="293" t="s">
        <v>751</v>
      </c>
      <c r="H411" s="45" t="s">
        <v>303</v>
      </c>
      <c r="I411" s="806"/>
      <c r="J411" s="369">
        <f ca="1">'II-I-DIST'!J411+'II-I-MET'!J411+'II-I-TBILLTDCS'!J411</f>
        <v>-802478002.56947851</v>
      </c>
      <c r="K411" s="369">
        <f ca="1">'II-I-DIST'!K411+'II-I-MET'!K411+'II-I-TBILLTDCS'!K411</f>
        <v>-29351817.980594702</v>
      </c>
      <c r="L411" s="369">
        <f ca="1">'II-I-DIST'!L411+'II-I-MET'!L411+'II-I-TBILLTDCS'!L411</f>
        <v>-504665553.93468159</v>
      </c>
      <c r="M411" s="369">
        <f ca="1">'II-I-DIST'!M411+'II-I-MET'!M411+'II-I-TBILLTDCS'!M411</f>
        <v>-874492.35276788648</v>
      </c>
      <c r="N411" s="369">
        <f ca="1">'II-I-DIST'!N411+'II-I-MET'!N411+'II-I-TBILLTDCS'!N411</f>
        <v>-94239022.544730201</v>
      </c>
      <c r="O411" s="369">
        <f ca="1">'II-I-DIST'!O411+'II-I-MET'!O411+'II-I-TBILLTDCS'!O411</f>
        <v>-9820655.261077622</v>
      </c>
      <c r="P411" s="369">
        <f ca="1">'II-I-DIST'!P411+'II-I-MET'!P411+'II-I-TBILLTDCS'!P411</f>
        <v>-2055719.0409580281</v>
      </c>
      <c r="Q411" s="369">
        <f ca="1">'II-I-DIST'!Q411+'II-I-MET'!Q411+'II-I-TBILLTDCS'!Q411</f>
        <v>-50701766.184809431</v>
      </c>
      <c r="R411" s="369">
        <f ca="1">'II-I-DIST'!R411+'II-I-MET'!R411+'II-I-TBILLTDCS'!R411</f>
        <v>-686495.43485111033</v>
      </c>
      <c r="S411" s="369">
        <f ca="1">'II-I-DIST'!S411+'II-I-MET'!S411+'II-I-TBILLTDCS'!S411</f>
        <v>-3451238.7660504845</v>
      </c>
      <c r="T411" s="806"/>
      <c r="U411" s="235">
        <f ca="1">SUM(I411:T411)</f>
        <v>-1498324764.0699997</v>
      </c>
      <c r="V411" s="104"/>
      <c r="W411" s="280"/>
      <c r="X411" s="305">
        <f t="shared" ca="1" si="109"/>
        <v>0</v>
      </c>
    </row>
    <row r="412" spans="1:24" ht="15" thickBot="1" x14ac:dyDescent="0.25">
      <c r="A412" s="45"/>
      <c r="B412" s="16">
        <f t="shared" si="122"/>
        <v>10</v>
      </c>
      <c r="C412" s="41"/>
      <c r="D412" s="41"/>
      <c r="E412" s="202"/>
      <c r="F412" s="274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75"/>
      <c r="V412" s="64"/>
      <c r="X412" s="305">
        <f t="shared" si="109"/>
        <v>0</v>
      </c>
    </row>
    <row r="413" spans="1:24" ht="15.75" thickBot="1" x14ac:dyDescent="0.3">
      <c r="A413" s="45"/>
      <c r="B413" s="16">
        <f t="shared" si="122"/>
        <v>11</v>
      </c>
      <c r="C413" s="276" t="s">
        <v>547</v>
      </c>
      <c r="D413" s="271"/>
      <c r="E413" s="272"/>
      <c r="F413" s="277">
        <f>+F411+F409</f>
        <v>-1498324764.0700002</v>
      </c>
      <c r="G413" s="272"/>
      <c r="H413" s="392"/>
      <c r="I413" s="393"/>
      <c r="J413" s="395">
        <f t="shared" ref="J413:Q413" ca="1" si="124">+J411+J409</f>
        <v>-802478002.56947851</v>
      </c>
      <c r="K413" s="277">
        <f t="shared" ca="1" si="124"/>
        <v>-29351817.980594702</v>
      </c>
      <c r="L413" s="277">
        <f t="shared" ca="1" si="124"/>
        <v>-504665553.93468159</v>
      </c>
      <c r="M413" s="277">
        <f t="shared" ca="1" si="124"/>
        <v>-874492.35276788648</v>
      </c>
      <c r="N413" s="277">
        <f t="shared" ca="1" si="124"/>
        <v>-94239022.544730201</v>
      </c>
      <c r="O413" s="277">
        <f ca="1">+O411+O409</f>
        <v>-9820655.261077622</v>
      </c>
      <c r="P413" s="277">
        <f t="shared" ca="1" si="124"/>
        <v>-2055719.0409580281</v>
      </c>
      <c r="Q413" s="277">
        <f t="shared" ca="1" si="124"/>
        <v>-50701766.184809431</v>
      </c>
      <c r="R413" s="277">
        <f ca="1">+R411+R409</f>
        <v>-686495.43485111033</v>
      </c>
      <c r="S413" s="396">
        <f ca="1">+S411+S409</f>
        <v>-3451238.7660504845</v>
      </c>
      <c r="T413" s="272"/>
      <c r="U413" s="911">
        <f ca="1">SUM(I413:T413)</f>
        <v>-1498324764.0699997</v>
      </c>
      <c r="V413" s="64"/>
      <c r="W413" s="1099" t="b">
        <f>' WP II-I-1.4'!$L$413=F413</f>
        <v>1</v>
      </c>
      <c r="X413" s="305">
        <f t="shared" ca="1" si="109"/>
        <v>0</v>
      </c>
    </row>
    <row r="414" spans="1:24" x14ac:dyDescent="0.2">
      <c r="A414" s="45"/>
      <c r="B414" s="64"/>
      <c r="C414" s="64"/>
      <c r="D414" s="64"/>
      <c r="E414" s="64"/>
      <c r="F414" s="222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X414" s="305">
        <f t="shared" ref="X414:X477" si="125">U414-F414</f>
        <v>0</v>
      </c>
    </row>
    <row r="415" spans="1:24" x14ac:dyDescent="0.2">
      <c r="A415" s="45"/>
      <c r="B415" s="64"/>
      <c r="C415" s="64"/>
      <c r="D415" s="64"/>
      <c r="E415" s="64"/>
      <c r="F415" s="222"/>
      <c r="G415" s="64"/>
      <c r="H415" s="105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105"/>
      <c r="V415" s="105"/>
      <c r="X415" s="305"/>
    </row>
    <row r="416" spans="1:24" ht="15" thickBot="1" x14ac:dyDescent="0.25">
      <c r="A416" s="45"/>
      <c r="B416" s="64"/>
      <c r="C416" s="64"/>
      <c r="D416" s="64"/>
      <c r="E416" s="64"/>
      <c r="F416" s="222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X416" s="305">
        <f t="shared" si="125"/>
        <v>0</v>
      </c>
    </row>
    <row r="417" spans="1:24" ht="15" x14ac:dyDescent="0.25">
      <c r="A417" s="45"/>
      <c r="B417" s="829" t="str">
        <f>+$B$4</f>
        <v>2025 RATE CASE</v>
      </c>
      <c r="C417" s="844"/>
      <c r="D417" s="872"/>
      <c r="F417" s="267"/>
      <c r="U417" s="105"/>
      <c r="X417" s="305">
        <f t="shared" si="125"/>
        <v>0</v>
      </c>
    </row>
    <row r="418" spans="1:24" ht="15" x14ac:dyDescent="0.25">
      <c r="A418" s="45"/>
      <c r="B418" s="826" t="str">
        <f>+$B$5</f>
        <v>ONCOR ELECTRIC DELIVERY COMPANY LLC</v>
      </c>
      <c r="C418" s="8"/>
      <c r="D418" s="873"/>
      <c r="F418" s="267"/>
      <c r="U418" s="105"/>
      <c r="V418" s="64"/>
      <c r="X418" s="305">
        <f t="shared" si="125"/>
        <v>0</v>
      </c>
    </row>
    <row r="419" spans="1:24" ht="15" x14ac:dyDescent="0.25">
      <c r="A419" s="45"/>
      <c r="B419" s="826" t="str">
        <f>+$B$6</f>
        <v>II-I-1-TOT:  CLASS REVENUE REQUIREMENT</v>
      </c>
      <c r="C419" s="82"/>
      <c r="D419" s="873"/>
      <c r="F419" s="267"/>
      <c r="U419" s="267"/>
      <c r="V419" s="64"/>
      <c r="X419" s="305">
        <f t="shared" si="125"/>
        <v>0</v>
      </c>
    </row>
    <row r="420" spans="1:24" ht="15" x14ac:dyDescent="0.25">
      <c r="A420" s="45"/>
      <c r="B420" s="341" t="str">
        <f>+$B$7</f>
        <v>TEST YEAR ENDING 12/31/2024</v>
      </c>
      <c r="C420" s="82"/>
      <c r="D420" s="873"/>
      <c r="F420" s="267"/>
      <c r="U420" s="267"/>
      <c r="V420" s="64"/>
      <c r="X420" s="305">
        <f t="shared" si="125"/>
        <v>0</v>
      </c>
    </row>
    <row r="421" spans="1:24" ht="15" x14ac:dyDescent="0.25">
      <c r="A421" s="45"/>
      <c r="B421" s="341" t="str">
        <f>+$B$8</f>
        <v>SPONSOR:  MATTHEW A. TROXLE</v>
      </c>
      <c r="C421" s="82"/>
      <c r="D421" s="873"/>
      <c r="F421" s="267"/>
      <c r="U421" s="267"/>
      <c r="V421" s="64"/>
      <c r="X421" s="305">
        <f t="shared" si="125"/>
        <v>0</v>
      </c>
    </row>
    <row r="422" spans="1:24" ht="15.75" thickBot="1" x14ac:dyDescent="0.3">
      <c r="A422" s="45"/>
      <c r="B422" s="345"/>
      <c r="C422" s="843"/>
      <c r="D422" s="845"/>
      <c r="F422" s="267"/>
      <c r="U422" s="267"/>
      <c r="V422" s="64"/>
      <c r="X422" s="305">
        <f t="shared" si="125"/>
        <v>0</v>
      </c>
    </row>
    <row r="423" spans="1:24" ht="15" thickBot="1" x14ac:dyDescent="0.25">
      <c r="A423" s="45"/>
      <c r="B423" s="12"/>
      <c r="C423" s="13"/>
      <c r="D423" s="13"/>
      <c r="E423" s="13"/>
      <c r="F423" s="12"/>
      <c r="G423" s="13"/>
      <c r="H423" s="13"/>
      <c r="I423" s="13"/>
      <c r="J423" s="177"/>
      <c r="K423" s="177"/>
      <c r="L423" s="13"/>
      <c r="M423" s="177"/>
      <c r="N423" s="177"/>
      <c r="O423" s="177"/>
      <c r="P423" s="177"/>
      <c r="Q423" s="13"/>
      <c r="R423" s="328" t="str">
        <f>R$10</f>
        <v xml:space="preserve"> </v>
      </c>
      <c r="S423" s="329"/>
      <c r="T423" s="177"/>
      <c r="U423" s="12"/>
      <c r="V423" s="64"/>
      <c r="X423" s="305">
        <f t="shared" si="125"/>
        <v>0</v>
      </c>
    </row>
    <row r="424" spans="1:24" ht="15" x14ac:dyDescent="0.25">
      <c r="A424" s="45"/>
      <c r="B424" s="14" t="s">
        <v>2</v>
      </c>
      <c r="C424" s="14" t="s">
        <v>349</v>
      </c>
      <c r="D424" s="226" t="s">
        <v>548</v>
      </c>
      <c r="E424" s="14" t="s">
        <v>350</v>
      </c>
      <c r="F424" s="226" t="str">
        <f>F$11</f>
        <v>TOTAL</v>
      </c>
      <c r="G424" s="181" t="s">
        <v>688</v>
      </c>
      <c r="H424" s="181" t="s">
        <v>355</v>
      </c>
      <c r="I424" s="14"/>
      <c r="J424" s="181" t="s">
        <v>679</v>
      </c>
      <c r="K424" s="181" t="s">
        <v>388</v>
      </c>
      <c r="L424" s="14" t="s">
        <v>388</v>
      </c>
      <c r="M424" s="181" t="s">
        <v>389</v>
      </c>
      <c r="N424" s="181" t="s">
        <v>389</v>
      </c>
      <c r="O424" s="181" t="s">
        <v>389</v>
      </c>
      <c r="P424" s="181" t="s">
        <v>390</v>
      </c>
      <c r="Q424" s="14" t="s">
        <v>391</v>
      </c>
      <c r="R424" s="331" t="str">
        <f>R$11</f>
        <v>Wholesale</v>
      </c>
      <c r="S424" s="12" t="str">
        <f>S$11</f>
        <v>Wholesale</v>
      </c>
      <c r="T424" s="181"/>
      <c r="U424" s="14" t="s">
        <v>10</v>
      </c>
      <c r="V424" s="64"/>
      <c r="X424" s="305"/>
    </row>
    <row r="425" spans="1:24" x14ac:dyDescent="0.2">
      <c r="A425" s="45"/>
      <c r="B425" s="14"/>
      <c r="C425" s="14"/>
      <c r="D425" s="14"/>
      <c r="E425" s="14"/>
      <c r="F425" s="14" t="str">
        <f>F$12</f>
        <v>(Dist+Met+Cust)</v>
      </c>
      <c r="G425" s="181" t="s">
        <v>689</v>
      </c>
      <c r="H425" s="181" t="s">
        <v>690</v>
      </c>
      <c r="I425" s="14"/>
      <c r="J425" s="181"/>
      <c r="K425" s="181" t="s">
        <v>680</v>
      </c>
      <c r="L425" s="14" t="s">
        <v>681</v>
      </c>
      <c r="M425" s="181" t="s">
        <v>680</v>
      </c>
      <c r="N425" s="181" t="s">
        <v>681</v>
      </c>
      <c r="O425" s="181" t="s">
        <v>393</v>
      </c>
      <c r="P425" s="181"/>
      <c r="Q425" s="14"/>
      <c r="R425" s="174" t="str">
        <f>R$12</f>
        <v>XFMR</v>
      </c>
      <c r="S425" s="14" t="str">
        <f>S$12</f>
        <v>DLS</v>
      </c>
      <c r="T425" s="181"/>
      <c r="U425" s="14"/>
      <c r="V425" s="64"/>
      <c r="X425" s="305"/>
    </row>
    <row r="426" spans="1:24" ht="15" thickBot="1" x14ac:dyDescent="0.25">
      <c r="A426" s="45"/>
      <c r="B426" s="15"/>
      <c r="C426" s="15"/>
      <c r="D426" s="15"/>
      <c r="E426" s="15"/>
      <c r="F426" s="15" t="s">
        <v>13</v>
      </c>
      <c r="G426" s="15" t="s">
        <v>14</v>
      </c>
      <c r="H426" s="15" t="s">
        <v>15</v>
      </c>
      <c r="I426" s="15"/>
      <c r="J426" s="182" t="str">
        <f t="shared" ref="J426:Q426" si="126">J$13</f>
        <v>(d)</v>
      </c>
      <c r="K426" s="182" t="str">
        <f t="shared" si="126"/>
        <v>(e)</v>
      </c>
      <c r="L426" s="15" t="str">
        <f t="shared" si="126"/>
        <v>(f)</v>
      </c>
      <c r="M426" s="182" t="str">
        <f t="shared" si="126"/>
        <v>(g)</v>
      </c>
      <c r="N426" s="182" t="str">
        <f t="shared" si="126"/>
        <v>(h)</v>
      </c>
      <c r="O426" s="182" t="str">
        <f>O$13</f>
        <v>(i)</v>
      </c>
      <c r="P426" s="182" t="str">
        <f t="shared" si="126"/>
        <v>(j)</v>
      </c>
      <c r="Q426" s="182" t="str">
        <f t="shared" si="126"/>
        <v>(k)</v>
      </c>
      <c r="R426" s="182" t="str">
        <f>R$13</f>
        <v>(l)</v>
      </c>
      <c r="S426" s="15" t="str">
        <f>S$13</f>
        <v>(m)</v>
      </c>
      <c r="T426" s="15"/>
      <c r="U426" s="15" t="s">
        <v>683</v>
      </c>
      <c r="V426" s="64"/>
      <c r="X426" s="305"/>
    </row>
    <row r="427" spans="1:24" ht="15" x14ac:dyDescent="0.25">
      <c r="A427" s="45"/>
      <c r="B427" s="64"/>
      <c r="C427" s="33"/>
      <c r="D427" s="41"/>
      <c r="E427" s="202"/>
      <c r="F427" s="281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41"/>
      <c r="V427" s="64"/>
      <c r="X427" s="305">
        <f t="shared" si="125"/>
        <v>0</v>
      </c>
    </row>
    <row r="428" spans="1:24" ht="15" x14ac:dyDescent="0.25">
      <c r="A428" s="45"/>
      <c r="B428" s="16">
        <f t="shared" ref="B428:B435" si="127">B427+1</f>
        <v>1</v>
      </c>
      <c r="C428" s="269" t="s">
        <v>110</v>
      </c>
      <c r="D428" s="41"/>
      <c r="E428" s="202"/>
      <c r="F428" s="281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41"/>
      <c r="V428" s="64"/>
      <c r="X428" s="305">
        <f t="shared" si="125"/>
        <v>0</v>
      </c>
    </row>
    <row r="429" spans="1:24" ht="15" x14ac:dyDescent="0.25">
      <c r="A429" s="45"/>
      <c r="B429" s="16">
        <f t="shared" si="127"/>
        <v>2</v>
      </c>
      <c r="C429" s="53" t="s">
        <v>549</v>
      </c>
      <c r="D429" s="42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64"/>
      <c r="X429" s="305">
        <f t="shared" si="125"/>
        <v>0</v>
      </c>
    </row>
    <row r="430" spans="1:24" ht="15" x14ac:dyDescent="0.25">
      <c r="A430" s="45"/>
      <c r="B430" s="16">
        <f t="shared" si="127"/>
        <v>3</v>
      </c>
      <c r="C430" s="41"/>
      <c r="D430" s="34" t="s">
        <v>548</v>
      </c>
      <c r="E430" s="35" t="s">
        <v>116</v>
      </c>
      <c r="F430" s="41"/>
      <c r="G430" s="35"/>
      <c r="H430" s="35"/>
      <c r="I430" s="35"/>
      <c r="J430" s="806"/>
      <c r="K430" s="806"/>
      <c r="L430" s="806"/>
      <c r="M430" s="806"/>
      <c r="N430" s="806"/>
      <c r="O430" s="806"/>
      <c r="P430" s="806"/>
      <c r="Q430" s="806"/>
      <c r="R430" s="806"/>
      <c r="S430" s="806"/>
      <c r="T430" s="35"/>
      <c r="U430" s="41"/>
      <c r="V430" s="64"/>
      <c r="X430" s="305">
        <f t="shared" si="125"/>
        <v>0</v>
      </c>
    </row>
    <row r="431" spans="1:24" x14ac:dyDescent="0.2">
      <c r="A431" s="45"/>
      <c r="B431" s="16">
        <f t="shared" si="127"/>
        <v>4</v>
      </c>
      <c r="C431" s="41">
        <v>154</v>
      </c>
      <c r="D431" s="41" t="s">
        <v>550</v>
      </c>
      <c r="E431" s="41"/>
      <c r="F431" s="97">
        <f>' WP II-I-1.4'!L431</f>
        <v>139302874.06999999</v>
      </c>
      <c r="G431" s="38" t="s">
        <v>751</v>
      </c>
      <c r="H431" s="45" t="s">
        <v>303</v>
      </c>
      <c r="I431" s="41"/>
      <c r="J431" s="369">
        <f ca="1">'II-I-DIST'!J431+'II-I-MET'!J431+'II-I-TBILLTDCS'!J431</f>
        <v>74823102.663741469</v>
      </c>
      <c r="K431" s="369">
        <f ca="1">'II-I-DIST'!K431+'II-I-MET'!K431+'II-I-TBILLTDCS'!K431</f>
        <v>2478738.7314113998</v>
      </c>
      <c r="L431" s="369">
        <f ca="1">'II-I-DIST'!L431+'II-I-MET'!L431+'II-I-TBILLTDCS'!L431</f>
        <v>47264170.2829156</v>
      </c>
      <c r="M431" s="369">
        <f ca="1">'II-I-DIST'!M431+'II-I-MET'!M431+'II-I-TBILLTDCS'!M431</f>
        <v>26772.28672471163</v>
      </c>
      <c r="N431" s="369">
        <f ca="1">'II-I-DIST'!N431+'II-I-MET'!N431+'II-I-TBILLTDCS'!N431</f>
        <v>8638545.1111456547</v>
      </c>
      <c r="O431" s="369">
        <f ca="1">'II-I-DIST'!O431+'II-I-MET'!O431+'II-I-TBILLTDCS'!O431</f>
        <v>931824.0929461061</v>
      </c>
      <c r="P431" s="369">
        <f ca="1">'II-I-DIST'!P431+'II-I-MET'!P431+'II-I-TBILLTDCS'!P431</f>
        <v>167804.06604075633</v>
      </c>
      <c r="Q431" s="369">
        <f ca="1">'II-I-DIST'!Q431+'II-I-MET'!Q431+'II-I-TBILLTDCS'!Q431</f>
        <v>4578867.9081754386</v>
      </c>
      <c r="R431" s="369">
        <f ca="1">'II-I-DIST'!R431+'II-I-MET'!R431+'II-I-TBILLTDCS'!R431</f>
        <v>64548.993513166541</v>
      </c>
      <c r="S431" s="369">
        <f ca="1">'II-I-DIST'!S431+'II-I-MET'!S431+'II-I-TBILLTDCS'!S431</f>
        <v>328499.93338565988</v>
      </c>
      <c r="T431" s="41"/>
      <c r="U431" s="97">
        <f ca="1">SUM(I431:T431)</f>
        <v>139302874.06999999</v>
      </c>
      <c r="V431" s="64"/>
      <c r="X431" s="305">
        <f t="shared" ca="1" si="125"/>
        <v>0</v>
      </c>
    </row>
    <row r="432" spans="1:24" x14ac:dyDescent="0.2">
      <c r="A432" s="45"/>
      <c r="B432" s="16">
        <f t="shared" si="127"/>
        <v>5</v>
      </c>
      <c r="C432" s="41">
        <v>163</v>
      </c>
      <c r="D432" s="41" t="s">
        <v>551</v>
      </c>
      <c r="E432" s="202"/>
      <c r="F432" s="97">
        <f>' WP II-I-1.4'!L432</f>
        <v>19896991.149999999</v>
      </c>
      <c r="G432" s="38" t="s">
        <v>751</v>
      </c>
      <c r="H432" s="45" t="s">
        <v>303</v>
      </c>
      <c r="I432" s="202"/>
      <c r="J432" s="370">
        <f ca="1">'II-I-DIST'!J432+'II-I-MET'!J432+'II-I-TBILLTDCS'!J432</f>
        <v>10687195.355135305</v>
      </c>
      <c r="K432" s="370">
        <f ca="1">'II-I-DIST'!K432+'II-I-MET'!K432+'II-I-TBILLTDCS'!K432</f>
        <v>353980.90153559146</v>
      </c>
      <c r="L432" s="370">
        <f ca="1">'II-I-DIST'!L432+'II-I-MET'!L432+'II-I-TBILLTDCS'!L432</f>
        <v>6750923.1458236147</v>
      </c>
      <c r="M432" s="370">
        <f ca="1">'II-I-DIST'!M432+'II-I-MET'!M432+'II-I-TBILLTDCS'!M432</f>
        <v>3810.221951846107</v>
      </c>
      <c r="N432" s="370">
        <f ca="1">'II-I-DIST'!N432+'II-I-MET'!N432+'II-I-TBILLTDCS'!N432</f>
        <v>1233829.7162410272</v>
      </c>
      <c r="O432" s="370">
        <f ca="1">'II-I-DIST'!O432+'II-I-MET'!O432+'II-I-TBILLTDCS'!O432</f>
        <v>133099.02456832278</v>
      </c>
      <c r="P432" s="370">
        <f ca="1">'II-I-DIST'!P432+'II-I-MET'!P432+'II-I-TBILLTDCS'!P432</f>
        <v>23961.921740440142</v>
      </c>
      <c r="Q432" s="370">
        <f ca="1">'II-I-DIST'!Q432+'II-I-MET'!Q432+'II-I-TBILLTDCS'!Q432</f>
        <v>654048.79591088102</v>
      </c>
      <c r="R432" s="370">
        <f ca="1">'II-I-DIST'!R432+'II-I-MET'!R432+'II-I-TBILLTDCS'!R432</f>
        <v>9219.8440831276021</v>
      </c>
      <c r="S432" s="370">
        <f ca="1">'II-I-DIST'!S432+'II-I-MET'!S432+'II-I-TBILLTDCS'!S432</f>
        <v>46922.223009837908</v>
      </c>
      <c r="T432" s="202"/>
      <c r="U432" s="97">
        <f ca="1">SUM(I432:T432)</f>
        <v>19896991.149999995</v>
      </c>
      <c r="V432" s="64"/>
      <c r="X432" s="305">
        <f t="shared" ca="1" si="125"/>
        <v>0</v>
      </c>
    </row>
    <row r="433" spans="1:24" ht="15" x14ac:dyDescent="0.25">
      <c r="A433" s="45"/>
      <c r="B433" s="16">
        <f t="shared" si="127"/>
        <v>6</v>
      </c>
      <c r="C433" s="34"/>
      <c r="D433" s="42" t="s">
        <v>444</v>
      </c>
      <c r="E433" s="37"/>
      <c r="F433" s="37">
        <f>SUM(F431:F432)</f>
        <v>159199865.22</v>
      </c>
      <c r="G433" s="37"/>
      <c r="H433" s="37"/>
      <c r="I433" s="37"/>
      <c r="J433" s="807">
        <f t="shared" ref="J433:Q433" ca="1" si="128">SUM(J431:J432)</f>
        <v>85510298.018876776</v>
      </c>
      <c r="K433" s="807">
        <f t="shared" ca="1" si="128"/>
        <v>2832719.6329469914</v>
      </c>
      <c r="L433" s="807">
        <f t="shared" ca="1" si="128"/>
        <v>54015093.428739212</v>
      </c>
      <c r="M433" s="807">
        <f t="shared" ca="1" si="128"/>
        <v>30582.508676557736</v>
      </c>
      <c r="N433" s="807">
        <f t="shared" ca="1" si="128"/>
        <v>9872374.827386681</v>
      </c>
      <c r="O433" s="807">
        <f ca="1">SUM(O431:O432)</f>
        <v>1064923.1175144289</v>
      </c>
      <c r="P433" s="807">
        <f t="shared" ca="1" si="128"/>
        <v>191765.98778119648</v>
      </c>
      <c r="Q433" s="807">
        <f t="shared" ca="1" si="128"/>
        <v>5232916.7040863195</v>
      </c>
      <c r="R433" s="807">
        <f ca="1">SUM(R431:R432)</f>
        <v>73768.83759629415</v>
      </c>
      <c r="S433" s="807">
        <f ca="1">SUM(S431:S432)</f>
        <v>375422.15639549779</v>
      </c>
      <c r="T433" s="37"/>
      <c r="U433" s="235">
        <f ca="1">SUM(I433:T433)</f>
        <v>159199865.21999997</v>
      </c>
      <c r="V433" s="64"/>
      <c r="W433" s="1099" t="b">
        <f>' WP II-I-1.4'!$L$433=F433</f>
        <v>1</v>
      </c>
      <c r="X433" s="305">
        <f t="shared" ca="1" si="125"/>
        <v>0</v>
      </c>
    </row>
    <row r="434" spans="1:24" ht="15" thickBot="1" x14ac:dyDescent="0.25">
      <c r="A434" s="45"/>
      <c r="B434" s="16">
        <f t="shared" si="127"/>
        <v>7</v>
      </c>
      <c r="C434" s="41"/>
      <c r="D434" s="275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41"/>
      <c r="V434" s="64"/>
      <c r="X434" s="305">
        <f t="shared" si="125"/>
        <v>0</v>
      </c>
    </row>
    <row r="435" spans="1:24" ht="15.75" thickBot="1" x14ac:dyDescent="0.3">
      <c r="A435" s="45"/>
      <c r="B435" s="16">
        <f t="shared" si="127"/>
        <v>8</v>
      </c>
      <c r="C435" s="270" t="s">
        <v>552</v>
      </c>
      <c r="D435" s="271"/>
      <c r="E435" s="272" t="s">
        <v>116</v>
      </c>
      <c r="F435" s="217">
        <f>F433</f>
        <v>159199865.22</v>
      </c>
      <c r="G435" s="272"/>
      <c r="H435" s="392"/>
      <c r="I435" s="568"/>
      <c r="J435" s="291">
        <f t="shared" ref="J435:Q435" ca="1" si="129">J433</f>
        <v>85510298.018876776</v>
      </c>
      <c r="K435" s="814">
        <f t="shared" ca="1" si="129"/>
        <v>2832719.6329469914</v>
      </c>
      <c r="L435" s="814">
        <f t="shared" ca="1" si="129"/>
        <v>54015093.428739212</v>
      </c>
      <c r="M435" s="814">
        <f t="shared" ca="1" si="129"/>
        <v>30582.508676557736</v>
      </c>
      <c r="N435" s="814">
        <f t="shared" ca="1" si="129"/>
        <v>9872374.827386681</v>
      </c>
      <c r="O435" s="814">
        <f ca="1">O433</f>
        <v>1064923.1175144289</v>
      </c>
      <c r="P435" s="814">
        <f t="shared" ca="1" si="129"/>
        <v>191765.98778119648</v>
      </c>
      <c r="Q435" s="814">
        <f t="shared" ca="1" si="129"/>
        <v>5232916.7040863195</v>
      </c>
      <c r="R435" s="814">
        <f ca="1">R433</f>
        <v>73768.83759629415</v>
      </c>
      <c r="S435" s="218">
        <f ca="1">S433</f>
        <v>375422.15639549779</v>
      </c>
      <c r="T435" s="392"/>
      <c r="U435" s="195">
        <f ca="1">SUM(I435:T435)</f>
        <v>159199865.21999997</v>
      </c>
      <c r="V435" s="64"/>
      <c r="W435" s="1099" t="b">
        <f>' WP II-I-1.4'!$L$435=F435</f>
        <v>1</v>
      </c>
      <c r="X435" s="305">
        <f t="shared" ca="1" si="125"/>
        <v>0</v>
      </c>
    </row>
    <row r="436" spans="1:24" x14ac:dyDescent="0.2">
      <c r="A436" s="45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X436" s="305">
        <f t="shared" si="125"/>
        <v>0</v>
      </c>
    </row>
    <row r="437" spans="1:24" x14ac:dyDescent="0.2">
      <c r="A437" s="45"/>
      <c r="B437" s="64"/>
      <c r="C437" s="64"/>
      <c r="D437" s="64"/>
      <c r="E437" s="64"/>
      <c r="F437" s="64"/>
      <c r="G437" s="64"/>
      <c r="H437" s="105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105"/>
      <c r="V437" s="105"/>
      <c r="X437" s="305"/>
    </row>
    <row r="438" spans="1:24" ht="15" thickBot="1" x14ac:dyDescent="0.25">
      <c r="A438" s="45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X438" s="305">
        <f t="shared" si="125"/>
        <v>0</v>
      </c>
    </row>
    <row r="439" spans="1:24" ht="15" x14ac:dyDescent="0.25">
      <c r="A439" s="45"/>
      <c r="B439" s="829" t="str">
        <f>+$B$4</f>
        <v>2025 RATE CASE</v>
      </c>
      <c r="C439" s="844"/>
      <c r="D439" s="872"/>
      <c r="F439" s="267"/>
      <c r="U439" s="105"/>
      <c r="X439" s="305">
        <f t="shared" si="125"/>
        <v>0</v>
      </c>
    </row>
    <row r="440" spans="1:24" ht="15" x14ac:dyDescent="0.25">
      <c r="A440" s="45"/>
      <c r="B440" s="826" t="str">
        <f>+$B$5</f>
        <v>ONCOR ELECTRIC DELIVERY COMPANY LLC</v>
      </c>
      <c r="C440" s="8"/>
      <c r="D440" s="873"/>
      <c r="F440" s="267"/>
      <c r="U440" s="105"/>
      <c r="V440" s="64"/>
      <c r="X440" s="305">
        <f t="shared" si="125"/>
        <v>0</v>
      </c>
    </row>
    <row r="441" spans="1:24" ht="15" x14ac:dyDescent="0.25">
      <c r="A441" s="45"/>
      <c r="B441" s="826" t="str">
        <f>+$B$6</f>
        <v>II-I-1-TOT:  CLASS REVENUE REQUIREMENT</v>
      </c>
      <c r="C441" s="82"/>
      <c r="D441" s="873"/>
      <c r="F441" s="267"/>
      <c r="U441" s="267"/>
      <c r="V441" s="64"/>
      <c r="X441" s="305">
        <f t="shared" si="125"/>
        <v>0</v>
      </c>
    </row>
    <row r="442" spans="1:24" ht="15" x14ac:dyDescent="0.25">
      <c r="A442" s="45"/>
      <c r="B442" s="341" t="str">
        <f>+$B$7</f>
        <v>TEST YEAR ENDING 12/31/2024</v>
      </c>
      <c r="C442" s="82"/>
      <c r="D442" s="873"/>
      <c r="F442" s="267"/>
      <c r="U442" s="267"/>
      <c r="V442" s="64"/>
      <c r="X442" s="305">
        <f t="shared" si="125"/>
        <v>0</v>
      </c>
    </row>
    <row r="443" spans="1:24" ht="15" x14ac:dyDescent="0.25">
      <c r="A443" s="45"/>
      <c r="B443" s="341" t="str">
        <f>+$B$8</f>
        <v>SPONSOR:  MATTHEW A. TROXLE</v>
      </c>
      <c r="C443" s="82"/>
      <c r="D443" s="873"/>
      <c r="F443" s="267"/>
      <c r="U443" s="267"/>
      <c r="V443" s="64"/>
      <c r="X443" s="305">
        <f t="shared" si="125"/>
        <v>0</v>
      </c>
    </row>
    <row r="444" spans="1:24" ht="15.75" thickBot="1" x14ac:dyDescent="0.3">
      <c r="A444" s="45"/>
      <c r="B444" s="345"/>
      <c r="C444" s="843"/>
      <c r="D444" s="845"/>
      <c r="F444" s="267"/>
      <c r="U444" s="267"/>
      <c r="V444" s="64"/>
      <c r="X444" s="305">
        <f t="shared" si="125"/>
        <v>0</v>
      </c>
    </row>
    <row r="445" spans="1:24" ht="15" thickBot="1" x14ac:dyDescent="0.25">
      <c r="A445" s="45"/>
      <c r="B445" s="12"/>
      <c r="C445" s="13"/>
      <c r="D445" s="13"/>
      <c r="E445" s="13"/>
      <c r="F445" s="12"/>
      <c r="G445" s="13"/>
      <c r="H445" s="13"/>
      <c r="I445" s="13"/>
      <c r="J445" s="177"/>
      <c r="K445" s="177"/>
      <c r="L445" s="13"/>
      <c r="M445" s="177"/>
      <c r="N445" s="177"/>
      <c r="O445" s="177"/>
      <c r="P445" s="177"/>
      <c r="Q445" s="13"/>
      <c r="R445" s="328" t="str">
        <f>R$10</f>
        <v xml:space="preserve"> </v>
      </c>
      <c r="S445" s="329"/>
      <c r="T445" s="177"/>
      <c r="U445" s="12"/>
      <c r="V445" s="64"/>
      <c r="X445" s="305">
        <f t="shared" si="125"/>
        <v>0</v>
      </c>
    </row>
    <row r="446" spans="1:24" ht="15" x14ac:dyDescent="0.25">
      <c r="A446" s="45"/>
      <c r="B446" s="14" t="s">
        <v>2</v>
      </c>
      <c r="C446" s="14" t="s">
        <v>349</v>
      </c>
      <c r="D446" s="226" t="s">
        <v>118</v>
      </c>
      <c r="E446" s="14" t="s">
        <v>350</v>
      </c>
      <c r="F446" s="226" t="str">
        <f>F$11</f>
        <v>TOTAL</v>
      </c>
      <c r="G446" s="181" t="s">
        <v>688</v>
      </c>
      <c r="H446" s="181" t="s">
        <v>355</v>
      </c>
      <c r="I446" s="14"/>
      <c r="J446" s="181" t="s">
        <v>679</v>
      </c>
      <c r="K446" s="181" t="s">
        <v>388</v>
      </c>
      <c r="L446" s="14" t="s">
        <v>388</v>
      </c>
      <c r="M446" s="181" t="s">
        <v>389</v>
      </c>
      <c r="N446" s="181" t="s">
        <v>389</v>
      </c>
      <c r="O446" s="181" t="s">
        <v>389</v>
      </c>
      <c r="P446" s="181" t="s">
        <v>390</v>
      </c>
      <c r="Q446" s="14" t="s">
        <v>391</v>
      </c>
      <c r="R446" s="331" t="str">
        <f>R$11</f>
        <v>Wholesale</v>
      </c>
      <c r="S446" s="12" t="str">
        <f>S$11</f>
        <v>Wholesale</v>
      </c>
      <c r="T446" s="181"/>
      <c r="U446" s="14" t="s">
        <v>10</v>
      </c>
      <c r="V446" s="64"/>
      <c r="X446" s="305"/>
    </row>
    <row r="447" spans="1:24" x14ac:dyDescent="0.2">
      <c r="A447" s="45"/>
      <c r="B447" s="14"/>
      <c r="C447" s="14"/>
      <c r="D447" s="14"/>
      <c r="E447" s="14"/>
      <c r="F447" s="14" t="str">
        <f>F$12</f>
        <v>(Dist+Met+Cust)</v>
      </c>
      <c r="G447" s="181" t="s">
        <v>689</v>
      </c>
      <c r="H447" s="181" t="s">
        <v>690</v>
      </c>
      <c r="I447" s="14"/>
      <c r="J447" s="181"/>
      <c r="K447" s="181" t="s">
        <v>680</v>
      </c>
      <c r="L447" s="14" t="s">
        <v>681</v>
      </c>
      <c r="M447" s="181" t="s">
        <v>680</v>
      </c>
      <c r="N447" s="181" t="s">
        <v>681</v>
      </c>
      <c r="O447" s="181" t="s">
        <v>393</v>
      </c>
      <c r="P447" s="181"/>
      <c r="Q447" s="14"/>
      <c r="R447" s="174" t="str">
        <f>R$12</f>
        <v>XFMR</v>
      </c>
      <c r="S447" s="14" t="str">
        <f>S$12</f>
        <v>DLS</v>
      </c>
      <c r="T447" s="181"/>
      <c r="U447" s="14"/>
      <c r="V447" s="64"/>
      <c r="X447" s="305"/>
    </row>
    <row r="448" spans="1:24" ht="15" thickBot="1" x14ac:dyDescent="0.25">
      <c r="A448" s="45"/>
      <c r="B448" s="15"/>
      <c r="C448" s="15"/>
      <c r="D448" s="15"/>
      <c r="E448" s="15"/>
      <c r="F448" s="15" t="s">
        <v>13</v>
      </c>
      <c r="G448" s="15" t="s">
        <v>14</v>
      </c>
      <c r="H448" s="15" t="s">
        <v>15</v>
      </c>
      <c r="I448" s="15"/>
      <c r="J448" s="182" t="str">
        <f t="shared" ref="J448:Q448" si="130">J$13</f>
        <v>(d)</v>
      </c>
      <c r="K448" s="182" t="str">
        <f t="shared" si="130"/>
        <v>(e)</v>
      </c>
      <c r="L448" s="15" t="str">
        <f t="shared" si="130"/>
        <v>(f)</v>
      </c>
      <c r="M448" s="182" t="str">
        <f t="shared" si="130"/>
        <v>(g)</v>
      </c>
      <c r="N448" s="182" t="str">
        <f t="shared" si="130"/>
        <v>(h)</v>
      </c>
      <c r="O448" s="182" t="str">
        <f>O$13</f>
        <v>(i)</v>
      </c>
      <c r="P448" s="182" t="str">
        <f t="shared" si="130"/>
        <v>(j)</v>
      </c>
      <c r="Q448" s="182" t="str">
        <f t="shared" si="130"/>
        <v>(k)</v>
      </c>
      <c r="R448" s="182" t="str">
        <f>R$13</f>
        <v>(l)</v>
      </c>
      <c r="S448" s="15" t="str">
        <f>S$13</f>
        <v>(m)</v>
      </c>
      <c r="T448" s="15"/>
      <c r="U448" s="15" t="s">
        <v>683</v>
      </c>
      <c r="V448" s="64"/>
      <c r="X448" s="305"/>
    </row>
    <row r="449" spans="1:24" x14ac:dyDescent="0.2">
      <c r="A449" s="45"/>
      <c r="B449" s="64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41"/>
      <c r="V449" s="64"/>
      <c r="X449" s="305">
        <f t="shared" si="125"/>
        <v>0</v>
      </c>
    </row>
    <row r="450" spans="1:24" ht="15" x14ac:dyDescent="0.25">
      <c r="A450" s="45"/>
      <c r="B450" s="16">
        <f t="shared" ref="B450:B455" si="131">B449+1</f>
        <v>1</v>
      </c>
      <c r="C450" s="269" t="s">
        <v>110</v>
      </c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64"/>
      <c r="X450" s="305">
        <f t="shared" si="125"/>
        <v>0</v>
      </c>
    </row>
    <row r="451" spans="1:24" ht="15" x14ac:dyDescent="0.25">
      <c r="A451" s="45"/>
      <c r="B451" s="16">
        <f t="shared" si="131"/>
        <v>2</v>
      </c>
      <c r="C451" s="283" t="s">
        <v>549</v>
      </c>
      <c r="D451" s="34"/>
      <c r="E451" s="35" t="s">
        <v>119</v>
      </c>
      <c r="F451" s="284"/>
      <c r="G451" s="35"/>
      <c r="H451" s="806"/>
      <c r="I451" s="806"/>
      <c r="J451" s="806"/>
      <c r="K451" s="806"/>
      <c r="L451" s="806"/>
      <c r="M451" s="806"/>
      <c r="N451" s="806"/>
      <c r="O451" s="806"/>
      <c r="P451" s="806"/>
      <c r="Q451" s="806"/>
      <c r="R451" s="806"/>
      <c r="S451" s="806"/>
      <c r="T451" s="35"/>
      <c r="U451" s="34"/>
      <c r="V451" s="64"/>
      <c r="X451" s="305">
        <f t="shared" si="125"/>
        <v>0</v>
      </c>
    </row>
    <row r="452" spans="1:24" x14ac:dyDescent="0.2">
      <c r="A452" s="45"/>
      <c r="B452" s="16">
        <f t="shared" si="131"/>
        <v>3</v>
      </c>
      <c r="C452" s="41"/>
      <c r="D452" s="41" t="s">
        <v>118</v>
      </c>
      <c r="E452" s="41"/>
      <c r="F452" s="97">
        <f>' WP II-I-1.4'!L452</f>
        <v>-25736513.129999999</v>
      </c>
      <c r="G452" s="38" t="s">
        <v>751</v>
      </c>
      <c r="H452" s="1" t="s">
        <v>303</v>
      </c>
      <c r="I452" s="41"/>
      <c r="J452" s="370">
        <f ca="1">'II-I-DIST'!J452+'II-I-MET'!J452+'II-I-TBILLTDCS'!J452</f>
        <v>-11623097.880498342</v>
      </c>
      <c r="K452" s="370">
        <f ca="1">'II-I-DIST'!K452+'II-I-MET'!K452+'II-I-TBILLTDCS'!K452</f>
        <v>-247303.78964120927</v>
      </c>
      <c r="L452" s="370">
        <f ca="1">'II-I-DIST'!L452+'II-I-MET'!L452+'II-I-TBILLTDCS'!L452</f>
        <v>-7968317.5862544356</v>
      </c>
      <c r="M452" s="370">
        <f ca="1">'II-I-DIST'!M452+'II-I-MET'!M452+'II-I-TBILLTDCS'!M452</f>
        <v>-5616.4464420163977</v>
      </c>
      <c r="N452" s="370">
        <f ca="1">'II-I-DIST'!N452+'II-I-MET'!N452+'II-I-TBILLTDCS'!N452</f>
        <v>-2404033.1672913544</v>
      </c>
      <c r="O452" s="370">
        <f ca="1">'II-I-DIST'!O452+'II-I-MET'!O452+'II-I-TBILLTDCS'!O452</f>
        <v>-783650.22374186316</v>
      </c>
      <c r="P452" s="370">
        <f ca="1">'II-I-DIST'!P452+'II-I-MET'!P452+'II-I-TBILLTDCS'!P452</f>
        <v>-2569600.0277924538</v>
      </c>
      <c r="Q452" s="370">
        <f ca="1">'II-I-DIST'!Q452+'II-I-MET'!Q452+'II-I-TBILLTDCS'!Q452</f>
        <v>-120596.54158243763</v>
      </c>
      <c r="R452" s="370">
        <f ca="1">'II-I-DIST'!R452+'II-I-MET'!R452+'II-I-TBILLTDCS'!R452</f>
        <v>-2215.5234676712575</v>
      </c>
      <c r="S452" s="370">
        <f ca="1">'II-I-DIST'!S452+'II-I-MET'!S452+'II-I-TBILLTDCS'!S452</f>
        <v>-12081.94328822311</v>
      </c>
      <c r="T452" s="41"/>
      <c r="U452" s="97">
        <f ca="1">SUM(I452:T452)</f>
        <v>-25736513.130000006</v>
      </c>
      <c r="V452" s="64"/>
      <c r="X452" s="305">
        <f t="shared" ca="1" si="125"/>
        <v>0</v>
      </c>
    </row>
    <row r="453" spans="1:24" ht="15" x14ac:dyDescent="0.25">
      <c r="A453" s="45"/>
      <c r="B453" s="16">
        <f t="shared" si="131"/>
        <v>4</v>
      </c>
      <c r="C453" s="34"/>
      <c r="D453" s="42" t="s">
        <v>444</v>
      </c>
      <c r="E453" s="37"/>
      <c r="F453" s="37">
        <f>+F452</f>
        <v>-25736513.129999999</v>
      </c>
      <c r="G453" s="37"/>
      <c r="H453" s="807"/>
      <c r="I453" s="807"/>
      <c r="J453" s="807">
        <f t="shared" ref="J453:Q453" ca="1" si="132">+J452</f>
        <v>-11623097.880498342</v>
      </c>
      <c r="K453" s="807">
        <f t="shared" ca="1" si="132"/>
        <v>-247303.78964120927</v>
      </c>
      <c r="L453" s="807">
        <f t="shared" ca="1" si="132"/>
        <v>-7968317.5862544356</v>
      </c>
      <c r="M453" s="807">
        <f t="shared" ca="1" si="132"/>
        <v>-5616.4464420163977</v>
      </c>
      <c r="N453" s="807">
        <f t="shared" ca="1" si="132"/>
        <v>-2404033.1672913544</v>
      </c>
      <c r="O453" s="807">
        <f ca="1">+O452</f>
        <v>-783650.22374186316</v>
      </c>
      <c r="P453" s="807">
        <f t="shared" ca="1" si="132"/>
        <v>-2569600.0277924538</v>
      </c>
      <c r="Q453" s="807">
        <f t="shared" ca="1" si="132"/>
        <v>-120596.54158243763</v>
      </c>
      <c r="R453" s="807">
        <f ca="1">+R452</f>
        <v>-2215.5234676712575</v>
      </c>
      <c r="S453" s="807">
        <f ca="1">+S452</f>
        <v>-12081.94328822311</v>
      </c>
      <c r="T453" s="37"/>
      <c r="U453" s="235">
        <f ca="1">SUM(I453:T453)</f>
        <v>-25736513.130000006</v>
      </c>
      <c r="V453" s="64"/>
      <c r="W453" s="1099" t="b">
        <f>' WP II-I-1.4'!$L$453=F453</f>
        <v>1</v>
      </c>
      <c r="X453" s="305">
        <f t="shared" ca="1" si="125"/>
        <v>0</v>
      </c>
    </row>
    <row r="454" spans="1:24" ht="15" thickBot="1" x14ac:dyDescent="0.25">
      <c r="A454" s="45"/>
      <c r="B454" s="16">
        <f t="shared" si="131"/>
        <v>5</v>
      </c>
      <c r="C454" s="41"/>
      <c r="D454" s="275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41"/>
      <c r="V454" s="64"/>
      <c r="X454" s="305">
        <f t="shared" si="125"/>
        <v>0</v>
      </c>
    </row>
    <row r="455" spans="1:24" ht="15.75" thickBot="1" x14ac:dyDescent="0.3">
      <c r="A455" s="45"/>
      <c r="B455" s="16">
        <f t="shared" si="131"/>
        <v>6</v>
      </c>
      <c r="C455" s="270" t="s">
        <v>553</v>
      </c>
      <c r="D455" s="271"/>
      <c r="E455" s="272" t="s">
        <v>119</v>
      </c>
      <c r="F455" s="217">
        <f>+F453</f>
        <v>-25736513.129999999</v>
      </c>
      <c r="G455" s="272"/>
      <c r="H455" s="392"/>
      <c r="I455" s="568"/>
      <c r="J455" s="291">
        <f t="shared" ref="J455:Q455" ca="1" si="133">+J453</f>
        <v>-11623097.880498342</v>
      </c>
      <c r="K455" s="814">
        <f t="shared" ca="1" si="133"/>
        <v>-247303.78964120927</v>
      </c>
      <c r="L455" s="814">
        <f t="shared" ca="1" si="133"/>
        <v>-7968317.5862544356</v>
      </c>
      <c r="M455" s="814">
        <f t="shared" ca="1" si="133"/>
        <v>-5616.4464420163977</v>
      </c>
      <c r="N455" s="814">
        <f t="shared" ca="1" si="133"/>
        <v>-2404033.1672913544</v>
      </c>
      <c r="O455" s="814">
        <f ca="1">+O453</f>
        <v>-783650.22374186316</v>
      </c>
      <c r="P455" s="814">
        <f t="shared" ca="1" si="133"/>
        <v>-2569600.0277924538</v>
      </c>
      <c r="Q455" s="814">
        <f t="shared" ca="1" si="133"/>
        <v>-120596.54158243763</v>
      </c>
      <c r="R455" s="814">
        <f ca="1">+R453</f>
        <v>-2215.5234676712575</v>
      </c>
      <c r="S455" s="218">
        <f ca="1">+S453</f>
        <v>-12081.94328822311</v>
      </c>
      <c r="T455" s="392"/>
      <c r="U455" s="195">
        <f ca="1">SUM(I455:T455)</f>
        <v>-25736513.130000006</v>
      </c>
      <c r="V455" s="64"/>
      <c r="W455" s="1099" t="b">
        <f>' WP II-I-1.4'!$L$455=F455</f>
        <v>1</v>
      </c>
      <c r="X455" s="305">
        <f t="shared" ca="1" si="125"/>
        <v>0</v>
      </c>
    </row>
    <row r="456" spans="1:24" x14ac:dyDescent="0.2">
      <c r="A456" s="45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X456" s="305">
        <f t="shared" si="125"/>
        <v>0</v>
      </c>
    </row>
    <row r="457" spans="1:24" x14ac:dyDescent="0.2">
      <c r="A457" s="45"/>
      <c r="B457" s="64"/>
      <c r="C457" s="64"/>
      <c r="D457" s="64"/>
      <c r="E457" s="64"/>
      <c r="F457" s="64"/>
      <c r="G457" s="64"/>
      <c r="H457" s="105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105"/>
      <c r="V457" s="105"/>
      <c r="X457" s="305"/>
    </row>
    <row r="458" spans="1:24" ht="15" thickBot="1" x14ac:dyDescent="0.25">
      <c r="A458" s="45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X458" s="305">
        <f t="shared" si="125"/>
        <v>0</v>
      </c>
    </row>
    <row r="459" spans="1:24" ht="15" x14ac:dyDescent="0.25">
      <c r="A459" s="45"/>
      <c r="B459" s="829" t="str">
        <f>+$B$4</f>
        <v>2025 RATE CASE</v>
      </c>
      <c r="C459" s="844"/>
      <c r="D459" s="872"/>
      <c r="F459" s="267"/>
      <c r="U459" s="105"/>
      <c r="X459" s="305">
        <f t="shared" si="125"/>
        <v>0</v>
      </c>
    </row>
    <row r="460" spans="1:24" ht="15" x14ac:dyDescent="0.25">
      <c r="A460" s="45"/>
      <c r="B460" s="826" t="str">
        <f>+$B$5</f>
        <v>ONCOR ELECTRIC DELIVERY COMPANY LLC</v>
      </c>
      <c r="C460" s="8"/>
      <c r="D460" s="873"/>
      <c r="F460" s="267"/>
      <c r="U460" s="105"/>
      <c r="V460" s="64"/>
      <c r="X460" s="305">
        <f t="shared" si="125"/>
        <v>0</v>
      </c>
    </row>
    <row r="461" spans="1:24" ht="15" x14ac:dyDescent="0.25">
      <c r="A461" s="45"/>
      <c r="B461" s="826" t="str">
        <f>+$B$6</f>
        <v>II-I-1-TOT:  CLASS REVENUE REQUIREMENT</v>
      </c>
      <c r="C461" s="82"/>
      <c r="D461" s="873"/>
      <c r="F461" s="267"/>
      <c r="U461" s="267"/>
      <c r="V461" s="64"/>
      <c r="X461" s="305">
        <f t="shared" si="125"/>
        <v>0</v>
      </c>
    </row>
    <row r="462" spans="1:24" ht="15" x14ac:dyDescent="0.25">
      <c r="A462" s="45"/>
      <c r="B462" s="341" t="str">
        <f>+$B$7</f>
        <v>TEST YEAR ENDING 12/31/2024</v>
      </c>
      <c r="C462" s="82"/>
      <c r="D462" s="873"/>
      <c r="F462" s="267"/>
      <c r="U462" s="267"/>
      <c r="V462" s="64"/>
      <c r="X462" s="305">
        <f t="shared" si="125"/>
        <v>0</v>
      </c>
    </row>
    <row r="463" spans="1:24" ht="15" x14ac:dyDescent="0.25">
      <c r="A463" s="45"/>
      <c r="B463" s="341" t="str">
        <f>+$B$8</f>
        <v>SPONSOR:  MATTHEW A. TROXLE</v>
      </c>
      <c r="C463" s="82"/>
      <c r="D463" s="873"/>
      <c r="F463" s="267"/>
      <c r="U463" s="267"/>
      <c r="V463" s="64"/>
      <c r="X463" s="305">
        <f t="shared" si="125"/>
        <v>0</v>
      </c>
    </row>
    <row r="464" spans="1:24" ht="15.75" thickBot="1" x14ac:dyDescent="0.3">
      <c r="A464" s="45"/>
      <c r="B464" s="345"/>
      <c r="C464" s="843"/>
      <c r="D464" s="845"/>
      <c r="F464" s="267"/>
      <c r="U464" s="267"/>
      <c r="V464" s="64"/>
      <c r="X464" s="305">
        <f t="shared" si="125"/>
        <v>0</v>
      </c>
    </row>
    <row r="465" spans="1:24" ht="15" thickBot="1" x14ac:dyDescent="0.25">
      <c r="A465" s="45"/>
      <c r="B465" s="12"/>
      <c r="C465" s="13"/>
      <c r="D465" s="13"/>
      <c r="E465" s="13"/>
      <c r="F465" s="12"/>
      <c r="G465" s="13"/>
      <c r="H465" s="13"/>
      <c r="I465" s="13"/>
      <c r="J465" s="177"/>
      <c r="K465" s="177"/>
      <c r="L465" s="13"/>
      <c r="M465" s="177"/>
      <c r="N465" s="177"/>
      <c r="O465" s="177"/>
      <c r="P465" s="177"/>
      <c r="Q465" s="13"/>
      <c r="R465" s="328" t="str">
        <f>R$10</f>
        <v xml:space="preserve"> </v>
      </c>
      <c r="S465" s="329"/>
      <c r="T465" s="177"/>
      <c r="U465" s="12"/>
      <c r="V465" s="64"/>
      <c r="X465" s="305">
        <f t="shared" si="125"/>
        <v>0</v>
      </c>
    </row>
    <row r="466" spans="1:24" ht="15" x14ac:dyDescent="0.25">
      <c r="A466" s="45"/>
      <c r="B466" s="14" t="s">
        <v>2</v>
      </c>
      <c r="C466" s="14" t="s">
        <v>349</v>
      </c>
      <c r="D466" s="226" t="s">
        <v>120</v>
      </c>
      <c r="E466" s="14" t="s">
        <v>350</v>
      </c>
      <c r="F466" s="226" t="str">
        <f>F$11</f>
        <v>TOTAL</v>
      </c>
      <c r="G466" s="181" t="s">
        <v>688</v>
      </c>
      <c r="H466" s="181" t="s">
        <v>355</v>
      </c>
      <c r="I466" s="14"/>
      <c r="J466" s="181" t="s">
        <v>679</v>
      </c>
      <c r="K466" s="181" t="s">
        <v>388</v>
      </c>
      <c r="L466" s="14" t="s">
        <v>388</v>
      </c>
      <c r="M466" s="181" t="s">
        <v>389</v>
      </c>
      <c r="N466" s="181" t="s">
        <v>389</v>
      </c>
      <c r="O466" s="181" t="s">
        <v>389</v>
      </c>
      <c r="P466" s="181" t="s">
        <v>390</v>
      </c>
      <c r="Q466" s="14" t="s">
        <v>391</v>
      </c>
      <c r="R466" s="331" t="str">
        <f>R$11</f>
        <v>Wholesale</v>
      </c>
      <c r="S466" s="12" t="str">
        <f>S$11</f>
        <v>Wholesale</v>
      </c>
      <c r="T466" s="181"/>
      <c r="U466" s="14" t="s">
        <v>10</v>
      </c>
      <c r="V466" s="64"/>
      <c r="X466" s="305"/>
    </row>
    <row r="467" spans="1:24" x14ac:dyDescent="0.2">
      <c r="A467" s="45"/>
      <c r="B467" s="14"/>
      <c r="C467" s="14"/>
      <c r="D467" s="14"/>
      <c r="E467" s="14"/>
      <c r="F467" s="14" t="str">
        <f>F$12</f>
        <v>(Dist+Met+Cust)</v>
      </c>
      <c r="G467" s="181" t="s">
        <v>689</v>
      </c>
      <c r="H467" s="181" t="s">
        <v>690</v>
      </c>
      <c r="I467" s="14"/>
      <c r="J467" s="181"/>
      <c r="K467" s="181" t="s">
        <v>680</v>
      </c>
      <c r="L467" s="14" t="s">
        <v>681</v>
      </c>
      <c r="M467" s="181" t="s">
        <v>680</v>
      </c>
      <c r="N467" s="181" t="s">
        <v>681</v>
      </c>
      <c r="O467" s="181" t="s">
        <v>393</v>
      </c>
      <c r="P467" s="181"/>
      <c r="Q467" s="14"/>
      <c r="R467" s="174" t="str">
        <f>R$12</f>
        <v>XFMR</v>
      </c>
      <c r="S467" s="14" t="str">
        <f>S$12</f>
        <v>DLS</v>
      </c>
      <c r="T467" s="181"/>
      <c r="U467" s="14"/>
      <c r="V467" s="64"/>
      <c r="X467" s="305"/>
    </row>
    <row r="468" spans="1:24" ht="15" thickBot="1" x14ac:dyDescent="0.25">
      <c r="A468" s="45"/>
      <c r="B468" s="15"/>
      <c r="C468" s="15"/>
      <c r="D468" s="15"/>
      <c r="E468" s="15"/>
      <c r="F468" s="15" t="s">
        <v>13</v>
      </c>
      <c r="G468" s="15" t="s">
        <v>14</v>
      </c>
      <c r="H468" s="15" t="s">
        <v>15</v>
      </c>
      <c r="I468" s="15"/>
      <c r="J468" s="182" t="str">
        <f t="shared" ref="J468:Q468" si="134">J$13</f>
        <v>(d)</v>
      </c>
      <c r="K468" s="182" t="str">
        <f t="shared" si="134"/>
        <v>(e)</v>
      </c>
      <c r="L468" s="15" t="str">
        <f t="shared" si="134"/>
        <v>(f)</v>
      </c>
      <c r="M468" s="182" t="str">
        <f t="shared" si="134"/>
        <v>(g)</v>
      </c>
      <c r="N468" s="182" t="str">
        <f t="shared" si="134"/>
        <v>(h)</v>
      </c>
      <c r="O468" s="182" t="str">
        <f>O$13</f>
        <v>(i)</v>
      </c>
      <c r="P468" s="182" t="str">
        <f t="shared" si="134"/>
        <v>(j)</v>
      </c>
      <c r="Q468" s="182" t="str">
        <f t="shared" si="134"/>
        <v>(k)</v>
      </c>
      <c r="R468" s="182" t="str">
        <f>R$13</f>
        <v>(l)</v>
      </c>
      <c r="S468" s="15" t="str">
        <f>S$13</f>
        <v>(m)</v>
      </c>
      <c r="T468" s="15"/>
      <c r="U468" s="15" t="s">
        <v>683</v>
      </c>
      <c r="V468" s="64"/>
      <c r="X468" s="305"/>
    </row>
    <row r="469" spans="1:24" x14ac:dyDescent="0.2">
      <c r="A469" s="45"/>
      <c r="B469" s="64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41"/>
      <c r="V469" s="64"/>
      <c r="X469" s="305">
        <f t="shared" si="125"/>
        <v>0</v>
      </c>
    </row>
    <row r="470" spans="1:24" ht="15" x14ac:dyDescent="0.25">
      <c r="A470" s="45"/>
      <c r="B470" s="16">
        <f t="shared" ref="B470:B478" si="135">B469+1</f>
        <v>1</v>
      </c>
      <c r="C470" s="269" t="s">
        <v>110</v>
      </c>
      <c r="D470" s="34"/>
      <c r="E470" s="35"/>
      <c r="F470" s="37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4"/>
      <c r="V470" s="64"/>
      <c r="X470" s="305">
        <f t="shared" si="125"/>
        <v>0</v>
      </c>
    </row>
    <row r="471" spans="1:24" ht="15" x14ac:dyDescent="0.25">
      <c r="A471" s="45"/>
      <c r="B471" s="16">
        <f t="shared" si="135"/>
        <v>2</v>
      </c>
      <c r="C471" s="283" t="s">
        <v>549</v>
      </c>
      <c r="D471" s="4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41"/>
      <c r="V471" s="64"/>
      <c r="X471" s="305">
        <f t="shared" si="125"/>
        <v>0</v>
      </c>
    </row>
    <row r="472" spans="1:24" ht="15" x14ac:dyDescent="0.25">
      <c r="A472" s="45"/>
      <c r="B472" s="16">
        <f t="shared" si="135"/>
        <v>3</v>
      </c>
      <c r="C472" s="34">
        <v>165</v>
      </c>
      <c r="D472" s="283" t="s">
        <v>120</v>
      </c>
      <c r="E472" s="35" t="s">
        <v>121</v>
      </c>
      <c r="F472" s="37"/>
      <c r="G472" s="35"/>
      <c r="H472" s="806"/>
      <c r="I472" s="806"/>
      <c r="J472" s="806"/>
      <c r="K472" s="806"/>
      <c r="L472" s="806"/>
      <c r="M472" s="806"/>
      <c r="N472" s="806"/>
      <c r="O472" s="806"/>
      <c r="P472" s="806"/>
      <c r="Q472" s="806"/>
      <c r="R472" s="806"/>
      <c r="S472" s="806"/>
      <c r="T472" s="35"/>
      <c r="U472" s="34"/>
      <c r="V472" s="64"/>
      <c r="X472" s="305">
        <f t="shared" si="125"/>
        <v>0</v>
      </c>
    </row>
    <row r="473" spans="1:24" x14ac:dyDescent="0.2">
      <c r="A473" s="45"/>
      <c r="B473" s="16">
        <f t="shared" si="135"/>
        <v>4</v>
      </c>
      <c r="C473" s="41"/>
      <c r="D473" s="41" t="s">
        <v>120</v>
      </c>
      <c r="E473" s="286"/>
      <c r="F473" s="97">
        <f>' WP II-I-1.4'!L473</f>
        <v>128857396.42378204</v>
      </c>
      <c r="G473" s="293" t="s">
        <v>751</v>
      </c>
      <c r="H473" s="1" t="s">
        <v>303</v>
      </c>
      <c r="I473" s="821"/>
      <c r="J473" s="370">
        <f>'II-I-DIST'!J473+'II-I-MET'!J473+'II-I-TBILLTDCS'!J473</f>
        <v>50522241.446134984</v>
      </c>
      <c r="K473" s="370">
        <f>'II-I-DIST'!K473+'II-I-MET'!K473+'II-I-TBILLTDCS'!K473</f>
        <v>1530621.0129088226</v>
      </c>
      <c r="L473" s="370">
        <f>'II-I-DIST'!L473+'II-I-MET'!L473+'II-I-TBILLTDCS'!L473</f>
        <v>53794288.636275589</v>
      </c>
      <c r="M473" s="370">
        <f>'II-I-DIST'!M473+'II-I-MET'!M473+'II-I-TBILLTDCS'!M473</f>
        <v>1035.746307409705</v>
      </c>
      <c r="N473" s="370">
        <f>'II-I-DIST'!N473+'II-I-MET'!N473+'II-I-TBILLTDCS'!N473</f>
        <v>8907478.9452168941</v>
      </c>
      <c r="O473" s="370">
        <f>'II-I-DIST'!O473+'II-I-MET'!O473+'II-I-TBILLTDCS'!O473</f>
        <v>1697928.1705190158</v>
      </c>
      <c r="P473" s="370">
        <f>'II-I-DIST'!P473+'II-I-MET'!P473+'II-I-TBILLTDCS'!P473</f>
        <v>11710507.252152506</v>
      </c>
      <c r="Q473" s="370">
        <f>'II-I-DIST'!Q473+'II-I-MET'!Q473+'II-I-TBILLTDCS'!Q473</f>
        <v>413390.55526816769</v>
      </c>
      <c r="R473" s="370">
        <f>'II-I-DIST'!R473+'II-I-MET'!R473+'II-I-TBILLTDCS'!R473</f>
        <v>128412.83226640214</v>
      </c>
      <c r="S473" s="370">
        <f>'II-I-DIST'!S473+'II-I-MET'!S473+'II-I-TBILLTDCS'!S473</f>
        <v>151491.82673218477</v>
      </c>
      <c r="T473" s="821"/>
      <c r="U473" s="97">
        <f>SUM(I473:T473)</f>
        <v>128857396.42378196</v>
      </c>
      <c r="V473" s="64"/>
      <c r="X473" s="305">
        <f t="shared" si="125"/>
        <v>0</v>
      </c>
    </row>
    <row r="474" spans="1:24" ht="15" x14ac:dyDescent="0.25">
      <c r="A474" s="45"/>
      <c r="B474" s="16">
        <f t="shared" si="135"/>
        <v>5</v>
      </c>
      <c r="C474" s="34"/>
      <c r="D474" s="42" t="s">
        <v>444</v>
      </c>
      <c r="E474" s="287"/>
      <c r="F474" s="37">
        <f>SUM(F473:F473)</f>
        <v>128857396.42378204</v>
      </c>
      <c r="G474" s="287"/>
      <c r="H474" s="822"/>
      <c r="I474" s="822"/>
      <c r="J474" s="807">
        <f t="shared" ref="J474:Q474" si="136">SUM(J473:J473)</f>
        <v>50522241.446134984</v>
      </c>
      <c r="K474" s="807">
        <f t="shared" si="136"/>
        <v>1530621.0129088226</v>
      </c>
      <c r="L474" s="807">
        <f t="shared" si="136"/>
        <v>53794288.636275589</v>
      </c>
      <c r="M474" s="807">
        <f t="shared" si="136"/>
        <v>1035.746307409705</v>
      </c>
      <c r="N474" s="807">
        <f t="shared" si="136"/>
        <v>8907478.9452168941</v>
      </c>
      <c r="O474" s="807">
        <f>SUM(O473:O473)</f>
        <v>1697928.1705190158</v>
      </c>
      <c r="P474" s="807">
        <f t="shared" si="136"/>
        <v>11710507.252152506</v>
      </c>
      <c r="Q474" s="807">
        <f t="shared" si="136"/>
        <v>413390.55526816769</v>
      </c>
      <c r="R474" s="807">
        <f>SUM(R473:R473)</f>
        <v>128412.83226640214</v>
      </c>
      <c r="S474" s="807">
        <f>SUM(S473:S473)</f>
        <v>151491.82673218477</v>
      </c>
      <c r="T474" s="287"/>
      <c r="U474" s="235">
        <f>SUM(I474:T474)</f>
        <v>128857396.42378196</v>
      </c>
      <c r="V474" s="64"/>
      <c r="W474" s="1099" t="b">
        <f>' WP II-I-1.4'!$L$474=F474</f>
        <v>1</v>
      </c>
      <c r="X474" s="305">
        <f t="shared" si="125"/>
        <v>0</v>
      </c>
    </row>
    <row r="475" spans="1:24" ht="15.75" thickBot="1" x14ac:dyDescent="0.3">
      <c r="A475" s="45"/>
      <c r="B475" s="16">
        <f t="shared" si="135"/>
        <v>6</v>
      </c>
      <c r="C475" s="34"/>
      <c r="D475" s="42"/>
      <c r="E475" s="287"/>
      <c r="F475" s="288"/>
      <c r="G475" s="287"/>
      <c r="H475" s="287"/>
      <c r="I475" s="287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7"/>
      <c r="U475" s="288"/>
      <c r="V475" s="64"/>
      <c r="X475" s="305">
        <f t="shared" si="125"/>
        <v>0</v>
      </c>
    </row>
    <row r="476" spans="1:24" ht="15.75" thickBot="1" x14ac:dyDescent="0.3">
      <c r="A476" s="45"/>
      <c r="B476" s="16">
        <f t="shared" si="135"/>
        <v>7</v>
      </c>
      <c r="C476" s="276" t="s">
        <v>554</v>
      </c>
      <c r="D476" s="271"/>
      <c r="E476" s="272" t="s">
        <v>121</v>
      </c>
      <c r="F476" s="217">
        <f>+F474</f>
        <v>128857396.42378204</v>
      </c>
      <c r="G476" s="272"/>
      <c r="H476" s="392"/>
      <c r="I476" s="568"/>
      <c r="J476" s="291">
        <f t="shared" ref="J476:Q476" si="137">+J474</f>
        <v>50522241.446134984</v>
      </c>
      <c r="K476" s="814">
        <f t="shared" si="137"/>
        <v>1530621.0129088226</v>
      </c>
      <c r="L476" s="814">
        <f t="shared" si="137"/>
        <v>53794288.636275589</v>
      </c>
      <c r="M476" s="814">
        <f t="shared" si="137"/>
        <v>1035.746307409705</v>
      </c>
      <c r="N476" s="814">
        <f t="shared" si="137"/>
        <v>8907478.9452168941</v>
      </c>
      <c r="O476" s="814">
        <f>+O474</f>
        <v>1697928.1705190158</v>
      </c>
      <c r="P476" s="814">
        <f t="shared" si="137"/>
        <v>11710507.252152506</v>
      </c>
      <c r="Q476" s="814">
        <f t="shared" si="137"/>
        <v>413390.55526816769</v>
      </c>
      <c r="R476" s="814">
        <f>+R474</f>
        <v>128412.83226640214</v>
      </c>
      <c r="S476" s="218">
        <f>+S474</f>
        <v>151491.82673218477</v>
      </c>
      <c r="T476" s="392"/>
      <c r="U476" s="195">
        <f>SUM(I476:T476)</f>
        <v>128857396.42378196</v>
      </c>
      <c r="V476" s="64"/>
      <c r="W476" s="1099" t="b">
        <f>' WP II-I-1.4'!$L$476=F476</f>
        <v>1</v>
      </c>
      <c r="X476" s="305">
        <f t="shared" si="125"/>
        <v>0</v>
      </c>
    </row>
    <row r="477" spans="1:24" ht="15" thickBot="1" x14ac:dyDescent="0.25">
      <c r="A477" s="45"/>
      <c r="B477" s="16">
        <f t="shared" si="135"/>
        <v>8</v>
      </c>
      <c r="C477" s="41"/>
      <c r="D477" s="275"/>
      <c r="E477" s="286"/>
      <c r="F477" s="202"/>
      <c r="G477" s="286"/>
      <c r="H477" s="286"/>
      <c r="I477" s="286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86"/>
      <c r="U477" s="202"/>
      <c r="V477" s="64"/>
      <c r="X477" s="305">
        <f t="shared" si="125"/>
        <v>0</v>
      </c>
    </row>
    <row r="478" spans="1:24" ht="15.75" thickBot="1" x14ac:dyDescent="0.3">
      <c r="A478" s="45"/>
      <c r="B478" s="16">
        <f t="shared" si="135"/>
        <v>9</v>
      </c>
      <c r="C478" s="276" t="s">
        <v>555</v>
      </c>
      <c r="D478" s="271"/>
      <c r="E478" s="272" t="s">
        <v>556</v>
      </c>
      <c r="F478" s="217">
        <f>+F476+F455+F435</f>
        <v>262320748.51378202</v>
      </c>
      <c r="G478" s="272"/>
      <c r="H478" s="392"/>
      <c r="I478" s="568"/>
      <c r="J478" s="977">
        <f t="shared" ref="J478:Q478" ca="1" si="138">+J476+J455+J435</f>
        <v>124409441.58451343</v>
      </c>
      <c r="K478" s="922">
        <f t="shared" ca="1" si="138"/>
        <v>4116036.8562146048</v>
      </c>
      <c r="L478" s="922">
        <f t="shared" ca="1" si="138"/>
        <v>99841064.478760362</v>
      </c>
      <c r="M478" s="922">
        <f t="shared" ca="1" si="138"/>
        <v>26001.808541951043</v>
      </c>
      <c r="N478" s="922">
        <f t="shared" ca="1" si="138"/>
        <v>16375820.605312221</v>
      </c>
      <c r="O478" s="922">
        <f ca="1">+O476+O455+O435</f>
        <v>1979201.0642915815</v>
      </c>
      <c r="P478" s="922">
        <f t="shared" ca="1" si="138"/>
        <v>9332673.2121412493</v>
      </c>
      <c r="Q478" s="922">
        <f t="shared" ca="1" si="138"/>
        <v>5525710.7177720498</v>
      </c>
      <c r="R478" s="922">
        <f ca="1">+R476+R455+R435</f>
        <v>199966.14639502502</v>
      </c>
      <c r="S478" s="978">
        <f ca="1">+S476+S455+S435</f>
        <v>514832.03983945947</v>
      </c>
      <c r="T478" s="392"/>
      <c r="U478" s="195">
        <f ca="1">SUM(I478:T478)</f>
        <v>262320748.51378191</v>
      </c>
      <c r="V478" s="64"/>
      <c r="W478" s="1099" t="b">
        <f>' WP II-I-1.4'!$L$478=F478</f>
        <v>1</v>
      </c>
      <c r="X478" s="305">
        <f t="shared" ref="X478:X559" ca="1" si="139">U478-F478</f>
        <v>0</v>
      </c>
    </row>
    <row r="479" spans="1:24" x14ac:dyDescent="0.2">
      <c r="A479" s="45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X479" s="305">
        <f t="shared" si="139"/>
        <v>0</v>
      </c>
    </row>
    <row r="480" spans="1:24" x14ac:dyDescent="0.2">
      <c r="A480" s="45"/>
      <c r="B480" s="64"/>
      <c r="C480" s="64"/>
      <c r="D480" s="64"/>
      <c r="E480" s="64"/>
      <c r="F480" s="64"/>
      <c r="G480" s="64"/>
      <c r="H480" s="105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105"/>
      <c r="V480" s="105"/>
      <c r="X480" s="305"/>
    </row>
    <row r="481" spans="1:24" ht="15" thickBot="1" x14ac:dyDescent="0.25">
      <c r="A481" s="45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X481" s="305">
        <f t="shared" si="139"/>
        <v>0</v>
      </c>
    </row>
    <row r="482" spans="1:24" ht="15" x14ac:dyDescent="0.25">
      <c r="A482" s="45"/>
      <c r="B482" s="829" t="str">
        <f>+$B$4</f>
        <v>2025 RATE CASE</v>
      </c>
      <c r="C482" s="844"/>
      <c r="D482" s="872"/>
      <c r="F482" s="267"/>
      <c r="U482" s="105"/>
      <c r="X482" s="305">
        <f t="shared" si="139"/>
        <v>0</v>
      </c>
    </row>
    <row r="483" spans="1:24" ht="15" x14ac:dyDescent="0.25">
      <c r="A483" s="45"/>
      <c r="B483" s="826" t="str">
        <f>+$B$5</f>
        <v>ONCOR ELECTRIC DELIVERY COMPANY LLC</v>
      </c>
      <c r="C483" s="8"/>
      <c r="D483" s="873"/>
      <c r="F483" s="267"/>
      <c r="U483" s="105"/>
      <c r="V483" s="64"/>
      <c r="X483" s="305">
        <f t="shared" si="139"/>
        <v>0</v>
      </c>
    </row>
    <row r="484" spans="1:24" ht="15" x14ac:dyDescent="0.25">
      <c r="A484" s="45"/>
      <c r="B484" s="826" t="str">
        <f>+$B$6</f>
        <v>II-I-1-TOT:  CLASS REVENUE REQUIREMENT</v>
      </c>
      <c r="C484" s="82"/>
      <c r="D484" s="873"/>
      <c r="F484" s="267"/>
      <c r="U484" s="267"/>
      <c r="V484" s="64"/>
      <c r="X484" s="305">
        <f t="shared" si="139"/>
        <v>0</v>
      </c>
    </row>
    <row r="485" spans="1:24" ht="15" x14ac:dyDescent="0.25">
      <c r="A485" s="45"/>
      <c r="B485" s="341" t="str">
        <f>+$B$7</f>
        <v>TEST YEAR ENDING 12/31/2024</v>
      </c>
      <c r="C485" s="82"/>
      <c r="D485" s="873"/>
      <c r="F485" s="267"/>
      <c r="U485" s="267"/>
      <c r="V485" s="64"/>
      <c r="X485" s="305">
        <f t="shared" si="139"/>
        <v>0</v>
      </c>
    </row>
    <row r="486" spans="1:24" ht="15" x14ac:dyDescent="0.25">
      <c r="A486" s="45"/>
      <c r="B486" s="341" t="str">
        <f>+$B$8</f>
        <v>SPONSOR:  MATTHEW A. TROXLE</v>
      </c>
      <c r="C486" s="82"/>
      <c r="D486" s="873"/>
      <c r="F486" s="267"/>
      <c r="U486" s="267"/>
      <c r="V486" s="64"/>
      <c r="X486" s="305">
        <f t="shared" si="139"/>
        <v>0</v>
      </c>
    </row>
    <row r="487" spans="1:24" ht="15.75" thickBot="1" x14ac:dyDescent="0.3">
      <c r="A487" s="45"/>
      <c r="B487" s="345"/>
      <c r="C487" s="843"/>
      <c r="D487" s="845"/>
      <c r="F487" s="267"/>
      <c r="U487" s="267"/>
      <c r="V487" s="64"/>
      <c r="X487" s="305">
        <f t="shared" si="139"/>
        <v>0</v>
      </c>
    </row>
    <row r="488" spans="1:24" ht="15" thickBot="1" x14ac:dyDescent="0.25">
      <c r="A488" s="45"/>
      <c r="B488" s="12"/>
      <c r="C488" s="13"/>
      <c r="D488" s="13"/>
      <c r="E488" s="13"/>
      <c r="F488" s="12"/>
      <c r="G488" s="13"/>
      <c r="H488" s="13"/>
      <c r="I488" s="13"/>
      <c r="J488" s="177"/>
      <c r="K488" s="177"/>
      <c r="L488" s="13"/>
      <c r="M488" s="177"/>
      <c r="N488" s="177"/>
      <c r="O488" s="177"/>
      <c r="P488" s="177"/>
      <c r="Q488" s="13"/>
      <c r="R488" s="328" t="str">
        <f>R$10</f>
        <v xml:space="preserve"> </v>
      </c>
      <c r="S488" s="329"/>
      <c r="T488" s="177"/>
      <c r="U488" s="12"/>
      <c r="V488" s="64"/>
      <c r="X488" s="305">
        <f t="shared" si="139"/>
        <v>0</v>
      </c>
    </row>
    <row r="489" spans="1:24" ht="15" x14ac:dyDescent="0.25">
      <c r="A489" s="45"/>
      <c r="B489" s="14" t="s">
        <v>2</v>
      </c>
      <c r="C489" s="14" t="s">
        <v>349</v>
      </c>
      <c r="D489" s="226" t="s">
        <v>122</v>
      </c>
      <c r="E489" s="14" t="s">
        <v>350</v>
      </c>
      <c r="F489" s="226" t="str">
        <f>F$11</f>
        <v>TOTAL</v>
      </c>
      <c r="G489" s="181" t="s">
        <v>688</v>
      </c>
      <c r="H489" s="181" t="s">
        <v>355</v>
      </c>
      <c r="I489" s="14"/>
      <c r="J489" s="181" t="s">
        <v>679</v>
      </c>
      <c r="K489" s="181" t="s">
        <v>388</v>
      </c>
      <c r="L489" s="14" t="s">
        <v>388</v>
      </c>
      <c r="M489" s="181" t="s">
        <v>389</v>
      </c>
      <c r="N489" s="181" t="s">
        <v>389</v>
      </c>
      <c r="O489" s="181" t="s">
        <v>389</v>
      </c>
      <c r="P489" s="181" t="s">
        <v>390</v>
      </c>
      <c r="Q489" s="14" t="s">
        <v>391</v>
      </c>
      <c r="R489" s="331" t="str">
        <f>R$11</f>
        <v>Wholesale</v>
      </c>
      <c r="S489" s="12" t="str">
        <f>S$11</f>
        <v>Wholesale</v>
      </c>
      <c r="T489" s="181"/>
      <c r="U489" s="14" t="s">
        <v>10</v>
      </c>
      <c r="V489" s="64"/>
      <c r="X489" s="305"/>
    </row>
    <row r="490" spans="1:24" x14ac:dyDescent="0.2">
      <c r="A490" s="45"/>
      <c r="B490" s="14"/>
      <c r="C490" s="14"/>
      <c r="D490" s="14"/>
      <c r="E490" s="14"/>
      <c r="F490" s="14" t="str">
        <f>F$12</f>
        <v>(Dist+Met+Cust)</v>
      </c>
      <c r="G490" s="181" t="s">
        <v>689</v>
      </c>
      <c r="H490" s="181" t="s">
        <v>690</v>
      </c>
      <c r="I490" s="14"/>
      <c r="J490" s="181"/>
      <c r="K490" s="181" t="s">
        <v>680</v>
      </c>
      <c r="L490" s="14" t="s">
        <v>681</v>
      </c>
      <c r="M490" s="181" t="s">
        <v>680</v>
      </c>
      <c r="N490" s="181" t="s">
        <v>681</v>
      </c>
      <c r="O490" s="181" t="s">
        <v>393</v>
      </c>
      <c r="P490" s="181"/>
      <c r="Q490" s="14"/>
      <c r="R490" s="174" t="str">
        <f>R$12</f>
        <v>XFMR</v>
      </c>
      <c r="S490" s="14" t="str">
        <f>S$12</f>
        <v>DLS</v>
      </c>
      <c r="T490" s="181"/>
      <c r="U490" s="14"/>
      <c r="V490" s="64"/>
      <c r="X490" s="305"/>
    </row>
    <row r="491" spans="1:24" ht="15" thickBot="1" x14ac:dyDescent="0.25">
      <c r="A491" s="45"/>
      <c r="B491" s="15"/>
      <c r="C491" s="15"/>
      <c r="D491" s="15"/>
      <c r="E491" s="15"/>
      <c r="F491" s="15" t="s">
        <v>13</v>
      </c>
      <c r="G491" s="15" t="s">
        <v>14</v>
      </c>
      <c r="H491" s="15" t="s">
        <v>15</v>
      </c>
      <c r="I491" s="15"/>
      <c r="J491" s="182" t="str">
        <f t="shared" ref="J491:Q491" si="140">J$13</f>
        <v>(d)</v>
      </c>
      <c r="K491" s="182" t="str">
        <f t="shared" si="140"/>
        <v>(e)</v>
      </c>
      <c r="L491" s="15" t="str">
        <f t="shared" si="140"/>
        <v>(f)</v>
      </c>
      <c r="M491" s="182" t="str">
        <f t="shared" si="140"/>
        <v>(g)</v>
      </c>
      <c r="N491" s="182" t="str">
        <f t="shared" si="140"/>
        <v>(h)</v>
      </c>
      <c r="O491" s="182" t="str">
        <f>O$13</f>
        <v>(i)</v>
      </c>
      <c r="P491" s="182" t="str">
        <f t="shared" si="140"/>
        <v>(j)</v>
      </c>
      <c r="Q491" s="182" t="str">
        <f t="shared" si="140"/>
        <v>(k)</v>
      </c>
      <c r="R491" s="182" t="str">
        <f>R$13</f>
        <v>(l)</v>
      </c>
      <c r="S491" s="15" t="str">
        <f>S$13</f>
        <v>(m)</v>
      </c>
      <c r="T491" s="15"/>
      <c r="U491" s="15" t="s">
        <v>683</v>
      </c>
      <c r="V491" s="64"/>
      <c r="X491" s="305"/>
    </row>
    <row r="492" spans="1:24" x14ac:dyDescent="0.2">
      <c r="A492" s="45"/>
      <c r="B492" s="64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41"/>
      <c r="V492" s="64"/>
      <c r="X492" s="305">
        <f t="shared" si="139"/>
        <v>0</v>
      </c>
    </row>
    <row r="493" spans="1:24" ht="15" x14ac:dyDescent="0.25">
      <c r="A493" s="45"/>
      <c r="B493" s="16">
        <f t="shared" ref="B493:B501" si="141">B492+1</f>
        <v>1</v>
      </c>
      <c r="C493" s="269" t="s">
        <v>557</v>
      </c>
      <c r="D493" s="34"/>
      <c r="E493" s="35" t="s">
        <v>123</v>
      </c>
      <c r="F493" s="37"/>
      <c r="G493" s="35"/>
      <c r="H493" s="806"/>
      <c r="I493" s="806"/>
      <c r="J493" s="806"/>
      <c r="K493" s="806"/>
      <c r="L493" s="806"/>
      <c r="M493" s="806"/>
      <c r="N493" s="806"/>
      <c r="O493" s="806"/>
      <c r="P493" s="806"/>
      <c r="Q493" s="806"/>
      <c r="R493" s="806"/>
      <c r="S493" s="806"/>
      <c r="T493" s="35"/>
      <c r="U493" s="34"/>
      <c r="V493" s="64"/>
      <c r="X493" s="305">
        <f t="shared" si="139"/>
        <v>0</v>
      </c>
    </row>
    <row r="494" spans="1:24" ht="15" x14ac:dyDescent="0.25">
      <c r="A494" s="45"/>
      <c r="B494" s="16">
        <f t="shared" si="141"/>
        <v>2</v>
      </c>
      <c r="C494" s="269"/>
      <c r="D494" s="611" t="s">
        <v>1108</v>
      </c>
      <c r="E494" s="202"/>
      <c r="F494" s="202">
        <f>' WP II-I-1.4'!L494</f>
        <v>-1971551.94</v>
      </c>
      <c r="G494" s="202"/>
      <c r="H494" s="202"/>
      <c r="I494" s="202"/>
      <c r="J494" s="369">
        <f>'II-I-DIST'!J494+'II-I-MET'!J494+'II-I-TBILLTDCS'!J494</f>
        <v>-877334.55104355805</v>
      </c>
      <c r="K494" s="369">
        <f>'II-I-DIST'!K494+'II-I-MET'!K494+'II-I-TBILLTDCS'!K494</f>
        <v>-16575.189700578638</v>
      </c>
      <c r="L494" s="369">
        <f>'II-I-DIST'!L494+'II-I-MET'!L494+'II-I-TBILLTDCS'!L494</f>
        <v>-563515.6870240717</v>
      </c>
      <c r="M494" s="369">
        <f>'II-I-DIST'!M494+'II-I-MET'!M494+'II-I-TBILLTDCS'!M494</f>
        <v>-263.69193688764778</v>
      </c>
      <c r="N494" s="369">
        <f>'II-I-DIST'!N494+'II-I-MET'!N494+'II-I-TBILLTDCS'!N494</f>
        <v>-165753.34437129673</v>
      </c>
      <c r="O494" s="369">
        <f>'II-I-DIST'!O494+'II-I-MET'!O494+'II-I-TBILLTDCS'!O494</f>
        <v>-71244.049979913223</v>
      </c>
      <c r="P494" s="369">
        <f>'II-I-DIST'!P494+'II-I-MET'!P494+'II-I-TBILLTDCS'!P494</f>
        <v>-260569.37754119906</v>
      </c>
      <c r="Q494" s="369">
        <f>'II-I-DIST'!Q494+'II-I-MET'!Q494+'II-I-TBILLTDCS'!Q494</f>
        <v>-5011.38396399869</v>
      </c>
      <c r="R494" s="369">
        <f>'II-I-DIST'!R494+'II-I-MET'!R494+'II-I-TBILLTDCS'!R494</f>
        <v>-4924.6670742120768</v>
      </c>
      <c r="S494" s="369">
        <f>'II-I-DIST'!S494+'II-I-MET'!S494+'II-I-TBILLTDCS'!S494</f>
        <v>-6359.9973642839559</v>
      </c>
      <c r="T494" s="202"/>
      <c r="U494" s="97">
        <f>SUM(I494:T494)</f>
        <v>-1971551.94</v>
      </c>
      <c r="V494" s="64"/>
      <c r="X494" s="305">
        <f t="shared" si="139"/>
        <v>0</v>
      </c>
    </row>
    <row r="495" spans="1:24" ht="15" x14ac:dyDescent="0.25">
      <c r="A495" s="45"/>
      <c r="B495" s="16">
        <f t="shared" si="141"/>
        <v>3</v>
      </c>
      <c r="C495" s="41"/>
      <c r="D495" s="41"/>
      <c r="E495" s="35"/>
      <c r="F495" s="97">
        <f>' WP II-I-1.4'!L495</f>
        <v>0</v>
      </c>
      <c r="G495" s="293"/>
      <c r="H495" s="1"/>
      <c r="I495" s="806"/>
      <c r="J495" s="369">
        <f>'II-I-DIST'!J495+'II-I-MET'!J495+'II-I-TBILLTDCS'!J495</f>
        <v>0</v>
      </c>
      <c r="K495" s="369">
        <f>'II-I-DIST'!K495+'II-I-MET'!K495+'II-I-TBILLTDCS'!K495</f>
        <v>0</v>
      </c>
      <c r="L495" s="369">
        <f>'II-I-DIST'!L495+'II-I-MET'!L495+'II-I-TBILLTDCS'!L495</f>
        <v>0</v>
      </c>
      <c r="M495" s="369">
        <f>'II-I-DIST'!M495+'II-I-MET'!M495+'II-I-TBILLTDCS'!M495</f>
        <v>0</v>
      </c>
      <c r="N495" s="369">
        <f>'II-I-DIST'!N495+'II-I-MET'!N495+'II-I-TBILLTDCS'!N495</f>
        <v>0</v>
      </c>
      <c r="O495" s="369">
        <f>'II-I-DIST'!O495+'II-I-MET'!O495+'II-I-TBILLTDCS'!O495</f>
        <v>0</v>
      </c>
      <c r="P495" s="369">
        <f>'II-I-DIST'!P495+'II-I-MET'!P495+'II-I-TBILLTDCS'!P495</f>
        <v>0</v>
      </c>
      <c r="Q495" s="369">
        <f>'II-I-DIST'!Q495+'II-I-MET'!Q495+'II-I-TBILLTDCS'!Q495</f>
        <v>0</v>
      </c>
      <c r="R495" s="369">
        <f>'II-I-DIST'!R495+'II-I-MET'!R495+'II-I-TBILLTDCS'!R495</f>
        <v>0</v>
      </c>
      <c r="S495" s="369">
        <f>'II-I-DIST'!S495+'II-I-MET'!S495+'II-I-TBILLTDCS'!S495</f>
        <v>0</v>
      </c>
      <c r="T495" s="806"/>
      <c r="U495" s="97">
        <f>SUM(I495:T495)</f>
        <v>0</v>
      </c>
      <c r="V495" s="64"/>
      <c r="X495" s="305">
        <f t="shared" si="139"/>
        <v>0</v>
      </c>
    </row>
    <row r="496" spans="1:24" ht="15" x14ac:dyDescent="0.25">
      <c r="A496" s="45"/>
      <c r="B496" s="16">
        <f t="shared" si="141"/>
        <v>4</v>
      </c>
      <c r="C496" s="41"/>
      <c r="D496" s="611" t="s">
        <v>967</v>
      </c>
      <c r="E496" s="35"/>
      <c r="F496" s="98">
        <f>' WP II-I-1.4'!L496</f>
        <v>-308940.14</v>
      </c>
      <c r="G496" s="293" t="s">
        <v>751</v>
      </c>
      <c r="H496" s="1" t="s">
        <v>303</v>
      </c>
      <c r="I496" s="806"/>
      <c r="J496" s="369">
        <f>'II-I-DIST'!J496+'II-I-MET'!J496+'II-I-TBILLTDCS'!J496</f>
        <v>-137477.41235071595</v>
      </c>
      <c r="K496" s="369">
        <f>'II-I-DIST'!K496+'II-I-MET'!K496+'II-I-TBILLTDCS'!K496</f>
        <v>-2597.3149997880973</v>
      </c>
      <c r="L496" s="369">
        <f>'II-I-DIST'!L496+'II-I-MET'!L496+'II-I-TBILLTDCS'!L496</f>
        <v>-88302.322505088508</v>
      </c>
      <c r="M496" s="369">
        <f>'II-I-DIST'!M496+'II-I-MET'!M496+'II-I-TBILLTDCS'!M496</f>
        <v>-41.320252460070151</v>
      </c>
      <c r="N496" s="369">
        <f>'II-I-DIST'!N496+'II-I-MET'!N496+'II-I-TBILLTDCS'!N496</f>
        <v>-25973.376798552224</v>
      </c>
      <c r="O496" s="369">
        <f>'II-I-DIST'!O496+'II-I-MET'!O496+'II-I-TBILLTDCS'!O496</f>
        <v>-11163.868589209671</v>
      </c>
      <c r="P496" s="369">
        <f>'II-I-DIST'!P496+'II-I-MET'!P496+'II-I-TBILLTDCS'!P496</f>
        <v>-40830.950655700661</v>
      </c>
      <c r="Q496" s="369">
        <f>'II-I-DIST'!Q496+'II-I-MET'!Q496+'II-I-TBILLTDCS'!Q496</f>
        <v>-785.27865891857266</v>
      </c>
      <c r="R496" s="369">
        <f>'II-I-DIST'!R496+'II-I-MET'!R496+'II-I-TBILLTDCS'!R496</f>
        <v>-771.69021241229348</v>
      </c>
      <c r="S496" s="369">
        <f>'II-I-DIST'!S496+'II-I-MET'!S496+'II-I-TBILLTDCS'!S496</f>
        <v>-996.60497715394536</v>
      </c>
      <c r="T496" s="806"/>
      <c r="U496" s="98">
        <f>SUM(I496:T496)</f>
        <v>-308940.13999999996</v>
      </c>
      <c r="V496" s="64"/>
      <c r="X496" s="305"/>
    </row>
    <row r="497" spans="1:24" ht="15" x14ac:dyDescent="0.25">
      <c r="A497" s="45"/>
      <c r="B497" s="16">
        <f t="shared" si="141"/>
        <v>5</v>
      </c>
      <c r="C497" s="41"/>
      <c r="D497" s="611"/>
      <c r="E497" s="806"/>
      <c r="F497" s="98">
        <f>' WP II-I-1.4'!L497</f>
        <v>0</v>
      </c>
      <c r="G497" s="293"/>
      <c r="H497" s="1"/>
      <c r="I497" s="806"/>
      <c r="J497" s="369">
        <f>'II-I-DIST'!J497+'II-I-MET'!J497+'II-I-TBILLTDCS'!J497</f>
        <v>0</v>
      </c>
      <c r="K497" s="369">
        <f>'II-I-DIST'!K497+'II-I-MET'!K497+'II-I-TBILLTDCS'!K497</f>
        <v>0</v>
      </c>
      <c r="L497" s="369">
        <f>'II-I-DIST'!L497+'II-I-MET'!L497+'II-I-TBILLTDCS'!L497</f>
        <v>0</v>
      </c>
      <c r="M497" s="369">
        <f>'II-I-DIST'!M497+'II-I-MET'!M497+'II-I-TBILLTDCS'!M497</f>
        <v>0</v>
      </c>
      <c r="N497" s="369">
        <f>'II-I-DIST'!N497+'II-I-MET'!N497+'II-I-TBILLTDCS'!N497</f>
        <v>0</v>
      </c>
      <c r="O497" s="369">
        <f>'II-I-DIST'!O497+'II-I-MET'!O497+'II-I-TBILLTDCS'!O497</f>
        <v>0</v>
      </c>
      <c r="P497" s="369">
        <f>'II-I-DIST'!P497+'II-I-MET'!P497+'II-I-TBILLTDCS'!P497</f>
        <v>0</v>
      </c>
      <c r="Q497" s="369">
        <f>'II-I-DIST'!Q497+'II-I-MET'!Q497+'II-I-TBILLTDCS'!Q497</f>
        <v>0</v>
      </c>
      <c r="R497" s="369">
        <f>'II-I-DIST'!R497+'II-I-MET'!R497+'II-I-TBILLTDCS'!R497</f>
        <v>0</v>
      </c>
      <c r="S497" s="369">
        <f>'II-I-DIST'!S497+'II-I-MET'!S497+'II-I-TBILLTDCS'!S497</f>
        <v>0</v>
      </c>
      <c r="T497" s="806"/>
      <c r="U497" s="98">
        <f>SUM(I497:T497)</f>
        <v>0</v>
      </c>
      <c r="V497" s="64"/>
      <c r="X497" s="305"/>
    </row>
    <row r="498" spans="1:24" ht="15" x14ac:dyDescent="0.25">
      <c r="A498" s="45"/>
      <c r="B498" s="16">
        <f t="shared" si="141"/>
        <v>6</v>
      </c>
      <c r="C498" s="41"/>
      <c r="D498" s="611"/>
      <c r="E498" s="806"/>
      <c r="F498" s="98">
        <f>' WP II-I-1.4'!L498</f>
        <v>0</v>
      </c>
      <c r="G498" s="293"/>
      <c r="H498" s="1"/>
      <c r="I498" s="806"/>
      <c r="J498" s="369">
        <f>'II-I-DIST'!J498+'II-I-MET'!J498+'II-I-TBILLTDCS'!J498</f>
        <v>0</v>
      </c>
      <c r="K498" s="369">
        <f>'II-I-DIST'!K498+'II-I-MET'!K498+'II-I-TBILLTDCS'!K498</f>
        <v>0</v>
      </c>
      <c r="L498" s="369">
        <f>'II-I-DIST'!L498+'II-I-MET'!L498+'II-I-TBILLTDCS'!L498</f>
        <v>0</v>
      </c>
      <c r="M498" s="369">
        <f>'II-I-DIST'!M498+'II-I-MET'!M498+'II-I-TBILLTDCS'!M498</f>
        <v>0</v>
      </c>
      <c r="N498" s="369">
        <f>'II-I-DIST'!N498+'II-I-MET'!N498+'II-I-TBILLTDCS'!N498</f>
        <v>0</v>
      </c>
      <c r="O498" s="369">
        <f>'II-I-DIST'!O498+'II-I-MET'!O498+'II-I-TBILLTDCS'!O498</f>
        <v>0</v>
      </c>
      <c r="P498" s="369">
        <f>'II-I-DIST'!P498+'II-I-MET'!P498+'II-I-TBILLTDCS'!P498</f>
        <v>0</v>
      </c>
      <c r="Q498" s="369">
        <f>'II-I-DIST'!Q498+'II-I-MET'!Q498+'II-I-TBILLTDCS'!Q498</f>
        <v>0</v>
      </c>
      <c r="R498" s="369">
        <f>'II-I-DIST'!R498+'II-I-MET'!R498+'II-I-TBILLTDCS'!R498</f>
        <v>0</v>
      </c>
      <c r="S498" s="369">
        <f>'II-I-DIST'!S498+'II-I-MET'!S498+'II-I-TBILLTDCS'!S498</f>
        <v>0</v>
      </c>
      <c r="T498" s="806"/>
      <c r="U498" s="98">
        <f>SUM(I498:T498)</f>
        <v>0</v>
      </c>
      <c r="V498" s="64"/>
      <c r="X498" s="305"/>
    </row>
    <row r="499" spans="1:24" ht="15" x14ac:dyDescent="0.25">
      <c r="A499" s="45"/>
      <c r="B499" s="16">
        <f t="shared" si="141"/>
        <v>7</v>
      </c>
      <c r="C499" s="34"/>
      <c r="D499" s="42" t="s">
        <v>444</v>
      </c>
      <c r="E499" s="287"/>
      <c r="F499" s="37">
        <f>SUM(F494:F498)</f>
        <v>-2280492.08</v>
      </c>
      <c r="G499" s="287"/>
      <c r="H499" s="287"/>
      <c r="I499" s="287"/>
      <c r="J499" s="807">
        <f t="shared" ref="J499:U499" si="142">SUM(J494:J498)</f>
        <v>-1014811.963394274</v>
      </c>
      <c r="K499" s="807">
        <f t="shared" si="142"/>
        <v>-19172.504700366735</v>
      </c>
      <c r="L499" s="807">
        <f t="shared" si="142"/>
        <v>-651818.00952916022</v>
      </c>
      <c r="M499" s="807">
        <f t="shared" si="142"/>
        <v>-305.01218934771794</v>
      </c>
      <c r="N499" s="807">
        <f t="shared" si="142"/>
        <v>-191726.72116984896</v>
      </c>
      <c r="O499" s="807">
        <f t="shared" si="142"/>
        <v>-82407.918569122892</v>
      </c>
      <c r="P499" s="807">
        <f t="shared" si="142"/>
        <v>-301400.32819689973</v>
      </c>
      <c r="Q499" s="807">
        <f t="shared" si="142"/>
        <v>-5796.6626229172625</v>
      </c>
      <c r="R499" s="807">
        <f t="shared" si="142"/>
        <v>-5696.3572866243703</v>
      </c>
      <c r="S499" s="807">
        <f t="shared" si="142"/>
        <v>-7356.6023414379015</v>
      </c>
      <c r="T499" s="807">
        <f t="shared" si="142"/>
        <v>0</v>
      </c>
      <c r="U499" s="807">
        <f t="shared" si="142"/>
        <v>-2280492.08</v>
      </c>
      <c r="V499" s="64"/>
      <c r="W499" s="1099" t="b">
        <f>' WP II-I-1.4'!$L$499=F499</f>
        <v>1</v>
      </c>
      <c r="X499" s="305">
        <f t="shared" si="139"/>
        <v>0</v>
      </c>
    </row>
    <row r="500" spans="1:24" ht="15.75" thickBot="1" x14ac:dyDescent="0.3">
      <c r="A500" s="45"/>
      <c r="B500" s="16">
        <f t="shared" si="141"/>
        <v>8</v>
      </c>
      <c r="C500" s="34"/>
      <c r="D500" s="42"/>
      <c r="E500" s="35"/>
      <c r="F500" s="37"/>
      <c r="G500" s="35"/>
      <c r="H500" s="35"/>
      <c r="I500" s="35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5"/>
      <c r="U500" s="34"/>
      <c r="V500" s="64"/>
      <c r="X500" s="305">
        <f t="shared" si="139"/>
        <v>0</v>
      </c>
    </row>
    <row r="501" spans="1:24" ht="15.75" thickBot="1" x14ac:dyDescent="0.3">
      <c r="A501" s="45"/>
      <c r="B501" s="16">
        <f t="shared" si="141"/>
        <v>9</v>
      </c>
      <c r="C501" s="276" t="s">
        <v>558</v>
      </c>
      <c r="D501" s="271"/>
      <c r="E501" s="272"/>
      <c r="F501" s="217">
        <f>+F499+F478+F435+F413+F388</f>
        <v>-1072379194.0462183</v>
      </c>
      <c r="G501" s="272"/>
      <c r="H501" s="392"/>
      <c r="I501" s="393"/>
      <c r="J501" s="291">
        <f t="shared" ref="J501:Q501" ca="1" si="143">+J499+J478+J435+J413+J388</f>
        <v>-590134745.59502959</v>
      </c>
      <c r="K501" s="217">
        <f t="shared" ca="1" si="143"/>
        <v>-22357274.784275424</v>
      </c>
      <c r="L501" s="218">
        <f t="shared" ca="1" si="143"/>
        <v>-349252760.58549964</v>
      </c>
      <c r="M501" s="291">
        <f t="shared" ca="1" si="143"/>
        <v>-817179.62243844394</v>
      </c>
      <c r="N501" s="217">
        <f t="shared" ca="1" si="143"/>
        <v>-67532956.042304114</v>
      </c>
      <c r="O501" s="217">
        <f ca="1">+O499+O478+O435+O413+O388</f>
        <v>-6579729.0810993938</v>
      </c>
      <c r="P501" s="217">
        <f t="shared" ca="1" si="143"/>
        <v>7167319.8307675179</v>
      </c>
      <c r="Q501" s="217">
        <f t="shared" ca="1" si="143"/>
        <v>-39929295.496348426</v>
      </c>
      <c r="R501" s="217">
        <f ca="1">+R499+R478+R435+R413+R388</f>
        <v>-399156.72787083808</v>
      </c>
      <c r="S501" s="218">
        <f ca="1">+S499+S478+S435+S413+S388</f>
        <v>-2543415.9421194037</v>
      </c>
      <c r="T501" s="393"/>
      <c r="U501" s="195">
        <f ca="1">SUM(I501:T501)</f>
        <v>-1072379194.0462177</v>
      </c>
      <c r="V501" s="64"/>
      <c r="W501" s="1099" t="b">
        <f>' WP II-I-1.4'!$L$501=F501</f>
        <v>1</v>
      </c>
      <c r="X501" s="305">
        <f t="shared" ca="1" si="139"/>
        <v>0</v>
      </c>
    </row>
    <row r="502" spans="1:24" x14ac:dyDescent="0.2">
      <c r="A502" s="45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X502" s="305">
        <f t="shared" si="139"/>
        <v>0</v>
      </c>
    </row>
    <row r="503" spans="1:24" x14ac:dyDescent="0.2">
      <c r="A503" s="45"/>
      <c r="B503" s="64"/>
      <c r="C503" s="64"/>
      <c r="D503" s="64"/>
      <c r="E503" s="64"/>
      <c r="F503" s="64"/>
      <c r="G503" s="64"/>
      <c r="H503" s="105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105"/>
      <c r="V503" s="105"/>
      <c r="X503" s="305"/>
    </row>
    <row r="504" spans="1:24" ht="15" thickBot="1" x14ac:dyDescent="0.25">
      <c r="A504" s="45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X504" s="305">
        <f t="shared" si="139"/>
        <v>0</v>
      </c>
    </row>
    <row r="505" spans="1:24" ht="15" x14ac:dyDescent="0.25">
      <c r="A505" s="45"/>
      <c r="B505" s="829" t="str">
        <f>+$B$4</f>
        <v>2025 RATE CASE</v>
      </c>
      <c r="C505" s="844"/>
      <c r="D505" s="872"/>
      <c r="F505" s="267"/>
      <c r="U505" s="105"/>
      <c r="X505" s="305">
        <f t="shared" si="139"/>
        <v>0</v>
      </c>
    </row>
    <row r="506" spans="1:24" ht="15" x14ac:dyDescent="0.25">
      <c r="A506" s="45"/>
      <c r="B506" s="826" t="str">
        <f>+$B$5</f>
        <v>ONCOR ELECTRIC DELIVERY COMPANY LLC</v>
      </c>
      <c r="C506" s="8"/>
      <c r="D506" s="873"/>
      <c r="F506" s="267"/>
      <c r="U506" s="105"/>
      <c r="V506" s="64"/>
      <c r="X506" s="305">
        <f t="shared" si="139"/>
        <v>0</v>
      </c>
    </row>
    <row r="507" spans="1:24" ht="15" x14ac:dyDescent="0.25">
      <c r="A507" s="45"/>
      <c r="B507" s="826" t="str">
        <f>+$B$6</f>
        <v>II-I-1-TOT:  CLASS REVENUE REQUIREMENT</v>
      </c>
      <c r="C507" s="82"/>
      <c r="D507" s="873"/>
      <c r="F507" s="267"/>
      <c r="U507" s="267"/>
      <c r="V507" s="64"/>
      <c r="X507" s="305">
        <f t="shared" si="139"/>
        <v>0</v>
      </c>
    </row>
    <row r="508" spans="1:24" ht="15" x14ac:dyDescent="0.25">
      <c r="A508" s="45"/>
      <c r="B508" s="341" t="str">
        <f>+$B$7</f>
        <v>TEST YEAR ENDING 12/31/2024</v>
      </c>
      <c r="C508" s="82"/>
      <c r="D508" s="873"/>
      <c r="F508" s="267"/>
      <c r="U508" s="267"/>
      <c r="V508" s="64"/>
      <c r="X508" s="305">
        <f t="shared" si="139"/>
        <v>0</v>
      </c>
    </row>
    <row r="509" spans="1:24" ht="15" x14ac:dyDescent="0.25">
      <c r="A509" s="45"/>
      <c r="B509" s="341" t="str">
        <f>+$B$8</f>
        <v>SPONSOR:  MATTHEW A. TROXLE</v>
      </c>
      <c r="C509" s="82"/>
      <c r="D509" s="873"/>
      <c r="F509" s="267"/>
      <c r="U509" s="267"/>
      <c r="V509" s="64"/>
      <c r="X509" s="305">
        <f t="shared" si="139"/>
        <v>0</v>
      </c>
    </row>
    <row r="510" spans="1:24" ht="10.5" customHeight="1" thickBot="1" x14ac:dyDescent="0.3">
      <c r="A510" s="45"/>
      <c r="B510" s="345"/>
      <c r="C510" s="843"/>
      <c r="D510" s="845"/>
      <c r="F510" s="267"/>
      <c r="U510" s="267"/>
      <c r="V510" s="64"/>
      <c r="X510" s="305">
        <f t="shared" si="139"/>
        <v>0</v>
      </c>
    </row>
    <row r="511" spans="1:24" ht="15" thickBot="1" x14ac:dyDescent="0.25">
      <c r="A511" s="45"/>
      <c r="B511" s="12"/>
      <c r="C511" s="13"/>
      <c r="D511" s="13"/>
      <c r="E511" s="13"/>
      <c r="F511" s="12"/>
      <c r="G511" s="13"/>
      <c r="H511" s="13"/>
      <c r="I511" s="13"/>
      <c r="J511" s="177"/>
      <c r="K511" s="177"/>
      <c r="L511" s="13"/>
      <c r="M511" s="177"/>
      <c r="N511" s="177"/>
      <c r="O511" s="177"/>
      <c r="P511" s="177"/>
      <c r="Q511" s="13"/>
      <c r="R511" s="328" t="str">
        <f>R$10</f>
        <v xml:space="preserve"> </v>
      </c>
      <c r="S511" s="329"/>
      <c r="T511" s="177"/>
      <c r="U511" s="12"/>
      <c r="V511" s="64"/>
      <c r="X511" s="305">
        <f t="shared" si="139"/>
        <v>0</v>
      </c>
    </row>
    <row r="512" spans="1:24" ht="15" x14ac:dyDescent="0.25">
      <c r="A512" s="45"/>
      <c r="B512" s="14" t="s">
        <v>2</v>
      </c>
      <c r="C512" s="14" t="s">
        <v>349</v>
      </c>
      <c r="D512" s="226" t="s">
        <v>559</v>
      </c>
      <c r="E512" s="14" t="s">
        <v>350</v>
      </c>
      <c r="F512" s="226" t="str">
        <f>F$11</f>
        <v>TOTAL</v>
      </c>
      <c r="G512" s="181" t="s">
        <v>688</v>
      </c>
      <c r="H512" s="181" t="s">
        <v>355</v>
      </c>
      <c r="I512" s="14"/>
      <c r="J512" s="181" t="s">
        <v>679</v>
      </c>
      <c r="K512" s="181" t="s">
        <v>388</v>
      </c>
      <c r="L512" s="14" t="s">
        <v>388</v>
      </c>
      <c r="M512" s="181" t="s">
        <v>389</v>
      </c>
      <c r="N512" s="181" t="s">
        <v>389</v>
      </c>
      <c r="O512" s="181" t="s">
        <v>389</v>
      </c>
      <c r="P512" s="181" t="s">
        <v>390</v>
      </c>
      <c r="Q512" s="14" t="s">
        <v>391</v>
      </c>
      <c r="R512" s="331" t="str">
        <f>R$11</f>
        <v>Wholesale</v>
      </c>
      <c r="S512" s="12" t="str">
        <f>S$11</f>
        <v>Wholesale</v>
      </c>
      <c r="T512" s="181"/>
      <c r="U512" s="14" t="s">
        <v>10</v>
      </c>
      <c r="V512" s="64"/>
      <c r="X512" s="305"/>
    </row>
    <row r="513" spans="1:24" x14ac:dyDescent="0.2">
      <c r="A513" s="45"/>
      <c r="B513" s="14"/>
      <c r="C513" s="14"/>
      <c r="D513" s="14"/>
      <c r="E513" s="14"/>
      <c r="F513" s="14" t="str">
        <f>F$12</f>
        <v>(Dist+Met+Cust)</v>
      </c>
      <c r="G513" s="181" t="s">
        <v>689</v>
      </c>
      <c r="H513" s="181" t="s">
        <v>690</v>
      </c>
      <c r="I513" s="14"/>
      <c r="J513" s="181"/>
      <c r="K513" s="181" t="s">
        <v>680</v>
      </c>
      <c r="L513" s="14" t="s">
        <v>681</v>
      </c>
      <c r="M513" s="181" t="s">
        <v>680</v>
      </c>
      <c r="N513" s="181" t="s">
        <v>681</v>
      </c>
      <c r="O513" s="181" t="s">
        <v>393</v>
      </c>
      <c r="P513" s="181"/>
      <c r="Q513" s="14"/>
      <c r="R513" s="174" t="str">
        <f>R$12</f>
        <v>XFMR</v>
      </c>
      <c r="S513" s="14" t="str">
        <f>S$12</f>
        <v>DLS</v>
      </c>
      <c r="T513" s="181"/>
      <c r="U513" s="14"/>
      <c r="V513" s="64"/>
      <c r="X513" s="305"/>
    </row>
    <row r="514" spans="1:24" ht="15" thickBot="1" x14ac:dyDescent="0.25">
      <c r="A514" s="45"/>
      <c r="B514" s="15"/>
      <c r="C514" s="15"/>
      <c r="D514" s="15"/>
      <c r="E514" s="15"/>
      <c r="F514" s="15" t="s">
        <v>13</v>
      </c>
      <c r="G514" s="15" t="s">
        <v>14</v>
      </c>
      <c r="H514" s="15" t="s">
        <v>15</v>
      </c>
      <c r="I514" s="15"/>
      <c r="J514" s="182" t="str">
        <f t="shared" ref="J514:Q514" si="144">J$13</f>
        <v>(d)</v>
      </c>
      <c r="K514" s="182" t="str">
        <f t="shared" si="144"/>
        <v>(e)</v>
      </c>
      <c r="L514" s="15" t="str">
        <f t="shared" si="144"/>
        <v>(f)</v>
      </c>
      <c r="M514" s="182" t="str">
        <f t="shared" si="144"/>
        <v>(g)</v>
      </c>
      <c r="N514" s="182" t="str">
        <f t="shared" si="144"/>
        <v>(h)</v>
      </c>
      <c r="O514" s="182" t="str">
        <f>O$13</f>
        <v>(i)</v>
      </c>
      <c r="P514" s="182" t="str">
        <f t="shared" si="144"/>
        <v>(j)</v>
      </c>
      <c r="Q514" s="182" t="str">
        <f t="shared" si="144"/>
        <v>(k)</v>
      </c>
      <c r="R514" s="182" t="str">
        <f>R$13</f>
        <v>(l)</v>
      </c>
      <c r="S514" s="15" t="str">
        <f>S$13</f>
        <v>(m)</v>
      </c>
      <c r="T514" s="15"/>
      <c r="U514" s="15" t="s">
        <v>683</v>
      </c>
      <c r="V514" s="64"/>
      <c r="X514" s="305"/>
    </row>
    <row r="515" spans="1:24" ht="9.75" customHeight="1" x14ac:dyDescent="0.2">
      <c r="A515" s="45"/>
      <c r="B515" s="64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41"/>
      <c r="V515" s="64"/>
      <c r="X515" s="305">
        <f t="shared" si="139"/>
        <v>0</v>
      </c>
    </row>
    <row r="516" spans="1:24" ht="15" x14ac:dyDescent="0.25">
      <c r="A516" s="45"/>
      <c r="B516" s="16">
        <f t="shared" ref="B516:B575" si="145">B515+1</f>
        <v>1</v>
      </c>
      <c r="C516" s="269" t="s">
        <v>110</v>
      </c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64"/>
      <c r="X516" s="305">
        <f t="shared" si="139"/>
        <v>0</v>
      </c>
    </row>
    <row r="517" spans="1:24" ht="15" x14ac:dyDescent="0.25">
      <c r="A517" s="45"/>
      <c r="B517" s="16">
        <f t="shared" si="145"/>
        <v>2</v>
      </c>
      <c r="C517" s="34" t="s">
        <v>560</v>
      </c>
      <c r="D517" s="42"/>
      <c r="E517" s="35" t="s">
        <v>127</v>
      </c>
      <c r="F517" s="290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4"/>
      <c r="V517" s="64"/>
      <c r="X517" s="305">
        <f t="shared" si="139"/>
        <v>0</v>
      </c>
    </row>
    <row r="518" spans="1:24" ht="15" x14ac:dyDescent="0.25">
      <c r="A518" s="45"/>
      <c r="B518" s="16">
        <f t="shared" si="145"/>
        <v>3</v>
      </c>
      <c r="C518" s="34" t="s">
        <v>561</v>
      </c>
      <c r="D518" s="42"/>
      <c r="E518" s="35"/>
      <c r="F518" s="290"/>
      <c r="G518" s="35"/>
      <c r="H518" s="806"/>
      <c r="I518" s="806"/>
      <c r="J518" s="806"/>
      <c r="K518" s="35"/>
      <c r="L518" s="35"/>
      <c r="M518" s="35"/>
      <c r="N518" s="35"/>
      <c r="O518" s="35"/>
      <c r="P518" s="35"/>
      <c r="Q518" s="35"/>
      <c r="R518" s="35"/>
      <c r="S518" s="35"/>
      <c r="T518" s="806"/>
      <c r="U518" s="34"/>
      <c r="V518" s="64"/>
      <c r="X518" s="305">
        <f t="shared" si="139"/>
        <v>0</v>
      </c>
    </row>
    <row r="519" spans="1:24" x14ac:dyDescent="0.2">
      <c r="A519" s="45"/>
      <c r="B519" s="16">
        <f t="shared" si="145"/>
        <v>4</v>
      </c>
      <c r="C519" s="41">
        <v>189</v>
      </c>
      <c r="D519" s="41" t="s">
        <v>1324</v>
      </c>
      <c r="E519" s="202"/>
      <c r="F519" s="229">
        <f>' WP II-I-1.4'!L519</f>
        <v>0</v>
      </c>
      <c r="G519" s="293" t="s">
        <v>751</v>
      </c>
      <c r="H519" s="1" t="s">
        <v>303</v>
      </c>
      <c r="I519" s="202"/>
      <c r="J519" s="369">
        <f ca="1">'II-I-DIST'!J519+'II-I-MET'!J519+'II-I-TBILLTDCS'!J519</f>
        <v>0</v>
      </c>
      <c r="K519" s="369">
        <f ca="1">'II-I-DIST'!K519+'II-I-MET'!K519+'II-I-TBILLTDCS'!K519</f>
        <v>0</v>
      </c>
      <c r="L519" s="369">
        <f ca="1">'II-I-DIST'!L519+'II-I-MET'!L519+'II-I-TBILLTDCS'!L519</f>
        <v>0</v>
      </c>
      <c r="M519" s="369">
        <f ca="1">'II-I-DIST'!M519+'II-I-MET'!M519+'II-I-TBILLTDCS'!M519</f>
        <v>0</v>
      </c>
      <c r="N519" s="369">
        <f ca="1">'II-I-DIST'!N519+'II-I-MET'!N519+'II-I-TBILLTDCS'!N519</f>
        <v>0</v>
      </c>
      <c r="O519" s="369">
        <f ca="1">'II-I-DIST'!O519+'II-I-MET'!O519+'II-I-TBILLTDCS'!O519</f>
        <v>0</v>
      </c>
      <c r="P519" s="369">
        <f ca="1">'II-I-DIST'!P519+'II-I-MET'!P519+'II-I-TBILLTDCS'!P519</f>
        <v>0</v>
      </c>
      <c r="Q519" s="369">
        <f ca="1">'II-I-DIST'!Q519+'II-I-MET'!Q519+'II-I-TBILLTDCS'!Q519</f>
        <v>0</v>
      </c>
      <c r="R519" s="369">
        <f ca="1">'II-I-DIST'!R519+'II-I-MET'!R519+'II-I-TBILLTDCS'!R519</f>
        <v>0</v>
      </c>
      <c r="S519" s="369">
        <f ca="1">'II-I-DIST'!S519+'II-I-MET'!S519+'II-I-TBILLTDCS'!S519</f>
        <v>0</v>
      </c>
      <c r="T519" s="202"/>
      <c r="U519" s="98">
        <f t="shared" ref="U519:U520" ca="1" si="146">SUM(I519:T519)</f>
        <v>0</v>
      </c>
      <c r="V519" s="64"/>
      <c r="X519" s="305">
        <f t="shared" ca="1" si="139"/>
        <v>0</v>
      </c>
    </row>
    <row r="520" spans="1:24" ht="15" x14ac:dyDescent="0.25">
      <c r="A520" s="45"/>
      <c r="B520" s="16">
        <f t="shared" si="145"/>
        <v>5</v>
      </c>
      <c r="C520" s="41">
        <v>182</v>
      </c>
      <c r="D520" s="41" t="s">
        <v>1242</v>
      </c>
      <c r="E520" s="806"/>
      <c r="F520" s="229">
        <f>' WP II-I-1.4'!L520</f>
        <v>493721</v>
      </c>
      <c r="G520" s="293" t="s">
        <v>751</v>
      </c>
      <c r="H520" s="1" t="s">
        <v>303</v>
      </c>
      <c r="I520" s="806"/>
      <c r="J520" s="369">
        <f ca="1">'II-I-DIST'!J520+'II-I-MET'!J520+'II-I-TBILLTDCS'!J520</f>
        <v>269776.16304128448</v>
      </c>
      <c r="K520" s="369">
        <f ca="1">'II-I-DIST'!K520+'II-I-MET'!K520+'II-I-TBILLTDCS'!K520</f>
        <v>7189.8726488892962</v>
      </c>
      <c r="L520" s="369">
        <f ca="1">'II-I-DIST'!L520+'II-I-MET'!L520+'II-I-TBILLTDCS'!L520</f>
        <v>171716.07132920731</v>
      </c>
      <c r="M520" s="369">
        <f ca="1">'II-I-DIST'!M520+'II-I-MET'!M520+'II-I-TBILLTDCS'!M520</f>
        <v>51.048611031303835</v>
      </c>
      <c r="N520" s="369">
        <f ca="1">'II-I-DIST'!N520+'II-I-MET'!N520+'II-I-TBILLTDCS'!N520</f>
        <v>32088.49729657565</v>
      </c>
      <c r="O520" s="369">
        <f ca="1">'II-I-DIST'!O520+'II-I-MET'!O520+'II-I-TBILLTDCS'!O520</f>
        <v>3369.9028785360792</v>
      </c>
      <c r="P520" s="369">
        <f ca="1">'II-I-DIST'!P520+'II-I-MET'!P520+'II-I-TBILLTDCS'!P520</f>
        <v>656.72134906545261</v>
      </c>
      <c r="Q520" s="369">
        <f ca="1">'II-I-DIST'!Q520+'II-I-MET'!Q520+'II-I-TBILLTDCS'!Q520</f>
        <v>7408.5383095294492</v>
      </c>
      <c r="R520" s="369">
        <f ca="1">'II-I-DIST'!R520+'II-I-MET'!R520+'II-I-TBILLTDCS'!R520</f>
        <v>232.94085265924886</v>
      </c>
      <c r="S520" s="369">
        <f ca="1">'II-I-DIST'!S520+'II-I-MET'!S520+'II-I-TBILLTDCS'!S520</f>
        <v>1231.2436832218432</v>
      </c>
      <c r="T520" s="806"/>
      <c r="U520" s="98">
        <f t="shared" ca="1" si="146"/>
        <v>493721.00000000012</v>
      </c>
      <c r="V520" s="64"/>
      <c r="X520" s="305">
        <f t="shared" ca="1" si="139"/>
        <v>0</v>
      </c>
    </row>
    <row r="521" spans="1:24" ht="15" x14ac:dyDescent="0.25">
      <c r="A521" s="45"/>
      <c r="B521" s="16">
        <f t="shared" si="145"/>
        <v>6</v>
      </c>
      <c r="C521" s="41">
        <v>182</v>
      </c>
      <c r="D521" s="41" t="s">
        <v>1243</v>
      </c>
      <c r="E521" s="806"/>
      <c r="F521" s="229">
        <f>' WP II-I-1.4'!L521</f>
        <v>727219.48</v>
      </c>
      <c r="G521" s="293" t="s">
        <v>751</v>
      </c>
      <c r="H521" s="1" t="s">
        <v>303</v>
      </c>
      <c r="I521" s="806"/>
      <c r="J521" s="369">
        <f ca="1">'II-I-DIST'!J521+'II-I-MET'!J521+'II-I-TBILLTDCS'!J521</f>
        <v>397363.04715269979</v>
      </c>
      <c r="K521" s="369">
        <f ca="1">'II-I-DIST'!K521+'II-I-MET'!K521+'II-I-TBILLTDCS'!K521</f>
        <v>10590.222917379444</v>
      </c>
      <c r="L521" s="369">
        <f ca="1">'II-I-DIST'!L521+'II-I-MET'!L521+'II-I-TBILLTDCS'!L521</f>
        <v>252926.79894043203</v>
      </c>
      <c r="M521" s="369">
        <f ca="1">'II-I-DIST'!M521+'II-I-MET'!M521+'II-I-TBILLTDCS'!M521</f>
        <v>75.19134160569844</v>
      </c>
      <c r="N521" s="369">
        <f ca="1">'II-I-DIST'!N521+'II-I-MET'!N521+'II-I-TBILLTDCS'!N521</f>
        <v>47264.305788081023</v>
      </c>
      <c r="O521" s="369">
        <f ca="1">'II-I-DIST'!O521+'II-I-MET'!O521+'II-I-TBILLTDCS'!O521</f>
        <v>4963.6515744307217</v>
      </c>
      <c r="P521" s="369">
        <f ca="1">'II-I-DIST'!P521+'II-I-MET'!P521+'II-I-TBILLTDCS'!P521</f>
        <v>967.30857705521328</v>
      </c>
      <c r="Q521" s="369">
        <f ca="1">'II-I-DIST'!Q521+'II-I-MET'!Q521+'II-I-TBILLTDCS'!Q521</f>
        <v>10912.303460894078</v>
      </c>
      <c r="R521" s="369">
        <f ca="1">'II-I-DIST'!R521+'II-I-MET'!R521+'II-I-TBILLTDCS'!R521</f>
        <v>343.10698905174291</v>
      </c>
      <c r="S521" s="369">
        <f ca="1">'II-I-DIST'!S521+'II-I-MET'!S521+'II-I-TBILLTDCS'!S521</f>
        <v>1813.5432583703621</v>
      </c>
      <c r="T521" s="806"/>
      <c r="U521" s="98">
        <f t="shared" ref="U521:U547" ca="1" si="147">SUM(I521:T521)</f>
        <v>727219.48000000021</v>
      </c>
      <c r="V521" s="64"/>
      <c r="X521" s="305">
        <f t="shared" ref="X521:X555" ca="1" si="148">U521-F521</f>
        <v>0</v>
      </c>
    </row>
    <row r="522" spans="1:24" ht="15" x14ac:dyDescent="0.25">
      <c r="A522" s="45"/>
      <c r="B522" s="16">
        <f t="shared" si="145"/>
        <v>7</v>
      </c>
      <c r="C522" s="41">
        <v>182</v>
      </c>
      <c r="D522" s="41" t="s">
        <v>1244</v>
      </c>
      <c r="E522" s="806"/>
      <c r="F522" s="229">
        <f>' WP II-I-1.4'!L522</f>
        <v>0</v>
      </c>
      <c r="G522" s="293" t="s">
        <v>751</v>
      </c>
      <c r="H522" s="1" t="s">
        <v>303</v>
      </c>
      <c r="I522" s="806"/>
      <c r="J522" s="369">
        <f ca="1">'II-I-DIST'!J522+'II-I-MET'!J522+'II-I-TBILLTDCS'!J522</f>
        <v>0</v>
      </c>
      <c r="K522" s="369">
        <f ca="1">'II-I-DIST'!K522+'II-I-MET'!K522+'II-I-TBILLTDCS'!K522</f>
        <v>0</v>
      </c>
      <c r="L522" s="369">
        <f ca="1">'II-I-DIST'!L522+'II-I-MET'!L522+'II-I-TBILLTDCS'!L522</f>
        <v>0</v>
      </c>
      <c r="M522" s="369">
        <f ca="1">'II-I-DIST'!M522+'II-I-MET'!M522+'II-I-TBILLTDCS'!M522</f>
        <v>0</v>
      </c>
      <c r="N522" s="369">
        <f ca="1">'II-I-DIST'!N522+'II-I-MET'!N522+'II-I-TBILLTDCS'!N522</f>
        <v>0</v>
      </c>
      <c r="O522" s="369">
        <f ca="1">'II-I-DIST'!O522+'II-I-MET'!O522+'II-I-TBILLTDCS'!O522</f>
        <v>0</v>
      </c>
      <c r="P522" s="369">
        <f ca="1">'II-I-DIST'!P522+'II-I-MET'!P522+'II-I-TBILLTDCS'!P522</f>
        <v>0</v>
      </c>
      <c r="Q522" s="369">
        <f ca="1">'II-I-DIST'!Q522+'II-I-MET'!Q522+'II-I-TBILLTDCS'!Q522</f>
        <v>0</v>
      </c>
      <c r="R522" s="369">
        <f ca="1">'II-I-DIST'!R522+'II-I-MET'!R522+'II-I-TBILLTDCS'!R522</f>
        <v>0</v>
      </c>
      <c r="S522" s="369">
        <f ca="1">'II-I-DIST'!S522+'II-I-MET'!S522+'II-I-TBILLTDCS'!S522</f>
        <v>0</v>
      </c>
      <c r="T522" s="806"/>
      <c r="U522" s="98">
        <f t="shared" ca="1" si="147"/>
        <v>0</v>
      </c>
      <c r="V522" s="64"/>
      <c r="X522" s="305">
        <f t="shared" ca="1" si="148"/>
        <v>0</v>
      </c>
    </row>
    <row r="523" spans="1:24" ht="15" x14ac:dyDescent="0.25">
      <c r="A523" s="45"/>
      <c r="B523" s="16">
        <f t="shared" si="145"/>
        <v>8</v>
      </c>
      <c r="C523" s="41">
        <v>182</v>
      </c>
      <c r="D523" s="41" t="s">
        <v>1245</v>
      </c>
      <c r="E523" s="806"/>
      <c r="F523" s="229">
        <f>' WP II-I-1.4'!L523</f>
        <v>0</v>
      </c>
      <c r="G523" s="293" t="s">
        <v>751</v>
      </c>
      <c r="H523" s="1" t="s">
        <v>303</v>
      </c>
      <c r="I523" s="806"/>
      <c r="J523" s="369">
        <f ca="1">'II-I-DIST'!J523+'II-I-MET'!J523+'II-I-TBILLTDCS'!J523</f>
        <v>0</v>
      </c>
      <c r="K523" s="369">
        <f ca="1">'II-I-DIST'!K523+'II-I-MET'!K523+'II-I-TBILLTDCS'!K523</f>
        <v>0</v>
      </c>
      <c r="L523" s="369">
        <f ca="1">'II-I-DIST'!L523+'II-I-MET'!L523+'II-I-TBILLTDCS'!L523</f>
        <v>0</v>
      </c>
      <c r="M523" s="369">
        <f ca="1">'II-I-DIST'!M523+'II-I-MET'!M523+'II-I-TBILLTDCS'!M523</f>
        <v>0</v>
      </c>
      <c r="N523" s="369">
        <f ca="1">'II-I-DIST'!N523+'II-I-MET'!N523+'II-I-TBILLTDCS'!N523</f>
        <v>0</v>
      </c>
      <c r="O523" s="369">
        <f ca="1">'II-I-DIST'!O523+'II-I-MET'!O523+'II-I-TBILLTDCS'!O523</f>
        <v>0</v>
      </c>
      <c r="P523" s="369">
        <f ca="1">'II-I-DIST'!P523+'II-I-MET'!P523+'II-I-TBILLTDCS'!P523</f>
        <v>0</v>
      </c>
      <c r="Q523" s="369">
        <f ca="1">'II-I-DIST'!Q523+'II-I-MET'!Q523+'II-I-TBILLTDCS'!Q523</f>
        <v>0</v>
      </c>
      <c r="R523" s="369">
        <f ca="1">'II-I-DIST'!R523+'II-I-MET'!R523+'II-I-TBILLTDCS'!R523</f>
        <v>0</v>
      </c>
      <c r="S523" s="369">
        <f ca="1">'II-I-DIST'!S523+'II-I-MET'!S523+'II-I-TBILLTDCS'!S523</f>
        <v>0</v>
      </c>
      <c r="T523" s="806"/>
      <c r="U523" s="98">
        <f t="shared" ca="1" si="147"/>
        <v>0</v>
      </c>
      <c r="V523" s="64"/>
      <c r="X523" s="305">
        <f t="shared" ca="1" si="148"/>
        <v>0</v>
      </c>
    </row>
    <row r="524" spans="1:24" ht="15" x14ac:dyDescent="0.25">
      <c r="A524" s="45"/>
      <c r="B524" s="16">
        <f t="shared" si="145"/>
        <v>9</v>
      </c>
      <c r="C524" s="41">
        <v>182</v>
      </c>
      <c r="D524" s="41" t="s">
        <v>1246</v>
      </c>
      <c r="E524" s="806"/>
      <c r="F524" s="229">
        <f>' WP II-I-1.4'!L524</f>
        <v>213256.8</v>
      </c>
      <c r="G524" s="293" t="s">
        <v>751</v>
      </c>
      <c r="H524" s="1" t="s">
        <v>303</v>
      </c>
      <c r="I524" s="806"/>
      <c r="J524" s="369">
        <f ca="1">'II-I-DIST'!J524+'II-I-MET'!J524+'II-I-TBILLTDCS'!J524</f>
        <v>114570.93846575299</v>
      </c>
      <c r="K524" s="369">
        <f ca="1">'II-I-DIST'!K524+'II-I-MET'!K524+'II-I-TBILLTDCS'!K524</f>
        <v>3701.631143544229</v>
      </c>
      <c r="L524" s="369">
        <f ca="1">'II-I-DIST'!L524+'II-I-MET'!L524+'II-I-TBILLTDCS'!L524</f>
        <v>72442.104910401278</v>
      </c>
      <c r="M524" s="369">
        <f ca="1">'II-I-DIST'!M524+'II-I-MET'!M524+'II-I-TBILLTDCS'!M524</f>
        <v>20.954870463201971</v>
      </c>
      <c r="N524" s="369">
        <f ca="1">'II-I-DIST'!N524+'II-I-MET'!N524+'II-I-TBILLTDCS'!N524</f>
        <v>13171.960815862676</v>
      </c>
      <c r="O524" s="369">
        <f ca="1">'II-I-DIST'!O524+'II-I-MET'!O524+'II-I-TBILLTDCS'!O524</f>
        <v>1432.598778955334</v>
      </c>
      <c r="P524" s="369">
        <f ca="1">'II-I-DIST'!P524+'II-I-MET'!P524+'II-I-TBILLTDCS'!P524</f>
        <v>248.18338641957544</v>
      </c>
      <c r="Q524" s="369">
        <f ca="1">'II-I-DIST'!Q524+'II-I-MET'!Q524+'II-I-TBILLTDCS'!Q524</f>
        <v>7063.9893664210776</v>
      </c>
      <c r="R524" s="369">
        <f ca="1">'II-I-DIST'!R524+'II-I-MET'!R524+'II-I-TBILLTDCS'!R524</f>
        <v>99.026824545585029</v>
      </c>
      <c r="S524" s="369">
        <f ca="1">'II-I-DIST'!S524+'II-I-MET'!S524+'II-I-TBILLTDCS'!S524</f>
        <v>505.41143763398543</v>
      </c>
      <c r="T524" s="806"/>
      <c r="U524" s="98">
        <f t="shared" ca="1" si="147"/>
        <v>213256.7999999999</v>
      </c>
      <c r="V524" s="64"/>
      <c r="X524" s="305">
        <f t="shared" ca="1" si="148"/>
        <v>0</v>
      </c>
    </row>
    <row r="525" spans="1:24" ht="15" x14ac:dyDescent="0.25">
      <c r="A525" s="45"/>
      <c r="B525" s="16">
        <f t="shared" si="145"/>
        <v>10</v>
      </c>
      <c r="C525" s="41">
        <v>182</v>
      </c>
      <c r="D525" s="41" t="s">
        <v>1247</v>
      </c>
      <c r="E525" s="806"/>
      <c r="F525" s="229">
        <f>' WP II-I-1.4'!L525</f>
        <v>0</v>
      </c>
      <c r="G525" s="293" t="s">
        <v>751</v>
      </c>
      <c r="H525" s="1" t="s">
        <v>303</v>
      </c>
      <c r="I525" s="806"/>
      <c r="J525" s="369">
        <f ca="1">'II-I-DIST'!J525+'II-I-MET'!J525+'II-I-TBILLTDCS'!J525</f>
        <v>0</v>
      </c>
      <c r="K525" s="369">
        <f ca="1">'II-I-DIST'!K525+'II-I-MET'!K525+'II-I-TBILLTDCS'!K525</f>
        <v>0</v>
      </c>
      <c r="L525" s="369">
        <f ca="1">'II-I-DIST'!L525+'II-I-MET'!L525+'II-I-TBILLTDCS'!L525</f>
        <v>0</v>
      </c>
      <c r="M525" s="369">
        <f ca="1">'II-I-DIST'!M525+'II-I-MET'!M525+'II-I-TBILLTDCS'!M525</f>
        <v>0</v>
      </c>
      <c r="N525" s="369">
        <f ca="1">'II-I-DIST'!N525+'II-I-MET'!N525+'II-I-TBILLTDCS'!N525</f>
        <v>0</v>
      </c>
      <c r="O525" s="369">
        <f ca="1">'II-I-DIST'!O525+'II-I-MET'!O525+'II-I-TBILLTDCS'!O525</f>
        <v>0</v>
      </c>
      <c r="P525" s="369">
        <f ca="1">'II-I-DIST'!P525+'II-I-MET'!P525+'II-I-TBILLTDCS'!P525</f>
        <v>0</v>
      </c>
      <c r="Q525" s="369">
        <f ca="1">'II-I-DIST'!Q525+'II-I-MET'!Q525+'II-I-TBILLTDCS'!Q525</f>
        <v>0</v>
      </c>
      <c r="R525" s="369">
        <f ca="1">'II-I-DIST'!R525+'II-I-MET'!R525+'II-I-TBILLTDCS'!R525</f>
        <v>0</v>
      </c>
      <c r="S525" s="369">
        <f ca="1">'II-I-DIST'!S525+'II-I-MET'!S525+'II-I-TBILLTDCS'!S525</f>
        <v>0</v>
      </c>
      <c r="T525" s="806"/>
      <c r="U525" s="98">
        <f t="shared" ca="1" si="147"/>
        <v>0</v>
      </c>
      <c r="V525" s="64"/>
      <c r="X525" s="305">
        <f t="shared" ca="1" si="148"/>
        <v>0</v>
      </c>
    </row>
    <row r="526" spans="1:24" ht="15" x14ac:dyDescent="0.25">
      <c r="A526" s="45"/>
      <c r="B526" s="16">
        <f t="shared" si="145"/>
        <v>11</v>
      </c>
      <c r="C526" s="41">
        <v>182</v>
      </c>
      <c r="D526" s="41" t="s">
        <v>1248</v>
      </c>
      <c r="E526" s="806"/>
      <c r="F526" s="229">
        <f>' WP II-I-1.4'!L526</f>
        <v>5231900.28</v>
      </c>
      <c r="G526" s="293" t="s">
        <v>751</v>
      </c>
      <c r="H526" s="1" t="s">
        <v>303</v>
      </c>
      <c r="I526" s="806"/>
      <c r="J526" s="369">
        <f ca="1">'II-I-DIST'!J526+'II-I-MET'!J526+'II-I-TBILLTDCS'!J526</f>
        <v>2581810.2394132023</v>
      </c>
      <c r="K526" s="369">
        <f ca="1">'II-I-DIST'!K526+'II-I-MET'!K526+'II-I-TBILLTDCS'!K526</f>
        <v>360247.15467263956</v>
      </c>
      <c r="L526" s="369">
        <f ca="1">'II-I-DIST'!L526+'II-I-MET'!L526+'II-I-TBILLTDCS'!L526</f>
        <v>1407980.7304031453</v>
      </c>
      <c r="M526" s="369">
        <f ca="1">'II-I-DIST'!M526+'II-I-MET'!M526+'II-I-TBILLTDCS'!M526</f>
        <v>59226.953112977179</v>
      </c>
      <c r="N526" s="369">
        <f ca="1">'II-I-DIST'!N526+'II-I-MET'!N526+'II-I-TBILLTDCS'!N526</f>
        <v>455911.26389233355</v>
      </c>
      <c r="O526" s="369">
        <f ca="1">'II-I-DIST'!O526+'II-I-MET'!O526+'II-I-TBILLTDCS'!O526</f>
        <v>14958.792593005406</v>
      </c>
      <c r="P526" s="369">
        <f ca="1">'II-I-DIST'!P526+'II-I-MET'!P526+'II-I-TBILLTDCS'!P526</f>
        <v>31202.389457802696</v>
      </c>
      <c r="Q526" s="369">
        <f ca="1">'II-I-DIST'!Q526+'II-I-MET'!Q526+'II-I-TBILLTDCS'!Q526</f>
        <v>320562.75645489444</v>
      </c>
      <c r="R526" s="369">
        <f ca="1">'II-I-DIST'!R526+'II-I-MET'!R526+'II-I-TBILLTDCS'!R526</f>
        <v>0</v>
      </c>
      <c r="S526" s="369">
        <f ca="1">'II-I-DIST'!S526+'II-I-MET'!S526+'II-I-TBILLTDCS'!S526</f>
        <v>0</v>
      </c>
      <c r="T526" s="806"/>
      <c r="U526" s="98">
        <f t="shared" ca="1" si="147"/>
        <v>5231900.28</v>
      </c>
      <c r="V526" s="64"/>
      <c r="X526" s="305">
        <f t="shared" ca="1" si="148"/>
        <v>0</v>
      </c>
    </row>
    <row r="527" spans="1:24" ht="15" x14ac:dyDescent="0.25">
      <c r="A527" s="45"/>
      <c r="B527" s="16">
        <f t="shared" si="145"/>
        <v>12</v>
      </c>
      <c r="C527" s="41">
        <v>182</v>
      </c>
      <c r="D527" s="41" t="s">
        <v>1249</v>
      </c>
      <c r="E527" s="202"/>
      <c r="F527" s="229">
        <f>' WP II-I-1.4'!L527</f>
        <v>2661400.7999999998</v>
      </c>
      <c r="G527" s="293" t="s">
        <v>751</v>
      </c>
      <c r="H527" s="1" t="s">
        <v>303</v>
      </c>
      <c r="I527" s="202"/>
      <c r="J527" s="369">
        <f ca="1">'II-I-DIST'!J527+'II-I-MET'!J527+'II-I-TBILLTDCS'!J527</f>
        <v>1313333.8689365247</v>
      </c>
      <c r="K527" s="369">
        <f ca="1">'II-I-DIST'!K527+'II-I-MET'!K527+'II-I-TBILLTDCS'!K527</f>
        <v>183253.12302081691</v>
      </c>
      <c r="L527" s="369">
        <f ca="1">'II-I-DIST'!L527+'II-I-MET'!L527+'II-I-TBILLTDCS'!L527</f>
        <v>716221.80120747921</v>
      </c>
      <c r="M527" s="369">
        <f ca="1">'II-I-DIST'!M527+'II-I-MET'!M527+'II-I-TBILLTDCS'!M527</f>
        <v>30127.994029052847</v>
      </c>
      <c r="N527" s="369">
        <f ca="1">'II-I-DIST'!N527+'II-I-MET'!N527+'II-I-TBILLTDCS'!N527</f>
        <v>231916.23263355996</v>
      </c>
      <c r="O527" s="369">
        <f ca="1">'II-I-DIST'!O527+'II-I-MET'!O527+'II-I-TBILLTDCS'!O527</f>
        <v>7609.3465936737348</v>
      </c>
      <c r="P527" s="369">
        <f ca="1">'II-I-DIST'!P527+'II-I-MET'!P527+'II-I-TBILLTDCS'!P527</f>
        <v>15872.256698460555</v>
      </c>
      <c r="Q527" s="369">
        <f ca="1">'II-I-DIST'!Q527+'II-I-MET'!Q527+'II-I-TBILLTDCS'!Q527</f>
        <v>163066.17688043189</v>
      </c>
      <c r="R527" s="369">
        <f ca="1">'II-I-DIST'!R527+'II-I-MET'!R527+'II-I-TBILLTDCS'!R527</f>
        <v>0</v>
      </c>
      <c r="S527" s="369">
        <f ca="1">'II-I-DIST'!S527+'II-I-MET'!S527+'II-I-TBILLTDCS'!S527</f>
        <v>0</v>
      </c>
      <c r="T527" s="806"/>
      <c r="U527" s="98">
        <f t="shared" ca="1" si="147"/>
        <v>2661400.8000000003</v>
      </c>
      <c r="V527" s="64"/>
      <c r="X527" s="305">
        <f t="shared" ca="1" si="148"/>
        <v>0</v>
      </c>
    </row>
    <row r="528" spans="1:24" ht="15" x14ac:dyDescent="0.25">
      <c r="A528" s="45"/>
      <c r="B528" s="16">
        <f t="shared" si="145"/>
        <v>13</v>
      </c>
      <c r="C528" s="611">
        <v>182</v>
      </c>
      <c r="D528" s="611" t="s">
        <v>1250</v>
      </c>
      <c r="E528" s="806"/>
      <c r="F528" s="229">
        <f>' WP II-I-1.4'!L528</f>
        <v>21149798.280000001</v>
      </c>
      <c r="G528" s="293" t="s">
        <v>751</v>
      </c>
      <c r="H528" s="1" t="s">
        <v>303</v>
      </c>
      <c r="I528" s="806"/>
      <c r="J528" s="369">
        <f ca="1">'II-I-DIST'!J528+'II-I-MET'!J528+'II-I-TBILLTDCS'!J528</f>
        <v>11338795.339641897</v>
      </c>
      <c r="K528" s="369">
        <f ca="1">'II-I-DIST'!K528+'II-I-MET'!K528+'II-I-TBILLTDCS'!K528</f>
        <v>471620.88227095513</v>
      </c>
      <c r="L528" s="369">
        <f ca="1">'II-I-DIST'!L528+'II-I-MET'!L528+'II-I-TBILLTDCS'!L528</f>
        <v>7087885.9502429683</v>
      </c>
      <c r="M528" s="369">
        <f ca="1">'II-I-DIST'!M528+'II-I-MET'!M528+'II-I-TBILLTDCS'!M528</f>
        <v>24491.960653075512</v>
      </c>
      <c r="N528" s="369">
        <f ca="1">'II-I-DIST'!N528+'II-I-MET'!N528+'II-I-TBILLTDCS'!N528</f>
        <v>1365138.9355262066</v>
      </c>
      <c r="O528" s="369">
        <f ca="1">'II-I-DIST'!O528+'II-I-MET'!O528+'II-I-TBILLTDCS'!O528</f>
        <v>135260.39850431384</v>
      </c>
      <c r="P528" s="369">
        <f ca="1">'II-I-DIST'!P528+'II-I-MET'!P528+'II-I-TBILLTDCS'!P528</f>
        <v>34351.046338812906</v>
      </c>
      <c r="Q528" s="369">
        <f ca="1">'II-I-DIST'!Q528+'II-I-MET'!Q528+'II-I-TBILLTDCS'!Q528</f>
        <v>692253.76682176744</v>
      </c>
      <c r="R528" s="369">
        <f ca="1">'II-I-DIST'!R528+'II-I-MET'!R528+'II-I-TBILLTDCS'!R528</f>
        <v>0</v>
      </c>
      <c r="S528" s="369">
        <f ca="1">'II-I-DIST'!S528+'II-I-MET'!S528+'II-I-TBILLTDCS'!S528</f>
        <v>0</v>
      </c>
      <c r="T528" s="806"/>
      <c r="U528" s="98">
        <f t="shared" ca="1" si="147"/>
        <v>21149798.279999994</v>
      </c>
      <c r="V528" s="64"/>
      <c r="X528" s="305">
        <f t="shared" ca="1" si="148"/>
        <v>0</v>
      </c>
    </row>
    <row r="529" spans="1:24" ht="15" x14ac:dyDescent="0.25">
      <c r="A529" s="45"/>
      <c r="B529" s="16">
        <f t="shared" si="145"/>
        <v>14</v>
      </c>
      <c r="C529" s="41">
        <v>182</v>
      </c>
      <c r="D529" s="41" t="s">
        <v>1251</v>
      </c>
      <c r="E529" s="806"/>
      <c r="F529" s="229">
        <f>' WP II-I-1.4'!L529</f>
        <v>2225782.62</v>
      </c>
      <c r="G529" s="293" t="s">
        <v>751</v>
      </c>
      <c r="H529" s="1" t="s">
        <v>303</v>
      </c>
      <c r="I529" s="806"/>
      <c r="J529" s="369">
        <f ca="1">'II-I-DIST'!J529+'II-I-MET'!J529+'II-I-TBILLTDCS'!J529</f>
        <v>1194110.7690710286</v>
      </c>
      <c r="K529" s="369">
        <f ca="1">'II-I-DIST'!K529+'II-I-MET'!K529+'II-I-TBILLTDCS'!K529</f>
        <v>47855.08061466246</v>
      </c>
      <c r="L529" s="369">
        <f ca="1">'II-I-DIST'!L529+'II-I-MET'!L529+'II-I-TBILLTDCS'!L529</f>
        <v>747827.39744176681</v>
      </c>
      <c r="M529" s="369">
        <f ca="1">'II-I-DIST'!M529+'II-I-MET'!M529+'II-I-TBILLTDCS'!M529</f>
        <v>2193.1118026523523</v>
      </c>
      <c r="N529" s="369">
        <f ca="1">'II-I-DIST'!N529+'II-I-MET'!N529+'II-I-TBILLTDCS'!N529</f>
        <v>142701.9775504914</v>
      </c>
      <c r="O529" s="369">
        <f ca="1">'II-I-DIST'!O529+'II-I-MET'!O529+'II-I-TBILLTDCS'!O529</f>
        <v>14356.506602687807</v>
      </c>
      <c r="P529" s="369">
        <f ca="1">'II-I-DIST'!P529+'II-I-MET'!P529+'II-I-TBILLTDCS'!P529</f>
        <v>3448.8782797537624</v>
      </c>
      <c r="Q529" s="369">
        <f ca="1">'II-I-DIST'!Q529+'II-I-MET'!Q529+'II-I-TBILLTDCS'!Q529</f>
        <v>73288.898636956437</v>
      </c>
      <c r="R529" s="369">
        <f ca="1">'II-I-DIST'!R529+'II-I-MET'!R529+'II-I-TBILLTDCS'!R529</f>
        <v>0</v>
      </c>
      <c r="S529" s="369">
        <f ca="1">'II-I-DIST'!S529+'II-I-MET'!S529+'II-I-TBILLTDCS'!S529</f>
        <v>0</v>
      </c>
      <c r="T529" s="806"/>
      <c r="U529" s="98">
        <f t="shared" ca="1" si="147"/>
        <v>2225782.6199999996</v>
      </c>
      <c r="V529" s="64"/>
      <c r="X529" s="305">
        <f t="shared" ca="1" si="148"/>
        <v>0</v>
      </c>
    </row>
    <row r="530" spans="1:24" s="321" customFormat="1" ht="15" x14ac:dyDescent="0.25">
      <c r="A530" s="45"/>
      <c r="B530" s="16">
        <f t="shared" si="145"/>
        <v>15</v>
      </c>
      <c r="C530" s="41">
        <v>182</v>
      </c>
      <c r="D530" s="41" t="s">
        <v>128</v>
      </c>
      <c r="E530" s="806"/>
      <c r="F530" s="229">
        <f>' WP II-I-1.4'!L530</f>
        <v>49786075.890000001</v>
      </c>
      <c r="G530" s="293" t="s">
        <v>751</v>
      </c>
      <c r="H530" s="1" t="s">
        <v>303</v>
      </c>
      <c r="I530" s="806"/>
      <c r="J530" s="369">
        <f ca="1">'II-I-DIST'!J530+'II-I-MET'!J530+'II-I-TBILLTDCS'!J530</f>
        <v>26328021.525451198</v>
      </c>
      <c r="K530" s="369">
        <f ca="1">'II-I-DIST'!K530+'II-I-MET'!K530+'II-I-TBILLTDCS'!K530</f>
        <v>1287071.8229966434</v>
      </c>
      <c r="L530" s="369">
        <f ca="1">'II-I-DIST'!L530+'II-I-MET'!L530+'II-I-TBILLTDCS'!L530</f>
        <v>16317907.821208989</v>
      </c>
      <c r="M530" s="369">
        <f ca="1">'II-I-DIST'!M530+'II-I-MET'!M530+'II-I-TBILLTDCS'!M530</f>
        <v>155295.30409656963</v>
      </c>
      <c r="N530" s="369">
        <f ca="1">'II-I-DIST'!N530+'II-I-MET'!N530+'II-I-TBILLTDCS'!N530</f>
        <v>4390094.2527172677</v>
      </c>
      <c r="O530" s="369">
        <f ca="1">'II-I-DIST'!O530+'II-I-MET'!O530+'II-I-TBILLTDCS'!O530</f>
        <v>476721.80883916828</v>
      </c>
      <c r="P530" s="369">
        <f ca="1">'II-I-DIST'!P530+'II-I-MET'!P530+'II-I-TBILLTDCS'!P530</f>
        <v>97212.40590021282</v>
      </c>
      <c r="Q530" s="369">
        <f ca="1">'II-I-DIST'!Q530+'II-I-MET'!Q530+'II-I-TBILLTDCS'!Q530</f>
        <v>567437.84954924718</v>
      </c>
      <c r="R530" s="369">
        <f ca="1">'II-I-DIST'!R530+'II-I-MET'!R530+'II-I-TBILLTDCS'!R530</f>
        <v>33707.930419626246</v>
      </c>
      <c r="S530" s="369">
        <f ca="1">'II-I-DIST'!S530+'II-I-MET'!S530+'II-I-TBILLTDCS'!S530</f>
        <v>132605.16882107867</v>
      </c>
      <c r="T530" s="806"/>
      <c r="U530" s="23">
        <f t="shared" ca="1" si="147"/>
        <v>49786075.889999993</v>
      </c>
      <c r="V530" s="45"/>
      <c r="X530" s="751">
        <f t="shared" ca="1" si="148"/>
        <v>0</v>
      </c>
    </row>
    <row r="531" spans="1:24" s="321" customFormat="1" ht="15" x14ac:dyDescent="0.25">
      <c r="A531" s="45"/>
      <c r="B531" s="16">
        <f t="shared" si="145"/>
        <v>16</v>
      </c>
      <c r="C531" s="41">
        <v>182</v>
      </c>
      <c r="D531" s="41" t="s">
        <v>129</v>
      </c>
      <c r="E531" s="806"/>
      <c r="F531" s="229">
        <f>' WP II-I-1.4'!L531</f>
        <v>-34905044.079999998</v>
      </c>
      <c r="G531" s="293" t="s">
        <v>751</v>
      </c>
      <c r="H531" s="1" t="s">
        <v>303</v>
      </c>
      <c r="I531" s="806"/>
      <c r="J531" s="369">
        <f ca="1">'II-I-DIST'!J531+'II-I-MET'!J531+'II-I-TBILLTDCS'!J531</f>
        <v>-18472643.256831653</v>
      </c>
      <c r="K531" s="369">
        <f ca="1">'II-I-DIST'!K531+'II-I-MET'!K531+'II-I-TBILLTDCS'!K531</f>
        <v>-901944.01705212519</v>
      </c>
      <c r="L531" s="369">
        <f ca="1">'II-I-DIST'!L531+'II-I-MET'!L531+'II-I-TBILLTDCS'!L531</f>
        <v>-11449990.100951375</v>
      </c>
      <c r="M531" s="369">
        <f ca="1">'II-I-DIST'!M531+'II-I-MET'!M531+'II-I-TBILLTDCS'!M531</f>
        <v>-109194.25799714813</v>
      </c>
      <c r="N531" s="369">
        <f ca="1">'II-I-DIST'!N531+'II-I-MET'!N531+'II-I-TBILLTDCS'!N531</f>
        <v>-3083670.8281163871</v>
      </c>
      <c r="O531" s="369">
        <f ca="1">'II-I-DIST'!O531+'II-I-MET'!O531+'II-I-TBILLTDCS'!O531</f>
        <v>-333622.4694090634</v>
      </c>
      <c r="P531" s="369">
        <f ca="1">'II-I-DIST'!P531+'II-I-MET'!P531+'II-I-TBILLTDCS'!P531</f>
        <v>-59538.514942396723</v>
      </c>
      <c r="Q531" s="369">
        <f ca="1">'II-I-DIST'!Q531+'II-I-MET'!Q531+'II-I-TBILLTDCS'!Q531</f>
        <v>-376895.36195387878</v>
      </c>
      <c r="R531" s="369">
        <f ca="1">'II-I-DIST'!R531+'II-I-MET'!R531+'II-I-TBILLTDCS'!R531</f>
        <v>-23819.678478228376</v>
      </c>
      <c r="S531" s="369">
        <f ca="1">'II-I-DIST'!S531+'II-I-MET'!S531+'II-I-TBILLTDCS'!S531</f>
        <v>-93725.59426774332</v>
      </c>
      <c r="T531" s="806"/>
      <c r="U531" s="23">
        <f t="shared" ca="1" si="147"/>
        <v>-34905044.079999998</v>
      </c>
      <c r="V531" s="45"/>
      <c r="X531" s="751">
        <f t="shared" ca="1" si="148"/>
        <v>0</v>
      </c>
    </row>
    <row r="532" spans="1:24" s="321" customFormat="1" ht="15" x14ac:dyDescent="0.25">
      <c r="A532" s="45"/>
      <c r="B532" s="16">
        <f t="shared" si="145"/>
        <v>17</v>
      </c>
      <c r="C532" s="41">
        <v>182</v>
      </c>
      <c r="D532" s="41" t="s">
        <v>1171</v>
      </c>
      <c r="E532" s="806"/>
      <c r="F532" s="229">
        <f>' WP II-I-1.4'!L532</f>
        <v>0</v>
      </c>
      <c r="G532" s="293" t="s">
        <v>751</v>
      </c>
      <c r="H532" s="1" t="s">
        <v>303</v>
      </c>
      <c r="I532" s="806"/>
      <c r="J532" s="369">
        <f ca="1">'II-I-DIST'!J532+'II-I-MET'!J532+'II-I-TBILLTDCS'!J532</f>
        <v>0</v>
      </c>
      <c r="K532" s="369">
        <f ca="1">'II-I-DIST'!K532+'II-I-MET'!K532+'II-I-TBILLTDCS'!K532</f>
        <v>0</v>
      </c>
      <c r="L532" s="369">
        <f ca="1">'II-I-DIST'!L532+'II-I-MET'!L532+'II-I-TBILLTDCS'!L532</f>
        <v>0</v>
      </c>
      <c r="M532" s="369">
        <f ca="1">'II-I-DIST'!M532+'II-I-MET'!M532+'II-I-TBILLTDCS'!M532</f>
        <v>0</v>
      </c>
      <c r="N532" s="369">
        <f ca="1">'II-I-DIST'!N532+'II-I-MET'!N532+'II-I-TBILLTDCS'!N532</f>
        <v>0</v>
      </c>
      <c r="O532" s="369">
        <f ca="1">'II-I-DIST'!O532+'II-I-MET'!O532+'II-I-TBILLTDCS'!O532</f>
        <v>0</v>
      </c>
      <c r="P532" s="369">
        <f ca="1">'II-I-DIST'!P532+'II-I-MET'!P532+'II-I-TBILLTDCS'!P532</f>
        <v>0</v>
      </c>
      <c r="Q532" s="369">
        <f ca="1">'II-I-DIST'!Q532+'II-I-MET'!Q532+'II-I-TBILLTDCS'!Q532</f>
        <v>0</v>
      </c>
      <c r="R532" s="369">
        <f ca="1">'II-I-DIST'!R532+'II-I-MET'!R532+'II-I-TBILLTDCS'!R532</f>
        <v>0</v>
      </c>
      <c r="S532" s="369">
        <f ca="1">'II-I-DIST'!S532+'II-I-MET'!S532+'II-I-TBILLTDCS'!S532</f>
        <v>0</v>
      </c>
      <c r="T532" s="806"/>
      <c r="U532" s="23">
        <f t="shared" ca="1" si="147"/>
        <v>0</v>
      </c>
      <c r="V532" s="45"/>
      <c r="X532" s="751">
        <f t="shared" ca="1" si="148"/>
        <v>0</v>
      </c>
    </row>
    <row r="533" spans="1:24" s="321" customFormat="1" ht="15" x14ac:dyDescent="0.25">
      <c r="A533" s="45"/>
      <c r="B533" s="16">
        <f t="shared" si="145"/>
        <v>18</v>
      </c>
      <c r="C533" s="41">
        <v>182</v>
      </c>
      <c r="D533" s="41" t="s">
        <v>1172</v>
      </c>
      <c r="E533" s="806"/>
      <c r="F533" s="229">
        <f>' WP II-I-1.4'!L533</f>
        <v>0</v>
      </c>
      <c r="G533" s="293" t="s">
        <v>751</v>
      </c>
      <c r="H533" s="1" t="s">
        <v>303</v>
      </c>
      <c r="I533" s="806"/>
      <c r="J533" s="369">
        <f ca="1">'II-I-DIST'!J533+'II-I-MET'!J533+'II-I-TBILLTDCS'!J533</f>
        <v>0</v>
      </c>
      <c r="K533" s="369">
        <f ca="1">'II-I-DIST'!K533+'II-I-MET'!K533+'II-I-TBILLTDCS'!K533</f>
        <v>0</v>
      </c>
      <c r="L533" s="369">
        <f ca="1">'II-I-DIST'!L533+'II-I-MET'!L533+'II-I-TBILLTDCS'!L533</f>
        <v>0</v>
      </c>
      <c r="M533" s="369">
        <f ca="1">'II-I-DIST'!M533+'II-I-MET'!M533+'II-I-TBILLTDCS'!M533</f>
        <v>0</v>
      </c>
      <c r="N533" s="369">
        <f ca="1">'II-I-DIST'!N533+'II-I-MET'!N533+'II-I-TBILLTDCS'!N533</f>
        <v>0</v>
      </c>
      <c r="O533" s="369">
        <f ca="1">'II-I-DIST'!O533+'II-I-MET'!O533+'II-I-TBILLTDCS'!O533</f>
        <v>0</v>
      </c>
      <c r="P533" s="369">
        <f ca="1">'II-I-DIST'!P533+'II-I-MET'!P533+'II-I-TBILLTDCS'!P533</f>
        <v>0</v>
      </c>
      <c r="Q533" s="369">
        <f ca="1">'II-I-DIST'!Q533+'II-I-MET'!Q533+'II-I-TBILLTDCS'!Q533</f>
        <v>0</v>
      </c>
      <c r="R533" s="369">
        <f ca="1">'II-I-DIST'!R533+'II-I-MET'!R533+'II-I-TBILLTDCS'!R533</f>
        <v>0</v>
      </c>
      <c r="S533" s="369">
        <f ca="1">'II-I-DIST'!S533+'II-I-MET'!S533+'II-I-TBILLTDCS'!S533</f>
        <v>0</v>
      </c>
      <c r="T533" s="806"/>
      <c r="U533" s="23">
        <f t="shared" ca="1" si="147"/>
        <v>0</v>
      </c>
      <c r="V533" s="45"/>
      <c r="X533" s="751">
        <f t="shared" ca="1" si="148"/>
        <v>0</v>
      </c>
    </row>
    <row r="534" spans="1:24" ht="15" x14ac:dyDescent="0.25">
      <c r="A534" s="45"/>
      <c r="B534" s="16">
        <f t="shared" si="145"/>
        <v>19</v>
      </c>
      <c r="C534" s="41">
        <v>182</v>
      </c>
      <c r="D534" s="1152" t="s">
        <v>1252</v>
      </c>
      <c r="E534" s="806"/>
      <c r="F534" s="229">
        <f>' WP II-I-1.4'!L534</f>
        <v>0</v>
      </c>
      <c r="G534" s="293" t="s">
        <v>751</v>
      </c>
      <c r="H534" s="1" t="s">
        <v>303</v>
      </c>
      <c r="I534" s="806"/>
      <c r="J534" s="369">
        <f ca="1">'II-I-DIST'!J534+'II-I-MET'!J534+'II-I-TBILLTDCS'!J534</f>
        <v>0</v>
      </c>
      <c r="K534" s="369">
        <f ca="1">'II-I-DIST'!K534+'II-I-MET'!K534+'II-I-TBILLTDCS'!K534</f>
        <v>0</v>
      </c>
      <c r="L534" s="369">
        <f ca="1">'II-I-DIST'!L534+'II-I-MET'!L534+'II-I-TBILLTDCS'!L534</f>
        <v>0</v>
      </c>
      <c r="M534" s="369">
        <f ca="1">'II-I-DIST'!M534+'II-I-MET'!M534+'II-I-TBILLTDCS'!M534</f>
        <v>0</v>
      </c>
      <c r="N534" s="369">
        <f ca="1">'II-I-DIST'!N534+'II-I-MET'!N534+'II-I-TBILLTDCS'!N534</f>
        <v>0</v>
      </c>
      <c r="O534" s="369">
        <f ca="1">'II-I-DIST'!O534+'II-I-MET'!O534+'II-I-TBILLTDCS'!O534</f>
        <v>0</v>
      </c>
      <c r="P534" s="369">
        <f ca="1">'II-I-DIST'!P534+'II-I-MET'!P534+'II-I-TBILLTDCS'!P534</f>
        <v>0</v>
      </c>
      <c r="Q534" s="369">
        <f ca="1">'II-I-DIST'!Q534+'II-I-MET'!Q534+'II-I-TBILLTDCS'!Q534</f>
        <v>0</v>
      </c>
      <c r="R534" s="369">
        <f ca="1">'II-I-DIST'!R534+'II-I-MET'!R534+'II-I-TBILLTDCS'!R534</f>
        <v>0</v>
      </c>
      <c r="S534" s="369">
        <f ca="1">'II-I-DIST'!S534+'II-I-MET'!S534+'II-I-TBILLTDCS'!S534</f>
        <v>0</v>
      </c>
      <c r="T534" s="806"/>
      <c r="U534" s="98">
        <f t="shared" ca="1" si="147"/>
        <v>0</v>
      </c>
      <c r="V534" s="64"/>
      <c r="X534" s="305">
        <f t="shared" ca="1" si="148"/>
        <v>0</v>
      </c>
    </row>
    <row r="535" spans="1:24" ht="15" x14ac:dyDescent="0.25">
      <c r="A535" s="45"/>
      <c r="B535" s="16">
        <f t="shared" si="145"/>
        <v>20</v>
      </c>
      <c r="C535" s="619">
        <v>182</v>
      </c>
      <c r="D535" s="611" t="s">
        <v>1253</v>
      </c>
      <c r="E535" s="202"/>
      <c r="F535" s="229">
        <f>' WP II-I-1.4'!L535</f>
        <v>57624800.789999999</v>
      </c>
      <c r="G535" s="293" t="s">
        <v>751</v>
      </c>
      <c r="H535" s="1" t="s">
        <v>303</v>
      </c>
      <c r="I535" s="202"/>
      <c r="J535" s="369">
        <f>'II-I-DIST'!J535+'II-I-MET'!J535+'II-I-TBILLTDCS'!J535</f>
        <v>30082651.16386012</v>
      </c>
      <c r="K535" s="369">
        <f>'II-I-DIST'!K535+'II-I-MET'!K535+'II-I-TBILLTDCS'!K535</f>
        <v>4220147.1122528743</v>
      </c>
      <c r="L535" s="369">
        <f>'II-I-DIST'!L535+'II-I-MET'!L535+'II-I-TBILLTDCS'!L535</f>
        <v>16596468.696750393</v>
      </c>
      <c r="M535" s="369">
        <f>'II-I-DIST'!M535+'II-I-MET'!M535+'II-I-TBILLTDCS'!M535</f>
        <v>698911.38428650447</v>
      </c>
      <c r="N535" s="369">
        <f>'II-I-DIST'!N535+'II-I-MET'!N535+'II-I-TBILLTDCS'!N535</f>
        <v>5381986.6140074907</v>
      </c>
      <c r="O535" s="369">
        <f>'II-I-DIST'!O535+'II-I-MET'!O535+'II-I-TBILLTDCS'!O535</f>
        <v>176594.81267494979</v>
      </c>
      <c r="P535" s="369">
        <f>'II-I-DIST'!P535+'II-I-MET'!P535+'II-I-TBILLTDCS'!P535</f>
        <v>368357.27797228802</v>
      </c>
      <c r="Q535" s="369">
        <f>'II-I-DIST'!Q535+'II-I-MET'!Q535+'II-I-TBILLTDCS'!Q535</f>
        <v>30675.71262853334</v>
      </c>
      <c r="R535" s="369">
        <f>'II-I-DIST'!R535+'II-I-MET'!R535+'II-I-TBILLTDCS'!R535</f>
        <v>19501.267657356428</v>
      </c>
      <c r="S535" s="369">
        <f>'II-I-DIST'!S535+'II-I-MET'!S535+'II-I-TBILLTDCS'!S535</f>
        <v>49506.747909478989</v>
      </c>
      <c r="T535" s="806"/>
      <c r="U535" s="98">
        <f t="shared" si="147"/>
        <v>57624800.789999992</v>
      </c>
      <c r="V535" s="64"/>
      <c r="X535" s="305">
        <f t="shared" si="148"/>
        <v>0</v>
      </c>
    </row>
    <row r="536" spans="1:24" ht="15" x14ac:dyDescent="0.25">
      <c r="A536" s="45"/>
      <c r="B536" s="16">
        <f t="shared" si="145"/>
        <v>21</v>
      </c>
      <c r="C536" s="41">
        <v>182</v>
      </c>
      <c r="D536" s="41" t="s">
        <v>1254</v>
      </c>
      <c r="E536" s="202"/>
      <c r="F536" s="229">
        <f>' WP II-I-1.4'!L536</f>
        <v>50356914.099999994</v>
      </c>
      <c r="G536" s="293" t="s">
        <v>751</v>
      </c>
      <c r="H536" s="1" t="s">
        <v>303</v>
      </c>
      <c r="I536" s="202"/>
      <c r="J536" s="369">
        <f ca="1">'II-I-DIST'!J536+'II-I-MET'!J536+'II-I-TBILLTDCS'!J536</f>
        <v>27053950.479779817</v>
      </c>
      <c r="K536" s="369">
        <f ca="1">'II-I-DIST'!K536+'II-I-MET'!K536+'II-I-TBILLTDCS'!K536</f>
        <v>874076.33203415549</v>
      </c>
      <c r="L536" s="369">
        <f ca="1">'II-I-DIST'!L536+'II-I-MET'!L536+'II-I-TBILLTDCS'!L536</f>
        <v>17105953.26477873</v>
      </c>
      <c r="M536" s="369">
        <f ca="1">'II-I-DIST'!M536+'II-I-MET'!M536+'II-I-TBILLTDCS'!M536</f>
        <v>4948.1311352889506</v>
      </c>
      <c r="N536" s="369">
        <f ca="1">'II-I-DIST'!N536+'II-I-MET'!N536+'II-I-TBILLTDCS'!N536</f>
        <v>3110331.2969760522</v>
      </c>
      <c r="O536" s="369">
        <f ca="1">'II-I-DIST'!O536+'II-I-MET'!O536+'II-I-TBILLTDCS'!O536</f>
        <v>338283.48569245456</v>
      </c>
      <c r="P536" s="369">
        <f ca="1">'II-I-DIST'!P536+'II-I-MET'!P536+'II-I-TBILLTDCS'!P536</f>
        <v>58604.224910894591</v>
      </c>
      <c r="Q536" s="369">
        <f ca="1">'II-I-DIST'!Q536+'II-I-MET'!Q536+'II-I-TBILLTDCS'!Q536</f>
        <v>1668039.2171700017</v>
      </c>
      <c r="R536" s="369">
        <f ca="1">'II-I-DIST'!R536+'II-I-MET'!R536+'II-I-TBILLTDCS'!R536</f>
        <v>23383.476152872016</v>
      </c>
      <c r="S536" s="369">
        <f ca="1">'II-I-DIST'!S536+'II-I-MET'!S536+'II-I-TBILLTDCS'!S536</f>
        <v>119344.19136971065</v>
      </c>
      <c r="T536" s="806"/>
      <c r="U536" s="98">
        <f t="shared" ca="1" si="147"/>
        <v>50356914.099999979</v>
      </c>
      <c r="V536" s="64"/>
      <c r="X536" s="305">
        <f t="shared" ca="1" si="148"/>
        <v>0</v>
      </c>
    </row>
    <row r="537" spans="1:24" ht="15" x14ac:dyDescent="0.25">
      <c r="A537" s="45"/>
      <c r="B537" s="16">
        <f t="shared" si="145"/>
        <v>22</v>
      </c>
      <c r="C537" s="41">
        <v>182</v>
      </c>
      <c r="D537" s="41" t="s">
        <v>1255</v>
      </c>
      <c r="E537" s="806"/>
      <c r="F537" s="229">
        <f>' WP II-I-1.4'!L537</f>
        <v>27940735.449999999</v>
      </c>
      <c r="G537" s="293" t="s">
        <v>751</v>
      </c>
      <c r="H537" s="1" t="s">
        <v>303</v>
      </c>
      <c r="I537" s="806"/>
      <c r="J537" s="369">
        <f ca="1">'II-I-DIST'!J537+'II-I-MET'!J537+'II-I-TBILLTDCS'!J537</f>
        <v>15010992.765200609</v>
      </c>
      <c r="K537" s="369">
        <f ca="1">'II-I-DIST'!K537+'II-I-MET'!K537+'II-I-TBILLTDCS'!K537</f>
        <v>484984.75319544453</v>
      </c>
      <c r="L537" s="369">
        <f ca="1">'II-I-DIST'!L537+'II-I-MET'!L537+'II-I-TBILLTDCS'!L537</f>
        <v>9491306.6722499263</v>
      </c>
      <c r="M537" s="369">
        <f ca="1">'II-I-DIST'!M537+'II-I-MET'!M537+'II-I-TBILLTDCS'!M537</f>
        <v>2745.4903759286699</v>
      </c>
      <c r="N537" s="369">
        <f ca="1">'II-I-DIST'!N537+'II-I-MET'!N537+'II-I-TBILLTDCS'!N537</f>
        <v>1725779.7759029733</v>
      </c>
      <c r="O537" s="369">
        <f ca="1">'II-I-DIST'!O537+'II-I-MET'!O537+'II-I-TBILLTDCS'!O537</f>
        <v>187697.9467420688</v>
      </c>
      <c r="P537" s="369">
        <f ca="1">'II-I-DIST'!P537+'II-I-MET'!P537+'II-I-TBILLTDCS'!P537</f>
        <v>32516.788880985179</v>
      </c>
      <c r="Q537" s="369">
        <f ca="1">'II-I-DIST'!Q537+'II-I-MET'!Q537+'II-I-TBILLTDCS'!Q537</f>
        <v>925518.2395533669</v>
      </c>
      <c r="R537" s="369">
        <f ca="1">'II-I-DIST'!R537+'II-I-MET'!R537+'II-I-TBILLTDCS'!R537</f>
        <v>12974.415385965454</v>
      </c>
      <c r="S537" s="369">
        <f ca="1">'II-I-DIST'!S537+'II-I-MET'!S537+'II-I-TBILLTDCS'!S537</f>
        <v>66218.602512723446</v>
      </c>
      <c r="T537" s="806"/>
      <c r="U537" s="98">
        <f t="shared" ca="1" si="147"/>
        <v>27940735.449999988</v>
      </c>
      <c r="V537" s="64"/>
      <c r="X537" s="305">
        <f t="shared" ca="1" si="148"/>
        <v>0</v>
      </c>
    </row>
    <row r="538" spans="1:24" ht="15" x14ac:dyDescent="0.25">
      <c r="A538" s="45"/>
      <c r="B538" s="16">
        <f t="shared" si="145"/>
        <v>23</v>
      </c>
      <c r="C538" s="41">
        <v>182</v>
      </c>
      <c r="D538" s="41" t="s">
        <v>1256</v>
      </c>
      <c r="E538" s="806"/>
      <c r="F538" s="229">
        <f>' WP II-I-1.4'!L538</f>
        <v>419733.02</v>
      </c>
      <c r="G538" s="293" t="s">
        <v>751</v>
      </c>
      <c r="H538" s="1" t="s">
        <v>303</v>
      </c>
      <c r="I538" s="806"/>
      <c r="J538" s="369">
        <f ca="1">'II-I-DIST'!J538+'II-I-MET'!J538+'II-I-TBILLTDCS'!J538</f>
        <v>225499.05093982784</v>
      </c>
      <c r="K538" s="369">
        <f ca="1">'II-I-DIST'!K538+'II-I-MET'!K538+'II-I-TBILLTDCS'!K538</f>
        <v>7285.567535505892</v>
      </c>
      <c r="L538" s="369">
        <f ca="1">'II-I-DIST'!L538+'II-I-MET'!L538+'II-I-TBILLTDCS'!L538</f>
        <v>142580.88590469124</v>
      </c>
      <c r="M538" s="369">
        <f ca="1">'II-I-DIST'!M538+'II-I-MET'!M538+'II-I-TBILLTDCS'!M538</f>
        <v>41.243472954806421</v>
      </c>
      <c r="N538" s="369">
        <f ca="1">'II-I-DIST'!N538+'II-I-MET'!N538+'II-I-TBILLTDCS'!N538</f>
        <v>25925.114193609326</v>
      </c>
      <c r="O538" s="369">
        <f ca="1">'II-I-DIST'!O538+'II-I-MET'!O538+'II-I-TBILLTDCS'!O538</f>
        <v>2819.6475420208635</v>
      </c>
      <c r="P538" s="369">
        <f ca="1">'II-I-DIST'!P538+'II-I-MET'!P538+'II-I-TBILLTDCS'!P538</f>
        <v>488.47568891456399</v>
      </c>
      <c r="Q538" s="369">
        <f ca="1">'II-I-DIST'!Q538+'II-I-MET'!Q538+'II-I-TBILLTDCS'!Q538</f>
        <v>13903.376539532648</v>
      </c>
      <c r="R538" s="369">
        <f ca="1">'II-I-DIST'!R538+'II-I-MET'!R538+'II-I-TBILLTDCS'!R538</f>
        <v>194.90505403592539</v>
      </c>
      <c r="S538" s="369">
        <f ca="1">'II-I-DIST'!S538+'II-I-MET'!S538+'II-I-TBILLTDCS'!S538</f>
        <v>994.75312890681278</v>
      </c>
      <c r="T538" s="806"/>
      <c r="U538" s="98">
        <f t="shared" ca="1" si="147"/>
        <v>419733.0199999999</v>
      </c>
      <c r="V538" s="64"/>
      <c r="X538" s="305">
        <f t="shared" ca="1" si="148"/>
        <v>0</v>
      </c>
    </row>
    <row r="539" spans="1:24" ht="15" x14ac:dyDescent="0.25">
      <c r="A539" s="45"/>
      <c r="B539" s="16">
        <f t="shared" si="145"/>
        <v>24</v>
      </c>
      <c r="C539" s="41">
        <v>182</v>
      </c>
      <c r="D539" s="41" t="s">
        <v>1257</v>
      </c>
      <c r="E539" s="806"/>
      <c r="F539" s="229">
        <f>' WP II-I-1.4'!L539</f>
        <v>0</v>
      </c>
      <c r="G539" s="293" t="s">
        <v>751</v>
      </c>
      <c r="H539" s="1" t="s">
        <v>303</v>
      </c>
      <c r="I539" s="806"/>
      <c r="J539" s="369">
        <f ca="1">'II-I-DIST'!J539+'II-I-MET'!J539+'II-I-TBILLTDCS'!J539</f>
        <v>0</v>
      </c>
      <c r="K539" s="369">
        <f ca="1">'II-I-DIST'!K539+'II-I-MET'!K539+'II-I-TBILLTDCS'!K539</f>
        <v>0</v>
      </c>
      <c r="L539" s="369">
        <f ca="1">'II-I-DIST'!L539+'II-I-MET'!L539+'II-I-TBILLTDCS'!L539</f>
        <v>0</v>
      </c>
      <c r="M539" s="369">
        <f ca="1">'II-I-DIST'!M539+'II-I-MET'!M539+'II-I-TBILLTDCS'!M539</f>
        <v>0</v>
      </c>
      <c r="N539" s="369">
        <f ca="1">'II-I-DIST'!N539+'II-I-MET'!N539+'II-I-TBILLTDCS'!N539</f>
        <v>0</v>
      </c>
      <c r="O539" s="369">
        <f ca="1">'II-I-DIST'!O539+'II-I-MET'!O539+'II-I-TBILLTDCS'!O539</f>
        <v>0</v>
      </c>
      <c r="P539" s="369">
        <f ca="1">'II-I-DIST'!P539+'II-I-MET'!P539+'II-I-TBILLTDCS'!P539</f>
        <v>0</v>
      </c>
      <c r="Q539" s="369">
        <f ca="1">'II-I-DIST'!Q539+'II-I-MET'!Q539+'II-I-TBILLTDCS'!Q539</f>
        <v>0</v>
      </c>
      <c r="R539" s="369">
        <f ca="1">'II-I-DIST'!R539+'II-I-MET'!R539+'II-I-TBILLTDCS'!R539</f>
        <v>0</v>
      </c>
      <c r="S539" s="369">
        <f ca="1">'II-I-DIST'!S539+'II-I-MET'!S539+'II-I-TBILLTDCS'!S539</f>
        <v>0</v>
      </c>
      <c r="T539" s="806"/>
      <c r="U539" s="98">
        <f t="shared" ca="1" si="147"/>
        <v>0</v>
      </c>
      <c r="V539" s="64"/>
      <c r="X539" s="305">
        <f t="shared" ca="1" si="148"/>
        <v>0</v>
      </c>
    </row>
    <row r="540" spans="1:24" ht="15" x14ac:dyDescent="0.25">
      <c r="A540" s="45"/>
      <c r="B540" s="16">
        <f t="shared" si="145"/>
        <v>25</v>
      </c>
      <c r="C540" s="41">
        <v>182</v>
      </c>
      <c r="D540" s="41" t="s">
        <v>1258</v>
      </c>
      <c r="E540" s="806"/>
      <c r="F540" s="229">
        <f>' WP II-I-1.4'!L540</f>
        <v>410261.63999999966</v>
      </c>
      <c r="G540" s="293" t="s">
        <v>751</v>
      </c>
      <c r="H540" s="1" t="s">
        <v>303</v>
      </c>
      <c r="I540" s="806"/>
      <c r="J540" s="369">
        <f ca="1">'II-I-DIST'!J540+'II-I-MET'!J540+'II-I-TBILLTDCS'!J540</f>
        <v>220410.60876510793</v>
      </c>
      <c r="K540" s="369">
        <f ca="1">'II-I-DIST'!K540+'II-I-MET'!K540+'II-I-TBILLTDCS'!K540</f>
        <v>7121.1668918671276</v>
      </c>
      <c r="L540" s="369">
        <f ca="1">'II-I-DIST'!L540+'II-I-MET'!L540+'II-I-TBILLTDCS'!L540</f>
        <v>139363.51274891707</v>
      </c>
      <c r="M540" s="369">
        <f ca="1">'II-I-DIST'!M540+'II-I-MET'!M540+'II-I-TBILLTDCS'!M540</f>
        <v>40.312803728747653</v>
      </c>
      <c r="N540" s="369">
        <f ca="1">'II-I-DIST'!N540+'II-I-MET'!N540+'II-I-TBILLTDCS'!N540</f>
        <v>25340.10754326031</v>
      </c>
      <c r="O540" s="369">
        <f ca="1">'II-I-DIST'!O540+'II-I-MET'!O540+'II-I-TBILLTDCS'!O540</f>
        <v>2756.0214938806753</v>
      </c>
      <c r="P540" s="369">
        <f ca="1">'II-I-DIST'!P540+'II-I-MET'!P540+'II-I-TBILLTDCS'!P540</f>
        <v>477.45311349156822</v>
      </c>
      <c r="Q540" s="369">
        <f ca="1">'II-I-DIST'!Q540+'II-I-MET'!Q540+'II-I-TBILLTDCS'!Q540</f>
        <v>13589.643389615103</v>
      </c>
      <c r="R540" s="369">
        <f ca="1">'II-I-DIST'!R540+'II-I-MET'!R540+'II-I-TBILLTDCS'!R540</f>
        <v>190.50697301124248</v>
      </c>
      <c r="S540" s="369">
        <f ca="1">'II-I-DIST'!S540+'II-I-MET'!S540+'II-I-TBILLTDCS'!S540</f>
        <v>972.30627711977502</v>
      </c>
      <c r="T540" s="806"/>
      <c r="U540" s="98">
        <f t="shared" ca="1" si="147"/>
        <v>410261.63999999955</v>
      </c>
      <c r="V540" s="64"/>
      <c r="X540" s="305">
        <f t="shared" ca="1" si="148"/>
        <v>0</v>
      </c>
    </row>
    <row r="541" spans="1:24" ht="15" x14ac:dyDescent="0.25">
      <c r="A541" s="45"/>
      <c r="B541" s="16">
        <f t="shared" si="145"/>
        <v>26</v>
      </c>
      <c r="C541" s="41">
        <v>182</v>
      </c>
      <c r="D541" s="41" t="s">
        <v>1259</v>
      </c>
      <c r="E541" s="806"/>
      <c r="F541" s="229">
        <f>' WP II-I-1.4'!L541</f>
        <v>32906.64000000013</v>
      </c>
      <c r="G541" s="293" t="s">
        <v>751</v>
      </c>
      <c r="H541" s="1" t="s">
        <v>303</v>
      </c>
      <c r="I541" s="806"/>
      <c r="J541" s="369">
        <f ca="1">'II-I-DIST'!J541+'II-I-MET'!J541+'II-I-TBILLTDCS'!J541</f>
        <v>17678.895240642742</v>
      </c>
      <c r="K541" s="369">
        <f ca="1">'II-I-DIST'!K541+'II-I-MET'!K541+'II-I-TBILLTDCS'!K541</f>
        <v>571.18105239035174</v>
      </c>
      <c r="L541" s="369">
        <f ca="1">'II-I-DIST'!L541+'II-I-MET'!L541+'II-I-TBILLTDCS'!L541</f>
        <v>11178.19580491134</v>
      </c>
      <c r="M541" s="369">
        <f ca="1">'II-I-DIST'!M541+'II-I-MET'!M541+'II-I-TBILLTDCS'!M541</f>
        <v>3.2334461483958457</v>
      </c>
      <c r="N541" s="369">
        <f ca="1">'II-I-DIST'!N541+'II-I-MET'!N541+'II-I-TBILLTDCS'!N541</f>
        <v>2032.5024696126975</v>
      </c>
      <c r="O541" s="369">
        <f ca="1">'II-I-DIST'!O541+'II-I-MET'!O541+'II-I-TBILLTDCS'!O541</f>
        <v>221.05748695245799</v>
      </c>
      <c r="P541" s="369">
        <f ca="1">'II-I-DIST'!P541+'II-I-MET'!P541+'II-I-TBILLTDCS'!P541</f>
        <v>38.29599502050997</v>
      </c>
      <c r="Q541" s="369">
        <f ca="1">'II-I-DIST'!Q541+'II-I-MET'!Q541+'II-I-TBILLTDCS'!Q541</f>
        <v>1090.0105180451335</v>
      </c>
      <c r="R541" s="369">
        <f ca="1">'II-I-DIST'!R541+'II-I-MET'!R541+'II-I-TBILLTDCS'!R541</f>
        <v>15.280357135925998</v>
      </c>
      <c r="S541" s="369">
        <f ca="1">'II-I-DIST'!S541+'II-I-MET'!S541+'II-I-TBILLTDCS'!S541</f>
        <v>77.987629140567037</v>
      </c>
      <c r="T541" s="806"/>
      <c r="U541" s="98">
        <f t="shared" ca="1" si="147"/>
        <v>32906.640000000123</v>
      </c>
      <c r="V541" s="64"/>
      <c r="X541" s="305">
        <f t="shared" ca="1" si="148"/>
        <v>0</v>
      </c>
    </row>
    <row r="542" spans="1:24" ht="15" x14ac:dyDescent="0.25">
      <c r="A542" s="45"/>
      <c r="B542" s="16">
        <f t="shared" si="145"/>
        <v>27</v>
      </c>
      <c r="C542" s="41">
        <v>186</v>
      </c>
      <c r="D542" s="41" t="s">
        <v>1260</v>
      </c>
      <c r="E542" s="806"/>
      <c r="F542" s="229">
        <f>' WP II-I-1.4'!L542</f>
        <v>319335368.44999999</v>
      </c>
      <c r="G542" s="293" t="s">
        <v>751</v>
      </c>
      <c r="H542" s="1" t="s">
        <v>303</v>
      </c>
      <c r="I542" s="806"/>
      <c r="J542" s="369">
        <f ca="1">'II-I-DIST'!J542+'II-I-MET'!J542+'II-I-TBILLTDCS'!J542</f>
        <v>171561013.99169222</v>
      </c>
      <c r="K542" s="369">
        <f ca="1">'II-I-DIST'!K542+'II-I-MET'!K542+'II-I-TBILLTDCS'!K542</f>
        <v>5542902.946539999</v>
      </c>
      <c r="L542" s="369">
        <f ca="1">'II-I-DIST'!L542+'II-I-MET'!L542+'II-I-TBILLTDCS'!L542</f>
        <v>108476382.75945501</v>
      </c>
      <c r="M542" s="369">
        <f ca="1">'II-I-DIST'!M542+'II-I-MET'!M542+'II-I-TBILLTDCS'!M542</f>
        <v>31378.27858332594</v>
      </c>
      <c r="N542" s="369">
        <f ca="1">'II-I-DIST'!N542+'II-I-MET'!N542+'II-I-TBILLTDCS'!N542</f>
        <v>19723980.479602385</v>
      </c>
      <c r="O542" s="369">
        <f ca="1">'II-I-DIST'!O542+'II-I-MET'!O542+'II-I-TBILLTDCS'!O542</f>
        <v>2145204.5558159072</v>
      </c>
      <c r="P542" s="369">
        <f ca="1">'II-I-DIST'!P542+'II-I-MET'!P542+'II-I-TBILLTDCS'!P542</f>
        <v>371635.19824673282</v>
      </c>
      <c r="Q542" s="369">
        <f ca="1">'II-I-DIST'!Q542+'II-I-MET'!Q542+'II-I-TBILLTDCS'!Q542</f>
        <v>10577771.245995237</v>
      </c>
      <c r="R542" s="369">
        <f ca="1">'II-I-DIST'!R542+'II-I-MET'!R542+'II-I-TBILLTDCS'!R542</f>
        <v>148284.91988390475</v>
      </c>
      <c r="S542" s="369">
        <f ca="1">'II-I-DIST'!S542+'II-I-MET'!S542+'II-I-TBILLTDCS'!S542</f>
        <v>756814.07418517466</v>
      </c>
      <c r="T542" s="806"/>
      <c r="U542" s="98">
        <f t="shared" ca="1" si="147"/>
        <v>319335368.44999993</v>
      </c>
      <c r="V542" s="64"/>
      <c r="X542" s="305">
        <f t="shared" ca="1" si="148"/>
        <v>0</v>
      </c>
    </row>
    <row r="543" spans="1:24" ht="15" x14ac:dyDescent="0.25">
      <c r="A543" s="45"/>
      <c r="B543" s="16">
        <f t="shared" si="145"/>
        <v>28</v>
      </c>
      <c r="C543" s="41">
        <v>186</v>
      </c>
      <c r="D543" s="41" t="s">
        <v>1261</v>
      </c>
      <c r="E543" s="806"/>
      <c r="F543" s="229">
        <f>' WP II-I-1.4'!L543</f>
        <v>726291097.57999992</v>
      </c>
      <c r="G543" s="293" t="s">
        <v>751</v>
      </c>
      <c r="H543" s="1" t="s">
        <v>303</v>
      </c>
      <c r="I543" s="806"/>
      <c r="J543" s="369">
        <f ca="1">'II-I-DIST'!J543+'II-I-MET'!J543+'II-I-TBILLTDCS'!J543</f>
        <v>390195541.94315201</v>
      </c>
      <c r="K543" s="369">
        <f ca="1">'II-I-DIST'!K543+'II-I-MET'!K543+'II-I-TBILLTDCS'!K543</f>
        <v>12606687.083746208</v>
      </c>
      <c r="L543" s="369">
        <f ca="1">'II-I-DIST'!L543+'II-I-MET'!L543+'II-I-TBILLTDCS'!L543</f>
        <v>246716896.65408486</v>
      </c>
      <c r="M543" s="369">
        <f ca="1">'II-I-DIST'!M543+'II-I-MET'!M543+'II-I-TBILLTDCS'!M543</f>
        <v>71366.239521392432</v>
      </c>
      <c r="N543" s="369">
        <f ca="1">'II-I-DIST'!N543+'II-I-MET'!N543+'II-I-TBILLTDCS'!N543</f>
        <v>44859896.041925296</v>
      </c>
      <c r="O543" s="369">
        <f ca="1">'II-I-DIST'!O543+'II-I-MET'!O543+'II-I-TBILLTDCS'!O543</f>
        <v>4879017.8768472439</v>
      </c>
      <c r="P543" s="369">
        <f ca="1">'II-I-DIST'!P543+'II-I-MET'!P543+'II-I-TBILLTDCS'!P543</f>
        <v>845240.96827765729</v>
      </c>
      <c r="Q543" s="369">
        <f ca="1">'II-I-DIST'!Q543+'II-I-MET'!Q543+'II-I-TBILLTDCS'!Q543</f>
        <v>24057908.541398976</v>
      </c>
      <c r="R543" s="369">
        <f ca="1">'II-I-DIST'!R543+'II-I-MET'!R543+'II-I-TBILLTDCS'!R543</f>
        <v>337256.7772238683</v>
      </c>
      <c r="S543" s="369">
        <f ca="1">'II-I-DIST'!S543+'II-I-MET'!S543+'II-I-TBILLTDCS'!S543</f>
        <v>1721285.4538222135</v>
      </c>
      <c r="T543" s="806"/>
      <c r="U543" s="98">
        <f t="shared" ca="1" si="147"/>
        <v>726291097.5799998</v>
      </c>
      <c r="V543" s="64"/>
      <c r="X543" s="305">
        <f t="shared" ca="1" si="148"/>
        <v>0</v>
      </c>
    </row>
    <row r="544" spans="1:24" ht="15" x14ac:dyDescent="0.25">
      <c r="A544" s="45"/>
      <c r="B544" s="16">
        <f t="shared" si="145"/>
        <v>29</v>
      </c>
      <c r="C544" s="41">
        <v>186</v>
      </c>
      <c r="D544" s="41" t="s">
        <v>1120</v>
      </c>
      <c r="E544" s="806"/>
      <c r="F544" s="229">
        <f>' WP II-I-1.4'!L544</f>
        <v>0</v>
      </c>
      <c r="G544" s="293" t="s">
        <v>751</v>
      </c>
      <c r="H544" s="1" t="s">
        <v>303</v>
      </c>
      <c r="I544" s="806"/>
      <c r="J544" s="369">
        <f ca="1">'II-I-DIST'!J544+'II-I-MET'!J544+'II-I-TBILLTDCS'!J544</f>
        <v>0</v>
      </c>
      <c r="K544" s="369">
        <f ca="1">'II-I-DIST'!K544+'II-I-MET'!K544+'II-I-TBILLTDCS'!K544</f>
        <v>0</v>
      </c>
      <c r="L544" s="369">
        <f ca="1">'II-I-DIST'!L544+'II-I-MET'!L544+'II-I-TBILLTDCS'!L544</f>
        <v>0</v>
      </c>
      <c r="M544" s="369">
        <f ca="1">'II-I-DIST'!M544+'II-I-MET'!M544+'II-I-TBILLTDCS'!M544</f>
        <v>0</v>
      </c>
      <c r="N544" s="369">
        <f ca="1">'II-I-DIST'!N544+'II-I-MET'!N544+'II-I-TBILLTDCS'!N544</f>
        <v>0</v>
      </c>
      <c r="O544" s="369">
        <f ca="1">'II-I-DIST'!O544+'II-I-MET'!O544+'II-I-TBILLTDCS'!O544</f>
        <v>0</v>
      </c>
      <c r="P544" s="369">
        <f ca="1">'II-I-DIST'!P544+'II-I-MET'!P544+'II-I-TBILLTDCS'!P544</f>
        <v>0</v>
      </c>
      <c r="Q544" s="369">
        <f ca="1">'II-I-DIST'!Q544+'II-I-MET'!Q544+'II-I-TBILLTDCS'!Q544</f>
        <v>0</v>
      </c>
      <c r="R544" s="369">
        <f ca="1">'II-I-DIST'!R544+'II-I-MET'!R544+'II-I-TBILLTDCS'!R544</f>
        <v>0</v>
      </c>
      <c r="S544" s="369">
        <f ca="1">'II-I-DIST'!S544+'II-I-MET'!S544+'II-I-TBILLTDCS'!S544</f>
        <v>0</v>
      </c>
      <c r="T544" s="806"/>
      <c r="U544" s="98">
        <f t="shared" ca="1" si="147"/>
        <v>0</v>
      </c>
      <c r="V544" s="64"/>
      <c r="X544" s="305">
        <f t="shared" ca="1" si="148"/>
        <v>0</v>
      </c>
    </row>
    <row r="545" spans="1:24" ht="15" x14ac:dyDescent="0.25">
      <c r="A545" s="45"/>
      <c r="B545" s="16">
        <f t="shared" si="145"/>
        <v>30</v>
      </c>
      <c r="C545" s="41">
        <v>186</v>
      </c>
      <c r="D545" s="41" t="s">
        <v>1262</v>
      </c>
      <c r="E545" s="806"/>
      <c r="F545" s="229">
        <f>' WP II-I-1.4'!L545</f>
        <v>0</v>
      </c>
      <c r="G545" s="293" t="s">
        <v>751</v>
      </c>
      <c r="H545" s="1" t="s">
        <v>303</v>
      </c>
      <c r="I545" s="806"/>
      <c r="J545" s="369">
        <f>'II-I-DIST'!J545+'II-I-MET'!J545+'II-I-TBILLTDCS'!J545</f>
        <v>0</v>
      </c>
      <c r="K545" s="369">
        <f>'II-I-DIST'!K545+'II-I-MET'!K545+'II-I-TBILLTDCS'!K545</f>
        <v>0</v>
      </c>
      <c r="L545" s="369">
        <f>'II-I-DIST'!L545+'II-I-MET'!L545+'II-I-TBILLTDCS'!L545</f>
        <v>0</v>
      </c>
      <c r="M545" s="369">
        <f>'II-I-DIST'!M545+'II-I-MET'!M545+'II-I-TBILLTDCS'!M545</f>
        <v>0</v>
      </c>
      <c r="N545" s="369">
        <f>'II-I-DIST'!N545+'II-I-MET'!N545+'II-I-TBILLTDCS'!N545</f>
        <v>0</v>
      </c>
      <c r="O545" s="369">
        <f>'II-I-DIST'!O545+'II-I-MET'!O545+'II-I-TBILLTDCS'!O545</f>
        <v>0</v>
      </c>
      <c r="P545" s="369">
        <f>'II-I-DIST'!P545+'II-I-MET'!P545+'II-I-TBILLTDCS'!P545</f>
        <v>0</v>
      </c>
      <c r="Q545" s="369">
        <f>'II-I-DIST'!Q545+'II-I-MET'!Q545+'II-I-TBILLTDCS'!Q545</f>
        <v>0</v>
      </c>
      <c r="R545" s="369">
        <f>'II-I-DIST'!R545+'II-I-MET'!R545+'II-I-TBILLTDCS'!R545</f>
        <v>0</v>
      </c>
      <c r="S545" s="369">
        <f>'II-I-DIST'!S545+'II-I-MET'!S545+'II-I-TBILLTDCS'!S545</f>
        <v>0</v>
      </c>
      <c r="T545" s="806"/>
      <c r="U545" s="98">
        <f t="shared" si="147"/>
        <v>0</v>
      </c>
      <c r="V545" s="64"/>
      <c r="X545" s="305">
        <f t="shared" si="148"/>
        <v>0</v>
      </c>
    </row>
    <row r="546" spans="1:24" ht="15" x14ac:dyDescent="0.25">
      <c r="A546" s="45"/>
      <c r="B546" s="16">
        <f t="shared" si="145"/>
        <v>31</v>
      </c>
      <c r="C546" s="41">
        <v>186</v>
      </c>
      <c r="D546" s="41" t="s">
        <v>1263</v>
      </c>
      <c r="E546" s="806"/>
      <c r="F546" s="229">
        <f>' WP II-I-1.4'!L546</f>
        <v>0</v>
      </c>
      <c r="G546" s="293" t="s">
        <v>751</v>
      </c>
      <c r="H546" s="1" t="s">
        <v>303</v>
      </c>
      <c r="I546" s="806"/>
      <c r="J546" s="369">
        <f ca="1">'II-I-DIST'!J546+'II-I-MET'!J546+'II-I-TBILLTDCS'!J546</f>
        <v>0</v>
      </c>
      <c r="K546" s="369">
        <f ca="1">'II-I-DIST'!K546+'II-I-MET'!K546+'II-I-TBILLTDCS'!K546</f>
        <v>0</v>
      </c>
      <c r="L546" s="369">
        <f ca="1">'II-I-DIST'!L546+'II-I-MET'!L546+'II-I-TBILLTDCS'!L546</f>
        <v>0</v>
      </c>
      <c r="M546" s="369">
        <f ca="1">'II-I-DIST'!M546+'II-I-MET'!M546+'II-I-TBILLTDCS'!M546</f>
        <v>0</v>
      </c>
      <c r="N546" s="369">
        <f ca="1">'II-I-DIST'!N546+'II-I-MET'!N546+'II-I-TBILLTDCS'!N546</f>
        <v>0</v>
      </c>
      <c r="O546" s="369">
        <f ca="1">'II-I-DIST'!O546+'II-I-MET'!O546+'II-I-TBILLTDCS'!O546</f>
        <v>0</v>
      </c>
      <c r="P546" s="369">
        <f ca="1">'II-I-DIST'!P546+'II-I-MET'!P546+'II-I-TBILLTDCS'!P546</f>
        <v>0</v>
      </c>
      <c r="Q546" s="369">
        <f ca="1">'II-I-DIST'!Q546+'II-I-MET'!Q546+'II-I-TBILLTDCS'!Q546</f>
        <v>0</v>
      </c>
      <c r="R546" s="369">
        <f ca="1">'II-I-DIST'!R546+'II-I-MET'!R546+'II-I-TBILLTDCS'!R546</f>
        <v>0</v>
      </c>
      <c r="S546" s="369">
        <f ca="1">'II-I-DIST'!S546+'II-I-MET'!S546+'II-I-TBILLTDCS'!S546</f>
        <v>0</v>
      </c>
      <c r="T546" s="806"/>
      <c r="U546" s="98">
        <f t="shared" ca="1" si="147"/>
        <v>0</v>
      </c>
      <c r="V546" s="64"/>
      <c r="X546" s="305">
        <f t="shared" ca="1" si="148"/>
        <v>0</v>
      </c>
    </row>
    <row r="547" spans="1:24" ht="15" x14ac:dyDescent="0.25">
      <c r="A547" s="45"/>
      <c r="B547" s="16">
        <f t="shared" si="145"/>
        <v>32</v>
      </c>
      <c r="C547" s="41">
        <v>186</v>
      </c>
      <c r="D547" s="41" t="s">
        <v>1264</v>
      </c>
      <c r="E547" s="806"/>
      <c r="F547" s="229">
        <f>' WP II-I-1.4'!L547</f>
        <v>0</v>
      </c>
      <c r="G547" s="293" t="s">
        <v>751</v>
      </c>
      <c r="H547" s="1" t="s">
        <v>303</v>
      </c>
      <c r="I547" s="806"/>
      <c r="J547" s="369">
        <f ca="1">'II-I-DIST'!J547+'II-I-MET'!J547+'II-I-TBILLTDCS'!J547</f>
        <v>0</v>
      </c>
      <c r="K547" s="369">
        <f ca="1">'II-I-DIST'!K547+'II-I-MET'!K547+'II-I-TBILLTDCS'!K547</f>
        <v>0</v>
      </c>
      <c r="L547" s="369">
        <f ca="1">'II-I-DIST'!L547+'II-I-MET'!L547+'II-I-TBILLTDCS'!L547</f>
        <v>0</v>
      </c>
      <c r="M547" s="369">
        <f ca="1">'II-I-DIST'!M547+'II-I-MET'!M547+'II-I-TBILLTDCS'!M547</f>
        <v>0</v>
      </c>
      <c r="N547" s="369">
        <f ca="1">'II-I-DIST'!N547+'II-I-MET'!N547+'II-I-TBILLTDCS'!N547</f>
        <v>0</v>
      </c>
      <c r="O547" s="369">
        <f ca="1">'II-I-DIST'!O547+'II-I-MET'!O547+'II-I-TBILLTDCS'!O547</f>
        <v>0</v>
      </c>
      <c r="P547" s="369">
        <f ca="1">'II-I-DIST'!P547+'II-I-MET'!P547+'II-I-TBILLTDCS'!P547</f>
        <v>0</v>
      </c>
      <c r="Q547" s="369">
        <f ca="1">'II-I-DIST'!Q547+'II-I-MET'!Q547+'II-I-TBILLTDCS'!Q547</f>
        <v>0</v>
      </c>
      <c r="R547" s="369">
        <f ca="1">'II-I-DIST'!R547+'II-I-MET'!R547+'II-I-TBILLTDCS'!R547</f>
        <v>0</v>
      </c>
      <c r="S547" s="369">
        <f ca="1">'II-I-DIST'!S547+'II-I-MET'!S547+'II-I-TBILLTDCS'!S547</f>
        <v>0</v>
      </c>
      <c r="T547" s="806"/>
      <c r="U547" s="98">
        <f t="shared" ca="1" si="147"/>
        <v>0</v>
      </c>
      <c r="V547" s="64"/>
      <c r="X547" s="305">
        <f t="shared" ca="1" si="148"/>
        <v>0</v>
      </c>
    </row>
    <row r="548" spans="1:24" ht="15" x14ac:dyDescent="0.25">
      <c r="A548" s="45"/>
      <c r="B548" s="16">
        <f t="shared" si="145"/>
        <v>33</v>
      </c>
      <c r="C548" s="41">
        <v>186</v>
      </c>
      <c r="D548" s="41" t="s">
        <v>1265</v>
      </c>
      <c r="E548" s="806"/>
      <c r="F548" s="229">
        <f>' WP II-I-1.4'!L548</f>
        <v>0</v>
      </c>
      <c r="G548" s="293" t="s">
        <v>751</v>
      </c>
      <c r="H548" s="1" t="s">
        <v>303</v>
      </c>
      <c r="I548" s="806"/>
      <c r="J548" s="369">
        <f ca="1">'II-I-DIST'!J548+'II-I-MET'!J548+'II-I-TBILLTDCS'!J548</f>
        <v>0</v>
      </c>
      <c r="K548" s="369">
        <f ca="1">'II-I-DIST'!K548+'II-I-MET'!K548+'II-I-TBILLTDCS'!K548</f>
        <v>0</v>
      </c>
      <c r="L548" s="369">
        <f ca="1">'II-I-DIST'!L548+'II-I-MET'!L548+'II-I-TBILLTDCS'!L548</f>
        <v>0</v>
      </c>
      <c r="M548" s="369">
        <f ca="1">'II-I-DIST'!M548+'II-I-MET'!M548+'II-I-TBILLTDCS'!M548</f>
        <v>0</v>
      </c>
      <c r="N548" s="369">
        <f ca="1">'II-I-DIST'!N548+'II-I-MET'!N548+'II-I-TBILLTDCS'!N548</f>
        <v>0</v>
      </c>
      <c r="O548" s="369">
        <f ca="1">'II-I-DIST'!O548+'II-I-MET'!O548+'II-I-TBILLTDCS'!O548</f>
        <v>0</v>
      </c>
      <c r="P548" s="369">
        <f ca="1">'II-I-DIST'!P548+'II-I-MET'!P548+'II-I-TBILLTDCS'!P548</f>
        <v>0</v>
      </c>
      <c r="Q548" s="369">
        <f ca="1">'II-I-DIST'!Q548+'II-I-MET'!Q548+'II-I-TBILLTDCS'!Q548</f>
        <v>0</v>
      </c>
      <c r="R548" s="369">
        <f ca="1">'II-I-DIST'!R548+'II-I-MET'!R548+'II-I-TBILLTDCS'!R548</f>
        <v>0</v>
      </c>
      <c r="S548" s="369">
        <f ca="1">'II-I-DIST'!S548+'II-I-MET'!S548+'II-I-TBILLTDCS'!S548</f>
        <v>0</v>
      </c>
      <c r="T548" s="806"/>
      <c r="U548" s="98">
        <f t="shared" ref="U548:U555" ca="1" si="149">SUM(I548:T548)</f>
        <v>0</v>
      </c>
      <c r="V548" s="64"/>
      <c r="X548" s="305"/>
    </row>
    <row r="549" spans="1:24" ht="15" x14ac:dyDescent="0.25">
      <c r="A549" s="45"/>
      <c r="B549" s="16">
        <f t="shared" si="145"/>
        <v>34</v>
      </c>
      <c r="C549" s="41">
        <v>186</v>
      </c>
      <c r="D549" s="41" t="s">
        <v>1266</v>
      </c>
      <c r="E549" s="806"/>
      <c r="F549" s="229">
        <f>' WP II-I-1.4'!L549</f>
        <v>0</v>
      </c>
      <c r="G549" s="293" t="s">
        <v>751</v>
      </c>
      <c r="H549" s="1" t="s">
        <v>303</v>
      </c>
      <c r="I549" s="806"/>
      <c r="J549" s="369">
        <f ca="1">'II-I-DIST'!J549+'II-I-MET'!J549+'II-I-TBILLTDCS'!J549</f>
        <v>0</v>
      </c>
      <c r="K549" s="369">
        <f ca="1">'II-I-DIST'!K549+'II-I-MET'!K549+'II-I-TBILLTDCS'!K549</f>
        <v>0</v>
      </c>
      <c r="L549" s="369">
        <f ca="1">'II-I-DIST'!L549+'II-I-MET'!L549+'II-I-TBILLTDCS'!L549</f>
        <v>0</v>
      </c>
      <c r="M549" s="369">
        <f ca="1">'II-I-DIST'!M549+'II-I-MET'!M549+'II-I-TBILLTDCS'!M549</f>
        <v>0</v>
      </c>
      <c r="N549" s="369">
        <f ca="1">'II-I-DIST'!N549+'II-I-MET'!N549+'II-I-TBILLTDCS'!N549</f>
        <v>0</v>
      </c>
      <c r="O549" s="369">
        <f ca="1">'II-I-DIST'!O549+'II-I-MET'!O549+'II-I-TBILLTDCS'!O549</f>
        <v>0</v>
      </c>
      <c r="P549" s="369">
        <f ca="1">'II-I-DIST'!P549+'II-I-MET'!P549+'II-I-TBILLTDCS'!P549</f>
        <v>0</v>
      </c>
      <c r="Q549" s="369">
        <f ca="1">'II-I-DIST'!Q549+'II-I-MET'!Q549+'II-I-TBILLTDCS'!Q549</f>
        <v>0</v>
      </c>
      <c r="R549" s="369">
        <f ca="1">'II-I-DIST'!R549+'II-I-MET'!R549+'II-I-TBILLTDCS'!R549</f>
        <v>0</v>
      </c>
      <c r="S549" s="369">
        <f ca="1">'II-I-DIST'!S549+'II-I-MET'!S549+'II-I-TBILLTDCS'!S549</f>
        <v>0</v>
      </c>
      <c r="T549" s="806"/>
      <c r="U549" s="98">
        <f t="shared" ca="1" si="149"/>
        <v>0</v>
      </c>
      <c r="V549" s="64"/>
      <c r="X549" s="305"/>
    </row>
    <row r="550" spans="1:24" ht="15" x14ac:dyDescent="0.25">
      <c r="A550" s="45"/>
      <c r="B550" s="16">
        <f t="shared" si="145"/>
        <v>35</v>
      </c>
      <c r="C550" s="41">
        <v>186</v>
      </c>
      <c r="D550" s="41" t="s">
        <v>1267</v>
      </c>
      <c r="E550" s="806"/>
      <c r="F550" s="229">
        <f>' WP II-I-1.4'!L550</f>
        <v>0</v>
      </c>
      <c r="G550" s="293" t="s">
        <v>751</v>
      </c>
      <c r="H550" s="1" t="s">
        <v>303</v>
      </c>
      <c r="I550" s="806"/>
      <c r="J550" s="369">
        <f ca="1">'II-I-DIST'!J550+'II-I-MET'!J550+'II-I-TBILLTDCS'!J550</f>
        <v>0</v>
      </c>
      <c r="K550" s="369">
        <f ca="1">'II-I-DIST'!K550+'II-I-MET'!K550+'II-I-TBILLTDCS'!K550</f>
        <v>0</v>
      </c>
      <c r="L550" s="369">
        <f ca="1">'II-I-DIST'!L550+'II-I-MET'!L550+'II-I-TBILLTDCS'!L550</f>
        <v>0</v>
      </c>
      <c r="M550" s="369">
        <f ca="1">'II-I-DIST'!M550+'II-I-MET'!M550+'II-I-TBILLTDCS'!M550</f>
        <v>0</v>
      </c>
      <c r="N550" s="369">
        <f ca="1">'II-I-DIST'!N550+'II-I-MET'!N550+'II-I-TBILLTDCS'!N550</f>
        <v>0</v>
      </c>
      <c r="O550" s="369">
        <f ca="1">'II-I-DIST'!O550+'II-I-MET'!O550+'II-I-TBILLTDCS'!O550</f>
        <v>0</v>
      </c>
      <c r="P550" s="369">
        <f ca="1">'II-I-DIST'!P550+'II-I-MET'!P550+'II-I-TBILLTDCS'!P550</f>
        <v>0</v>
      </c>
      <c r="Q550" s="369">
        <f ca="1">'II-I-DIST'!Q550+'II-I-MET'!Q550+'II-I-TBILLTDCS'!Q550</f>
        <v>0</v>
      </c>
      <c r="R550" s="369">
        <f ca="1">'II-I-DIST'!R550+'II-I-MET'!R550+'II-I-TBILLTDCS'!R550</f>
        <v>0</v>
      </c>
      <c r="S550" s="369">
        <f ca="1">'II-I-DIST'!S550+'II-I-MET'!S550+'II-I-TBILLTDCS'!S550</f>
        <v>0</v>
      </c>
      <c r="T550" s="806"/>
      <c r="U550" s="98">
        <f t="shared" ca="1" si="149"/>
        <v>0</v>
      </c>
      <c r="V550" s="64"/>
      <c r="X550" s="305"/>
    </row>
    <row r="551" spans="1:24" ht="15" x14ac:dyDescent="0.25">
      <c r="A551" s="45"/>
      <c r="B551" s="16">
        <f t="shared" si="145"/>
        <v>36</v>
      </c>
      <c r="C551" s="610">
        <v>186</v>
      </c>
      <c r="D551" s="611" t="s">
        <v>1326</v>
      </c>
      <c r="E551" s="806"/>
      <c r="F551" s="229">
        <f>' WP II-I-1.4'!L551</f>
        <v>4823828.9400000004</v>
      </c>
      <c r="G551" s="293" t="s">
        <v>751</v>
      </c>
      <c r="H551" s="1" t="s">
        <v>303</v>
      </c>
      <c r="I551" s="806"/>
      <c r="J551" s="369">
        <f ca="1">'II-I-DIST'!J551+'II-I-MET'!J551+'II-I-TBILLTDCS'!J551</f>
        <v>2591573.2049531764</v>
      </c>
      <c r="K551" s="369">
        <f ca="1">'II-I-DIST'!K551+'II-I-MET'!K551+'II-I-TBILLTDCS'!K551</f>
        <v>83730.204314394417</v>
      </c>
      <c r="L551" s="369">
        <f ca="1">'II-I-DIST'!L551+'II-I-MET'!L551+'II-I-TBILLTDCS'!L551</f>
        <v>1638626.8674260788</v>
      </c>
      <c r="M551" s="369">
        <f ca="1">'II-I-DIST'!M551+'II-I-MET'!M551+'II-I-TBILLTDCS'!M551</f>
        <v>473.99525161375806</v>
      </c>
      <c r="N551" s="369">
        <f ca="1">'II-I-DIST'!N551+'II-I-MET'!N551+'II-I-TBILLTDCS'!N551</f>
        <v>297947.29068477248</v>
      </c>
      <c r="O551" s="369">
        <f ca="1">'II-I-DIST'!O551+'II-I-MET'!O551+'II-I-TBILLTDCS'!O551</f>
        <v>32405.116504296249</v>
      </c>
      <c r="P551" s="369">
        <f ca="1">'II-I-DIST'!P551+'II-I-MET'!P551+'II-I-TBILLTDCS'!P551</f>
        <v>5613.8617940340055</v>
      </c>
      <c r="Q551" s="369">
        <f ca="1">'II-I-DIST'!Q551+'II-I-MET'!Q551+'II-I-TBILLTDCS'!Q551</f>
        <v>159786.11860252178</v>
      </c>
      <c r="R551" s="369">
        <f ca="1">'II-I-DIST'!R551+'II-I-MET'!R551+'II-I-TBILLTDCS'!R551</f>
        <v>2239.968254608038</v>
      </c>
      <c r="S551" s="369">
        <f ca="1">'II-I-DIST'!S551+'II-I-MET'!S551+'II-I-TBILLTDCS'!S551</f>
        <v>11432.312214503005</v>
      </c>
      <c r="T551" s="806"/>
      <c r="U551" s="98">
        <f t="shared" ca="1" si="149"/>
        <v>4823828.9399999995</v>
      </c>
      <c r="V551" s="64"/>
      <c r="X551" s="305"/>
    </row>
    <row r="552" spans="1:24" ht="15" x14ac:dyDescent="0.25">
      <c r="A552" s="45"/>
      <c r="B552" s="16">
        <f t="shared" si="145"/>
        <v>37</v>
      </c>
      <c r="C552" s="610">
        <v>187</v>
      </c>
      <c r="D552" s="611" t="s">
        <v>1268</v>
      </c>
      <c r="E552" s="806"/>
      <c r="F552" s="229">
        <f>' WP II-I-1.4'!L552</f>
        <v>0</v>
      </c>
      <c r="G552" s="293" t="s">
        <v>751</v>
      </c>
      <c r="H552" s="1" t="s">
        <v>303</v>
      </c>
      <c r="I552" s="806"/>
      <c r="J552" s="369">
        <f ca="1">'II-I-DIST'!J552+'II-I-MET'!J552+'II-I-TBILLTDCS'!J552</f>
        <v>0</v>
      </c>
      <c r="K552" s="369">
        <f ca="1">'II-I-DIST'!K552+'II-I-MET'!K552+'II-I-TBILLTDCS'!K552</f>
        <v>0</v>
      </c>
      <c r="L552" s="369">
        <f ca="1">'II-I-DIST'!L552+'II-I-MET'!L552+'II-I-TBILLTDCS'!L552</f>
        <v>0</v>
      </c>
      <c r="M552" s="369">
        <f ca="1">'II-I-DIST'!M552+'II-I-MET'!M552+'II-I-TBILLTDCS'!M552</f>
        <v>0</v>
      </c>
      <c r="N552" s="369">
        <f ca="1">'II-I-DIST'!N552+'II-I-MET'!N552+'II-I-TBILLTDCS'!N552</f>
        <v>0</v>
      </c>
      <c r="O552" s="369">
        <f ca="1">'II-I-DIST'!O552+'II-I-MET'!O552+'II-I-TBILLTDCS'!O552</f>
        <v>0</v>
      </c>
      <c r="P552" s="369">
        <f ca="1">'II-I-DIST'!P552+'II-I-MET'!P552+'II-I-TBILLTDCS'!P552</f>
        <v>0</v>
      </c>
      <c r="Q552" s="369">
        <f ca="1">'II-I-DIST'!Q552+'II-I-MET'!Q552+'II-I-TBILLTDCS'!Q552</f>
        <v>0</v>
      </c>
      <c r="R552" s="369">
        <f ca="1">'II-I-DIST'!R552+'II-I-MET'!R552+'II-I-TBILLTDCS'!R552</f>
        <v>0</v>
      </c>
      <c r="S552" s="369">
        <f ca="1">'II-I-DIST'!S552+'II-I-MET'!S552+'II-I-TBILLTDCS'!S552</f>
        <v>0</v>
      </c>
      <c r="T552" s="806"/>
      <c r="U552" s="98">
        <f t="shared" ca="1" si="149"/>
        <v>0</v>
      </c>
      <c r="V552" s="64"/>
      <c r="X552" s="305"/>
    </row>
    <row r="553" spans="1:24" ht="15" x14ac:dyDescent="0.25">
      <c r="A553" s="45"/>
      <c r="B553" s="16">
        <f t="shared" si="145"/>
        <v>38</v>
      </c>
      <c r="C553" s="610">
        <v>186</v>
      </c>
      <c r="D553" s="611" t="s">
        <v>1327</v>
      </c>
      <c r="E553" s="806"/>
      <c r="F553" s="229">
        <f>' WP II-I-1.4'!L553</f>
        <v>146499.54999999999</v>
      </c>
      <c r="G553" s="293" t="s">
        <v>751</v>
      </c>
      <c r="H553" s="1" t="s">
        <v>303</v>
      </c>
      <c r="I553" s="806"/>
      <c r="J553" s="369">
        <f ca="1">'II-I-DIST'!J553+'II-I-MET'!J553+'II-I-TBILLTDCS'!J553</f>
        <v>78706.005756020459</v>
      </c>
      <c r="K553" s="369">
        <f ca="1">'II-I-DIST'!K553+'II-I-MET'!K553+'II-I-TBILLTDCS'!K553</f>
        <v>2542.8839633494217</v>
      </c>
      <c r="L553" s="369">
        <f ca="1">'II-I-DIST'!L553+'II-I-MET'!L553+'II-I-TBILLTDCS'!L553</f>
        <v>49765.052136328486</v>
      </c>
      <c r="M553" s="369">
        <f ca="1">'II-I-DIST'!M553+'II-I-MET'!M553+'II-I-TBILLTDCS'!M553</f>
        <v>14.395222535306635</v>
      </c>
      <c r="N553" s="369">
        <f ca="1">'II-I-DIST'!N553+'II-I-MET'!N553+'II-I-TBILLTDCS'!N553</f>
        <v>9048.650885418494</v>
      </c>
      <c r="O553" s="369">
        <f ca="1">'II-I-DIST'!O553+'II-I-MET'!O553+'II-I-TBILLTDCS'!O553</f>
        <v>984.14248196308813</v>
      </c>
      <c r="P553" s="369">
        <f ca="1">'II-I-DIST'!P553+'II-I-MET'!P553+'II-I-TBILLTDCS'!P553</f>
        <v>170.49282568220056</v>
      </c>
      <c r="Q553" s="369">
        <f ca="1">'II-I-DIST'!Q553+'II-I-MET'!Q553+'II-I-TBILLTDCS'!Q553</f>
        <v>4852.699953227625</v>
      </c>
      <c r="R553" s="369">
        <f ca="1">'II-I-DIST'!R553+'II-I-MET'!R553+'II-I-TBILLTDCS'!R553</f>
        <v>68.027773247357928</v>
      </c>
      <c r="S553" s="369">
        <f ca="1">'II-I-DIST'!S553+'II-I-MET'!S553+'II-I-TBILLTDCS'!S553</f>
        <v>347.1990022275113</v>
      </c>
      <c r="T553" s="806"/>
      <c r="U553" s="98">
        <f t="shared" ca="1" si="149"/>
        <v>146499.54999999996</v>
      </c>
      <c r="V553" s="64"/>
      <c r="X553" s="305">
        <f t="shared" ca="1" si="148"/>
        <v>0</v>
      </c>
    </row>
    <row r="554" spans="1:24" ht="15" x14ac:dyDescent="0.25">
      <c r="A554" s="45"/>
      <c r="B554" s="16">
        <f t="shared" si="145"/>
        <v>39</v>
      </c>
      <c r="C554" s="38">
        <v>186</v>
      </c>
      <c r="D554" s="41" t="s">
        <v>1269</v>
      </c>
      <c r="E554" s="806"/>
      <c r="F554" s="229">
        <f>' WP II-I-1.4'!L554</f>
        <v>0</v>
      </c>
      <c r="G554" s="293" t="s">
        <v>751</v>
      </c>
      <c r="H554" s="1" t="s">
        <v>303</v>
      </c>
      <c r="I554" s="806"/>
      <c r="J554" s="369">
        <f ca="1">'II-I-DIST'!J554+'II-I-MET'!J554+'II-I-TBILLTDCS'!J554</f>
        <v>0</v>
      </c>
      <c r="K554" s="369">
        <f ca="1">'II-I-DIST'!K554+'II-I-MET'!K554+'II-I-TBILLTDCS'!K554</f>
        <v>0</v>
      </c>
      <c r="L554" s="369">
        <f ca="1">'II-I-DIST'!L554+'II-I-MET'!L554+'II-I-TBILLTDCS'!L554</f>
        <v>0</v>
      </c>
      <c r="M554" s="369">
        <f ca="1">'II-I-DIST'!M554+'II-I-MET'!M554+'II-I-TBILLTDCS'!M554</f>
        <v>0</v>
      </c>
      <c r="N554" s="369">
        <f ca="1">'II-I-DIST'!N554+'II-I-MET'!N554+'II-I-TBILLTDCS'!N554</f>
        <v>0</v>
      </c>
      <c r="O554" s="369">
        <f ca="1">'II-I-DIST'!O554+'II-I-MET'!O554+'II-I-TBILLTDCS'!O554</f>
        <v>0</v>
      </c>
      <c r="P554" s="369">
        <f ca="1">'II-I-DIST'!P554+'II-I-MET'!P554+'II-I-TBILLTDCS'!P554</f>
        <v>0</v>
      </c>
      <c r="Q554" s="369">
        <f ca="1">'II-I-DIST'!Q554+'II-I-MET'!Q554+'II-I-TBILLTDCS'!Q554</f>
        <v>0</v>
      </c>
      <c r="R554" s="369">
        <f ca="1">'II-I-DIST'!R554+'II-I-MET'!R554+'II-I-TBILLTDCS'!R554</f>
        <v>0</v>
      </c>
      <c r="S554" s="369">
        <f ca="1">'II-I-DIST'!S554+'II-I-MET'!S554+'II-I-TBILLTDCS'!S554</f>
        <v>0</v>
      </c>
      <c r="T554" s="806"/>
      <c r="U554" s="98">
        <f t="shared" ca="1" si="149"/>
        <v>0</v>
      </c>
      <c r="V554" s="64"/>
      <c r="X554" s="305">
        <f t="shared" ca="1" si="148"/>
        <v>0</v>
      </c>
    </row>
    <row r="555" spans="1:24" ht="15" x14ac:dyDescent="0.25">
      <c r="A555" s="45"/>
      <c r="B555" s="16">
        <f t="shared" si="145"/>
        <v>40</v>
      </c>
      <c r="C555" s="38">
        <v>186</v>
      </c>
      <c r="D555" s="41" t="s">
        <v>1328</v>
      </c>
      <c r="E555" s="806"/>
      <c r="F555" s="229">
        <f>' WP II-I-1.4'!L555</f>
        <v>0</v>
      </c>
      <c r="G555" s="293" t="s">
        <v>751</v>
      </c>
      <c r="H555" s="1" t="s">
        <v>303</v>
      </c>
      <c r="I555" s="806"/>
      <c r="J555" s="369">
        <f ca="1">'II-I-DIST'!J555+'II-I-MET'!J555+'II-I-TBILLTDCS'!J555</f>
        <v>0</v>
      </c>
      <c r="K555" s="369">
        <f ca="1">'II-I-DIST'!K555+'II-I-MET'!K555+'II-I-TBILLTDCS'!K555</f>
        <v>0</v>
      </c>
      <c r="L555" s="369">
        <f ca="1">'II-I-DIST'!L555+'II-I-MET'!L555+'II-I-TBILLTDCS'!L555</f>
        <v>0</v>
      </c>
      <c r="M555" s="369">
        <f ca="1">'II-I-DIST'!M555+'II-I-MET'!M555+'II-I-TBILLTDCS'!M555</f>
        <v>0</v>
      </c>
      <c r="N555" s="369">
        <f ca="1">'II-I-DIST'!N555+'II-I-MET'!N555+'II-I-TBILLTDCS'!N555</f>
        <v>0</v>
      </c>
      <c r="O555" s="369">
        <f ca="1">'II-I-DIST'!O555+'II-I-MET'!O555+'II-I-TBILLTDCS'!O555</f>
        <v>0</v>
      </c>
      <c r="P555" s="369">
        <f ca="1">'II-I-DIST'!P555+'II-I-MET'!P555+'II-I-TBILLTDCS'!P555</f>
        <v>0</v>
      </c>
      <c r="Q555" s="369">
        <f ca="1">'II-I-DIST'!Q555+'II-I-MET'!Q555+'II-I-TBILLTDCS'!Q555</f>
        <v>0</v>
      </c>
      <c r="R555" s="369">
        <f ca="1">'II-I-DIST'!R555+'II-I-MET'!R555+'II-I-TBILLTDCS'!R555</f>
        <v>0</v>
      </c>
      <c r="S555" s="369">
        <f ca="1">'II-I-DIST'!S555+'II-I-MET'!S555+'II-I-TBILLTDCS'!S555</f>
        <v>0</v>
      </c>
      <c r="T555" s="806"/>
      <c r="U555" s="98">
        <f t="shared" ca="1" si="149"/>
        <v>0</v>
      </c>
      <c r="V555" s="64"/>
      <c r="X555" s="305">
        <f t="shared" ca="1" si="148"/>
        <v>0</v>
      </c>
    </row>
    <row r="556" spans="1:24" ht="15" x14ac:dyDescent="0.25">
      <c r="A556" s="118"/>
      <c r="B556" s="16">
        <f t="shared" si="145"/>
        <v>41</v>
      </c>
      <c r="C556" s="34"/>
      <c r="D556" s="42" t="s">
        <v>562</v>
      </c>
      <c r="E556" s="806"/>
      <c r="F556" s="807">
        <f>SUM(F519:F555)</f>
        <v>1234966257.2299998</v>
      </c>
      <c r="G556" s="806"/>
      <c r="H556" s="806"/>
      <c r="I556" s="806"/>
      <c r="J556" s="807">
        <f t="shared" ref="J556:S556" ca="1" si="150">SUM(J519:J555)</f>
        <v>662103156.74368155</v>
      </c>
      <c r="K556" s="807">
        <f t="shared" ca="1" si="150"/>
        <v>25299635.004759599</v>
      </c>
      <c r="L556" s="807">
        <f t="shared" ca="1" si="150"/>
        <v>415693441.13607287</v>
      </c>
      <c r="M556" s="807">
        <f t="shared" ca="1" si="150"/>
        <v>972210.96461970115</v>
      </c>
      <c r="N556" s="807">
        <f t="shared" ca="1" si="150"/>
        <v>78756884.472294867</v>
      </c>
      <c r="O556" s="807">
        <f t="shared" ca="1" si="150"/>
        <v>8091035.2002374455</v>
      </c>
      <c r="P556" s="807">
        <f t="shared" ca="1" si="150"/>
        <v>1807563.712750887</v>
      </c>
      <c r="Q556" s="807">
        <f t="shared" ca="1" si="150"/>
        <v>38918233.723275319</v>
      </c>
      <c r="R556" s="807">
        <f t="shared" ca="1" si="150"/>
        <v>554672.87132365978</v>
      </c>
      <c r="S556" s="807">
        <f t="shared" ca="1" si="150"/>
        <v>2769423.4009837606</v>
      </c>
      <c r="T556" s="806"/>
      <c r="U556" s="807">
        <f t="shared" ref="U556" ca="1" si="151">SUM(I556:T556)</f>
        <v>1234966257.2299995</v>
      </c>
      <c r="V556" s="104"/>
      <c r="W556" s="1099" t="b">
        <f>' WP II-I-1.4'!$L$556=F556</f>
        <v>1</v>
      </c>
      <c r="X556" s="305">
        <f t="shared" ca="1" si="139"/>
        <v>0</v>
      </c>
    </row>
    <row r="557" spans="1:24" ht="14.25" customHeight="1" x14ac:dyDescent="0.25">
      <c r="A557" s="45"/>
      <c r="B557" s="16">
        <f t="shared" si="145"/>
        <v>42</v>
      </c>
      <c r="C557" s="41"/>
      <c r="D557" s="42"/>
      <c r="E557" s="806"/>
      <c r="F557" s="202"/>
      <c r="G557" s="806"/>
      <c r="H557" s="806"/>
      <c r="I557" s="806"/>
      <c r="J557" s="806"/>
      <c r="K557" s="806"/>
      <c r="L557" s="806"/>
      <c r="M557" s="806"/>
      <c r="N557" s="806"/>
      <c r="O557" s="806"/>
      <c r="P557" s="806"/>
      <c r="Q557" s="806"/>
      <c r="R557" s="806"/>
      <c r="S557" s="806"/>
      <c r="T557" s="35"/>
      <c r="U557" s="97"/>
      <c r="V557" s="64"/>
      <c r="X557" s="305">
        <f t="shared" si="139"/>
        <v>0</v>
      </c>
    </row>
    <row r="558" spans="1:24" ht="15" x14ac:dyDescent="0.25">
      <c r="A558" s="45"/>
      <c r="B558" s="16">
        <f t="shared" si="145"/>
        <v>43</v>
      </c>
      <c r="C558" s="34" t="s">
        <v>130</v>
      </c>
      <c r="D558" s="41"/>
      <c r="E558" s="806"/>
      <c r="F558" s="17"/>
      <c r="G558" s="806"/>
      <c r="H558" s="806"/>
      <c r="I558" s="806"/>
      <c r="J558" s="806"/>
      <c r="K558" s="806"/>
      <c r="L558" s="806"/>
      <c r="M558" s="806"/>
      <c r="N558" s="806"/>
      <c r="O558" s="806"/>
      <c r="P558" s="806"/>
      <c r="Q558" s="806"/>
      <c r="R558" s="806"/>
      <c r="S558" s="806"/>
      <c r="T558" s="35"/>
      <c r="U558" s="97"/>
      <c r="V558" s="64"/>
      <c r="X558" s="305">
        <f t="shared" si="139"/>
        <v>0</v>
      </c>
    </row>
    <row r="559" spans="1:24" ht="15" x14ac:dyDescent="0.25">
      <c r="A559" s="45"/>
      <c r="B559" s="16">
        <f t="shared" si="145"/>
        <v>44</v>
      </c>
      <c r="C559" s="611">
        <v>254</v>
      </c>
      <c r="D559" s="41" t="s">
        <v>1173</v>
      </c>
      <c r="E559" s="806"/>
      <c r="F559" s="229">
        <f>' WP II-I-1.4'!L559</f>
        <v>0</v>
      </c>
      <c r="G559" s="293" t="s">
        <v>751</v>
      </c>
      <c r="H559" s="45" t="s">
        <v>303</v>
      </c>
      <c r="I559" s="806"/>
      <c r="J559" s="369">
        <f ca="1">'II-I-DIST'!J559+'II-I-MET'!J559+'II-I-TBILLTDCS'!J559</f>
        <v>0</v>
      </c>
      <c r="K559" s="369">
        <f ca="1">'II-I-DIST'!K559+'II-I-MET'!K559+'II-I-TBILLTDCS'!K559</f>
        <v>0</v>
      </c>
      <c r="L559" s="369">
        <f ca="1">'II-I-DIST'!L559+'II-I-MET'!L559+'II-I-TBILLTDCS'!L559</f>
        <v>0</v>
      </c>
      <c r="M559" s="369">
        <f ca="1">'II-I-DIST'!M559+'II-I-MET'!M559+'II-I-TBILLTDCS'!M559</f>
        <v>0</v>
      </c>
      <c r="N559" s="369">
        <f ca="1">'II-I-DIST'!N559+'II-I-MET'!N559+'II-I-TBILLTDCS'!N559</f>
        <v>0</v>
      </c>
      <c r="O559" s="369">
        <f ca="1">'II-I-DIST'!O559+'II-I-MET'!O559+'II-I-TBILLTDCS'!O559</f>
        <v>0</v>
      </c>
      <c r="P559" s="369">
        <f ca="1">'II-I-DIST'!P559+'II-I-MET'!P559+'II-I-TBILLTDCS'!P559</f>
        <v>0</v>
      </c>
      <c r="Q559" s="369">
        <f ca="1">'II-I-DIST'!Q559+'II-I-MET'!Q559+'II-I-TBILLTDCS'!Q559</f>
        <v>0</v>
      </c>
      <c r="R559" s="369">
        <f ca="1">'II-I-DIST'!R559+'II-I-MET'!R559+'II-I-TBILLTDCS'!R559</f>
        <v>0</v>
      </c>
      <c r="S559" s="369">
        <f ca="1">'II-I-DIST'!S559+'II-I-MET'!S559+'II-I-TBILLTDCS'!S559</f>
        <v>0</v>
      </c>
      <c r="T559" s="806"/>
      <c r="U559" s="98">
        <f t="shared" ref="U559" ca="1" si="152">SUM(I559:T559)</f>
        <v>0</v>
      </c>
      <c r="V559" s="64"/>
      <c r="X559" s="305">
        <f t="shared" ca="1" si="139"/>
        <v>0</v>
      </c>
    </row>
    <row r="560" spans="1:24" ht="15" x14ac:dyDescent="0.25">
      <c r="A560" s="45"/>
      <c r="B560" s="16">
        <f t="shared" si="145"/>
        <v>45</v>
      </c>
      <c r="C560" s="610" t="s">
        <v>1121</v>
      </c>
      <c r="D560" s="41" t="s">
        <v>926</v>
      </c>
      <c r="E560" s="202"/>
      <c r="F560" s="229">
        <f>' WP II-I-1.4'!L560</f>
        <v>0</v>
      </c>
      <c r="G560" s="293" t="s">
        <v>751</v>
      </c>
      <c r="H560" s="1" t="s">
        <v>303</v>
      </c>
      <c r="I560" s="806"/>
      <c r="J560" s="369">
        <f ca="1">'II-I-DIST'!J560+'II-I-MET'!J560+'II-I-TBILLTDCS'!J560</f>
        <v>0</v>
      </c>
      <c r="K560" s="369">
        <f ca="1">'II-I-DIST'!K560+'II-I-MET'!K560+'II-I-TBILLTDCS'!K560</f>
        <v>0</v>
      </c>
      <c r="L560" s="369">
        <f ca="1">'II-I-DIST'!L560+'II-I-MET'!L560+'II-I-TBILLTDCS'!L560</f>
        <v>0</v>
      </c>
      <c r="M560" s="369">
        <f ca="1">'II-I-DIST'!M560+'II-I-MET'!M560+'II-I-TBILLTDCS'!M560</f>
        <v>0</v>
      </c>
      <c r="N560" s="369">
        <f ca="1">'II-I-DIST'!N560+'II-I-MET'!N560+'II-I-TBILLTDCS'!N560</f>
        <v>0</v>
      </c>
      <c r="O560" s="369">
        <f ca="1">'II-I-DIST'!O560+'II-I-MET'!O560+'II-I-TBILLTDCS'!O560</f>
        <v>0</v>
      </c>
      <c r="P560" s="369">
        <f ca="1">'II-I-DIST'!P560+'II-I-MET'!P560+'II-I-TBILLTDCS'!P560</f>
        <v>0</v>
      </c>
      <c r="Q560" s="369">
        <f ca="1">'II-I-DIST'!Q560+'II-I-MET'!Q560+'II-I-TBILLTDCS'!Q560</f>
        <v>0</v>
      </c>
      <c r="R560" s="369">
        <f ca="1">'II-I-DIST'!R560+'II-I-MET'!R560+'II-I-TBILLTDCS'!R560</f>
        <v>0</v>
      </c>
      <c r="S560" s="369">
        <f ca="1">'II-I-DIST'!S560+'II-I-MET'!S560+'II-I-TBILLTDCS'!S560</f>
        <v>0</v>
      </c>
      <c r="T560" s="806"/>
      <c r="U560" s="98">
        <f t="shared" ref="U560:U572" ca="1" si="153">SUM(I560:T560)</f>
        <v>0</v>
      </c>
      <c r="V560" s="64"/>
      <c r="X560" s="305">
        <f t="shared" ref="X560:X564" ca="1" si="154">U560-F560</f>
        <v>0</v>
      </c>
    </row>
    <row r="561" spans="1:24" ht="15" x14ac:dyDescent="0.25">
      <c r="A561" s="45"/>
      <c r="B561" s="16">
        <f t="shared" si="145"/>
        <v>46</v>
      </c>
      <c r="C561" s="611">
        <v>254</v>
      </c>
      <c r="D561" s="41" t="s">
        <v>1272</v>
      </c>
      <c r="E561" s="806"/>
      <c r="F561" s="229">
        <f>' WP II-I-1.4'!L561</f>
        <v>-8947664.1099999994</v>
      </c>
      <c r="G561" s="293" t="s">
        <v>751</v>
      </c>
      <c r="H561" s="1" t="s">
        <v>303</v>
      </c>
      <c r="I561" s="806"/>
      <c r="J561" s="369">
        <f ca="1">'II-I-DIST'!J561+'II-I-MET'!J561+'II-I-TBILLTDCS'!J561</f>
        <v>-4881686.7011205405</v>
      </c>
      <c r="K561" s="369">
        <f ca="1">'II-I-DIST'!K561+'II-I-MET'!K561+'II-I-TBILLTDCS'!K561</f>
        <v>-129222.92362002454</v>
      </c>
      <c r="L561" s="369">
        <f ca="1">'II-I-DIST'!L561+'II-I-MET'!L561+'II-I-TBILLTDCS'!L561</f>
        <v>-3107914.6536139101</v>
      </c>
      <c r="M561" s="369">
        <f ca="1">'II-I-DIST'!M561+'II-I-MET'!M561+'II-I-TBILLTDCS'!M561</f>
        <v>-936.37097856462083</v>
      </c>
      <c r="N561" s="369">
        <f ca="1">'II-I-DIST'!N561+'II-I-MET'!N561+'II-I-TBILLTDCS'!N561</f>
        <v>-588590.69830200856</v>
      </c>
      <c r="O561" s="369">
        <f ca="1">'II-I-DIST'!O561+'II-I-MET'!O561+'II-I-TBILLTDCS'!O561</f>
        <v>-68774.420998423346</v>
      </c>
      <c r="P561" s="369">
        <f ca="1">'II-I-DIST'!P561+'II-I-MET'!P561+'II-I-TBILLTDCS'!P561</f>
        <v>-11607.433118109075</v>
      </c>
      <c r="Q561" s="369">
        <f ca="1">'II-I-DIST'!Q561+'II-I-MET'!Q561+'II-I-TBILLTDCS'!Q561</f>
        <v>-131592.57897265092</v>
      </c>
      <c r="R561" s="369">
        <f ca="1">'II-I-DIST'!R561+'II-I-MET'!R561+'II-I-TBILLTDCS'!R561</f>
        <v>-4753.9566705490051</v>
      </c>
      <c r="S561" s="369">
        <f ca="1">'II-I-DIST'!S561+'II-I-MET'!S561+'II-I-TBILLTDCS'!S561</f>
        <v>-22584.372605220706</v>
      </c>
      <c r="T561" s="806"/>
      <c r="U561" s="98">
        <f t="shared" ca="1" si="153"/>
        <v>-8947664.1100000013</v>
      </c>
      <c r="V561" s="64"/>
      <c r="X561" s="305">
        <f t="shared" ca="1" si="154"/>
        <v>0</v>
      </c>
    </row>
    <row r="562" spans="1:24" ht="15" x14ac:dyDescent="0.25">
      <c r="A562" s="45"/>
      <c r="B562" s="16">
        <f t="shared" si="145"/>
        <v>47</v>
      </c>
      <c r="C562" s="619">
        <v>254</v>
      </c>
      <c r="D562" s="41" t="s">
        <v>1273</v>
      </c>
      <c r="E562" s="806"/>
      <c r="F562" s="229">
        <f>' WP II-I-1.4'!L562</f>
        <v>-4987970.08</v>
      </c>
      <c r="G562" s="293" t="s">
        <v>751</v>
      </c>
      <c r="H562" s="1" t="s">
        <v>303</v>
      </c>
      <c r="I562" s="806"/>
      <c r="J562" s="369">
        <f ca="1">'II-I-DIST'!J562+'II-I-MET'!J562+'II-I-TBILLTDCS'!J562</f>
        <v>-2721347.9301161608</v>
      </c>
      <c r="K562" s="369">
        <f ca="1">'II-I-DIST'!K562+'II-I-MET'!K562+'II-I-TBILLTDCS'!K562</f>
        <v>-72036.686753410962</v>
      </c>
      <c r="L562" s="369">
        <f ca="1">'II-I-DIST'!L562+'II-I-MET'!L562+'II-I-TBILLTDCS'!L562</f>
        <v>-1732539.9247044097</v>
      </c>
      <c r="M562" s="369">
        <f ca="1">'II-I-DIST'!M562+'II-I-MET'!M562+'II-I-TBILLTDCS'!M562</f>
        <v>-521.98991462372305</v>
      </c>
      <c r="N562" s="369">
        <f ca="1">'II-I-DIST'!N562+'II-I-MET'!N562+'II-I-TBILLTDCS'!N562</f>
        <v>-328116.11571511324</v>
      </c>
      <c r="O562" s="369">
        <f ca="1">'II-I-DIST'!O562+'II-I-MET'!O562+'II-I-TBILLTDCS'!O562</f>
        <v>-38339.029046259027</v>
      </c>
      <c r="P562" s="369">
        <f ca="1">'II-I-DIST'!P562+'II-I-MET'!P562+'II-I-TBILLTDCS'!P562</f>
        <v>-6470.6864704523614</v>
      </c>
      <c r="Q562" s="369">
        <f ca="1">'II-I-DIST'!Q562+'II-I-MET'!Q562+'II-I-TBILLTDCS'!Q562</f>
        <v>-73357.676215409476</v>
      </c>
      <c r="R562" s="369">
        <f ca="1">'II-I-DIST'!R562+'II-I-MET'!R562+'II-I-TBILLTDCS'!R562</f>
        <v>-2650.1434723967145</v>
      </c>
      <c r="S562" s="369">
        <f ca="1">'II-I-DIST'!S562+'II-I-MET'!S562+'II-I-TBILLTDCS'!S562</f>
        <v>-12589.897591765159</v>
      </c>
      <c r="T562" s="806"/>
      <c r="U562" s="98">
        <f t="shared" ca="1" si="153"/>
        <v>-4987970.080000001</v>
      </c>
      <c r="V562" s="64"/>
      <c r="X562" s="305">
        <f t="shared" ca="1" si="154"/>
        <v>0</v>
      </c>
    </row>
    <row r="563" spans="1:24" ht="15" x14ac:dyDescent="0.25">
      <c r="A563" s="45"/>
      <c r="B563" s="16">
        <f t="shared" si="145"/>
        <v>48</v>
      </c>
      <c r="C563" s="1539">
        <v>254</v>
      </c>
      <c r="D563" s="1153" t="s">
        <v>1274</v>
      </c>
      <c r="E563" s="806"/>
      <c r="F563" s="229">
        <f>' WP II-I-1.4'!L563</f>
        <v>0</v>
      </c>
      <c r="G563" s="293" t="s">
        <v>751</v>
      </c>
      <c r="H563" s="1" t="s">
        <v>303</v>
      </c>
      <c r="I563" s="806"/>
      <c r="J563" s="369">
        <f ca="1">'II-I-DIST'!J563+'II-I-MET'!J563+'II-I-TBILLTDCS'!J563</f>
        <v>0</v>
      </c>
      <c r="K563" s="369">
        <f ca="1">'II-I-DIST'!K563+'II-I-MET'!K563+'II-I-TBILLTDCS'!K563</f>
        <v>0</v>
      </c>
      <c r="L563" s="369">
        <f ca="1">'II-I-DIST'!L563+'II-I-MET'!L563+'II-I-TBILLTDCS'!L563</f>
        <v>0</v>
      </c>
      <c r="M563" s="369">
        <f ca="1">'II-I-DIST'!M563+'II-I-MET'!M563+'II-I-TBILLTDCS'!M563</f>
        <v>0</v>
      </c>
      <c r="N563" s="369">
        <f ca="1">'II-I-DIST'!N563+'II-I-MET'!N563+'II-I-TBILLTDCS'!N563</f>
        <v>0</v>
      </c>
      <c r="O563" s="369">
        <f ca="1">'II-I-DIST'!O563+'II-I-MET'!O563+'II-I-TBILLTDCS'!O563</f>
        <v>0</v>
      </c>
      <c r="P563" s="369">
        <f ca="1">'II-I-DIST'!P563+'II-I-MET'!P563+'II-I-TBILLTDCS'!P563</f>
        <v>0</v>
      </c>
      <c r="Q563" s="369">
        <f ca="1">'II-I-DIST'!Q563+'II-I-MET'!Q563+'II-I-TBILLTDCS'!Q563</f>
        <v>0</v>
      </c>
      <c r="R563" s="369">
        <f ca="1">'II-I-DIST'!R563+'II-I-MET'!R563+'II-I-TBILLTDCS'!R563</f>
        <v>0</v>
      </c>
      <c r="S563" s="369">
        <f ca="1">'II-I-DIST'!S563+'II-I-MET'!S563+'II-I-TBILLTDCS'!S563</f>
        <v>0</v>
      </c>
      <c r="T563" s="806"/>
      <c r="U563" s="98">
        <f t="shared" ca="1" si="153"/>
        <v>0</v>
      </c>
      <c r="V563" s="64"/>
      <c r="X563" s="305">
        <f t="shared" ca="1" si="154"/>
        <v>0</v>
      </c>
    </row>
    <row r="564" spans="1:24" ht="15" x14ac:dyDescent="0.25">
      <c r="A564" s="45"/>
      <c r="B564" s="16">
        <f t="shared" si="145"/>
        <v>49</v>
      </c>
      <c r="C564" s="275">
        <v>254</v>
      </c>
      <c r="D564" s="41" t="s">
        <v>1174</v>
      </c>
      <c r="E564" s="806"/>
      <c r="F564" s="229">
        <f>' WP II-I-1.4'!L564</f>
        <v>0</v>
      </c>
      <c r="G564" s="293" t="s">
        <v>751</v>
      </c>
      <c r="H564" s="45" t="s">
        <v>303</v>
      </c>
      <c r="I564" s="202"/>
      <c r="J564" s="369">
        <f ca="1">'II-I-DIST'!J564+'II-I-MET'!J564+'II-I-TBILLTDCS'!J564</f>
        <v>0</v>
      </c>
      <c r="K564" s="369">
        <f ca="1">'II-I-DIST'!K564+'II-I-MET'!K564+'II-I-TBILLTDCS'!K564</f>
        <v>0</v>
      </c>
      <c r="L564" s="369">
        <f ca="1">'II-I-DIST'!L564+'II-I-MET'!L564+'II-I-TBILLTDCS'!L564</f>
        <v>0</v>
      </c>
      <c r="M564" s="369">
        <f ca="1">'II-I-DIST'!M564+'II-I-MET'!M564+'II-I-TBILLTDCS'!M564</f>
        <v>0</v>
      </c>
      <c r="N564" s="369">
        <f ca="1">'II-I-DIST'!N564+'II-I-MET'!N564+'II-I-TBILLTDCS'!N564</f>
        <v>0</v>
      </c>
      <c r="O564" s="369">
        <f ca="1">'II-I-DIST'!O564+'II-I-MET'!O564+'II-I-TBILLTDCS'!O564</f>
        <v>0</v>
      </c>
      <c r="P564" s="369">
        <f ca="1">'II-I-DIST'!P564+'II-I-MET'!P564+'II-I-TBILLTDCS'!P564</f>
        <v>0</v>
      </c>
      <c r="Q564" s="369">
        <f ca="1">'II-I-DIST'!Q564+'II-I-MET'!Q564+'II-I-TBILLTDCS'!Q564</f>
        <v>0</v>
      </c>
      <c r="R564" s="369">
        <f ca="1">'II-I-DIST'!R564+'II-I-MET'!R564+'II-I-TBILLTDCS'!R564</f>
        <v>0</v>
      </c>
      <c r="S564" s="369">
        <f ca="1">'II-I-DIST'!S564+'II-I-MET'!S564+'II-I-TBILLTDCS'!S564</f>
        <v>0</v>
      </c>
      <c r="T564" s="806"/>
      <c r="U564" s="98">
        <f t="shared" ca="1" si="153"/>
        <v>0</v>
      </c>
      <c r="V564" s="64"/>
      <c r="X564" s="305">
        <f t="shared" ca="1" si="154"/>
        <v>0</v>
      </c>
    </row>
    <row r="565" spans="1:24" ht="15" x14ac:dyDescent="0.25">
      <c r="A565" s="45"/>
      <c r="B565" s="16">
        <f t="shared" si="145"/>
        <v>50</v>
      </c>
      <c r="C565" s="41">
        <v>254</v>
      </c>
      <c r="D565" s="41" t="s">
        <v>1175</v>
      </c>
      <c r="E565" s="806"/>
      <c r="F565" s="229">
        <f>' WP II-I-1.4'!L565</f>
        <v>0</v>
      </c>
      <c r="G565" s="293" t="s">
        <v>751</v>
      </c>
      <c r="H565" s="45" t="s">
        <v>303</v>
      </c>
      <c r="I565" s="806"/>
      <c r="J565" s="369">
        <f ca="1">'II-I-DIST'!J565+'II-I-MET'!J565+'II-I-TBILLTDCS'!J565</f>
        <v>0</v>
      </c>
      <c r="K565" s="369">
        <f ca="1">'II-I-DIST'!K565+'II-I-MET'!K565+'II-I-TBILLTDCS'!K565</f>
        <v>0</v>
      </c>
      <c r="L565" s="369">
        <f ca="1">'II-I-DIST'!L565+'II-I-MET'!L565+'II-I-TBILLTDCS'!L565</f>
        <v>0</v>
      </c>
      <c r="M565" s="369">
        <f ca="1">'II-I-DIST'!M565+'II-I-MET'!M565+'II-I-TBILLTDCS'!M565</f>
        <v>0</v>
      </c>
      <c r="N565" s="369">
        <f ca="1">'II-I-DIST'!N565+'II-I-MET'!N565+'II-I-TBILLTDCS'!N565</f>
        <v>0</v>
      </c>
      <c r="O565" s="369">
        <f ca="1">'II-I-DIST'!O565+'II-I-MET'!O565+'II-I-TBILLTDCS'!O565</f>
        <v>0</v>
      </c>
      <c r="P565" s="369">
        <f ca="1">'II-I-DIST'!P565+'II-I-MET'!P565+'II-I-TBILLTDCS'!P565</f>
        <v>0</v>
      </c>
      <c r="Q565" s="369">
        <f ca="1">'II-I-DIST'!Q565+'II-I-MET'!Q565+'II-I-TBILLTDCS'!Q565</f>
        <v>0</v>
      </c>
      <c r="R565" s="369">
        <f ca="1">'II-I-DIST'!R565+'II-I-MET'!R565+'II-I-TBILLTDCS'!R565</f>
        <v>0</v>
      </c>
      <c r="S565" s="369">
        <f ca="1">'II-I-DIST'!S565+'II-I-MET'!S565+'II-I-TBILLTDCS'!S565</f>
        <v>0</v>
      </c>
      <c r="T565" s="806"/>
      <c r="U565" s="98">
        <f t="shared" ca="1" si="153"/>
        <v>0</v>
      </c>
      <c r="V565" s="64"/>
      <c r="X565" s="305">
        <f t="shared" ref="X565:X636" ca="1" si="155">U565-F565</f>
        <v>0</v>
      </c>
    </row>
    <row r="566" spans="1:24" ht="15" x14ac:dyDescent="0.25">
      <c r="A566" s="45"/>
      <c r="B566" s="16">
        <f t="shared" si="145"/>
        <v>51</v>
      </c>
      <c r="C566" s="41">
        <v>254</v>
      </c>
      <c r="D566" s="41" t="s">
        <v>1275</v>
      </c>
      <c r="E566" s="806"/>
      <c r="F566" s="229">
        <f>' WP II-I-1.4'!L566</f>
        <v>0</v>
      </c>
      <c r="G566" s="293" t="s">
        <v>751</v>
      </c>
      <c r="H566" s="45" t="s">
        <v>303</v>
      </c>
      <c r="I566" s="806"/>
      <c r="J566" s="369">
        <f ca="1">'II-I-DIST'!J566+'II-I-MET'!J566+'II-I-TBILLTDCS'!J566</f>
        <v>0</v>
      </c>
      <c r="K566" s="369">
        <f ca="1">'II-I-DIST'!K566+'II-I-MET'!K566+'II-I-TBILLTDCS'!K566</f>
        <v>0</v>
      </c>
      <c r="L566" s="369">
        <f ca="1">'II-I-DIST'!L566+'II-I-MET'!L566+'II-I-TBILLTDCS'!L566</f>
        <v>0</v>
      </c>
      <c r="M566" s="369">
        <f ca="1">'II-I-DIST'!M566+'II-I-MET'!M566+'II-I-TBILLTDCS'!M566</f>
        <v>0</v>
      </c>
      <c r="N566" s="369">
        <f ca="1">'II-I-DIST'!N566+'II-I-MET'!N566+'II-I-TBILLTDCS'!N566</f>
        <v>0</v>
      </c>
      <c r="O566" s="369">
        <f ca="1">'II-I-DIST'!O566+'II-I-MET'!O566+'II-I-TBILLTDCS'!O566</f>
        <v>0</v>
      </c>
      <c r="P566" s="369">
        <f ca="1">'II-I-DIST'!P566+'II-I-MET'!P566+'II-I-TBILLTDCS'!P566</f>
        <v>0</v>
      </c>
      <c r="Q566" s="369">
        <f ca="1">'II-I-DIST'!Q566+'II-I-MET'!Q566+'II-I-TBILLTDCS'!Q566</f>
        <v>0</v>
      </c>
      <c r="R566" s="369">
        <f ca="1">'II-I-DIST'!R566+'II-I-MET'!R566+'II-I-TBILLTDCS'!R566</f>
        <v>0</v>
      </c>
      <c r="S566" s="369">
        <f ca="1">'II-I-DIST'!S566+'II-I-MET'!S566+'II-I-TBILLTDCS'!S566</f>
        <v>0</v>
      </c>
      <c r="T566" s="806"/>
      <c r="U566" s="98">
        <f t="shared" ca="1" si="153"/>
        <v>0</v>
      </c>
      <c r="V566" s="64"/>
      <c r="X566" s="305">
        <f t="shared" ca="1" si="155"/>
        <v>0</v>
      </c>
    </row>
    <row r="567" spans="1:24" ht="15" x14ac:dyDescent="0.25">
      <c r="A567" s="45"/>
      <c r="B567" s="16">
        <f t="shared" si="145"/>
        <v>52</v>
      </c>
      <c r="C567" s="41">
        <v>254</v>
      </c>
      <c r="D567" s="41" t="s">
        <v>1276</v>
      </c>
      <c r="E567" s="806"/>
      <c r="F567" s="229">
        <f>' WP II-I-1.4'!L567</f>
        <v>54569.880000000114</v>
      </c>
      <c r="G567" s="293" t="s">
        <v>751</v>
      </c>
      <c r="H567" s="1" t="s">
        <v>303</v>
      </c>
      <c r="I567" s="806"/>
      <c r="J567" s="369">
        <f ca="1">'II-I-DIST'!J567+'II-I-MET'!J567+'II-I-TBILLTDCS'!J567</f>
        <v>29317.341175350743</v>
      </c>
      <c r="K567" s="369">
        <f ca="1">'II-I-DIST'!K567+'II-I-MET'!K567+'II-I-TBILLTDCS'!K567</f>
        <v>947.20340597566781</v>
      </c>
      <c r="L567" s="369">
        <f ca="1">'II-I-DIST'!L567+'II-I-MET'!L567+'II-I-TBILLTDCS'!L567</f>
        <v>18537.07348093011</v>
      </c>
      <c r="M567" s="369">
        <f ca="1">'II-I-DIST'!M567+'II-I-MET'!M567+'II-I-TBILLTDCS'!M567</f>
        <v>5.3621022475835627</v>
      </c>
      <c r="N567" s="369">
        <f ca="1">'II-I-DIST'!N567+'II-I-MET'!N567+'II-I-TBILLTDCS'!N567</f>
        <v>3370.5481892550661</v>
      </c>
      <c r="O567" s="369">
        <f ca="1">'II-I-DIST'!O567+'II-I-MET'!O567+'II-I-TBILLTDCS'!O567</f>
        <v>366.58499731656514</v>
      </c>
      <c r="P567" s="369">
        <f ca="1">'II-I-DIST'!P567+'II-I-MET'!P567+'II-I-TBILLTDCS'!P567</f>
        <v>63.507178270094506</v>
      </c>
      <c r="Q567" s="369">
        <f ca="1">'II-I-DIST'!Q567+'II-I-MET'!Q567+'II-I-TBILLTDCS'!Q567</f>
        <v>1807.5909047067905</v>
      </c>
      <c r="R567" s="369">
        <f ca="1">'II-I-DIST'!R567+'II-I-MET'!R567+'II-I-TBILLTDCS'!R567</f>
        <v>25.339787206005347</v>
      </c>
      <c r="S567" s="369">
        <f ca="1">'II-I-DIST'!S567+'II-I-MET'!S567+'II-I-TBILLTDCS'!S567</f>
        <v>129.32877874147098</v>
      </c>
      <c r="T567" s="806"/>
      <c r="U567" s="98">
        <f t="shared" ca="1" si="153"/>
        <v>54569.880000000107</v>
      </c>
      <c r="V567" s="64"/>
      <c r="X567" s="305">
        <f t="shared" ref="X567:X568" ca="1" si="156">U567-F567</f>
        <v>0</v>
      </c>
    </row>
    <row r="568" spans="1:24" ht="15" x14ac:dyDescent="0.25">
      <c r="A568" s="45"/>
      <c r="B568" s="16">
        <f t="shared" si="145"/>
        <v>53</v>
      </c>
      <c r="C568" s="41">
        <v>254</v>
      </c>
      <c r="D568" s="41" t="s">
        <v>1277</v>
      </c>
      <c r="E568" s="806"/>
      <c r="F568" s="229">
        <f>' WP II-I-1.4'!L568</f>
        <v>1583754.909999989</v>
      </c>
      <c r="G568" s="293" t="s">
        <v>751</v>
      </c>
      <c r="H568" s="1" t="s">
        <v>303</v>
      </c>
      <c r="I568" s="806"/>
      <c r="J568" s="369">
        <f ca="1">'II-I-DIST'!J568+'II-I-MET'!J568+'II-I-TBILLTDCS'!J568</f>
        <v>850862.83925503388</v>
      </c>
      <c r="K568" s="369">
        <f ca="1">'II-I-DIST'!K568+'II-I-MET'!K568+'II-I-TBILLTDCS'!K568</f>
        <v>27490.220703851162</v>
      </c>
      <c r="L568" s="369">
        <f ca="1">'II-I-DIST'!L568+'II-I-MET'!L568+'II-I-TBILLTDCS'!L568</f>
        <v>537992.40794470487</v>
      </c>
      <c r="M568" s="369">
        <f ca="1">'II-I-DIST'!M568+'II-I-MET'!M568+'II-I-TBILLTDCS'!M568</f>
        <v>155.62166826337946</v>
      </c>
      <c r="N568" s="369">
        <f ca="1">'II-I-DIST'!N568+'II-I-MET'!N568+'II-I-TBILLTDCS'!N568</f>
        <v>97821.769887056231</v>
      </c>
      <c r="O568" s="369">
        <f ca="1">'II-I-DIST'!O568+'II-I-MET'!O568+'II-I-TBILLTDCS'!O568</f>
        <v>10639.216898267719</v>
      </c>
      <c r="P568" s="369">
        <f ca="1">'II-I-DIST'!P568+'II-I-MET'!P568+'II-I-TBILLTDCS'!P568</f>
        <v>1843.1377420200772</v>
      </c>
      <c r="Q568" s="369">
        <f ca="1">'II-I-DIST'!Q568+'II-I-MET'!Q568+'II-I-TBILLTDCS'!Q568</f>
        <v>52460.825836536482</v>
      </c>
      <c r="R568" s="369">
        <f ca="1">'II-I-DIST'!R568+'II-I-MET'!R568+'II-I-TBILLTDCS'!R568</f>
        <v>735.42423780051899</v>
      </c>
      <c r="S568" s="369">
        <f ca="1">'II-I-DIST'!S568+'II-I-MET'!S568+'II-I-TBILLTDCS'!S568</f>
        <v>3753.4458264541986</v>
      </c>
      <c r="T568" s="806"/>
      <c r="U568" s="98">
        <f t="shared" ca="1" si="153"/>
        <v>1583754.9099999883</v>
      </c>
      <c r="V568" s="64"/>
      <c r="X568" s="305">
        <f t="shared" ca="1" si="156"/>
        <v>0</v>
      </c>
    </row>
    <row r="569" spans="1:24" ht="15" x14ac:dyDescent="0.25">
      <c r="A569" s="45"/>
      <c r="B569" s="16">
        <f t="shared" si="145"/>
        <v>54</v>
      </c>
      <c r="C569" s="41">
        <v>254</v>
      </c>
      <c r="D569" s="41" t="s">
        <v>1278</v>
      </c>
      <c r="E569" s="806"/>
      <c r="F569" s="229">
        <f>' WP II-I-1.4'!L569</f>
        <v>-25859.240000000005</v>
      </c>
      <c r="G569" s="293" t="s">
        <v>751</v>
      </c>
      <c r="H569" s="45" t="s">
        <v>303</v>
      </c>
      <c r="I569" s="806"/>
      <c r="J569" s="369">
        <f ca="1">'II-I-DIST'!J569+'II-I-MET'!J569+'II-I-TBILLTDCS'!J569</f>
        <v>-13892.721802123728</v>
      </c>
      <c r="K569" s="369">
        <f ca="1">'II-I-DIST'!K569+'II-I-MET'!K569+'II-I-TBILLTDCS'!K569</f>
        <v>-448.85493983021735</v>
      </c>
      <c r="L569" s="369">
        <f ca="1">'II-I-DIST'!L569+'II-I-MET'!L569+'II-I-TBILLTDCS'!L569</f>
        <v>-8784.2346737981879</v>
      </c>
      <c r="M569" s="369">
        <f ca="1">'II-I-DIST'!M569+'II-I-MET'!M569+'II-I-TBILLTDCS'!M569</f>
        <v>-2.5409601216788915</v>
      </c>
      <c r="N569" s="369">
        <f ca="1">'II-I-DIST'!N569+'II-I-MET'!N569+'II-I-TBILLTDCS'!N569</f>
        <v>-1597.2147008113636</v>
      </c>
      <c r="O569" s="369">
        <f ca="1">'II-I-DIST'!O569+'II-I-MET'!O569+'II-I-TBILLTDCS'!O569</f>
        <v>-173.71504987748546</v>
      </c>
      <c r="P569" s="369">
        <f ca="1">'II-I-DIST'!P569+'II-I-MET'!P569+'II-I-TBILLTDCS'!P569</f>
        <v>-30.094392082393355</v>
      </c>
      <c r="Q569" s="369">
        <f ca="1">'II-I-DIST'!Q569+'II-I-MET'!Q569+'II-I-TBILLTDCS'!Q569</f>
        <v>-856.57009006854946</v>
      </c>
      <c r="R569" s="369">
        <f ca="1">'II-I-DIST'!R569+'II-I-MET'!R569+'II-I-TBILLTDCS'!R569</f>
        <v>-12.00786292564727</v>
      </c>
      <c r="S569" s="369">
        <f ca="1">'II-I-DIST'!S569+'II-I-MET'!S569+'II-I-TBILLTDCS'!S569</f>
        <v>-61.285528360747534</v>
      </c>
      <c r="T569" s="806"/>
      <c r="U569" s="98">
        <f t="shared" ca="1" si="153"/>
        <v>-25859.239999999994</v>
      </c>
      <c r="V569" s="64"/>
      <c r="X569" s="305">
        <f t="shared" ca="1" si="155"/>
        <v>0</v>
      </c>
    </row>
    <row r="570" spans="1:24" ht="15" x14ac:dyDescent="0.25">
      <c r="A570" s="45"/>
      <c r="B570" s="16">
        <f t="shared" si="145"/>
        <v>55</v>
      </c>
      <c r="C570" s="41">
        <v>254</v>
      </c>
      <c r="D570" s="41" t="s">
        <v>1279</v>
      </c>
      <c r="E570" s="806"/>
      <c r="F570" s="229">
        <f>' WP II-I-1.4'!L570</f>
        <v>-14906188.439999999</v>
      </c>
      <c r="G570" s="293" t="s">
        <v>751</v>
      </c>
      <c r="H570" s="45" t="s">
        <v>303</v>
      </c>
      <c r="I570" s="806"/>
      <c r="J570" s="369">
        <f ca="1">'II-I-DIST'!J570+'II-I-MET'!J570+'II-I-TBILLTDCS'!J570</f>
        <v>-7972298.9988942547</v>
      </c>
      <c r="K570" s="369">
        <f ca="1">'II-I-DIST'!K570+'II-I-MET'!K570+'II-I-TBILLTDCS'!K570</f>
        <v>-436760.60955505259</v>
      </c>
      <c r="L570" s="369">
        <f ca="1">'II-I-DIST'!L570+'II-I-MET'!L570+'II-I-TBILLTDCS'!L570</f>
        <v>-4908461.7266474608</v>
      </c>
      <c r="M570" s="369">
        <f ca="1">'II-I-DIST'!M570+'II-I-MET'!M570+'II-I-TBILLTDCS'!M570</f>
        <v>-39736.554234684227</v>
      </c>
      <c r="N570" s="369">
        <f ca="1">'II-I-DIST'!N570+'II-I-MET'!N570+'II-I-TBILLTDCS'!N570</f>
        <v>-1023043.4724943405</v>
      </c>
      <c r="O570" s="369">
        <f ca="1">'II-I-DIST'!O570+'II-I-MET'!O570+'II-I-TBILLTDCS'!O570</f>
        <v>-88702.114168605898</v>
      </c>
      <c r="P570" s="369">
        <f ca="1">'II-I-DIST'!P570+'II-I-MET'!P570+'II-I-TBILLTDCS'!P570</f>
        <v>-34013.111536642136</v>
      </c>
      <c r="Q570" s="369">
        <f ca="1">'II-I-DIST'!Q570+'II-I-MET'!Q570+'II-I-TBILLTDCS'!Q570</f>
        <v>-366050.54852602101</v>
      </c>
      <c r="R570" s="369">
        <f ca="1">'II-I-DIST'!R570+'II-I-MET'!R570+'II-I-TBILLTDCS'!R570</f>
        <v>-6534.1230583193274</v>
      </c>
      <c r="S570" s="369">
        <f ca="1">'II-I-DIST'!S570+'II-I-MET'!S570+'II-I-TBILLTDCS'!S570</f>
        <v>-30587.180884613779</v>
      </c>
      <c r="T570" s="806"/>
      <c r="U570" s="98">
        <f t="shared" ca="1" si="153"/>
        <v>-14906188.439999994</v>
      </c>
      <c r="V570" s="64"/>
      <c r="X570" s="305">
        <f t="shared" ca="1" si="155"/>
        <v>0</v>
      </c>
    </row>
    <row r="571" spans="1:24" ht="15" x14ac:dyDescent="0.25">
      <c r="A571" s="45"/>
      <c r="B571" s="16">
        <f t="shared" si="145"/>
        <v>56</v>
      </c>
      <c r="C571" s="41">
        <v>254</v>
      </c>
      <c r="D571" s="41" t="s">
        <v>1176</v>
      </c>
      <c r="E571" s="806"/>
      <c r="F571" s="229">
        <f>' WP II-I-1.4'!L571</f>
        <v>-30885838.659999996</v>
      </c>
      <c r="G571" s="293" t="s">
        <v>751</v>
      </c>
      <c r="H571" s="1" t="s">
        <v>303</v>
      </c>
      <c r="I571" s="806"/>
      <c r="J571" s="369">
        <f ca="1">'II-I-DIST'!J571+'II-I-MET'!J571+'II-I-TBILLTDCS'!J571</f>
        <v>-16479398.100888869</v>
      </c>
      <c r="K571" s="369">
        <f ca="1">'II-I-DIST'!K571+'II-I-MET'!K571+'II-I-TBILLTDCS'!K571</f>
        <v>-923985.56695002201</v>
      </c>
      <c r="L571" s="369">
        <f ca="1">'II-I-DIST'!L571+'II-I-MET'!L571+'II-I-TBILLTDCS'!L571</f>
        <v>-10126567.828566039</v>
      </c>
      <c r="M571" s="369">
        <f ca="1">'II-I-DIST'!M571+'II-I-MET'!M571+'II-I-TBILLTDCS'!M571</f>
        <v>-86583.675680710716</v>
      </c>
      <c r="N571" s="369">
        <f ca="1">'II-I-DIST'!N571+'II-I-MET'!N571+'II-I-TBILLTDCS'!N571</f>
        <v>-2126209.4537793905</v>
      </c>
      <c r="O571" s="369">
        <f ca="1">'II-I-DIST'!O571+'II-I-MET'!O571+'II-I-TBILLTDCS'!O571</f>
        <v>-181986.30622142999</v>
      </c>
      <c r="P571" s="369">
        <f ca="1">'II-I-DIST'!P571+'II-I-MET'!P571+'II-I-TBILLTDCS'!P571</f>
        <v>-72234.120674507169</v>
      </c>
      <c r="Q571" s="369">
        <f ca="1">'II-I-DIST'!Q571+'II-I-MET'!Q571+'II-I-TBILLTDCS'!Q571</f>
        <v>-812753.3260359409</v>
      </c>
      <c r="R571" s="369">
        <f ca="1">'II-I-DIST'!R571+'II-I-MET'!R571+'II-I-TBILLTDCS'!R571</f>
        <v>-13458.708042405033</v>
      </c>
      <c r="S571" s="369">
        <f ca="1">'II-I-DIST'!S571+'II-I-MET'!S571+'II-I-TBILLTDCS'!S571</f>
        <v>-62661.57316067355</v>
      </c>
      <c r="T571" s="806"/>
      <c r="U571" s="98">
        <f t="shared" ca="1" si="153"/>
        <v>-30885838.659999989</v>
      </c>
      <c r="V571" s="64"/>
      <c r="X571" s="305">
        <f t="shared" ca="1" si="155"/>
        <v>0</v>
      </c>
    </row>
    <row r="572" spans="1:24" ht="12" customHeight="1" x14ac:dyDescent="0.25">
      <c r="A572" s="45"/>
      <c r="B572" s="16">
        <f t="shared" si="145"/>
        <v>57</v>
      </c>
      <c r="C572" s="41">
        <v>257</v>
      </c>
      <c r="D572" s="41" t="s">
        <v>1122</v>
      </c>
      <c r="E572" s="806"/>
      <c r="F572" s="229">
        <f>' WP II-I-1.4'!L572</f>
        <v>0</v>
      </c>
      <c r="G572" s="293" t="s">
        <v>751</v>
      </c>
      <c r="H572" s="1" t="s">
        <v>303</v>
      </c>
      <c r="I572" s="806"/>
      <c r="J572" s="369">
        <f ca="1">'II-I-DIST'!J572+'II-I-MET'!J572+'II-I-TBILLTDCS'!J572</f>
        <v>0</v>
      </c>
      <c r="K572" s="369">
        <f ca="1">'II-I-DIST'!K572+'II-I-MET'!K572+'II-I-TBILLTDCS'!K572</f>
        <v>0</v>
      </c>
      <c r="L572" s="369">
        <f ca="1">'II-I-DIST'!L572+'II-I-MET'!L572+'II-I-TBILLTDCS'!L572</f>
        <v>0</v>
      </c>
      <c r="M572" s="369">
        <f ca="1">'II-I-DIST'!M572+'II-I-MET'!M572+'II-I-TBILLTDCS'!M572</f>
        <v>0</v>
      </c>
      <c r="N572" s="369">
        <f ca="1">'II-I-DIST'!N572+'II-I-MET'!N572+'II-I-TBILLTDCS'!N572</f>
        <v>0</v>
      </c>
      <c r="O572" s="369">
        <f ca="1">'II-I-DIST'!O572+'II-I-MET'!O572+'II-I-TBILLTDCS'!O572</f>
        <v>0</v>
      </c>
      <c r="P572" s="369">
        <f ca="1">'II-I-DIST'!P572+'II-I-MET'!P572+'II-I-TBILLTDCS'!P572</f>
        <v>0</v>
      </c>
      <c r="Q572" s="369">
        <f ca="1">'II-I-DIST'!Q572+'II-I-MET'!Q572+'II-I-TBILLTDCS'!Q572</f>
        <v>0</v>
      </c>
      <c r="R572" s="369">
        <f ca="1">'II-I-DIST'!R572+'II-I-MET'!R572+'II-I-TBILLTDCS'!R572</f>
        <v>0</v>
      </c>
      <c r="S572" s="369">
        <f ca="1">'II-I-DIST'!S572+'II-I-MET'!S572+'II-I-TBILLTDCS'!S572</f>
        <v>0</v>
      </c>
      <c r="T572" s="806"/>
      <c r="U572" s="98">
        <f t="shared" ca="1" si="153"/>
        <v>0</v>
      </c>
      <c r="V572" s="64"/>
      <c r="X572" s="305"/>
    </row>
    <row r="573" spans="1:24" ht="18" customHeight="1" x14ac:dyDescent="0.25">
      <c r="A573" s="118"/>
      <c r="B573" s="16">
        <f t="shared" si="145"/>
        <v>58</v>
      </c>
      <c r="C573" s="34"/>
      <c r="D573" s="42" t="s">
        <v>563</v>
      </c>
      <c r="E573" s="35"/>
      <c r="F573" s="37">
        <f>SUM(F559:F572)</f>
        <v>-58115195.74000001</v>
      </c>
      <c r="G573" s="35"/>
      <c r="H573" s="35"/>
      <c r="I573" s="35"/>
      <c r="J573" s="807">
        <f t="shared" ref="J573:U573" ca="1" si="157">SUM(J559:J572)</f>
        <v>-31188444.272391565</v>
      </c>
      <c r="K573" s="807">
        <f t="shared" ca="1" si="157"/>
        <v>-1534017.2177085136</v>
      </c>
      <c r="L573" s="807">
        <f t="shared" ca="1" si="157"/>
        <v>-19327738.886779983</v>
      </c>
      <c r="M573" s="807">
        <f t="shared" ca="1" si="157"/>
        <v>-127620.14799819401</v>
      </c>
      <c r="N573" s="807">
        <f t="shared" ca="1" si="157"/>
        <v>-3966364.6369153531</v>
      </c>
      <c r="O573" s="807">
        <f t="shared" ca="1" si="157"/>
        <v>-366969.78358901141</v>
      </c>
      <c r="P573" s="807">
        <f t="shared" ca="1" si="157"/>
        <v>-122448.80127150296</v>
      </c>
      <c r="Q573" s="807">
        <f t="shared" ca="1" si="157"/>
        <v>-1330342.2830988476</v>
      </c>
      <c r="R573" s="807">
        <f t="shared" ca="1" si="157"/>
        <v>-26648.175081589201</v>
      </c>
      <c r="S573" s="807">
        <f t="shared" ca="1" si="157"/>
        <v>-124601.53516543827</v>
      </c>
      <c r="T573" s="807">
        <f t="shared" si="157"/>
        <v>0</v>
      </c>
      <c r="U573" s="807">
        <f t="shared" ca="1" si="157"/>
        <v>-58115195.739999995</v>
      </c>
      <c r="V573" s="104"/>
      <c r="W573" s="1099" t="b">
        <f>' WP II-I-1.4'!$L$573=F573</f>
        <v>1</v>
      </c>
      <c r="X573" s="305">
        <f t="shared" ca="1" si="155"/>
        <v>0</v>
      </c>
    </row>
    <row r="574" spans="1:24" ht="17.100000000000001" customHeight="1" thickBot="1" x14ac:dyDescent="0.3">
      <c r="A574" s="45"/>
      <c r="B574" s="16">
        <f t="shared" si="145"/>
        <v>59</v>
      </c>
      <c r="C574" s="41"/>
      <c r="D574" s="42"/>
      <c r="E574" s="35"/>
      <c r="F574" s="202"/>
      <c r="G574" s="35"/>
      <c r="H574" s="35"/>
      <c r="I574" s="35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35"/>
      <c r="U574" s="97"/>
      <c r="V574" s="64"/>
      <c r="X574" s="305">
        <f t="shared" si="155"/>
        <v>0</v>
      </c>
    </row>
    <row r="575" spans="1:24" ht="15.75" thickBot="1" x14ac:dyDescent="0.3">
      <c r="A575" s="38"/>
      <c r="B575" s="16">
        <f t="shared" si="145"/>
        <v>60</v>
      </c>
      <c r="C575" s="291" t="s">
        <v>564</v>
      </c>
      <c r="D575" s="217"/>
      <c r="E575" s="272" t="s">
        <v>127</v>
      </c>
      <c r="F575" s="217">
        <f>F556+F573</f>
        <v>1176851061.4899998</v>
      </c>
      <c r="G575" s="272"/>
      <c r="H575" s="392"/>
      <c r="I575" s="568"/>
      <c r="J575" s="291">
        <f t="shared" ref="J575:S575" ca="1" si="158">J556+J573</f>
        <v>630914712.47128999</v>
      </c>
      <c r="K575" s="814">
        <f t="shared" ca="1" si="158"/>
        <v>23765617.787051085</v>
      </c>
      <c r="L575" s="814">
        <f t="shared" ca="1" si="158"/>
        <v>396365702.24929291</v>
      </c>
      <c r="M575" s="814">
        <f t="shared" ca="1" si="158"/>
        <v>844590.81662150717</v>
      </c>
      <c r="N575" s="814">
        <f t="shared" ca="1" si="158"/>
        <v>74790519.835379511</v>
      </c>
      <c r="O575" s="814">
        <f t="shared" ca="1" si="158"/>
        <v>7724065.4166484345</v>
      </c>
      <c r="P575" s="814">
        <f t="shared" ca="1" si="158"/>
        <v>1685114.9114793842</v>
      </c>
      <c r="Q575" s="814">
        <f t="shared" ca="1" si="158"/>
        <v>37587891.440176472</v>
      </c>
      <c r="R575" s="814">
        <f t="shared" ca="1" si="158"/>
        <v>528024.69624207052</v>
      </c>
      <c r="S575" s="218">
        <f t="shared" ca="1" si="158"/>
        <v>2644821.8658183222</v>
      </c>
      <c r="T575" s="392"/>
      <c r="U575" s="218">
        <f ca="1">SUM(I575:T575)</f>
        <v>1176851061.4899998</v>
      </c>
      <c r="V575" s="34"/>
      <c r="W575" s="1099" t="b">
        <f>' WP II-I-1.4'!$L$575=F575</f>
        <v>1</v>
      </c>
      <c r="X575" s="305">
        <f t="shared" ca="1" si="155"/>
        <v>0</v>
      </c>
    </row>
    <row r="576" spans="1:24" ht="15" x14ac:dyDescent="0.25">
      <c r="A576" s="45"/>
      <c r="B576" s="16"/>
      <c r="C576" s="41"/>
      <c r="D576" s="42"/>
      <c r="E576" s="35"/>
      <c r="F576" s="202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97"/>
      <c r="V576" s="64"/>
      <c r="X576" s="305">
        <f t="shared" si="155"/>
        <v>0</v>
      </c>
    </row>
    <row r="577" spans="1:24" ht="15" x14ac:dyDescent="0.25">
      <c r="A577" s="45"/>
      <c r="B577" s="16"/>
      <c r="C577" s="41"/>
      <c r="D577" s="42"/>
      <c r="E577" s="35"/>
      <c r="F577" s="202"/>
      <c r="G577" s="35"/>
      <c r="H577" s="10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105"/>
      <c r="V577" s="105"/>
      <c r="X577" s="305"/>
    </row>
    <row r="578" spans="1:24" ht="15.75" thickBot="1" x14ac:dyDescent="0.3">
      <c r="A578" s="45"/>
      <c r="B578" s="16"/>
      <c r="C578" s="41"/>
      <c r="D578" s="42"/>
      <c r="E578" s="35"/>
      <c r="F578" s="202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97"/>
      <c r="V578" s="64"/>
      <c r="X578" s="305">
        <f t="shared" si="155"/>
        <v>0</v>
      </c>
    </row>
    <row r="579" spans="1:24" ht="15" x14ac:dyDescent="0.25">
      <c r="A579" s="45"/>
      <c r="B579" s="829" t="str">
        <f>+$B$4</f>
        <v>2025 RATE CASE</v>
      </c>
      <c r="C579" s="844"/>
      <c r="D579" s="872"/>
      <c r="F579" s="267"/>
      <c r="U579" s="105"/>
      <c r="X579" s="305">
        <f t="shared" si="155"/>
        <v>0</v>
      </c>
    </row>
    <row r="580" spans="1:24" ht="15" x14ac:dyDescent="0.25">
      <c r="A580" s="45"/>
      <c r="B580" s="826" t="str">
        <f>+$B$5</f>
        <v>ONCOR ELECTRIC DELIVERY COMPANY LLC</v>
      </c>
      <c r="C580" s="8"/>
      <c r="D580" s="873"/>
      <c r="F580" s="267"/>
      <c r="U580" s="105"/>
      <c r="V580" s="64"/>
      <c r="X580" s="305">
        <f t="shared" si="155"/>
        <v>0</v>
      </c>
    </row>
    <row r="581" spans="1:24" ht="15" x14ac:dyDescent="0.25">
      <c r="A581" s="45"/>
      <c r="B581" s="826" t="str">
        <f>+$B$6</f>
        <v>II-I-1-TOT:  CLASS REVENUE REQUIREMENT</v>
      </c>
      <c r="C581" s="82"/>
      <c r="D581" s="873"/>
      <c r="F581" s="267"/>
      <c r="U581" s="267"/>
      <c r="V581" s="64"/>
      <c r="X581" s="305">
        <f t="shared" si="155"/>
        <v>0</v>
      </c>
    </row>
    <row r="582" spans="1:24" ht="15" x14ac:dyDescent="0.25">
      <c r="A582" s="45"/>
      <c r="B582" s="341" t="str">
        <f>+$B$7</f>
        <v>TEST YEAR ENDING 12/31/2024</v>
      </c>
      <c r="C582" s="82"/>
      <c r="D582" s="873"/>
      <c r="F582" s="267"/>
      <c r="U582" s="267"/>
      <c r="V582" s="64"/>
      <c r="X582" s="305">
        <f t="shared" si="155"/>
        <v>0</v>
      </c>
    </row>
    <row r="583" spans="1:24" ht="15" x14ac:dyDescent="0.25">
      <c r="A583" s="45"/>
      <c r="B583" s="341" t="str">
        <f>+$B$8</f>
        <v>SPONSOR:  MATTHEW A. TROXLE</v>
      </c>
      <c r="C583" s="82"/>
      <c r="D583" s="873"/>
      <c r="F583" s="267"/>
      <c r="U583" s="267"/>
      <c r="V583" s="64"/>
      <c r="X583" s="305">
        <f t="shared" si="155"/>
        <v>0</v>
      </c>
    </row>
    <row r="584" spans="1:24" ht="15.75" thickBot="1" x14ac:dyDescent="0.3">
      <c r="A584" s="45"/>
      <c r="B584" s="345"/>
      <c r="C584" s="843"/>
      <c r="D584" s="845"/>
      <c r="F584" s="267"/>
      <c r="U584" s="267"/>
      <c r="V584" s="64"/>
      <c r="X584" s="305">
        <f t="shared" si="155"/>
        <v>0</v>
      </c>
    </row>
    <row r="585" spans="1:24" ht="15" thickBot="1" x14ac:dyDescent="0.25">
      <c r="A585" s="45"/>
      <c r="B585" s="12"/>
      <c r="C585" s="13"/>
      <c r="D585" s="13"/>
      <c r="E585" s="13"/>
      <c r="F585" s="12"/>
      <c r="G585" s="13"/>
      <c r="H585" s="13"/>
      <c r="I585" s="13"/>
      <c r="J585" s="177"/>
      <c r="K585" s="177"/>
      <c r="L585" s="13"/>
      <c r="M585" s="177"/>
      <c r="N585" s="177"/>
      <c r="O585" s="177"/>
      <c r="P585" s="177"/>
      <c r="Q585" s="13"/>
      <c r="R585" s="328" t="str">
        <f>R$10</f>
        <v xml:space="preserve"> </v>
      </c>
      <c r="S585" s="329"/>
      <c r="T585" s="177"/>
      <c r="U585" s="12"/>
      <c r="V585" s="64"/>
      <c r="X585" s="305">
        <f t="shared" si="155"/>
        <v>0</v>
      </c>
    </row>
    <row r="586" spans="1:24" ht="15" x14ac:dyDescent="0.25">
      <c r="A586" s="45"/>
      <c r="B586" s="14" t="s">
        <v>2</v>
      </c>
      <c r="C586" s="14" t="s">
        <v>349</v>
      </c>
      <c r="D586" s="226" t="s">
        <v>565</v>
      </c>
      <c r="E586" s="14" t="s">
        <v>350</v>
      </c>
      <c r="F586" s="226" t="str">
        <f>F$11</f>
        <v>TOTAL</v>
      </c>
      <c r="G586" s="181" t="s">
        <v>688</v>
      </c>
      <c r="H586" s="181" t="s">
        <v>355</v>
      </c>
      <c r="I586" s="14"/>
      <c r="J586" s="181" t="s">
        <v>679</v>
      </c>
      <c r="K586" s="181" t="s">
        <v>388</v>
      </c>
      <c r="L586" s="14" t="s">
        <v>388</v>
      </c>
      <c r="M586" s="181" t="s">
        <v>389</v>
      </c>
      <c r="N586" s="181" t="s">
        <v>389</v>
      </c>
      <c r="O586" s="181" t="s">
        <v>389</v>
      </c>
      <c r="P586" s="181" t="s">
        <v>390</v>
      </c>
      <c r="Q586" s="14" t="s">
        <v>391</v>
      </c>
      <c r="R586" s="331" t="str">
        <f>R$11</f>
        <v>Wholesale</v>
      </c>
      <c r="S586" s="12" t="str">
        <f>S$11</f>
        <v>Wholesale</v>
      </c>
      <c r="T586" s="181"/>
      <c r="U586" s="14" t="s">
        <v>10</v>
      </c>
      <c r="V586" s="64"/>
      <c r="X586" s="305"/>
    </row>
    <row r="587" spans="1:24" x14ac:dyDescent="0.2">
      <c r="A587" s="45"/>
      <c r="B587" s="14"/>
      <c r="C587" s="14"/>
      <c r="D587" s="14"/>
      <c r="E587" s="14"/>
      <c r="F587" s="14" t="str">
        <f>F$12</f>
        <v>(Dist+Met+Cust)</v>
      </c>
      <c r="G587" s="181" t="s">
        <v>689</v>
      </c>
      <c r="H587" s="181" t="s">
        <v>690</v>
      </c>
      <c r="I587" s="14"/>
      <c r="J587" s="181"/>
      <c r="K587" s="181" t="s">
        <v>680</v>
      </c>
      <c r="L587" s="14" t="s">
        <v>681</v>
      </c>
      <c r="M587" s="181" t="s">
        <v>680</v>
      </c>
      <c r="N587" s="181" t="s">
        <v>681</v>
      </c>
      <c r="O587" s="181" t="s">
        <v>393</v>
      </c>
      <c r="P587" s="181"/>
      <c r="Q587" s="14"/>
      <c r="R587" s="174" t="str">
        <f>R$12</f>
        <v>XFMR</v>
      </c>
      <c r="S587" s="14" t="str">
        <f>S$12</f>
        <v>DLS</v>
      </c>
      <c r="T587" s="181"/>
      <c r="U587" s="14"/>
      <c r="V587" s="64"/>
      <c r="X587" s="305"/>
    </row>
    <row r="588" spans="1:24" ht="15" thickBot="1" x14ac:dyDescent="0.25">
      <c r="A588" s="45"/>
      <c r="B588" s="15"/>
      <c r="C588" s="15"/>
      <c r="D588" s="15"/>
      <c r="E588" s="15"/>
      <c r="F588" s="15" t="s">
        <v>13</v>
      </c>
      <c r="G588" s="15" t="s">
        <v>14</v>
      </c>
      <c r="H588" s="15" t="s">
        <v>15</v>
      </c>
      <c r="I588" s="15"/>
      <c r="J588" s="182" t="str">
        <f t="shared" ref="J588:Q588" si="159">J$13</f>
        <v>(d)</v>
      </c>
      <c r="K588" s="182" t="str">
        <f t="shared" si="159"/>
        <v>(e)</v>
      </c>
      <c r="L588" s="15" t="str">
        <f t="shared" si="159"/>
        <v>(f)</v>
      </c>
      <c r="M588" s="182" t="str">
        <f t="shared" si="159"/>
        <v>(g)</v>
      </c>
      <c r="N588" s="182" t="str">
        <f t="shared" si="159"/>
        <v>(h)</v>
      </c>
      <c r="O588" s="182" t="str">
        <f>O$13</f>
        <v>(i)</v>
      </c>
      <c r="P588" s="182" t="str">
        <f t="shared" si="159"/>
        <v>(j)</v>
      </c>
      <c r="Q588" s="182" t="str">
        <f t="shared" si="159"/>
        <v>(k)</v>
      </c>
      <c r="R588" s="182" t="str">
        <f>R$13</f>
        <v>(l)</v>
      </c>
      <c r="S588" s="15" t="str">
        <f>S$13</f>
        <v>(m)</v>
      </c>
      <c r="T588" s="15"/>
      <c r="U588" s="15" t="s">
        <v>683</v>
      </c>
      <c r="V588" s="64"/>
      <c r="X588" s="305"/>
    </row>
    <row r="589" spans="1:24" x14ac:dyDescent="0.2">
      <c r="A589" s="45"/>
      <c r="B589" s="64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41"/>
      <c r="V589" s="64"/>
      <c r="X589" s="305">
        <f t="shared" si="155"/>
        <v>0</v>
      </c>
    </row>
    <row r="590" spans="1:24" ht="15" x14ac:dyDescent="0.25">
      <c r="A590" s="38"/>
      <c r="B590" s="16">
        <f>B576+1</f>
        <v>1</v>
      </c>
      <c r="C590" s="34" t="s">
        <v>132</v>
      </c>
      <c r="D590" s="41"/>
      <c r="E590" s="806" t="s">
        <v>127</v>
      </c>
      <c r="F590" s="281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41"/>
      <c r="V590" s="41"/>
      <c r="W590" s="294"/>
      <c r="X590" s="305">
        <f t="shared" si="155"/>
        <v>0</v>
      </c>
    </row>
    <row r="591" spans="1:24" x14ac:dyDescent="0.2">
      <c r="A591" s="38"/>
      <c r="B591" s="16">
        <f t="shared" ref="B591:B622" si="160">B590+1</f>
        <v>2</v>
      </c>
      <c r="C591" s="41">
        <v>182</v>
      </c>
      <c r="D591" s="41" t="s">
        <v>133</v>
      </c>
      <c r="E591" s="293"/>
      <c r="F591" s="97">
        <f>' WP II-I-1.4'!L591</f>
        <v>0</v>
      </c>
      <c r="G591" s="293" t="s">
        <v>751</v>
      </c>
      <c r="H591" s="1" t="s">
        <v>303</v>
      </c>
      <c r="I591" s="293"/>
      <c r="J591" s="369">
        <f ca="1">'II-I-DIST'!J591+'II-I-MET'!J591+'II-I-TBILLTDCS'!J591</f>
        <v>0</v>
      </c>
      <c r="K591" s="369">
        <f ca="1">'II-I-DIST'!K591+'II-I-MET'!K591+'II-I-TBILLTDCS'!K591</f>
        <v>0</v>
      </c>
      <c r="L591" s="369">
        <f ca="1">'II-I-DIST'!L591+'II-I-MET'!L591+'II-I-TBILLTDCS'!L591</f>
        <v>0</v>
      </c>
      <c r="M591" s="369">
        <f ca="1">'II-I-DIST'!M591+'II-I-MET'!M591+'II-I-TBILLTDCS'!M591</f>
        <v>0</v>
      </c>
      <c r="N591" s="369">
        <f ca="1">'II-I-DIST'!N591+'II-I-MET'!N591+'II-I-TBILLTDCS'!N591</f>
        <v>0</v>
      </c>
      <c r="O591" s="369">
        <f ca="1">'II-I-DIST'!O591+'II-I-MET'!O591+'II-I-TBILLTDCS'!O591</f>
        <v>0</v>
      </c>
      <c r="P591" s="369">
        <f ca="1">'II-I-DIST'!P591+'II-I-MET'!P591+'II-I-TBILLTDCS'!P591</f>
        <v>0</v>
      </c>
      <c r="Q591" s="369">
        <f ca="1">'II-I-DIST'!Q591+'II-I-MET'!Q591+'II-I-TBILLTDCS'!Q591</f>
        <v>0</v>
      </c>
      <c r="R591" s="369">
        <f ca="1">'II-I-DIST'!R591+'II-I-MET'!R591+'II-I-TBILLTDCS'!R591</f>
        <v>0</v>
      </c>
      <c r="S591" s="369">
        <f ca="1">'II-I-DIST'!S591+'II-I-MET'!S591+'II-I-TBILLTDCS'!S591</f>
        <v>0</v>
      </c>
      <c r="T591" s="293"/>
      <c r="U591" s="97">
        <f t="shared" ref="U591:U597" ca="1" si="161">SUM(I591:T591)</f>
        <v>0</v>
      </c>
      <c r="V591" s="41"/>
      <c r="W591" s="294"/>
      <c r="X591" s="305">
        <f t="shared" ca="1" si="155"/>
        <v>0</v>
      </c>
    </row>
    <row r="592" spans="1:24" x14ac:dyDescent="0.2">
      <c r="A592" s="38"/>
      <c r="B592" s="16">
        <f t="shared" si="160"/>
        <v>3</v>
      </c>
      <c r="C592" s="41">
        <v>182</v>
      </c>
      <c r="D592" s="41" t="s">
        <v>134</v>
      </c>
      <c r="E592" s="293"/>
      <c r="F592" s="97">
        <f>' WP II-I-1.4'!L592</f>
        <v>0</v>
      </c>
      <c r="G592" s="293" t="s">
        <v>751</v>
      </c>
      <c r="H592" s="1" t="s">
        <v>303</v>
      </c>
      <c r="I592" s="293"/>
      <c r="J592" s="369">
        <f ca="1">'II-I-DIST'!J592+'II-I-MET'!J592+'II-I-TBILLTDCS'!J592</f>
        <v>0</v>
      </c>
      <c r="K592" s="369">
        <f ca="1">'II-I-DIST'!K592+'II-I-MET'!K592+'II-I-TBILLTDCS'!K592</f>
        <v>0</v>
      </c>
      <c r="L592" s="369">
        <f ca="1">'II-I-DIST'!L592+'II-I-MET'!L592+'II-I-TBILLTDCS'!L592</f>
        <v>0</v>
      </c>
      <c r="M592" s="369">
        <f ca="1">'II-I-DIST'!M592+'II-I-MET'!M592+'II-I-TBILLTDCS'!M592</f>
        <v>0</v>
      </c>
      <c r="N592" s="369">
        <f ca="1">'II-I-DIST'!N592+'II-I-MET'!N592+'II-I-TBILLTDCS'!N592</f>
        <v>0</v>
      </c>
      <c r="O592" s="369">
        <f ca="1">'II-I-DIST'!O592+'II-I-MET'!O592+'II-I-TBILLTDCS'!O592</f>
        <v>0</v>
      </c>
      <c r="P592" s="369">
        <f ca="1">'II-I-DIST'!P592+'II-I-MET'!P592+'II-I-TBILLTDCS'!P592</f>
        <v>0</v>
      </c>
      <c r="Q592" s="369">
        <f ca="1">'II-I-DIST'!Q592+'II-I-MET'!Q592+'II-I-TBILLTDCS'!Q592</f>
        <v>0</v>
      </c>
      <c r="R592" s="369">
        <f ca="1">'II-I-DIST'!R592+'II-I-MET'!R592+'II-I-TBILLTDCS'!R592</f>
        <v>0</v>
      </c>
      <c r="S592" s="369">
        <f ca="1">'II-I-DIST'!S592+'II-I-MET'!S592+'II-I-TBILLTDCS'!S592</f>
        <v>0</v>
      </c>
      <c r="T592" s="293"/>
      <c r="U592" s="97">
        <f t="shared" ca="1" si="161"/>
        <v>0</v>
      </c>
      <c r="V592" s="41"/>
      <c r="W592" s="294"/>
      <c r="X592" s="305">
        <f t="shared" ca="1" si="155"/>
        <v>0</v>
      </c>
    </row>
    <row r="593" spans="1:24" x14ac:dyDescent="0.2">
      <c r="A593" s="38"/>
      <c r="B593" s="16">
        <f t="shared" si="160"/>
        <v>4</v>
      </c>
      <c r="C593" s="41">
        <v>182</v>
      </c>
      <c r="D593" s="41" t="s">
        <v>135</v>
      </c>
      <c r="E593" s="293"/>
      <c r="F593" s="97">
        <f>' WP II-I-1.4'!L593</f>
        <v>0</v>
      </c>
      <c r="G593" s="293" t="s">
        <v>751</v>
      </c>
      <c r="H593" s="1" t="s">
        <v>303</v>
      </c>
      <c r="I593" s="293"/>
      <c r="J593" s="369">
        <f ca="1">'II-I-DIST'!J593+'II-I-MET'!J593+'II-I-TBILLTDCS'!J593</f>
        <v>0</v>
      </c>
      <c r="K593" s="369">
        <f ca="1">'II-I-DIST'!K593+'II-I-MET'!K593+'II-I-TBILLTDCS'!K593</f>
        <v>0</v>
      </c>
      <c r="L593" s="369">
        <f ca="1">'II-I-DIST'!L593+'II-I-MET'!L593+'II-I-TBILLTDCS'!L593</f>
        <v>0</v>
      </c>
      <c r="M593" s="369">
        <f ca="1">'II-I-DIST'!M593+'II-I-MET'!M593+'II-I-TBILLTDCS'!M593</f>
        <v>0</v>
      </c>
      <c r="N593" s="369">
        <f ca="1">'II-I-DIST'!N593+'II-I-MET'!N593+'II-I-TBILLTDCS'!N593</f>
        <v>0</v>
      </c>
      <c r="O593" s="369">
        <f ca="1">'II-I-DIST'!O593+'II-I-MET'!O593+'II-I-TBILLTDCS'!O593</f>
        <v>0</v>
      </c>
      <c r="P593" s="369">
        <f ca="1">'II-I-DIST'!P593+'II-I-MET'!P593+'II-I-TBILLTDCS'!P593</f>
        <v>0</v>
      </c>
      <c r="Q593" s="369">
        <f ca="1">'II-I-DIST'!Q593+'II-I-MET'!Q593+'II-I-TBILLTDCS'!Q593</f>
        <v>0</v>
      </c>
      <c r="R593" s="369">
        <f ca="1">'II-I-DIST'!R593+'II-I-MET'!R593+'II-I-TBILLTDCS'!R593</f>
        <v>0</v>
      </c>
      <c r="S593" s="369">
        <f ca="1">'II-I-DIST'!S593+'II-I-MET'!S593+'II-I-TBILLTDCS'!S593</f>
        <v>0</v>
      </c>
      <c r="T593" s="293"/>
      <c r="U593" s="97">
        <f t="shared" ca="1" si="161"/>
        <v>0</v>
      </c>
      <c r="V593" s="41"/>
      <c r="W593" s="294"/>
      <c r="X593" s="305">
        <f t="shared" ca="1" si="155"/>
        <v>0</v>
      </c>
    </row>
    <row r="594" spans="1:24" x14ac:dyDescent="0.2">
      <c r="A594" s="38"/>
      <c r="B594" s="16">
        <f t="shared" si="160"/>
        <v>5</v>
      </c>
      <c r="C594" s="41">
        <v>182</v>
      </c>
      <c r="D594" s="41" t="s">
        <v>136</v>
      </c>
      <c r="E594" s="293"/>
      <c r="F594" s="97">
        <f>' WP II-I-1.4'!L594</f>
        <v>0</v>
      </c>
      <c r="G594" s="293" t="s">
        <v>751</v>
      </c>
      <c r="H594" s="1" t="s">
        <v>303</v>
      </c>
      <c r="I594" s="293"/>
      <c r="J594" s="369">
        <f ca="1">'II-I-DIST'!J594+'II-I-MET'!J594+'II-I-TBILLTDCS'!J594</f>
        <v>0</v>
      </c>
      <c r="K594" s="369">
        <f ca="1">'II-I-DIST'!K594+'II-I-MET'!K594+'II-I-TBILLTDCS'!K594</f>
        <v>0</v>
      </c>
      <c r="L594" s="369">
        <f ca="1">'II-I-DIST'!L594+'II-I-MET'!L594+'II-I-TBILLTDCS'!L594</f>
        <v>0</v>
      </c>
      <c r="M594" s="369">
        <f ca="1">'II-I-DIST'!M594+'II-I-MET'!M594+'II-I-TBILLTDCS'!M594</f>
        <v>0</v>
      </c>
      <c r="N594" s="369">
        <f ca="1">'II-I-DIST'!N594+'II-I-MET'!N594+'II-I-TBILLTDCS'!N594</f>
        <v>0</v>
      </c>
      <c r="O594" s="369">
        <f ca="1">'II-I-DIST'!O594+'II-I-MET'!O594+'II-I-TBILLTDCS'!O594</f>
        <v>0</v>
      </c>
      <c r="P594" s="369">
        <f ca="1">'II-I-DIST'!P594+'II-I-MET'!P594+'II-I-TBILLTDCS'!P594</f>
        <v>0</v>
      </c>
      <c r="Q594" s="369">
        <f ca="1">'II-I-DIST'!Q594+'II-I-MET'!Q594+'II-I-TBILLTDCS'!Q594</f>
        <v>0</v>
      </c>
      <c r="R594" s="369">
        <f ca="1">'II-I-DIST'!R594+'II-I-MET'!R594+'II-I-TBILLTDCS'!R594</f>
        <v>0</v>
      </c>
      <c r="S594" s="369">
        <f ca="1">'II-I-DIST'!S594+'II-I-MET'!S594+'II-I-TBILLTDCS'!S594</f>
        <v>0</v>
      </c>
      <c r="T594" s="293"/>
      <c r="U594" s="97">
        <f t="shared" ca="1" si="161"/>
        <v>0</v>
      </c>
      <c r="V594" s="41"/>
      <c r="W594" s="294"/>
      <c r="X594" s="305">
        <f t="shared" ca="1" si="155"/>
        <v>0</v>
      </c>
    </row>
    <row r="595" spans="1:24" x14ac:dyDescent="0.2">
      <c r="A595" s="38"/>
      <c r="B595" s="16">
        <f t="shared" si="160"/>
        <v>6</v>
      </c>
      <c r="C595" s="41">
        <v>182</v>
      </c>
      <c r="D595" s="620" t="s">
        <v>1209</v>
      </c>
      <c r="E595" s="293"/>
      <c r="F595" s="97">
        <f>' WP II-I-1.4'!L595</f>
        <v>36723128.720000006</v>
      </c>
      <c r="G595" s="293" t="s">
        <v>751</v>
      </c>
      <c r="H595" s="1" t="s">
        <v>303</v>
      </c>
      <c r="I595" s="293"/>
      <c r="J595" s="369">
        <f ca="1">'II-I-DIST'!J595+'II-I-MET'!J595+'II-I-TBILLTDCS'!J595</f>
        <v>19495342.200389389</v>
      </c>
      <c r="K595" s="369">
        <f ca="1">'II-I-DIST'!K595+'II-I-MET'!K595+'II-I-TBILLTDCS'!K595</f>
        <v>1199460.5264521979</v>
      </c>
      <c r="L595" s="369">
        <f ca="1">'II-I-DIST'!L595+'II-I-MET'!L595+'II-I-TBILLTDCS'!L595</f>
        <v>11892465.809386941</v>
      </c>
      <c r="M595" s="369">
        <f ca="1">'II-I-DIST'!M595+'II-I-MET'!M595+'II-I-TBILLTDCS'!M595</f>
        <v>124984.42713589448</v>
      </c>
      <c r="N595" s="369">
        <f ca="1">'II-I-DIST'!N595+'II-I-MET'!N595+'II-I-TBILLTDCS'!N595</f>
        <v>2576153.1394520281</v>
      </c>
      <c r="O595" s="369">
        <f ca="1">'II-I-DIST'!O595+'II-I-MET'!O595+'II-I-TBILLTDCS'!O595</f>
        <v>208615.0287123106</v>
      </c>
      <c r="P595" s="369">
        <f ca="1">'II-I-DIST'!P595+'II-I-MET'!P595+'II-I-TBILLTDCS'!P595</f>
        <v>95279.769643577674</v>
      </c>
      <c r="Q595" s="369">
        <f ca="1">'II-I-DIST'!Q595+'II-I-MET'!Q595+'II-I-TBILLTDCS'!Q595</f>
        <v>1043772.5579276121</v>
      </c>
      <c r="R595" s="369">
        <f ca="1">'II-I-DIST'!R595+'II-I-MET'!R595+'II-I-TBILLTDCS'!R595</f>
        <v>15697.457039260469</v>
      </c>
      <c r="S595" s="369">
        <f ca="1">'II-I-DIST'!S595+'II-I-MET'!S595+'II-I-TBILLTDCS'!S595</f>
        <v>71357.803860785556</v>
      </c>
      <c r="T595" s="293"/>
      <c r="U595" s="97">
        <f t="shared" ca="1" si="161"/>
        <v>36723128.719999991</v>
      </c>
      <c r="V595" s="41"/>
      <c r="W595" s="294"/>
      <c r="X595" s="305">
        <f t="shared" ca="1" si="155"/>
        <v>0</v>
      </c>
    </row>
    <row r="596" spans="1:24" x14ac:dyDescent="0.2">
      <c r="A596" s="38"/>
      <c r="B596" s="16">
        <f t="shared" si="160"/>
        <v>7</v>
      </c>
      <c r="C596" s="41">
        <v>182</v>
      </c>
      <c r="D596" s="620" t="s">
        <v>1355</v>
      </c>
      <c r="E596" s="293"/>
      <c r="F596" s="97">
        <f>' WP II-I-1.4'!L596</f>
        <v>0</v>
      </c>
      <c r="G596" s="293" t="s">
        <v>751</v>
      </c>
      <c r="H596" s="1" t="s">
        <v>303</v>
      </c>
      <c r="I596" s="293"/>
      <c r="J596" s="370">
        <f ca="1">'II-I-DIST'!J596+'II-I-MET'!J596+'II-I-TBILLTDCS'!J596</f>
        <v>0</v>
      </c>
      <c r="K596" s="370">
        <f ca="1">'II-I-DIST'!K596+'II-I-MET'!K596+'II-I-TBILLTDCS'!K596</f>
        <v>0</v>
      </c>
      <c r="L596" s="370">
        <f ca="1">'II-I-DIST'!L596+'II-I-MET'!L596+'II-I-TBILLTDCS'!L596</f>
        <v>0</v>
      </c>
      <c r="M596" s="370">
        <f ca="1">'II-I-DIST'!M596+'II-I-MET'!M596+'II-I-TBILLTDCS'!M596</f>
        <v>0</v>
      </c>
      <c r="N596" s="370">
        <f ca="1">'II-I-DIST'!N596+'II-I-MET'!N596+'II-I-TBILLTDCS'!N596</f>
        <v>0</v>
      </c>
      <c r="O596" s="370">
        <f ca="1">'II-I-DIST'!O596+'II-I-MET'!O596+'II-I-TBILLTDCS'!O596</f>
        <v>0</v>
      </c>
      <c r="P596" s="370">
        <f ca="1">'II-I-DIST'!P596+'II-I-MET'!P596+'II-I-TBILLTDCS'!P596</f>
        <v>0</v>
      </c>
      <c r="Q596" s="370">
        <f ca="1">'II-I-DIST'!Q596+'II-I-MET'!Q596+'II-I-TBILLTDCS'!Q596</f>
        <v>0</v>
      </c>
      <c r="R596" s="370">
        <f ca="1">'II-I-DIST'!R596+'II-I-MET'!R596+'II-I-TBILLTDCS'!R596</f>
        <v>0</v>
      </c>
      <c r="S596" s="370">
        <f ca="1">'II-I-DIST'!S596+'II-I-MET'!S596+'II-I-TBILLTDCS'!S596</f>
        <v>0</v>
      </c>
      <c r="T596" s="293"/>
      <c r="U596" s="97">
        <f t="shared" ca="1" si="161"/>
        <v>0</v>
      </c>
      <c r="V596" s="41"/>
      <c r="W596" s="294"/>
      <c r="X596" s="305">
        <f t="shared" ca="1" si="155"/>
        <v>0</v>
      </c>
    </row>
    <row r="597" spans="1:24" ht="15" x14ac:dyDescent="0.25">
      <c r="A597" s="36"/>
      <c r="B597" s="16">
        <f t="shared" si="160"/>
        <v>8</v>
      </c>
      <c r="C597" s="33"/>
      <c r="D597" s="42" t="s">
        <v>566</v>
      </c>
      <c r="E597" s="35"/>
      <c r="F597" s="20">
        <f>SUM(F591:F596)</f>
        <v>36723128.720000006</v>
      </c>
      <c r="G597" s="293" t="s">
        <v>751</v>
      </c>
      <c r="H597" s="806"/>
      <c r="I597" s="806"/>
      <c r="J597" s="804">
        <f t="shared" ref="J597:Q597" ca="1" si="162">SUM(J591:J596)</f>
        <v>19495342.200389389</v>
      </c>
      <c r="K597" s="804">
        <f t="shared" ca="1" si="162"/>
        <v>1199460.5264521979</v>
      </c>
      <c r="L597" s="804">
        <f t="shared" ca="1" si="162"/>
        <v>11892465.809386941</v>
      </c>
      <c r="M597" s="804">
        <f t="shared" ca="1" si="162"/>
        <v>124984.42713589448</v>
      </c>
      <c r="N597" s="804">
        <f t="shared" ca="1" si="162"/>
        <v>2576153.1394520281</v>
      </c>
      <c r="O597" s="804">
        <f ca="1">SUM(O591:O596)</f>
        <v>208615.0287123106</v>
      </c>
      <c r="P597" s="804">
        <f t="shared" ca="1" si="162"/>
        <v>95279.769643577674</v>
      </c>
      <c r="Q597" s="804">
        <f t="shared" ca="1" si="162"/>
        <v>1043772.5579276121</v>
      </c>
      <c r="R597" s="804">
        <f ca="1">SUM(R591:R596)</f>
        <v>15697.457039260469</v>
      </c>
      <c r="S597" s="804">
        <f ca="1">SUM(S591:S596)</f>
        <v>71357.803860785556</v>
      </c>
      <c r="T597" s="35"/>
      <c r="U597" s="97">
        <f t="shared" ca="1" si="161"/>
        <v>36723128.719999991</v>
      </c>
      <c r="V597" s="34"/>
      <c r="W597" s="1099" t="b">
        <f>' WP II-I-1.4'!$L$597=F597</f>
        <v>1</v>
      </c>
      <c r="X597" s="305">
        <f t="shared" ca="1" si="155"/>
        <v>0</v>
      </c>
    </row>
    <row r="598" spans="1:24" ht="15" x14ac:dyDescent="0.25">
      <c r="A598" s="36"/>
      <c r="B598" s="16">
        <f t="shared" si="160"/>
        <v>9</v>
      </c>
      <c r="C598" s="33"/>
      <c r="D598" s="42"/>
      <c r="E598" s="35"/>
      <c r="F598" s="20"/>
      <c r="G598" s="293" t="s">
        <v>751</v>
      </c>
      <c r="H598" s="35"/>
      <c r="I598" s="35"/>
      <c r="J598" s="806"/>
      <c r="K598" s="806"/>
      <c r="L598" s="806"/>
      <c r="M598" s="806"/>
      <c r="N598" s="806"/>
      <c r="O598" s="806"/>
      <c r="P598" s="806"/>
      <c r="Q598" s="806"/>
      <c r="R598" s="806"/>
      <c r="S598" s="806"/>
      <c r="T598" s="35"/>
      <c r="U598" s="97"/>
      <c r="V598" s="34"/>
      <c r="W598" s="292"/>
      <c r="X598" s="305">
        <f t="shared" si="155"/>
        <v>0</v>
      </c>
    </row>
    <row r="599" spans="1:24" ht="15" x14ac:dyDescent="0.25">
      <c r="A599" s="38"/>
      <c r="B599" s="16">
        <f t="shared" si="160"/>
        <v>10</v>
      </c>
      <c r="C599" s="34" t="s">
        <v>137</v>
      </c>
      <c r="D599" s="41"/>
      <c r="E599" s="806" t="s">
        <v>127</v>
      </c>
      <c r="F599" s="202"/>
      <c r="G599" s="293" t="s">
        <v>751</v>
      </c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02"/>
      <c r="V599" s="41"/>
      <c r="W599" s="294"/>
      <c r="X599" s="305">
        <f t="shared" si="155"/>
        <v>0</v>
      </c>
    </row>
    <row r="600" spans="1:24" x14ac:dyDescent="0.2">
      <c r="A600" s="38"/>
      <c r="B600" s="16">
        <f t="shared" si="160"/>
        <v>11</v>
      </c>
      <c r="C600" s="41">
        <v>254</v>
      </c>
      <c r="D600" s="41" t="s">
        <v>138</v>
      </c>
      <c r="E600" s="293"/>
      <c r="F600" s="229">
        <f>' WP II-I-1.4'!L600</f>
        <v>0</v>
      </c>
      <c r="G600" s="293" t="s">
        <v>751</v>
      </c>
      <c r="H600" s="1" t="s">
        <v>303</v>
      </c>
      <c r="I600" s="293"/>
      <c r="J600" s="369">
        <f ca="1">'II-I-DIST'!J600+'II-I-MET'!J600+'II-I-TBILLTDCS'!J600</f>
        <v>0</v>
      </c>
      <c r="K600" s="369">
        <f ca="1">'II-I-DIST'!K600+'II-I-MET'!K600+'II-I-TBILLTDCS'!K600</f>
        <v>0</v>
      </c>
      <c r="L600" s="369">
        <f ca="1">'II-I-DIST'!L600+'II-I-MET'!L600+'II-I-TBILLTDCS'!L600</f>
        <v>0</v>
      </c>
      <c r="M600" s="369">
        <f ca="1">'II-I-DIST'!M600+'II-I-MET'!M600+'II-I-TBILLTDCS'!M600</f>
        <v>0</v>
      </c>
      <c r="N600" s="369">
        <f ca="1">'II-I-DIST'!N600+'II-I-MET'!N600+'II-I-TBILLTDCS'!N600</f>
        <v>0</v>
      </c>
      <c r="O600" s="369">
        <f ca="1">'II-I-DIST'!O600+'II-I-MET'!O600+'II-I-TBILLTDCS'!O600</f>
        <v>0</v>
      </c>
      <c r="P600" s="369">
        <f ca="1">'II-I-DIST'!P600+'II-I-MET'!P600+'II-I-TBILLTDCS'!P600</f>
        <v>0</v>
      </c>
      <c r="Q600" s="369">
        <f ca="1">'II-I-DIST'!Q600+'II-I-MET'!Q600+'II-I-TBILLTDCS'!Q600</f>
        <v>0</v>
      </c>
      <c r="R600" s="369">
        <f ca="1">'II-I-DIST'!R600+'II-I-MET'!R600+'II-I-TBILLTDCS'!R600</f>
        <v>0</v>
      </c>
      <c r="S600" s="369">
        <f ca="1">'II-I-DIST'!S600+'II-I-MET'!S600+'II-I-TBILLTDCS'!S600</f>
        <v>0</v>
      </c>
      <c r="T600" s="293"/>
      <c r="U600" s="97">
        <f t="shared" ref="U600:U610" ca="1" si="163">SUM(I600:T600)</f>
        <v>0</v>
      </c>
      <c r="V600" s="41"/>
      <c r="W600" s="294"/>
      <c r="X600" s="305">
        <f t="shared" ca="1" si="155"/>
        <v>0</v>
      </c>
    </row>
    <row r="601" spans="1:24" x14ac:dyDescent="0.2">
      <c r="A601" s="38"/>
      <c r="B601" s="16">
        <f t="shared" si="160"/>
        <v>12</v>
      </c>
      <c r="C601" s="41">
        <v>254</v>
      </c>
      <c r="D601" s="41" t="s">
        <v>1211</v>
      </c>
      <c r="E601" s="293"/>
      <c r="F601" s="229">
        <f>' WP II-I-1.4'!L601</f>
        <v>-44774762.810000002</v>
      </c>
      <c r="G601" s="293" t="s">
        <v>751</v>
      </c>
      <c r="H601" s="1" t="s">
        <v>303</v>
      </c>
      <c r="I601" s="293"/>
      <c r="J601" s="369">
        <f ca="1">'II-I-DIST'!J601+'II-I-MET'!J601+'II-I-TBILLTDCS'!J601</f>
        <v>-23830020.481171791</v>
      </c>
      <c r="K601" s="369">
        <f ca="1">'II-I-DIST'!K601+'II-I-MET'!K601+'II-I-TBILLTDCS'!K601</f>
        <v>-1502445.0341911255</v>
      </c>
      <c r="L601" s="369">
        <f ca="1">'II-I-DIST'!L601+'II-I-MET'!L601+'II-I-TBILLTDCS'!L601</f>
        <v>-14517619.626217864</v>
      </c>
      <c r="M601" s="369">
        <f ca="1">'II-I-DIST'!M601+'II-I-MET'!M601+'II-I-TBILLTDCS'!M601</f>
        <v>-160674.83714109528</v>
      </c>
      <c r="N601" s="369">
        <f ca="1">'II-I-DIST'!N601+'II-I-MET'!N601+'II-I-TBILLTDCS'!N601</f>
        <v>-3172612.4775563194</v>
      </c>
      <c r="O601" s="369">
        <f ca="1">'II-I-DIST'!O601+'II-I-MET'!O601+'II-I-TBILLTDCS'!O601</f>
        <v>-252912.07883544592</v>
      </c>
      <c r="P601" s="369">
        <f ca="1">'II-I-DIST'!P601+'II-I-MET'!P601+'II-I-TBILLTDCS'!P601</f>
        <v>-119955.61176259616</v>
      </c>
      <c r="Q601" s="369">
        <f ca="1">'II-I-DIST'!Q601+'II-I-MET'!Q601+'II-I-TBILLTDCS'!Q601</f>
        <v>-1113054.5997028067</v>
      </c>
      <c r="R601" s="369">
        <f ca="1">'II-I-DIST'!R601+'II-I-MET'!R601+'II-I-TBILLTDCS'!R601</f>
        <v>-19126.613201406333</v>
      </c>
      <c r="S601" s="369">
        <f ca="1">'II-I-DIST'!S601+'II-I-MET'!S601+'II-I-TBILLTDCS'!S601</f>
        <v>-86341.450219540726</v>
      </c>
      <c r="T601" s="293"/>
      <c r="U601" s="97">
        <f t="shared" ref="U601:U604" ca="1" si="164">SUM(I601:T601)</f>
        <v>-44774762.809999987</v>
      </c>
      <c r="V601" s="41"/>
      <c r="W601" s="294"/>
      <c r="X601" s="305">
        <f t="shared" ref="X601:X604" ca="1" si="165">U601-F601</f>
        <v>0</v>
      </c>
    </row>
    <row r="602" spans="1:24" x14ac:dyDescent="0.2">
      <c r="A602" s="38"/>
      <c r="B602" s="16">
        <f t="shared" si="160"/>
        <v>13</v>
      </c>
      <c r="C602" s="41">
        <v>254</v>
      </c>
      <c r="D602" s="611" t="s">
        <v>1356</v>
      </c>
      <c r="E602" s="293"/>
      <c r="F602" s="229">
        <f>' WP II-I-1.4'!L602</f>
        <v>0</v>
      </c>
      <c r="G602" s="293" t="s">
        <v>751</v>
      </c>
      <c r="H602" s="1" t="s">
        <v>303</v>
      </c>
      <c r="I602" s="293"/>
      <c r="J602" s="369">
        <f ca="1">'II-I-DIST'!J602+'II-I-MET'!J602+'II-I-TBILLTDCS'!J602</f>
        <v>0</v>
      </c>
      <c r="K602" s="369">
        <f ca="1">'II-I-DIST'!K602+'II-I-MET'!K602+'II-I-TBILLTDCS'!K602</f>
        <v>0</v>
      </c>
      <c r="L602" s="369">
        <f ca="1">'II-I-DIST'!L602+'II-I-MET'!L602+'II-I-TBILLTDCS'!L602</f>
        <v>0</v>
      </c>
      <c r="M602" s="369">
        <f ca="1">'II-I-DIST'!M602+'II-I-MET'!M602+'II-I-TBILLTDCS'!M602</f>
        <v>0</v>
      </c>
      <c r="N602" s="369">
        <f ca="1">'II-I-DIST'!N602+'II-I-MET'!N602+'II-I-TBILLTDCS'!N602</f>
        <v>0</v>
      </c>
      <c r="O602" s="369">
        <f ca="1">'II-I-DIST'!O602+'II-I-MET'!O602+'II-I-TBILLTDCS'!O602</f>
        <v>0</v>
      </c>
      <c r="P602" s="369">
        <f ca="1">'II-I-DIST'!P602+'II-I-MET'!P602+'II-I-TBILLTDCS'!P602</f>
        <v>0</v>
      </c>
      <c r="Q602" s="369">
        <f ca="1">'II-I-DIST'!Q602+'II-I-MET'!Q602+'II-I-TBILLTDCS'!Q602</f>
        <v>0</v>
      </c>
      <c r="R602" s="369">
        <f ca="1">'II-I-DIST'!R602+'II-I-MET'!R602+'II-I-TBILLTDCS'!R602</f>
        <v>0</v>
      </c>
      <c r="S602" s="369">
        <f ca="1">'II-I-DIST'!S602+'II-I-MET'!S602+'II-I-TBILLTDCS'!S602</f>
        <v>0</v>
      </c>
      <c r="T602" s="293"/>
      <c r="U602" s="97">
        <f t="shared" ca="1" si="164"/>
        <v>0</v>
      </c>
      <c r="V602" s="41"/>
      <c r="W602" s="294"/>
      <c r="X602" s="305">
        <f t="shared" ca="1" si="165"/>
        <v>0</v>
      </c>
    </row>
    <row r="603" spans="1:24" x14ac:dyDescent="0.2">
      <c r="A603" s="38"/>
      <c r="B603" s="16">
        <f t="shared" si="160"/>
        <v>14</v>
      </c>
      <c r="C603" s="41">
        <v>254</v>
      </c>
      <c r="D603" s="41" t="s">
        <v>1123</v>
      </c>
      <c r="E603" s="293"/>
      <c r="F603" s="229">
        <f>' WP II-I-1.4'!L603</f>
        <v>-551734855.22000003</v>
      </c>
      <c r="G603" s="293" t="s">
        <v>751</v>
      </c>
      <c r="H603" s="1" t="s">
        <v>303</v>
      </c>
      <c r="I603" s="293"/>
      <c r="J603" s="369">
        <f ca="1">'II-I-DIST'!J603+'II-I-MET'!J603+'II-I-TBILLTDCS'!J603</f>
        <v>-295715277.52330679</v>
      </c>
      <c r="K603" s="369">
        <f ca="1">'II-I-DIST'!K603+'II-I-MET'!K603+'II-I-TBILLTDCS'!K603</f>
        <v>-10992476.591379041</v>
      </c>
      <c r="L603" s="369">
        <f ca="1">'II-I-DIST'!L603+'II-I-MET'!L603+'II-I-TBILLTDCS'!L603</f>
        <v>-185868882.76408756</v>
      </c>
      <c r="M603" s="369">
        <f ca="1">'II-I-DIST'!M603+'II-I-MET'!M603+'II-I-TBILLTDCS'!M603</f>
        <v>-360449.80393594154</v>
      </c>
      <c r="N603" s="369">
        <f ca="1">'II-I-DIST'!N603+'II-I-MET'!N603+'II-I-TBILLTDCS'!N603</f>
        <v>-34839797.738850757</v>
      </c>
      <c r="O603" s="369">
        <f ca="1">'II-I-DIST'!O603+'II-I-MET'!O603+'II-I-TBILLTDCS'!O603</f>
        <v>-3608638.6398290209</v>
      </c>
      <c r="P603" s="369">
        <f ca="1">'II-I-DIST'!P603+'II-I-MET'!P603+'II-I-TBILLTDCS'!P603</f>
        <v>-774374.60524852318</v>
      </c>
      <c r="Q603" s="369">
        <f ca="1">'II-I-DIST'!Q603+'II-I-MET'!Q603+'II-I-TBILLTDCS'!Q603</f>
        <v>-18054840.137135848</v>
      </c>
      <c r="R603" s="369">
        <f ca="1">'II-I-DIST'!R603+'II-I-MET'!R603+'II-I-TBILLTDCS'!R603</f>
        <v>-252665.62608343252</v>
      </c>
      <c r="S603" s="369">
        <f ca="1">'II-I-DIST'!S603+'II-I-MET'!S603+'II-I-TBILLTDCS'!S603</f>
        <v>-1267451.7901430386</v>
      </c>
      <c r="T603" s="293"/>
      <c r="U603" s="97">
        <f t="shared" ca="1" si="164"/>
        <v>-551734855.21999991</v>
      </c>
      <c r="V603" s="41"/>
      <c r="W603" s="294"/>
      <c r="X603" s="305">
        <f t="shared" ca="1" si="165"/>
        <v>0</v>
      </c>
    </row>
    <row r="604" spans="1:24" x14ac:dyDescent="0.2">
      <c r="A604" s="38"/>
      <c r="B604" s="16">
        <f t="shared" si="160"/>
        <v>15</v>
      </c>
      <c r="C604" s="41">
        <v>254</v>
      </c>
      <c r="D604" s="611" t="s">
        <v>1334</v>
      </c>
      <c r="E604" s="293"/>
      <c r="F604" s="229">
        <f>' WP II-I-1.4'!L604</f>
        <v>0</v>
      </c>
      <c r="G604" s="293" t="s">
        <v>751</v>
      </c>
      <c r="H604" s="1" t="s">
        <v>303</v>
      </c>
      <c r="I604" s="293"/>
      <c r="J604" s="369">
        <f ca="1">'II-I-DIST'!J604+'II-I-MET'!J604+'II-I-TBILLTDCS'!J604</f>
        <v>0</v>
      </c>
      <c r="K604" s="369">
        <f ca="1">'II-I-DIST'!K604+'II-I-MET'!K604+'II-I-TBILLTDCS'!K604</f>
        <v>0</v>
      </c>
      <c r="L604" s="369">
        <f ca="1">'II-I-DIST'!L604+'II-I-MET'!L604+'II-I-TBILLTDCS'!L604</f>
        <v>0</v>
      </c>
      <c r="M604" s="369">
        <f ca="1">'II-I-DIST'!M604+'II-I-MET'!M604+'II-I-TBILLTDCS'!M604</f>
        <v>0</v>
      </c>
      <c r="N604" s="369">
        <f ca="1">'II-I-DIST'!N604+'II-I-MET'!N604+'II-I-TBILLTDCS'!N604</f>
        <v>0</v>
      </c>
      <c r="O604" s="369">
        <f ca="1">'II-I-DIST'!O604+'II-I-MET'!O604+'II-I-TBILLTDCS'!O604</f>
        <v>0</v>
      </c>
      <c r="P604" s="369">
        <f ca="1">'II-I-DIST'!P604+'II-I-MET'!P604+'II-I-TBILLTDCS'!P604</f>
        <v>0</v>
      </c>
      <c r="Q604" s="369">
        <f ca="1">'II-I-DIST'!Q604+'II-I-MET'!Q604+'II-I-TBILLTDCS'!Q604</f>
        <v>0</v>
      </c>
      <c r="R604" s="369">
        <f ca="1">'II-I-DIST'!R604+'II-I-MET'!R604+'II-I-TBILLTDCS'!R604</f>
        <v>0</v>
      </c>
      <c r="S604" s="369">
        <f ca="1">'II-I-DIST'!S604+'II-I-MET'!S604+'II-I-TBILLTDCS'!S604</f>
        <v>0</v>
      </c>
      <c r="T604" s="293"/>
      <c r="U604" s="97">
        <f t="shared" ca="1" si="164"/>
        <v>0</v>
      </c>
      <c r="V604" s="41"/>
      <c r="W604" s="294"/>
      <c r="X604" s="305">
        <f t="shared" ca="1" si="165"/>
        <v>0</v>
      </c>
    </row>
    <row r="605" spans="1:24" x14ac:dyDescent="0.2">
      <c r="A605" s="38"/>
      <c r="B605" s="16">
        <f t="shared" si="160"/>
        <v>16</v>
      </c>
      <c r="C605" s="41">
        <v>254</v>
      </c>
      <c r="D605" s="41" t="s">
        <v>1125</v>
      </c>
      <c r="E605" s="293"/>
      <c r="F605" s="229">
        <f>' WP II-I-1.4'!L605</f>
        <v>29091278.430000011</v>
      </c>
      <c r="G605" s="293" t="s">
        <v>751</v>
      </c>
      <c r="H605" s="1" t="s">
        <v>303</v>
      </c>
      <c r="I605" s="293"/>
      <c r="J605" s="369">
        <f ca="1">'II-I-DIST'!J605+'II-I-MET'!J605+'II-I-TBILLTDCS'!J605</f>
        <v>15610622.849330695</v>
      </c>
      <c r="K605" s="369">
        <f ca="1">'II-I-DIST'!K605+'II-I-MET'!K605+'II-I-TBILLTDCS'!K605</f>
        <v>552451.95750378771</v>
      </c>
      <c r="L605" s="369">
        <f ca="1">'II-I-DIST'!L605+'II-I-MET'!L605+'II-I-TBILLTDCS'!L605</f>
        <v>9833923.446239017</v>
      </c>
      <c r="M605" s="369">
        <f ca="1">'II-I-DIST'!M605+'II-I-MET'!M605+'II-I-TBILLTDCS'!M605</f>
        <v>13109.980398450371</v>
      </c>
      <c r="N605" s="369">
        <f ca="1">'II-I-DIST'!N605+'II-I-MET'!N605+'II-I-TBILLTDCS'!N605</f>
        <v>1823027.2379312087</v>
      </c>
      <c r="O605" s="369">
        <f ca="1">'II-I-DIST'!O605+'II-I-MET'!O605+'II-I-TBILLTDCS'!O605</f>
        <v>192229.90508333221</v>
      </c>
      <c r="P605" s="369">
        <f ca="1">'II-I-DIST'!P605+'II-I-MET'!P605+'II-I-TBILLTDCS'!P605</f>
        <v>38296.780078602809</v>
      </c>
      <c r="Q605" s="369">
        <f ca="1">'II-I-DIST'!Q605+'II-I-MET'!Q605+'II-I-TBILLTDCS'!Q605</f>
        <v>946592.48179574974</v>
      </c>
      <c r="R605" s="369">
        <f ca="1">'II-I-DIST'!R605+'II-I-MET'!R605+'II-I-TBILLTDCS'!R605</f>
        <v>13395.551265541977</v>
      </c>
      <c r="S605" s="369">
        <f ca="1">'II-I-DIST'!S605+'II-I-MET'!S605+'II-I-TBILLTDCS'!S605</f>
        <v>67628.240373619905</v>
      </c>
      <c r="T605" s="293"/>
      <c r="U605" s="97">
        <f t="shared" ref="U605:U609" ca="1" si="166">SUM(I605:T605)</f>
        <v>29091278.430000003</v>
      </c>
      <c r="V605" s="41"/>
      <c r="W605" s="294"/>
      <c r="X605" s="305">
        <f t="shared" ref="X605:X609" ca="1" si="167">U605-F605</f>
        <v>0</v>
      </c>
    </row>
    <row r="606" spans="1:24" x14ac:dyDescent="0.2">
      <c r="A606" s="38"/>
      <c r="B606" s="16">
        <f t="shared" si="160"/>
        <v>17</v>
      </c>
      <c r="C606" s="41">
        <v>254</v>
      </c>
      <c r="D606" s="41" t="s">
        <v>1126</v>
      </c>
      <c r="E606" s="293"/>
      <c r="F606" s="229">
        <f>' WP II-I-1.4'!L606</f>
        <v>13604197.359999996</v>
      </c>
      <c r="G606" s="293" t="s">
        <v>751</v>
      </c>
      <c r="H606" s="1" t="s">
        <v>303</v>
      </c>
      <c r="I606" s="293"/>
      <c r="J606" s="369">
        <f ca="1">'II-I-DIST'!J606+'II-I-MET'!J606+'II-I-TBILLTDCS'!J606</f>
        <v>7291489.6667120345</v>
      </c>
      <c r="K606" s="369">
        <f ca="1">'II-I-DIST'!K606+'II-I-MET'!K606+'II-I-TBILLTDCS'!K606</f>
        <v>271042.91848079843</v>
      </c>
      <c r="L606" s="369">
        <f ca="1">'II-I-DIST'!L606+'II-I-MET'!L606+'II-I-TBILLTDCS'!L606</f>
        <v>4582992.9638736378</v>
      </c>
      <c r="M606" s="369">
        <f ca="1">'II-I-DIST'!M606+'II-I-MET'!M606+'II-I-TBILLTDCS'!M606</f>
        <v>8887.658933414501</v>
      </c>
      <c r="N606" s="369">
        <f ca="1">'II-I-DIST'!N606+'II-I-MET'!N606+'II-I-TBILLTDCS'!N606</f>
        <v>859049.38265149388</v>
      </c>
      <c r="O606" s="369">
        <f ca="1">'II-I-DIST'!O606+'II-I-MET'!O606+'II-I-TBILLTDCS'!O606</f>
        <v>88978.667000858011</v>
      </c>
      <c r="P606" s="369">
        <f ca="1">'II-I-DIST'!P606+'II-I-MET'!P606+'II-I-TBILLTDCS'!P606</f>
        <v>19093.85507961371</v>
      </c>
      <c r="Q606" s="369">
        <f ca="1">'II-I-DIST'!Q606+'II-I-MET'!Q606+'II-I-TBILLTDCS'!Q606</f>
        <v>445180.51666828088</v>
      </c>
      <c r="R606" s="369">
        <f ca="1">'II-I-DIST'!R606+'II-I-MET'!R606+'II-I-TBILLTDCS'!R606</f>
        <v>6230.008852762784</v>
      </c>
      <c r="S606" s="369">
        <f ca="1">'II-I-DIST'!S606+'II-I-MET'!S606+'II-I-TBILLTDCS'!S606</f>
        <v>31251.72174709669</v>
      </c>
      <c r="T606" s="293"/>
      <c r="U606" s="97">
        <f t="shared" ca="1" si="166"/>
        <v>13604197.35999999</v>
      </c>
      <c r="V606" s="41"/>
      <c r="W606" s="294"/>
      <c r="X606" s="305">
        <f t="shared" ca="1" si="167"/>
        <v>0</v>
      </c>
    </row>
    <row r="607" spans="1:24" x14ac:dyDescent="0.2">
      <c r="A607" s="38"/>
      <c r="B607" s="16">
        <f t="shared" si="160"/>
        <v>18</v>
      </c>
      <c r="C607" s="41">
        <v>254</v>
      </c>
      <c r="D607" s="41" t="s">
        <v>1127</v>
      </c>
      <c r="E607" s="293"/>
      <c r="F607" s="229">
        <f>' WP II-I-1.4'!L607</f>
        <v>0</v>
      </c>
      <c r="G607" s="293" t="s">
        <v>751</v>
      </c>
      <c r="H607" s="1" t="s">
        <v>303</v>
      </c>
      <c r="I607" s="293"/>
      <c r="J607" s="369">
        <f ca="1">'II-I-DIST'!J607+'II-I-MET'!J607+'II-I-TBILLTDCS'!J607</f>
        <v>0</v>
      </c>
      <c r="K607" s="369">
        <f ca="1">'II-I-DIST'!K607+'II-I-MET'!K607+'II-I-TBILLTDCS'!K607</f>
        <v>0</v>
      </c>
      <c r="L607" s="369">
        <f ca="1">'II-I-DIST'!L607+'II-I-MET'!L607+'II-I-TBILLTDCS'!L607</f>
        <v>0</v>
      </c>
      <c r="M607" s="369">
        <f ca="1">'II-I-DIST'!M607+'II-I-MET'!M607+'II-I-TBILLTDCS'!M607</f>
        <v>0</v>
      </c>
      <c r="N607" s="369">
        <f ca="1">'II-I-DIST'!N607+'II-I-MET'!N607+'II-I-TBILLTDCS'!N607</f>
        <v>0</v>
      </c>
      <c r="O607" s="369">
        <f ca="1">'II-I-DIST'!O607+'II-I-MET'!O607+'II-I-TBILLTDCS'!O607</f>
        <v>0</v>
      </c>
      <c r="P607" s="369">
        <f ca="1">'II-I-DIST'!P607+'II-I-MET'!P607+'II-I-TBILLTDCS'!P607</f>
        <v>0</v>
      </c>
      <c r="Q607" s="369">
        <f ca="1">'II-I-DIST'!Q607+'II-I-MET'!Q607+'II-I-TBILLTDCS'!Q607</f>
        <v>0</v>
      </c>
      <c r="R607" s="369">
        <f ca="1">'II-I-DIST'!R607+'II-I-MET'!R607+'II-I-TBILLTDCS'!R607</f>
        <v>0</v>
      </c>
      <c r="S607" s="369">
        <f ca="1">'II-I-DIST'!S607+'II-I-MET'!S607+'II-I-TBILLTDCS'!S607</f>
        <v>0</v>
      </c>
      <c r="T607" s="293"/>
      <c r="U607" s="97">
        <f t="shared" ca="1" si="166"/>
        <v>0</v>
      </c>
      <c r="V607" s="41"/>
      <c r="W607" s="294"/>
      <c r="X607" s="305">
        <f t="shared" ca="1" si="167"/>
        <v>0</v>
      </c>
    </row>
    <row r="608" spans="1:24" x14ac:dyDescent="0.2">
      <c r="A608" s="38"/>
      <c r="B608" s="16">
        <f t="shared" si="160"/>
        <v>19</v>
      </c>
      <c r="C608" s="41">
        <v>254</v>
      </c>
      <c r="D608" s="41" t="s">
        <v>1213</v>
      </c>
      <c r="E608" s="293"/>
      <c r="F608" s="229">
        <f>' WP II-I-1.4'!L608</f>
        <v>0</v>
      </c>
      <c r="G608" s="293" t="s">
        <v>751</v>
      </c>
      <c r="H608" s="1" t="s">
        <v>303</v>
      </c>
      <c r="I608" s="293"/>
      <c r="J608" s="369">
        <f ca="1">'II-I-DIST'!J608+'II-I-MET'!J608+'II-I-TBILLTDCS'!J608</f>
        <v>0</v>
      </c>
      <c r="K608" s="369">
        <f ca="1">'II-I-DIST'!K608+'II-I-MET'!K608+'II-I-TBILLTDCS'!K608</f>
        <v>0</v>
      </c>
      <c r="L608" s="369">
        <f ca="1">'II-I-DIST'!L608+'II-I-MET'!L608+'II-I-TBILLTDCS'!L608</f>
        <v>0</v>
      </c>
      <c r="M608" s="369">
        <f ca="1">'II-I-DIST'!M608+'II-I-MET'!M608+'II-I-TBILLTDCS'!M608</f>
        <v>0</v>
      </c>
      <c r="N608" s="369">
        <f ca="1">'II-I-DIST'!N608+'II-I-MET'!N608+'II-I-TBILLTDCS'!N608</f>
        <v>0</v>
      </c>
      <c r="O608" s="369">
        <f ca="1">'II-I-DIST'!O608+'II-I-MET'!O608+'II-I-TBILLTDCS'!O608</f>
        <v>0</v>
      </c>
      <c r="P608" s="369">
        <f ca="1">'II-I-DIST'!P608+'II-I-MET'!P608+'II-I-TBILLTDCS'!P608</f>
        <v>0</v>
      </c>
      <c r="Q608" s="369">
        <f ca="1">'II-I-DIST'!Q608+'II-I-MET'!Q608+'II-I-TBILLTDCS'!Q608</f>
        <v>0</v>
      </c>
      <c r="R608" s="369">
        <f ca="1">'II-I-DIST'!R608+'II-I-MET'!R608+'II-I-TBILLTDCS'!R608</f>
        <v>0</v>
      </c>
      <c r="S608" s="369">
        <f ca="1">'II-I-DIST'!S608+'II-I-MET'!S608+'II-I-TBILLTDCS'!S608</f>
        <v>0</v>
      </c>
      <c r="T608" s="293"/>
      <c r="U608" s="97">
        <f t="shared" ca="1" si="166"/>
        <v>0</v>
      </c>
      <c r="V608" s="41"/>
      <c r="W608" s="294"/>
      <c r="X608" s="305">
        <f t="shared" ca="1" si="167"/>
        <v>0</v>
      </c>
    </row>
    <row r="609" spans="1:24" x14ac:dyDescent="0.2">
      <c r="A609" s="38"/>
      <c r="B609" s="16">
        <f t="shared" si="160"/>
        <v>20</v>
      </c>
      <c r="C609" s="41">
        <v>254</v>
      </c>
      <c r="D609" s="41" t="s">
        <v>139</v>
      </c>
      <c r="E609" s="293"/>
      <c r="F609" s="229">
        <f>' WP II-I-1.4'!L609</f>
        <v>0</v>
      </c>
      <c r="G609" s="293" t="s">
        <v>751</v>
      </c>
      <c r="H609" s="1" t="s">
        <v>303</v>
      </c>
      <c r="I609" s="293"/>
      <c r="J609" s="369">
        <f ca="1">'II-I-DIST'!J609+'II-I-MET'!J609+'II-I-TBILLTDCS'!J609</f>
        <v>0</v>
      </c>
      <c r="K609" s="369">
        <f ca="1">'II-I-DIST'!K609+'II-I-MET'!K609+'II-I-TBILLTDCS'!K609</f>
        <v>0</v>
      </c>
      <c r="L609" s="369">
        <f ca="1">'II-I-DIST'!L609+'II-I-MET'!L609+'II-I-TBILLTDCS'!L609</f>
        <v>0</v>
      </c>
      <c r="M609" s="369">
        <f ca="1">'II-I-DIST'!M609+'II-I-MET'!M609+'II-I-TBILLTDCS'!M609</f>
        <v>0</v>
      </c>
      <c r="N609" s="369">
        <f ca="1">'II-I-DIST'!N609+'II-I-MET'!N609+'II-I-TBILLTDCS'!N609</f>
        <v>0</v>
      </c>
      <c r="O609" s="369">
        <f ca="1">'II-I-DIST'!O609+'II-I-MET'!O609+'II-I-TBILLTDCS'!O609</f>
        <v>0</v>
      </c>
      <c r="P609" s="369">
        <f ca="1">'II-I-DIST'!P609+'II-I-MET'!P609+'II-I-TBILLTDCS'!P609</f>
        <v>0</v>
      </c>
      <c r="Q609" s="369">
        <f ca="1">'II-I-DIST'!Q609+'II-I-MET'!Q609+'II-I-TBILLTDCS'!Q609</f>
        <v>0</v>
      </c>
      <c r="R609" s="369">
        <f ca="1">'II-I-DIST'!R609+'II-I-MET'!R609+'II-I-TBILLTDCS'!R609</f>
        <v>0</v>
      </c>
      <c r="S609" s="369">
        <f ca="1">'II-I-DIST'!S609+'II-I-MET'!S609+'II-I-TBILLTDCS'!S609</f>
        <v>0</v>
      </c>
      <c r="T609" s="293"/>
      <c r="U609" s="97">
        <f t="shared" ca="1" si="166"/>
        <v>0</v>
      </c>
      <c r="V609" s="41"/>
      <c r="W609" s="294"/>
      <c r="X609" s="305">
        <f t="shared" ca="1" si="167"/>
        <v>0</v>
      </c>
    </row>
    <row r="610" spans="1:24" ht="15" x14ac:dyDescent="0.25">
      <c r="A610" s="36"/>
      <c r="B610" s="16">
        <f t="shared" si="160"/>
        <v>21</v>
      </c>
      <c r="C610" s="33"/>
      <c r="D610" s="42" t="s">
        <v>567</v>
      </c>
      <c r="E610" s="806"/>
      <c r="F610" s="804">
        <f>SUM(F600:F609)</f>
        <v>-553814142.23999989</v>
      </c>
      <c r="G610" s="35"/>
      <c r="H610" s="806"/>
      <c r="I610" s="806"/>
      <c r="J610" s="804">
        <f t="shared" ref="J610:Q610" ca="1" si="168">SUM(J600:J609)</f>
        <v>-296643185.4884358</v>
      </c>
      <c r="K610" s="804">
        <f t="shared" ca="1" si="168"/>
        <v>-11671426.74958558</v>
      </c>
      <c r="L610" s="804">
        <f t="shared" ca="1" si="168"/>
        <v>-185969585.98019278</v>
      </c>
      <c r="M610" s="804">
        <f t="shared" ca="1" si="168"/>
        <v>-499127.00174517196</v>
      </c>
      <c r="N610" s="804">
        <f t="shared" ca="1" si="168"/>
        <v>-35330333.595824376</v>
      </c>
      <c r="O610" s="804">
        <f ca="1">SUM(O600:O609)</f>
        <v>-3580342.1465802765</v>
      </c>
      <c r="P610" s="804">
        <f t="shared" ca="1" si="168"/>
        <v>-836939.58185290277</v>
      </c>
      <c r="Q610" s="804">
        <f t="shared" ca="1" si="168"/>
        <v>-17776121.738374621</v>
      </c>
      <c r="R610" s="804">
        <f ca="1">SUM(R600:R609)</f>
        <v>-252166.67916653407</v>
      </c>
      <c r="S610" s="804">
        <f ca="1">SUM(S600:S609)</f>
        <v>-1254913.2782418628</v>
      </c>
      <c r="T610" s="35"/>
      <c r="U610" s="20">
        <f t="shared" ca="1" si="163"/>
        <v>-553814142.23999989</v>
      </c>
      <c r="V610" s="34"/>
      <c r="W610" s="1099" t="b">
        <f>' WP II-I-1.4'!$L$610=F610</f>
        <v>1</v>
      </c>
      <c r="X610" s="305">
        <f t="shared" ca="1" si="155"/>
        <v>0</v>
      </c>
    </row>
    <row r="611" spans="1:24" ht="15.75" thickBot="1" x14ac:dyDescent="0.3">
      <c r="A611" s="38"/>
      <c r="B611" s="16">
        <f t="shared" si="160"/>
        <v>22</v>
      </c>
      <c r="C611" s="33"/>
      <c r="D611" s="41"/>
      <c r="E611" s="293"/>
      <c r="F611" s="281"/>
      <c r="G611" s="293"/>
      <c r="H611" s="293"/>
      <c r="I611" s="293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93"/>
      <c r="U611" s="41"/>
      <c r="V611" s="41"/>
      <c r="W611" s="294"/>
      <c r="X611" s="305">
        <f t="shared" si="155"/>
        <v>0</v>
      </c>
    </row>
    <row r="612" spans="1:24" ht="15.75" thickBot="1" x14ac:dyDescent="0.3">
      <c r="A612" s="36"/>
      <c r="B612" s="16">
        <f t="shared" si="160"/>
        <v>23</v>
      </c>
      <c r="C612" s="291" t="s">
        <v>568</v>
      </c>
      <c r="D612" s="217"/>
      <c r="E612" s="272" t="s">
        <v>127</v>
      </c>
      <c r="F612" s="217">
        <f>F597+F610</f>
        <v>-517091013.51999986</v>
      </c>
      <c r="G612" s="272"/>
      <c r="H612" s="392"/>
      <c r="I612" s="568"/>
      <c r="J612" s="291">
        <f t="shared" ref="J612:Q612" ca="1" si="169">J597+J610</f>
        <v>-277147843.28804642</v>
      </c>
      <c r="K612" s="814">
        <f t="shared" ca="1" si="169"/>
        <v>-10471966.223133381</v>
      </c>
      <c r="L612" s="814">
        <f t="shared" ca="1" si="169"/>
        <v>-174077120.17080584</v>
      </c>
      <c r="M612" s="814">
        <f t="shared" ca="1" si="169"/>
        <v>-374142.57460927748</v>
      </c>
      <c r="N612" s="814">
        <f t="shared" ca="1" si="169"/>
        <v>-32754180.456372347</v>
      </c>
      <c r="O612" s="814">
        <f ca="1">O597+O610</f>
        <v>-3371727.1178679662</v>
      </c>
      <c r="P612" s="814">
        <f t="shared" ca="1" si="169"/>
        <v>-741659.81220932514</v>
      </c>
      <c r="Q612" s="814">
        <f t="shared" ca="1" si="169"/>
        <v>-16732349.180447008</v>
      </c>
      <c r="R612" s="814">
        <f ca="1">R597+R610</f>
        <v>-236469.22212727359</v>
      </c>
      <c r="S612" s="218">
        <f ca="1">S597+S610</f>
        <v>-1183555.4743810771</v>
      </c>
      <c r="T612" s="392"/>
      <c r="U612" s="218">
        <f ca="1">SUM(I612:T612)</f>
        <v>-517091013.5199998</v>
      </c>
      <c r="V612" s="34"/>
      <c r="W612" s="1099" t="b">
        <f>' WP II-I-1.4'!$L$612=F612</f>
        <v>1</v>
      </c>
      <c r="X612" s="305">
        <f t="shared" ca="1" si="155"/>
        <v>0</v>
      </c>
    </row>
    <row r="613" spans="1:24" ht="15.75" thickBot="1" x14ac:dyDescent="0.3">
      <c r="A613" s="38"/>
      <c r="B613" s="16">
        <f t="shared" si="160"/>
        <v>24</v>
      </c>
      <c r="C613" s="44"/>
      <c r="D613" s="34"/>
      <c r="E613" s="35"/>
      <c r="F613" s="37"/>
      <c r="G613" s="35"/>
      <c r="H613" s="35"/>
      <c r="I613" s="35"/>
      <c r="J613" s="807"/>
      <c r="K613" s="807"/>
      <c r="L613" s="807"/>
      <c r="M613" s="807"/>
      <c r="N613" s="807"/>
      <c r="O613" s="807"/>
      <c r="P613" s="807"/>
      <c r="Q613" s="807"/>
      <c r="R613" s="807"/>
      <c r="S613" s="807"/>
      <c r="T613" s="35"/>
      <c r="U613" s="41"/>
      <c r="V613" s="34"/>
      <c r="W613" s="292"/>
      <c r="X613" s="305">
        <f t="shared" si="155"/>
        <v>0</v>
      </c>
    </row>
    <row r="614" spans="1:24" ht="15.75" thickBot="1" x14ac:dyDescent="0.3">
      <c r="A614" s="36"/>
      <c r="B614" s="16">
        <f t="shared" si="160"/>
        <v>25</v>
      </c>
      <c r="C614" s="270" t="s">
        <v>569</v>
      </c>
      <c r="D614" s="271"/>
      <c r="E614" s="271"/>
      <c r="F614" s="295">
        <f>F575+F612</f>
        <v>659760047.96999991</v>
      </c>
      <c r="G614" s="271"/>
      <c r="H614" s="399"/>
      <c r="I614" s="270"/>
      <c r="J614" s="400">
        <f t="shared" ref="J614:Q614" ca="1" si="170">J575+J612</f>
        <v>353766869.18324357</v>
      </c>
      <c r="K614" s="295">
        <f t="shared" ca="1" si="170"/>
        <v>13293651.563917704</v>
      </c>
      <c r="L614" s="295">
        <f t="shared" ca="1" si="170"/>
        <v>222288582.07848707</v>
      </c>
      <c r="M614" s="295">
        <f t="shared" ca="1" si="170"/>
        <v>470448.24201222969</v>
      </c>
      <c r="N614" s="295">
        <f t="shared" ca="1" si="170"/>
        <v>42036339.379007161</v>
      </c>
      <c r="O614" s="295">
        <f ca="1">O575+O612</f>
        <v>4352338.2987804683</v>
      </c>
      <c r="P614" s="295">
        <f t="shared" ca="1" si="170"/>
        <v>943455.09927005903</v>
      </c>
      <c r="Q614" s="295">
        <f t="shared" ca="1" si="170"/>
        <v>20855542.259729464</v>
      </c>
      <c r="R614" s="295">
        <f ca="1">R575+R612</f>
        <v>291555.47411479696</v>
      </c>
      <c r="S614" s="296">
        <f ca="1">S575+S612</f>
        <v>1461266.3914372451</v>
      </c>
      <c r="T614" s="399"/>
      <c r="U614" s="296">
        <f ca="1">SUM(I614:T614)</f>
        <v>659760047.96999979</v>
      </c>
      <c r="V614" s="34"/>
      <c r="W614" s="1099" t="b">
        <f>' WP II-I-1.4'!$L$614=F614</f>
        <v>1</v>
      </c>
      <c r="X614" s="305">
        <f t="shared" ca="1" si="155"/>
        <v>0</v>
      </c>
    </row>
    <row r="615" spans="1:24" ht="15.75" thickBot="1" x14ac:dyDescent="0.3">
      <c r="A615" s="38"/>
      <c r="B615" s="16">
        <f t="shared" si="160"/>
        <v>26</v>
      </c>
      <c r="C615" s="297"/>
      <c r="D615" s="297"/>
      <c r="E615" s="297"/>
      <c r="F615" s="297"/>
      <c r="G615" s="297"/>
      <c r="H615" s="297"/>
      <c r="I615" s="297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297"/>
      <c r="U615" s="297"/>
      <c r="V615" s="34"/>
      <c r="W615" s="292"/>
      <c r="X615" s="305">
        <f t="shared" si="155"/>
        <v>0</v>
      </c>
    </row>
    <row r="616" spans="1:24" ht="15.75" thickBot="1" x14ac:dyDescent="0.3">
      <c r="A616" s="118"/>
      <c r="B616" s="16">
        <f t="shared" si="160"/>
        <v>27</v>
      </c>
      <c r="C616" s="276" t="s">
        <v>570</v>
      </c>
      <c r="D616" s="271"/>
      <c r="E616" s="272" t="s">
        <v>571</v>
      </c>
      <c r="F616" s="217">
        <f>F614+F499+F476+F455+F435+F388</f>
        <v>926505752.7737819</v>
      </c>
      <c r="G616" s="272"/>
      <c r="H616" s="392"/>
      <c r="I616" s="568"/>
      <c r="J616" s="291">
        <f t="shared" ref="J616:S616" ca="1" si="171">J614+J499+J476+J455+J435+J388</f>
        <v>480599828.13881576</v>
      </c>
      <c r="K616" s="814">
        <f t="shared" ca="1" si="171"/>
        <v>17455475.127289992</v>
      </c>
      <c r="L616" s="814">
        <f t="shared" ca="1" si="171"/>
        <v>323686281.9989298</v>
      </c>
      <c r="M616" s="814">
        <f t="shared" ca="1" si="171"/>
        <v>497178.46366511454</v>
      </c>
      <c r="N616" s="814">
        <f t="shared" ca="1" si="171"/>
        <v>58870031.054046549</v>
      </c>
      <c r="O616" s="814">
        <f t="shared" ca="1" si="171"/>
        <v>6528341.3612442678</v>
      </c>
      <c r="P616" s="814">
        <f t="shared" ca="1" si="171"/>
        <v>9974727.9832144082</v>
      </c>
      <c r="Q616" s="814">
        <f t="shared" ca="1" si="171"/>
        <v>26395096.244104143</v>
      </c>
      <c r="R616" s="814">
        <f t="shared" ca="1" si="171"/>
        <v>505125.3434987751</v>
      </c>
      <c r="S616" s="218">
        <f t="shared" ca="1" si="171"/>
        <v>1993667.0589728281</v>
      </c>
      <c r="T616" s="392"/>
      <c r="U616" s="218">
        <f ca="1">SUM(I616:T616)</f>
        <v>926505752.77378178</v>
      </c>
      <c r="V616" s="104"/>
      <c r="W616" s="1099" t="b">
        <f>' WP II-I-1.4'!$L$616=F616</f>
        <v>1</v>
      </c>
      <c r="X616" s="305">
        <f t="shared" ca="1" si="155"/>
        <v>0</v>
      </c>
    </row>
    <row r="617" spans="1:24" ht="15.75" thickBot="1" x14ac:dyDescent="0.3">
      <c r="A617" s="45"/>
      <c r="B617" s="16">
        <f t="shared" si="160"/>
        <v>28</v>
      </c>
      <c r="C617" s="34"/>
      <c r="D617" s="34"/>
      <c r="E617" s="298"/>
      <c r="F617" s="37"/>
      <c r="G617" s="298"/>
      <c r="H617" s="298"/>
      <c r="I617" s="298"/>
      <c r="J617" s="807"/>
      <c r="K617" s="807"/>
      <c r="L617" s="807"/>
      <c r="M617" s="807"/>
      <c r="N617" s="807"/>
      <c r="O617" s="807"/>
      <c r="P617" s="807"/>
      <c r="Q617" s="807"/>
      <c r="R617" s="807"/>
      <c r="S617" s="807"/>
      <c r="T617" s="298"/>
      <c r="U617" s="37"/>
      <c r="V617" s="64"/>
      <c r="X617" s="305">
        <f t="shared" si="155"/>
        <v>0</v>
      </c>
    </row>
    <row r="618" spans="1:24" ht="15.75" thickBot="1" x14ac:dyDescent="0.3">
      <c r="A618" s="118"/>
      <c r="B618" s="16">
        <f t="shared" si="160"/>
        <v>29</v>
      </c>
      <c r="C618" s="276" t="s">
        <v>572</v>
      </c>
      <c r="D618" s="271"/>
      <c r="E618" s="272" t="s">
        <v>573</v>
      </c>
      <c r="F618" s="217">
        <f>F366+F616+F411</f>
        <v>14178812890.553783</v>
      </c>
      <c r="G618" s="272"/>
      <c r="H618" s="392"/>
      <c r="I618" s="568"/>
      <c r="J618" s="291">
        <f t="shared" ref="J618:S618" ca="1" si="172">J366+J616+J411</f>
        <v>7701231395.3489208</v>
      </c>
      <c r="K618" s="814">
        <f t="shared" ca="1" si="172"/>
        <v>241021038.76455146</v>
      </c>
      <c r="L618" s="814">
        <f t="shared" ca="1" si="172"/>
        <v>4895708692.4099426</v>
      </c>
      <c r="M618" s="814">
        <f t="shared" ca="1" si="172"/>
        <v>9349078.2371065579</v>
      </c>
      <c r="N618" s="814">
        <f t="shared" ca="1" si="172"/>
        <v>952498948.05242395</v>
      </c>
      <c r="O618" s="814">
        <f t="shared" ca="1" si="172"/>
        <v>106794279.04774135</v>
      </c>
      <c r="P618" s="814">
        <f t="shared" ca="1" si="172"/>
        <v>30497473.243358411</v>
      </c>
      <c r="Q618" s="814">
        <f t="shared" ca="1" si="172"/>
        <v>199604759.05071092</v>
      </c>
      <c r="R618" s="814">
        <f t="shared" ca="1" si="172"/>
        <v>7514396.8375243619</v>
      </c>
      <c r="S618" s="218">
        <f t="shared" ca="1" si="172"/>
        <v>34592829.561503254</v>
      </c>
      <c r="T618" s="392"/>
      <c r="U618" s="218">
        <f ca="1">SUM(I618:T618)</f>
        <v>14178812890.553782</v>
      </c>
      <c r="V618" s="104"/>
      <c r="W618" s="1099" t="b">
        <f ca="1">' WP II-I-1.4'!$L$618=U618</f>
        <v>1</v>
      </c>
      <c r="X618" s="305">
        <f t="shared" ca="1" si="155"/>
        <v>0</v>
      </c>
    </row>
    <row r="619" spans="1:24" x14ac:dyDescent="0.2">
      <c r="A619" s="45"/>
      <c r="B619" s="16">
        <f t="shared" si="160"/>
        <v>30</v>
      </c>
      <c r="C619" s="41"/>
      <c r="D619" s="41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41"/>
      <c r="V619" s="64"/>
      <c r="X619" s="305">
        <f t="shared" si="155"/>
        <v>0</v>
      </c>
    </row>
    <row r="620" spans="1:24" ht="15" x14ac:dyDescent="0.25">
      <c r="A620" s="45"/>
      <c r="B620" s="16">
        <f t="shared" si="160"/>
        <v>31</v>
      </c>
      <c r="C620" s="299" t="s">
        <v>140</v>
      </c>
      <c r="D620" s="300"/>
      <c r="E620" s="34"/>
      <c r="F620" s="146">
        <f>' WP II-I-1.4'!L620</f>
        <v>7.4700000000000003E-2</v>
      </c>
      <c r="G620" s="293">
        <v>1</v>
      </c>
      <c r="H620" s="45" t="s">
        <v>750</v>
      </c>
      <c r="I620" s="34"/>
      <c r="J620" s="300">
        <f t="shared" ref="J620:S620" si="173">$F620</f>
        <v>7.4700000000000003E-2</v>
      </c>
      <c r="K620" s="300">
        <f t="shared" si="173"/>
        <v>7.4700000000000003E-2</v>
      </c>
      <c r="L620" s="300">
        <f t="shared" si="173"/>
        <v>7.4700000000000003E-2</v>
      </c>
      <c r="M620" s="300">
        <f t="shared" si="173"/>
        <v>7.4700000000000003E-2</v>
      </c>
      <c r="N620" s="300">
        <f t="shared" si="173"/>
        <v>7.4700000000000003E-2</v>
      </c>
      <c r="O620" s="300">
        <f t="shared" si="173"/>
        <v>7.4700000000000003E-2</v>
      </c>
      <c r="P620" s="300">
        <f t="shared" si="173"/>
        <v>7.4700000000000003E-2</v>
      </c>
      <c r="Q620" s="300">
        <f t="shared" si="173"/>
        <v>7.4700000000000003E-2</v>
      </c>
      <c r="R620" s="300">
        <f t="shared" si="173"/>
        <v>7.4700000000000003E-2</v>
      </c>
      <c r="S620" s="300">
        <f t="shared" si="173"/>
        <v>7.4700000000000003E-2</v>
      </c>
      <c r="T620" s="34"/>
      <c r="U620" s="221">
        <f ca="1">U622/U618</f>
        <v>7.4700000000000016E-2</v>
      </c>
      <c r="V620" s="64"/>
      <c r="W620" s="1099" t="b">
        <f ca="1">' WP II-I-1.4'!$L$620=U620</f>
        <v>1</v>
      </c>
      <c r="X620" s="305">
        <f t="shared" ca="1" si="155"/>
        <v>0</v>
      </c>
    </row>
    <row r="621" spans="1:24" ht="15" thickBot="1" x14ac:dyDescent="0.25">
      <c r="A621" s="45"/>
      <c r="B621" s="16">
        <f t="shared" si="160"/>
        <v>32</v>
      </c>
      <c r="C621" s="1"/>
      <c r="D621" s="202"/>
      <c r="E621" s="202"/>
      <c r="F621" s="1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11"/>
      <c r="V621" s="64"/>
      <c r="X621" s="305">
        <f t="shared" si="155"/>
        <v>0</v>
      </c>
    </row>
    <row r="622" spans="1:24" ht="15.75" thickBot="1" x14ac:dyDescent="0.3">
      <c r="A622" s="45"/>
      <c r="B622" s="16">
        <f t="shared" si="160"/>
        <v>33</v>
      </c>
      <c r="C622" s="276" t="s">
        <v>574</v>
      </c>
      <c r="D622" s="271"/>
      <c r="E622" s="272"/>
      <c r="F622" s="217">
        <f>+F618*F620</f>
        <v>1059157322.9243677</v>
      </c>
      <c r="G622" s="272"/>
      <c r="H622" s="392"/>
      <c r="I622" s="568"/>
      <c r="J622" s="291">
        <f t="shared" ref="J622:Q622" ca="1" si="174">+J618*J620</f>
        <v>575281985.23256445</v>
      </c>
      <c r="K622" s="814">
        <f t="shared" ca="1" si="174"/>
        <v>18004271.595711995</v>
      </c>
      <c r="L622" s="814">
        <f t="shared" ca="1" si="174"/>
        <v>365709439.32302272</v>
      </c>
      <c r="M622" s="814">
        <f t="shared" ca="1" si="174"/>
        <v>698376.14431185985</v>
      </c>
      <c r="N622" s="814">
        <f t="shared" ca="1" si="174"/>
        <v>71151671.419516072</v>
      </c>
      <c r="O622" s="814">
        <f ca="1">+O618*O620</f>
        <v>7977532.6448662793</v>
      </c>
      <c r="P622" s="814">
        <f t="shared" ca="1" si="174"/>
        <v>2278161.2512788735</v>
      </c>
      <c r="Q622" s="814">
        <f t="shared" ca="1" si="174"/>
        <v>14910475.501088105</v>
      </c>
      <c r="R622" s="814">
        <f ca="1">+R618*R620</f>
        <v>561325.44376306981</v>
      </c>
      <c r="S622" s="218">
        <f ca="1">+S618*S620</f>
        <v>2584084.3682442931</v>
      </c>
      <c r="T622" s="392"/>
      <c r="U622" s="195">
        <f ca="1">SUM(I622:T622)</f>
        <v>1059157322.9243677</v>
      </c>
      <c r="V622" s="64"/>
      <c r="W622" s="1099" t="b">
        <f ca="1">' WP II-I-1.4'!$L$622=U622</f>
        <v>1</v>
      </c>
      <c r="X622" s="305">
        <f t="shared" ca="1" si="155"/>
        <v>0</v>
      </c>
    </row>
    <row r="623" spans="1:24" x14ac:dyDescent="0.2">
      <c r="A623" s="45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X623" s="305">
        <f t="shared" si="155"/>
        <v>0</v>
      </c>
    </row>
    <row r="624" spans="1:24" x14ac:dyDescent="0.2">
      <c r="A624" s="45"/>
      <c r="B624" s="64"/>
      <c r="C624" s="64"/>
      <c r="D624" s="64"/>
      <c r="E624" s="64"/>
      <c r="F624" s="64"/>
      <c r="G624" s="64"/>
      <c r="H624" s="105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105"/>
      <c r="V624" s="105"/>
      <c r="X624" s="305"/>
    </row>
    <row r="625" spans="1:24" ht="15" thickBot="1" x14ac:dyDescent="0.25">
      <c r="A625" s="45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X625" s="305">
        <f t="shared" si="155"/>
        <v>0</v>
      </c>
    </row>
    <row r="626" spans="1:24" ht="15" x14ac:dyDescent="0.25">
      <c r="A626" s="45"/>
      <c r="B626" s="829" t="str">
        <f>+$B$4</f>
        <v>2025 RATE CASE</v>
      </c>
      <c r="C626" s="844"/>
      <c r="D626" s="872"/>
      <c r="F626" s="267"/>
      <c r="U626" s="105" t="s">
        <v>0</v>
      </c>
      <c r="X626" s="305"/>
    </row>
    <row r="627" spans="1:24" ht="15" x14ac:dyDescent="0.25">
      <c r="A627" s="45"/>
      <c r="B627" s="826" t="str">
        <f>+$B$5</f>
        <v>ONCOR ELECTRIC DELIVERY COMPANY LLC</v>
      </c>
      <c r="C627" s="8"/>
      <c r="D627" s="873"/>
      <c r="F627" s="267"/>
      <c r="U627" s="105"/>
      <c r="V627" s="64"/>
      <c r="X627" s="305">
        <f t="shared" si="155"/>
        <v>0</v>
      </c>
    </row>
    <row r="628" spans="1:24" ht="15" x14ac:dyDescent="0.25">
      <c r="A628" s="45"/>
      <c r="B628" s="826" t="str">
        <f>+$B$6</f>
        <v>II-I-1-TOT:  CLASS REVENUE REQUIREMENT</v>
      </c>
      <c r="C628" s="82"/>
      <c r="D628" s="873"/>
      <c r="F628" s="267"/>
      <c r="U628" s="267"/>
      <c r="V628" s="64"/>
      <c r="X628" s="305">
        <f t="shared" si="155"/>
        <v>0</v>
      </c>
    </row>
    <row r="629" spans="1:24" ht="15" x14ac:dyDescent="0.25">
      <c r="A629" s="45"/>
      <c r="B629" s="341" t="str">
        <f>+$B$7</f>
        <v>TEST YEAR ENDING 12/31/2024</v>
      </c>
      <c r="C629" s="82"/>
      <c r="D629" s="873"/>
      <c r="F629" s="267"/>
      <c r="U629" s="267"/>
      <c r="V629" s="64"/>
      <c r="X629" s="305">
        <f t="shared" si="155"/>
        <v>0</v>
      </c>
    </row>
    <row r="630" spans="1:24" ht="15" x14ac:dyDescent="0.25">
      <c r="A630" s="45"/>
      <c r="B630" s="341" t="str">
        <f>+$B$8</f>
        <v>SPONSOR:  MATTHEW A. TROXLE</v>
      </c>
      <c r="C630" s="82"/>
      <c r="D630" s="873"/>
      <c r="F630" s="267"/>
      <c r="U630" s="267"/>
      <c r="V630" s="64"/>
      <c r="X630" s="305">
        <f t="shared" si="155"/>
        <v>0</v>
      </c>
    </row>
    <row r="631" spans="1:24" ht="15.75" thickBot="1" x14ac:dyDescent="0.3">
      <c r="A631" s="45"/>
      <c r="B631" s="345"/>
      <c r="C631" s="843"/>
      <c r="D631" s="845"/>
      <c r="F631" s="267"/>
      <c r="U631" s="267"/>
      <c r="V631" s="64"/>
      <c r="X631" s="305">
        <f t="shared" si="155"/>
        <v>0</v>
      </c>
    </row>
    <row r="632" spans="1:24" ht="15" thickBot="1" x14ac:dyDescent="0.25">
      <c r="A632" s="45"/>
      <c r="B632" s="12"/>
      <c r="C632" s="13"/>
      <c r="D632" s="13"/>
      <c r="E632" s="13"/>
      <c r="F632" s="12"/>
      <c r="G632" s="13"/>
      <c r="H632" s="13"/>
      <c r="I632" s="13"/>
      <c r="J632" s="177"/>
      <c r="K632" s="177"/>
      <c r="L632" s="13"/>
      <c r="M632" s="177"/>
      <c r="N632" s="177"/>
      <c r="O632" s="177"/>
      <c r="P632" s="177"/>
      <c r="Q632" s="13"/>
      <c r="R632" s="328" t="str">
        <f>R$10</f>
        <v xml:space="preserve"> </v>
      </c>
      <c r="S632" s="329"/>
      <c r="T632" s="177"/>
      <c r="U632" s="12"/>
      <c r="V632" s="64"/>
      <c r="X632" s="305">
        <f t="shared" si="155"/>
        <v>0</v>
      </c>
    </row>
    <row r="633" spans="1:24" ht="15" x14ac:dyDescent="0.25">
      <c r="A633" s="45"/>
      <c r="B633" s="14" t="s">
        <v>2</v>
      </c>
      <c r="C633" s="14" t="s">
        <v>349</v>
      </c>
      <c r="D633" s="226" t="s">
        <v>575</v>
      </c>
      <c r="E633" s="14" t="s">
        <v>350</v>
      </c>
      <c r="F633" s="226" t="str">
        <f>F$11</f>
        <v>TOTAL</v>
      </c>
      <c r="G633" s="181" t="s">
        <v>688</v>
      </c>
      <c r="H633" s="181" t="s">
        <v>355</v>
      </c>
      <c r="I633" s="14"/>
      <c r="J633" s="181" t="s">
        <v>679</v>
      </c>
      <c r="K633" s="181" t="s">
        <v>388</v>
      </c>
      <c r="L633" s="14" t="s">
        <v>388</v>
      </c>
      <c r="M633" s="181" t="s">
        <v>389</v>
      </c>
      <c r="N633" s="181" t="s">
        <v>389</v>
      </c>
      <c r="O633" s="181" t="s">
        <v>389</v>
      </c>
      <c r="P633" s="181" t="s">
        <v>390</v>
      </c>
      <c r="Q633" s="14" t="s">
        <v>391</v>
      </c>
      <c r="R633" s="331" t="str">
        <f>R$11</f>
        <v>Wholesale</v>
      </c>
      <c r="S633" s="12" t="str">
        <f>S$11</f>
        <v>Wholesale</v>
      </c>
      <c r="T633" s="181"/>
      <c r="U633" s="14" t="s">
        <v>10</v>
      </c>
      <c r="V633" s="64"/>
      <c r="X633" s="305"/>
    </row>
    <row r="634" spans="1:24" x14ac:dyDescent="0.2">
      <c r="A634" s="45"/>
      <c r="B634" s="14"/>
      <c r="C634" s="14"/>
      <c r="D634" s="14"/>
      <c r="E634" s="14"/>
      <c r="F634" s="14" t="str">
        <f>F$12</f>
        <v>(Dist+Met+Cust)</v>
      </c>
      <c r="G634" s="181" t="s">
        <v>689</v>
      </c>
      <c r="H634" s="181" t="s">
        <v>690</v>
      </c>
      <c r="I634" s="14"/>
      <c r="J634" s="181"/>
      <c r="K634" s="181" t="s">
        <v>680</v>
      </c>
      <c r="L634" s="14" t="s">
        <v>681</v>
      </c>
      <c r="M634" s="181" t="s">
        <v>680</v>
      </c>
      <c r="N634" s="181" t="s">
        <v>681</v>
      </c>
      <c r="O634" s="181" t="s">
        <v>393</v>
      </c>
      <c r="P634" s="181"/>
      <c r="Q634" s="14"/>
      <c r="R634" s="174" t="str">
        <f>R$12</f>
        <v>XFMR</v>
      </c>
      <c r="S634" s="14" t="str">
        <f>S$12</f>
        <v>DLS</v>
      </c>
      <c r="T634" s="181"/>
      <c r="U634" s="14"/>
      <c r="V634" s="64"/>
      <c r="X634" s="305"/>
    </row>
    <row r="635" spans="1:24" ht="15" thickBot="1" x14ac:dyDescent="0.25">
      <c r="A635" s="45"/>
      <c r="B635" s="15"/>
      <c r="C635" s="15"/>
      <c r="D635" s="15"/>
      <c r="E635" s="15"/>
      <c r="F635" s="15" t="s">
        <v>13</v>
      </c>
      <c r="G635" s="15" t="s">
        <v>14</v>
      </c>
      <c r="H635" s="15" t="s">
        <v>15</v>
      </c>
      <c r="I635" s="15"/>
      <c r="J635" s="182" t="str">
        <f t="shared" ref="J635:Q635" si="175">J$13</f>
        <v>(d)</v>
      </c>
      <c r="K635" s="182" t="str">
        <f t="shared" si="175"/>
        <v>(e)</v>
      </c>
      <c r="L635" s="15" t="str">
        <f t="shared" si="175"/>
        <v>(f)</v>
      </c>
      <c r="M635" s="182" t="str">
        <f t="shared" si="175"/>
        <v>(g)</v>
      </c>
      <c r="N635" s="182" t="str">
        <f t="shared" si="175"/>
        <v>(h)</v>
      </c>
      <c r="O635" s="182" t="str">
        <f>O$13</f>
        <v>(i)</v>
      </c>
      <c r="P635" s="182" t="str">
        <f t="shared" si="175"/>
        <v>(j)</v>
      </c>
      <c r="Q635" s="182" t="str">
        <f t="shared" si="175"/>
        <v>(k)</v>
      </c>
      <c r="R635" s="182" t="str">
        <f>R$13</f>
        <v>(l)</v>
      </c>
      <c r="S635" s="15" t="str">
        <f>S$13</f>
        <v>(m)</v>
      </c>
      <c r="T635" s="15"/>
      <c r="U635" s="15" t="s">
        <v>683</v>
      </c>
      <c r="V635" s="64"/>
      <c r="X635" s="305"/>
    </row>
    <row r="636" spans="1:24" x14ac:dyDescent="0.2">
      <c r="A636" s="45"/>
      <c r="B636" s="45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41"/>
      <c r="V636" s="64"/>
      <c r="X636" s="305">
        <f t="shared" si="155"/>
        <v>0</v>
      </c>
    </row>
    <row r="637" spans="1:24" ht="15" x14ac:dyDescent="0.25">
      <c r="A637" s="45"/>
      <c r="B637" s="16">
        <f t="shared" ref="B637:B663" si="176">B636+1</f>
        <v>1</v>
      </c>
      <c r="C637" s="8" t="s">
        <v>575</v>
      </c>
      <c r="D637" s="8"/>
      <c r="E637" s="19"/>
      <c r="F637" s="8"/>
      <c r="G637" s="19"/>
      <c r="H637" s="19"/>
      <c r="I637" s="19"/>
      <c r="J637" s="19"/>
      <c r="K637" s="19"/>
      <c r="L637" s="816"/>
      <c r="M637" s="19"/>
      <c r="N637" s="19"/>
      <c r="O637" s="19"/>
      <c r="P637" s="19"/>
      <c r="Q637" s="19"/>
      <c r="R637" s="19"/>
      <c r="S637" s="19"/>
      <c r="T637" s="19"/>
      <c r="U637" s="8"/>
      <c r="V637" s="64"/>
      <c r="X637" s="305">
        <f t="shared" ref="X637:X700" si="177">U637-F637</f>
        <v>0</v>
      </c>
    </row>
    <row r="638" spans="1:24" ht="15" x14ac:dyDescent="0.25">
      <c r="A638" s="45"/>
      <c r="B638" s="16">
        <f t="shared" si="176"/>
        <v>2</v>
      </c>
      <c r="C638" s="8"/>
      <c r="D638" s="8"/>
      <c r="E638" s="19"/>
      <c r="F638" s="8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8"/>
      <c r="V638" s="64"/>
      <c r="X638" s="305">
        <f t="shared" si="177"/>
        <v>0</v>
      </c>
    </row>
    <row r="639" spans="1:24" ht="15" x14ac:dyDescent="0.25">
      <c r="A639" s="45"/>
      <c r="B639" s="16">
        <f t="shared" si="176"/>
        <v>3</v>
      </c>
      <c r="C639" s="8"/>
      <c r="D639" s="301" t="s">
        <v>576</v>
      </c>
      <c r="E639" s="19" t="s">
        <v>143</v>
      </c>
      <c r="F639" s="8"/>
      <c r="G639" s="19"/>
      <c r="H639" s="19"/>
      <c r="I639" s="19"/>
      <c r="J639" s="961"/>
      <c r="K639" s="961"/>
      <c r="L639" s="961"/>
      <c r="M639" s="961"/>
      <c r="N639" s="961"/>
      <c r="O639" s="961"/>
      <c r="P639" s="961"/>
      <c r="Q639" s="961"/>
      <c r="R639" s="961"/>
      <c r="S639" s="961"/>
      <c r="T639" s="19"/>
      <c r="U639" s="8"/>
      <c r="V639" s="64"/>
      <c r="X639" s="305">
        <f t="shared" si="177"/>
        <v>0</v>
      </c>
    </row>
    <row r="640" spans="1:24" x14ac:dyDescent="0.2">
      <c r="A640" s="45"/>
      <c r="B640" s="16">
        <f t="shared" si="176"/>
        <v>4</v>
      </c>
      <c r="C640" s="26" t="s">
        <v>144</v>
      </c>
      <c r="D640" s="1" t="s">
        <v>145</v>
      </c>
      <c r="E640" s="16"/>
      <c r="F640" s="97">
        <f>' WP II-I-1.4'!L640</f>
        <v>65291.08</v>
      </c>
      <c r="G640" s="16" t="s">
        <v>751</v>
      </c>
      <c r="H640" s="45" t="s">
        <v>303</v>
      </c>
      <c r="I640" s="16"/>
      <c r="J640" s="369">
        <f>'II-I-DIST'!J640+'II-I-MET'!J640+'II-I-TBILLTDCS'!J640</f>
        <v>33479.078989928828</v>
      </c>
      <c r="K640" s="369">
        <f>'II-I-DIST'!K640+'II-I-MET'!K640+'II-I-TBILLTDCS'!K640</f>
        <v>632.50909769673058</v>
      </c>
      <c r="L640" s="369">
        <f>'II-I-DIST'!L640+'II-I-MET'!L640+'II-I-TBILLTDCS'!L640</f>
        <v>21503.753813756102</v>
      </c>
      <c r="M640" s="369">
        <f>'II-I-DIST'!M640+'II-I-MET'!M640+'II-I-TBILLTDCS'!M640</f>
        <v>10.062482064074766</v>
      </c>
      <c r="N640" s="369">
        <f>'II-I-DIST'!N640+'II-I-MET'!N640+'II-I-TBILLTDCS'!N640</f>
        <v>6325.1462084228433</v>
      </c>
      <c r="O640" s="369">
        <f>'II-I-DIST'!O640+'II-I-MET'!O640+'II-I-TBILLTDCS'!O640</f>
        <v>2718.6723399903267</v>
      </c>
      <c r="P640" s="369">
        <f>'II-I-DIST'!P640+'II-I-MET'!P640+'II-I-TBILLTDCS'!P640</f>
        <v>0</v>
      </c>
      <c r="Q640" s="369">
        <f>'II-I-DIST'!Q640+'II-I-MET'!Q640+'II-I-TBILLTDCS'!Q640</f>
        <v>191.23436935204549</v>
      </c>
      <c r="R640" s="369">
        <f>'II-I-DIST'!R640+'II-I-MET'!R640+'II-I-TBILLTDCS'!R640</f>
        <v>187.92525357691306</v>
      </c>
      <c r="S640" s="369">
        <f>'II-I-DIST'!S640+'II-I-MET'!S640+'II-I-TBILLTDCS'!S640</f>
        <v>242.69744521212905</v>
      </c>
      <c r="T640" s="16"/>
      <c r="U640" s="98">
        <f t="shared" ref="U640:U648" si="178">SUM(I640:T640)</f>
        <v>65291.079999999987</v>
      </c>
      <c r="V640" s="64"/>
      <c r="W640" s="305" t="b">
        <f>IF('II-I-DIST'!$U$640+'II-I-MET'!$U$640+'II-I-TBILLTDCS'!$U$640=U640,TRUE)</f>
        <v>1</v>
      </c>
      <c r="X640" s="305">
        <f t="shared" si="177"/>
        <v>0</v>
      </c>
    </row>
    <row r="641" spans="1:24" x14ac:dyDescent="0.2">
      <c r="A641" s="45"/>
      <c r="B641" s="16">
        <f t="shared" si="176"/>
        <v>5</v>
      </c>
      <c r="C641" s="1" t="s">
        <v>146</v>
      </c>
      <c r="D641" s="1" t="s">
        <v>147</v>
      </c>
      <c r="E641" s="16"/>
      <c r="F641" s="97">
        <f>' WP II-I-1.4'!L641</f>
        <v>0</v>
      </c>
      <c r="G641" s="16" t="s">
        <v>751</v>
      </c>
      <c r="H641" s="45" t="s">
        <v>303</v>
      </c>
      <c r="I641" s="16"/>
      <c r="J641" s="369">
        <f>'II-I-DIST'!J641+'II-I-MET'!J641+'II-I-TBILLTDCS'!J641</f>
        <v>0</v>
      </c>
      <c r="K641" s="369">
        <f>'II-I-DIST'!K641+'II-I-MET'!K641+'II-I-TBILLTDCS'!K641</f>
        <v>0</v>
      </c>
      <c r="L641" s="369">
        <f>'II-I-DIST'!L641+'II-I-MET'!L641+'II-I-TBILLTDCS'!L641</f>
        <v>0</v>
      </c>
      <c r="M641" s="369">
        <f>'II-I-DIST'!M641+'II-I-MET'!M641+'II-I-TBILLTDCS'!M641</f>
        <v>0</v>
      </c>
      <c r="N641" s="369">
        <f>'II-I-DIST'!N641+'II-I-MET'!N641+'II-I-TBILLTDCS'!N641</f>
        <v>0</v>
      </c>
      <c r="O641" s="369">
        <f>'II-I-DIST'!O641+'II-I-MET'!O641+'II-I-TBILLTDCS'!O641</f>
        <v>0</v>
      </c>
      <c r="P641" s="369">
        <f>'II-I-DIST'!P641+'II-I-MET'!P641+'II-I-TBILLTDCS'!P641</f>
        <v>0</v>
      </c>
      <c r="Q641" s="369">
        <f>'II-I-DIST'!Q641+'II-I-MET'!Q641+'II-I-TBILLTDCS'!Q641</f>
        <v>0</v>
      </c>
      <c r="R641" s="369">
        <f>'II-I-DIST'!R641+'II-I-MET'!R641+'II-I-TBILLTDCS'!R641</f>
        <v>0</v>
      </c>
      <c r="S641" s="369">
        <f>'II-I-DIST'!S641+'II-I-MET'!S641+'II-I-TBILLTDCS'!S641</f>
        <v>0</v>
      </c>
      <c r="T641" s="16"/>
      <c r="U641" s="98">
        <f t="shared" si="178"/>
        <v>0</v>
      </c>
      <c r="V641" s="64"/>
      <c r="X641" s="305">
        <f t="shared" si="177"/>
        <v>0</v>
      </c>
    </row>
    <row r="642" spans="1:24" x14ac:dyDescent="0.2">
      <c r="A642" s="45"/>
      <c r="B642" s="16">
        <f t="shared" si="176"/>
        <v>6</v>
      </c>
      <c r="C642" s="1" t="s">
        <v>148</v>
      </c>
      <c r="D642" s="1" t="s">
        <v>149</v>
      </c>
      <c r="E642" s="16"/>
      <c r="F642" s="97">
        <f>' WP II-I-1.4'!L642</f>
        <v>187768.98</v>
      </c>
      <c r="G642" s="16" t="s">
        <v>751</v>
      </c>
      <c r="H642" s="45" t="s">
        <v>303</v>
      </c>
      <c r="I642" s="16"/>
      <c r="J642" s="369">
        <f>'II-I-DIST'!J642+'II-I-MET'!J642+'II-I-TBILLTDCS'!J642</f>
        <v>96281.643882722827</v>
      </c>
      <c r="K642" s="369">
        <f>'II-I-DIST'!K642+'II-I-MET'!K642+'II-I-TBILLTDCS'!K642</f>
        <v>1819.017055855646</v>
      </c>
      <c r="L642" s="369">
        <f>'II-I-DIST'!L642+'II-I-MET'!L642+'II-I-TBILLTDCS'!L642</f>
        <v>61842.106452827757</v>
      </c>
      <c r="M642" s="369">
        <f>'II-I-DIST'!M642+'II-I-MET'!M642+'II-I-TBILLTDCS'!M642</f>
        <v>28.938439882440502</v>
      </c>
      <c r="N642" s="369">
        <f>'II-I-DIST'!N642+'II-I-MET'!N642+'II-I-TBILLTDCS'!N642</f>
        <v>18190.329397314683</v>
      </c>
      <c r="O642" s="369">
        <f>'II-I-DIST'!O642+'II-I-MET'!O642+'II-I-TBILLTDCS'!O642</f>
        <v>7818.561620273349</v>
      </c>
      <c r="P642" s="369">
        <f>'II-I-DIST'!P642+'II-I-MET'!P642+'II-I-TBILLTDCS'!P642</f>
        <v>0</v>
      </c>
      <c r="Q642" s="369">
        <f>'II-I-DIST'!Q642+'II-I-MET'!Q642+'II-I-TBILLTDCS'!Q642</f>
        <v>549.96612820888924</v>
      </c>
      <c r="R642" s="369">
        <f>'II-I-DIST'!R642+'II-I-MET'!R642+'II-I-TBILLTDCS'!R642</f>
        <v>540.44952511703468</v>
      </c>
      <c r="S642" s="369">
        <f>'II-I-DIST'!S642+'II-I-MET'!S642+'II-I-TBILLTDCS'!S642</f>
        <v>697.96749779736149</v>
      </c>
      <c r="T642" s="16"/>
      <c r="U642" s="98">
        <f t="shared" si="178"/>
        <v>187768.97999999998</v>
      </c>
      <c r="V642" s="64"/>
      <c r="X642" s="305">
        <f t="shared" si="177"/>
        <v>0</v>
      </c>
    </row>
    <row r="643" spans="1:24" x14ac:dyDescent="0.2">
      <c r="A643" s="45"/>
      <c r="B643" s="16">
        <f t="shared" si="176"/>
        <v>7</v>
      </c>
      <c r="C643" s="1" t="s">
        <v>150</v>
      </c>
      <c r="D643" s="1" t="s">
        <v>151</v>
      </c>
      <c r="E643" s="16"/>
      <c r="F643" s="97">
        <f>' WP II-I-1.4'!L643</f>
        <v>-1237.3399999999999</v>
      </c>
      <c r="G643" s="16" t="s">
        <v>751</v>
      </c>
      <c r="H643" s="45" t="s">
        <v>303</v>
      </c>
      <c r="I643" s="16"/>
      <c r="J643" s="369">
        <f>'II-I-DIST'!J643+'II-I-MET'!J643+'II-I-TBILLTDCS'!J643</f>
        <v>-634.46650901468524</v>
      </c>
      <c r="K643" s="369">
        <f>'II-I-DIST'!K643+'II-I-MET'!K643+'II-I-TBILLTDCS'!K643</f>
        <v>-11.986764607723943</v>
      </c>
      <c r="L643" s="369">
        <f>'II-I-DIST'!L643+'II-I-MET'!L643+'II-I-TBILLTDCS'!L643</f>
        <v>-407.52051802348763</v>
      </c>
      <c r="M643" s="369">
        <f>'II-I-DIST'!M643+'II-I-MET'!M643+'II-I-TBILLTDCS'!M643</f>
        <v>-0.1906954450311171</v>
      </c>
      <c r="N643" s="369">
        <f>'II-I-DIST'!N643+'II-I-MET'!N643+'II-I-TBILLTDCS'!N643</f>
        <v>-119.86869277594919</v>
      </c>
      <c r="O643" s="369">
        <f>'II-I-DIST'!O643+'II-I-MET'!O643+'II-I-TBILLTDCS'!O643</f>
        <v>-51.521923563886986</v>
      </c>
      <c r="P643" s="369">
        <f>'II-I-DIST'!P643+'II-I-MET'!P643+'II-I-TBILLTDCS'!P643</f>
        <v>0</v>
      </c>
      <c r="Q643" s="369">
        <f>'II-I-DIST'!Q643+'II-I-MET'!Q643+'II-I-TBILLTDCS'!Q643</f>
        <v>-3.6241081411742608</v>
      </c>
      <c r="R643" s="369">
        <f>'II-I-DIST'!R643+'II-I-MET'!R643+'II-I-TBILLTDCS'!R643</f>
        <v>-3.5613966450066008</v>
      </c>
      <c r="S643" s="369">
        <f>'II-I-DIST'!S643+'II-I-MET'!S643+'II-I-TBILLTDCS'!S643</f>
        <v>-4.5993917830548323</v>
      </c>
      <c r="T643" s="16"/>
      <c r="U643" s="98">
        <f t="shared" si="178"/>
        <v>-1237.3399999999999</v>
      </c>
      <c r="V643" s="64"/>
      <c r="X643" s="305">
        <f t="shared" si="177"/>
        <v>0</v>
      </c>
    </row>
    <row r="644" spans="1:24" x14ac:dyDescent="0.2">
      <c r="A644" s="45"/>
      <c r="B644" s="16">
        <f t="shared" si="176"/>
        <v>8</v>
      </c>
      <c r="C644" s="1" t="s">
        <v>152</v>
      </c>
      <c r="D644" s="1" t="s">
        <v>153</v>
      </c>
      <c r="E644" s="16"/>
      <c r="F644" s="97">
        <f>' WP II-I-1.4'!L644</f>
        <v>0</v>
      </c>
      <c r="G644" s="16" t="s">
        <v>751</v>
      </c>
      <c r="H644" s="45" t="s">
        <v>303</v>
      </c>
      <c r="I644" s="16"/>
      <c r="J644" s="369">
        <f>'II-I-DIST'!J644+'II-I-MET'!J644+'II-I-TBILLTDCS'!J644</f>
        <v>0</v>
      </c>
      <c r="K644" s="369">
        <f>'II-I-DIST'!K644+'II-I-MET'!K644+'II-I-TBILLTDCS'!K644</f>
        <v>0</v>
      </c>
      <c r="L644" s="369">
        <f>'II-I-DIST'!L644+'II-I-MET'!L644+'II-I-TBILLTDCS'!L644</f>
        <v>0</v>
      </c>
      <c r="M644" s="369">
        <f>'II-I-DIST'!M644+'II-I-MET'!M644+'II-I-TBILLTDCS'!M644</f>
        <v>0</v>
      </c>
      <c r="N644" s="369">
        <f>'II-I-DIST'!N644+'II-I-MET'!N644+'II-I-TBILLTDCS'!N644</f>
        <v>0</v>
      </c>
      <c r="O644" s="369">
        <f>'II-I-DIST'!O644+'II-I-MET'!O644+'II-I-TBILLTDCS'!O644</f>
        <v>0</v>
      </c>
      <c r="P644" s="369">
        <f>'II-I-DIST'!P644+'II-I-MET'!P644+'II-I-TBILLTDCS'!P644</f>
        <v>0</v>
      </c>
      <c r="Q644" s="369">
        <f>'II-I-DIST'!Q644+'II-I-MET'!Q644+'II-I-TBILLTDCS'!Q644</f>
        <v>0</v>
      </c>
      <c r="R644" s="369">
        <f>'II-I-DIST'!R644+'II-I-MET'!R644+'II-I-TBILLTDCS'!R644</f>
        <v>0</v>
      </c>
      <c r="S644" s="369">
        <f>'II-I-DIST'!S644+'II-I-MET'!S644+'II-I-TBILLTDCS'!S644</f>
        <v>0</v>
      </c>
      <c r="T644" s="16"/>
      <c r="U644" s="98">
        <f t="shared" si="178"/>
        <v>0</v>
      </c>
      <c r="V644" s="64"/>
      <c r="X644" s="305">
        <f t="shared" si="177"/>
        <v>0</v>
      </c>
    </row>
    <row r="645" spans="1:24" s="321" customFormat="1" ht="15" x14ac:dyDescent="0.25">
      <c r="A645" s="539"/>
      <c r="B645" s="16">
        <f t="shared" si="176"/>
        <v>9</v>
      </c>
      <c r="C645" s="1" t="s">
        <v>154</v>
      </c>
      <c r="D645" s="1" t="s">
        <v>155</v>
      </c>
      <c r="E645" s="16"/>
      <c r="F645" s="229">
        <f>' WP II-I-1.4'!L645</f>
        <v>2100841472.6600001</v>
      </c>
      <c r="G645" s="16" t="s">
        <v>751</v>
      </c>
      <c r="H645" s="45" t="s">
        <v>303</v>
      </c>
      <c r="I645" s="16"/>
      <c r="J645" s="369">
        <f>'II-I-DIST'!J645+'II-I-MET'!J645+'II-I-TBILLTDCS'!J645</f>
        <v>921404987.56823277</v>
      </c>
      <c r="K645" s="369">
        <f>'II-I-DIST'!K645+'II-I-MET'!K645+'II-I-TBILLTDCS'!K645</f>
        <v>18574877.225939702</v>
      </c>
      <c r="L645" s="369">
        <f>'II-I-DIST'!L645+'II-I-MET'!L645+'II-I-TBILLTDCS'!L645</f>
        <v>641459520.33425462</v>
      </c>
      <c r="M645" s="369">
        <f>'II-I-DIST'!M645+'II-I-MET'!M645+'II-I-TBILLTDCS'!M645</f>
        <v>202929.38868169783</v>
      </c>
      <c r="N645" s="369">
        <f>'II-I-DIST'!N645+'II-I-MET'!N645+'II-I-TBILLTDCS'!N645</f>
        <v>199449419.61540604</v>
      </c>
      <c r="O645" s="369">
        <f>'II-I-DIST'!O645+'II-I-MET'!O645+'II-I-TBILLTDCS'!O645</f>
        <v>72408095.541425809</v>
      </c>
      <c r="P645" s="369">
        <f>'II-I-DIST'!P645+'II-I-MET'!P645+'II-I-TBILLTDCS'!P645</f>
        <v>247341642.9860594</v>
      </c>
      <c r="Q645" s="369">
        <f>'II-I-DIST'!Q645+'II-I-MET'!Q645+'II-I-TBILLTDCS'!Q645</f>
        <v>0</v>
      </c>
      <c r="R645" s="369">
        <f>'II-I-DIST'!R645+'II-I-MET'!R645+'II-I-TBILLTDCS'!R645</f>
        <v>0</v>
      </c>
      <c r="S645" s="369">
        <f>'II-I-DIST'!S645+'II-I-MET'!S645+'II-I-TBILLTDCS'!S645</f>
        <v>0</v>
      </c>
      <c r="T645" s="16"/>
      <c r="U645" s="23">
        <f t="shared" si="178"/>
        <v>2100841472.6599998</v>
      </c>
      <c r="V645" s="539"/>
      <c r="W645" s="772"/>
      <c r="X645" s="751">
        <f t="shared" si="177"/>
        <v>0</v>
      </c>
    </row>
    <row r="646" spans="1:24" x14ac:dyDescent="0.2">
      <c r="A646" s="45"/>
      <c r="B646" s="16">
        <f t="shared" si="176"/>
        <v>10</v>
      </c>
      <c r="C646" s="1" t="s">
        <v>156</v>
      </c>
      <c r="D646" s="29" t="s">
        <v>157</v>
      </c>
      <c r="E646" s="16"/>
      <c r="F646" s="97">
        <f>' WP II-I-1.4'!L646</f>
        <v>600396.68000000005</v>
      </c>
      <c r="G646" s="16" t="s">
        <v>751</v>
      </c>
      <c r="H646" s="45" t="s">
        <v>303</v>
      </c>
      <c r="I646" s="16"/>
      <c r="J646" s="369">
        <f>'II-I-DIST'!J646+'II-I-MET'!J646+'II-I-TBILLTDCS'!J646</f>
        <v>307863.30805082445</v>
      </c>
      <c r="K646" s="369">
        <f>'II-I-DIST'!K646+'II-I-MET'!K646+'II-I-TBILLTDCS'!K646</f>
        <v>5816.3590237274784</v>
      </c>
      <c r="L646" s="369">
        <f>'II-I-DIST'!L646+'II-I-MET'!L646+'II-I-TBILLTDCS'!L646</f>
        <v>197741.90283445307</v>
      </c>
      <c r="M646" s="369">
        <f>'II-I-DIST'!M646+'II-I-MET'!M646+'II-I-TBILLTDCS'!M646</f>
        <v>92.531488586649743</v>
      </c>
      <c r="N646" s="369">
        <f>'II-I-DIST'!N646+'II-I-MET'!N646+'II-I-TBILLTDCS'!N646</f>
        <v>58164.098128743819</v>
      </c>
      <c r="O646" s="369">
        <f>'II-I-DIST'!O646+'II-I-MET'!O646+'II-I-TBILLTDCS'!O646</f>
        <v>25000.074235837779</v>
      </c>
      <c r="P646" s="369">
        <f>'II-I-DIST'!P646+'II-I-MET'!P646+'II-I-TBILLTDCS'!P646</f>
        <v>0</v>
      </c>
      <c r="Q646" s="369">
        <f>'II-I-DIST'!Q646+'II-I-MET'!Q646+'II-I-TBILLTDCS'!Q646</f>
        <v>1758.5324130166307</v>
      </c>
      <c r="R646" s="369">
        <f>'II-I-DIST'!R646+'II-I-MET'!R646+'II-I-TBILLTDCS'!R646</f>
        <v>1728.102802645273</v>
      </c>
      <c r="S646" s="369">
        <f>'II-I-DIST'!S646+'II-I-MET'!S646+'II-I-TBILLTDCS'!S646</f>
        <v>2231.7710221648067</v>
      </c>
      <c r="T646" s="16"/>
      <c r="U646" s="98">
        <f t="shared" si="178"/>
        <v>600396.67999999993</v>
      </c>
      <c r="V646" s="64"/>
      <c r="X646" s="305">
        <f t="shared" si="177"/>
        <v>0</v>
      </c>
    </row>
    <row r="647" spans="1:24" x14ac:dyDescent="0.2">
      <c r="A647" s="45"/>
      <c r="B647" s="16">
        <f t="shared" si="176"/>
        <v>11</v>
      </c>
      <c r="C647" s="1" t="s">
        <v>158</v>
      </c>
      <c r="D647" s="1" t="s">
        <v>159</v>
      </c>
      <c r="E647" s="16"/>
      <c r="F647" s="97">
        <f>' WP II-I-1.4'!L647</f>
        <v>0</v>
      </c>
      <c r="G647" s="16" t="s">
        <v>751</v>
      </c>
      <c r="H647" s="45" t="s">
        <v>303</v>
      </c>
      <c r="I647" s="16"/>
      <c r="J647" s="370">
        <f>'II-I-DIST'!J647+'II-I-MET'!J647+'II-I-TBILLTDCS'!J647</f>
        <v>0</v>
      </c>
      <c r="K647" s="370">
        <f>'II-I-DIST'!K647+'II-I-MET'!K647+'II-I-TBILLTDCS'!K647</f>
        <v>0</v>
      </c>
      <c r="L647" s="370">
        <f>'II-I-DIST'!L647+'II-I-MET'!L647+'II-I-TBILLTDCS'!L647</f>
        <v>0</v>
      </c>
      <c r="M647" s="370">
        <f>'II-I-DIST'!M647+'II-I-MET'!M647+'II-I-TBILLTDCS'!M647</f>
        <v>0</v>
      </c>
      <c r="N647" s="370">
        <f>'II-I-DIST'!N647+'II-I-MET'!N647+'II-I-TBILLTDCS'!N647</f>
        <v>0</v>
      </c>
      <c r="O647" s="370">
        <f>'II-I-DIST'!O647+'II-I-MET'!O647+'II-I-TBILLTDCS'!O647</f>
        <v>0</v>
      </c>
      <c r="P647" s="370">
        <f>'II-I-DIST'!P647+'II-I-MET'!P647+'II-I-TBILLTDCS'!P647</f>
        <v>0</v>
      </c>
      <c r="Q647" s="370">
        <f>'II-I-DIST'!Q647+'II-I-MET'!Q647+'II-I-TBILLTDCS'!Q647</f>
        <v>0</v>
      </c>
      <c r="R647" s="370">
        <f>'II-I-DIST'!R647+'II-I-MET'!R647+'II-I-TBILLTDCS'!R647</f>
        <v>0</v>
      </c>
      <c r="S647" s="370">
        <f>'II-I-DIST'!S647+'II-I-MET'!S647+'II-I-TBILLTDCS'!S647</f>
        <v>0</v>
      </c>
      <c r="T647" s="16"/>
      <c r="U647" s="98">
        <f t="shared" si="178"/>
        <v>0</v>
      </c>
      <c r="V647" s="64"/>
      <c r="X647" s="305">
        <f t="shared" si="177"/>
        <v>0</v>
      </c>
    </row>
    <row r="648" spans="1:24" ht="15" x14ac:dyDescent="0.25">
      <c r="A648" s="45"/>
      <c r="B648" s="16">
        <f t="shared" si="176"/>
        <v>12</v>
      </c>
      <c r="C648" s="8"/>
      <c r="D648" s="233" t="s">
        <v>444</v>
      </c>
      <c r="E648" s="19"/>
      <c r="F648" s="21">
        <f>SUM(F640:F647)</f>
        <v>2101693692.0600002</v>
      </c>
      <c r="G648" s="19"/>
      <c r="H648" s="19"/>
      <c r="I648" s="19"/>
      <c r="J648" s="805">
        <f t="shared" ref="J648:Q648" si="179">SUM(J640:J647)</f>
        <v>921841977.13264728</v>
      </c>
      <c r="K648" s="805">
        <f t="shared" si="179"/>
        <v>18583133.124352373</v>
      </c>
      <c r="L648" s="805">
        <f t="shared" si="179"/>
        <v>641740200.57683754</v>
      </c>
      <c r="M648" s="805">
        <f t="shared" si="179"/>
        <v>203060.73039678598</v>
      </c>
      <c r="N648" s="805">
        <f t="shared" si="179"/>
        <v>199531979.32044774</v>
      </c>
      <c r="O648" s="805">
        <f>SUM(O640:O647)</f>
        <v>72443581.32769835</v>
      </c>
      <c r="P648" s="805">
        <f t="shared" si="179"/>
        <v>247341642.9860594</v>
      </c>
      <c r="Q648" s="805">
        <f t="shared" si="179"/>
        <v>2496.1088024363912</v>
      </c>
      <c r="R648" s="805">
        <f>SUM(R640:R647)</f>
        <v>2452.9161846942143</v>
      </c>
      <c r="S648" s="805">
        <f>SUM(S640:S647)</f>
        <v>3167.8365733912424</v>
      </c>
      <c r="T648" s="19"/>
      <c r="U648" s="235">
        <f t="shared" si="178"/>
        <v>2101693692.0599997</v>
      </c>
      <c r="V648" s="64"/>
      <c r="W648" s="1099" t="b">
        <f>' WP II-I-1.4'!$L$648=U648</f>
        <v>1</v>
      </c>
      <c r="X648" s="305">
        <f t="shared" si="177"/>
        <v>0</v>
      </c>
    </row>
    <row r="649" spans="1:24" ht="15" x14ac:dyDescent="0.25">
      <c r="A649" s="45"/>
      <c r="B649" s="16">
        <f t="shared" si="176"/>
        <v>13</v>
      </c>
      <c r="C649" s="8"/>
      <c r="D649" s="19"/>
      <c r="E649" s="19"/>
      <c r="F649" s="21"/>
      <c r="G649" s="19"/>
      <c r="H649" s="19"/>
      <c r="I649" s="19"/>
      <c r="J649" s="805"/>
      <c r="K649" s="805"/>
      <c r="L649" s="805"/>
      <c r="M649" s="805"/>
      <c r="N649" s="805"/>
      <c r="O649" s="805"/>
      <c r="P649" s="805"/>
      <c r="Q649" s="805"/>
      <c r="R649" s="805"/>
      <c r="S649" s="805"/>
      <c r="T649" s="19"/>
      <c r="U649" s="8"/>
      <c r="V649" s="64"/>
      <c r="X649" s="305">
        <f t="shared" si="177"/>
        <v>0</v>
      </c>
    </row>
    <row r="650" spans="1:24" ht="15" x14ac:dyDescent="0.25">
      <c r="A650" s="45"/>
      <c r="B650" s="16">
        <f t="shared" si="176"/>
        <v>14</v>
      </c>
      <c r="C650" s="8"/>
      <c r="D650" s="233" t="s">
        <v>577</v>
      </c>
      <c r="E650" s="19"/>
      <c r="F650" s="21">
        <f>F648-F645</f>
        <v>852219.40000009537</v>
      </c>
      <c r="G650" s="19"/>
      <c r="H650" s="19"/>
      <c r="I650" s="19"/>
      <c r="J650" s="805">
        <f t="shared" ref="J650:Q650" si="180">J648-J645</f>
        <v>436989.56441450119</v>
      </c>
      <c r="K650" s="805">
        <f t="shared" si="180"/>
        <v>8255.8984126709402</v>
      </c>
      <c r="L650" s="805">
        <f t="shared" si="180"/>
        <v>280680.24258291721</v>
      </c>
      <c r="M650" s="805">
        <f t="shared" si="180"/>
        <v>131.34171508814325</v>
      </c>
      <c r="N650" s="805">
        <f t="shared" si="180"/>
        <v>82559.705041706562</v>
      </c>
      <c r="O650" s="805">
        <f>O648-O645</f>
        <v>35485.786272540689</v>
      </c>
      <c r="P650" s="805">
        <f t="shared" si="180"/>
        <v>0</v>
      </c>
      <c r="Q650" s="805">
        <f t="shared" si="180"/>
        <v>2496.1088024363912</v>
      </c>
      <c r="R650" s="805">
        <f>R648-R645</f>
        <v>2452.9161846942143</v>
      </c>
      <c r="S650" s="805">
        <f>S648-S645</f>
        <v>3167.8365733912424</v>
      </c>
      <c r="T650" s="19"/>
      <c r="U650" s="235">
        <f>SUM(I650:T650)</f>
        <v>852219.39999994647</v>
      </c>
      <c r="V650" s="64"/>
      <c r="W650" s="1099">
        <f>' WP II-I-1.4'!$L$650-U650</f>
        <v>-7.0431269705295563E-8</v>
      </c>
      <c r="X650" s="305"/>
    </row>
    <row r="651" spans="1:24" ht="15" x14ac:dyDescent="0.25">
      <c r="A651" s="45"/>
      <c r="B651" s="16">
        <f t="shared" si="176"/>
        <v>15</v>
      </c>
      <c r="C651" s="8"/>
      <c r="D651" s="19"/>
      <c r="E651" s="19"/>
      <c r="F651" s="21"/>
      <c r="G651" s="19"/>
      <c r="H651" s="19"/>
      <c r="I651" s="19"/>
      <c r="J651" s="961"/>
      <c r="K651" s="961"/>
      <c r="L651" s="961"/>
      <c r="M651" s="961"/>
      <c r="N651" s="961"/>
      <c r="O651" s="961"/>
      <c r="P651" s="961"/>
      <c r="Q651" s="961"/>
      <c r="R651" s="961"/>
      <c r="S651" s="961"/>
      <c r="T651" s="19"/>
      <c r="U651" s="8"/>
      <c r="V651" s="64"/>
      <c r="X651" s="305">
        <f t="shared" si="177"/>
        <v>0</v>
      </c>
    </row>
    <row r="652" spans="1:24" ht="15" x14ac:dyDescent="0.25">
      <c r="A652" s="45"/>
      <c r="B652" s="16">
        <f t="shared" si="176"/>
        <v>16</v>
      </c>
      <c r="C652" s="8"/>
      <c r="D652" s="301" t="s">
        <v>578</v>
      </c>
      <c r="E652" s="19" t="s">
        <v>143</v>
      </c>
      <c r="F652" s="21"/>
      <c r="G652" s="19"/>
      <c r="H652" s="19"/>
      <c r="I652" s="19"/>
      <c r="J652" s="961"/>
      <c r="K652" s="961"/>
      <c r="L652" s="961"/>
      <c r="M652" s="961"/>
      <c r="N652" s="961"/>
      <c r="O652" s="961"/>
      <c r="P652" s="961"/>
      <c r="Q652" s="961"/>
      <c r="R652" s="961"/>
      <c r="S652" s="961"/>
      <c r="T652" s="912"/>
      <c r="U652" s="8"/>
      <c r="V652" s="64"/>
      <c r="X652" s="305">
        <f t="shared" si="177"/>
        <v>0</v>
      </c>
    </row>
    <row r="653" spans="1:24" x14ac:dyDescent="0.2">
      <c r="A653" s="45"/>
      <c r="B653" s="16">
        <f t="shared" si="176"/>
        <v>17</v>
      </c>
      <c r="C653" s="1" t="s">
        <v>161</v>
      </c>
      <c r="D653" s="1" t="s">
        <v>162</v>
      </c>
      <c r="E653" s="16"/>
      <c r="F653" s="97">
        <f>' WP II-I-1.4'!L653</f>
        <v>43504.86</v>
      </c>
      <c r="G653" s="16" t="s">
        <v>751</v>
      </c>
      <c r="H653" s="45" t="s">
        <v>303</v>
      </c>
      <c r="I653" s="16"/>
      <c r="J653" s="369">
        <f>'II-I-DIST'!J653+'II-I-MET'!J653+'II-I-TBILLTDCS'!J653</f>
        <v>22307.835073118644</v>
      </c>
      <c r="K653" s="369">
        <f>'II-I-DIST'!K653+'II-I-MET'!K653+'II-I-TBILLTDCS'!K653</f>
        <v>421.45450410718564</v>
      </c>
      <c r="L653" s="369">
        <f>'II-I-DIST'!L653+'II-I-MET'!L653+'II-I-TBILLTDCS'!L653</f>
        <v>14328.416671035695</v>
      </c>
      <c r="M653" s="369">
        <f>'II-I-DIST'!M653+'II-I-MET'!M653+'II-I-TBILLTDCS'!M653</f>
        <v>6.7048496280055971</v>
      </c>
      <c r="N653" s="369">
        <f>'II-I-DIST'!N653+'II-I-MET'!N653+'II-I-TBILLTDCS'!N653</f>
        <v>4214.5818429863102</v>
      </c>
      <c r="O653" s="369">
        <f>'II-I-DIST'!O653+'II-I-MET'!O653+'II-I-TBILLTDCS'!O653</f>
        <v>1811.5102329009042</v>
      </c>
      <c r="P653" s="369">
        <f>'II-I-DIST'!P653+'II-I-MET'!P653+'II-I-TBILLTDCS'!P653</f>
        <v>0</v>
      </c>
      <c r="Q653" s="369">
        <f>'II-I-DIST'!Q653+'II-I-MET'!Q653+'II-I-TBILLTDCS'!Q653</f>
        <v>127.42360006679367</v>
      </c>
      <c r="R653" s="369">
        <f>'II-I-DIST'!R653+'II-I-MET'!R653+'II-I-TBILLTDCS'!R653</f>
        <v>125.21866459136687</v>
      </c>
      <c r="S653" s="369">
        <f>'II-I-DIST'!S653+'II-I-MET'!S653+'II-I-TBILLTDCS'!S653</f>
        <v>161.71456156509194</v>
      </c>
      <c r="T653" s="16"/>
      <c r="U653" s="98">
        <f t="shared" ref="U653:U659" si="181">SUM(I653:T653)</f>
        <v>43504.860000000008</v>
      </c>
      <c r="V653" s="64"/>
      <c r="X653" s="305">
        <f t="shared" si="177"/>
        <v>0</v>
      </c>
    </row>
    <row r="654" spans="1:24" x14ac:dyDescent="0.2">
      <c r="A654" s="45"/>
      <c r="B654" s="16">
        <f t="shared" si="176"/>
        <v>18</v>
      </c>
      <c r="C654" s="1" t="s">
        <v>163</v>
      </c>
      <c r="D654" s="29" t="s">
        <v>164</v>
      </c>
      <c r="E654" s="16"/>
      <c r="F654" s="97">
        <f>' WP II-I-1.4'!L654</f>
        <v>142.1</v>
      </c>
      <c r="G654" s="16" t="s">
        <v>751</v>
      </c>
      <c r="H654" s="45" t="s">
        <v>303</v>
      </c>
      <c r="I654" s="16"/>
      <c r="J654" s="369">
        <f>'II-I-DIST'!J654+'II-I-MET'!J654+'II-I-TBILLTDCS'!J654</f>
        <v>72.864120557798799</v>
      </c>
      <c r="K654" s="369">
        <f>'II-I-DIST'!K654+'II-I-MET'!K654+'II-I-TBILLTDCS'!K654</f>
        <v>1.3765975809054685</v>
      </c>
      <c r="L654" s="369">
        <f>'II-I-DIST'!L654+'II-I-MET'!L654+'II-I-TBILLTDCS'!L654</f>
        <v>46.800932331564155</v>
      </c>
      <c r="M654" s="369">
        <f>'II-I-DIST'!M654+'II-I-MET'!M654+'II-I-TBILLTDCS'!M654</f>
        <v>2.1900062019268543E-2</v>
      </c>
      <c r="N654" s="369">
        <f>'II-I-DIST'!N654+'II-I-MET'!N654+'II-I-TBILLTDCS'!N654</f>
        <v>13.766096015211971</v>
      </c>
      <c r="O654" s="369">
        <f>'II-I-DIST'!O654+'II-I-MET'!O654+'II-I-TBILLTDCS'!O654</f>
        <v>5.916939029230722</v>
      </c>
      <c r="P654" s="369">
        <f>'II-I-DIST'!P654+'II-I-MET'!P654+'II-I-TBILLTDCS'!P654</f>
        <v>0</v>
      </c>
      <c r="Q654" s="369">
        <f>'II-I-DIST'!Q654+'II-I-MET'!Q654+'II-I-TBILLTDCS'!Q654</f>
        <v>0.41620392685992735</v>
      </c>
      <c r="R654" s="369">
        <f>'II-I-DIST'!R654+'II-I-MET'!R654+'II-I-TBILLTDCS'!R654</f>
        <v>0.4090019422757189</v>
      </c>
      <c r="S654" s="369">
        <f>'II-I-DIST'!S654+'II-I-MET'!S654+'II-I-TBILLTDCS'!S654</f>
        <v>0.52820855413394197</v>
      </c>
      <c r="T654" s="16"/>
      <c r="U654" s="98">
        <f t="shared" si="181"/>
        <v>142.1</v>
      </c>
      <c r="V654" s="64"/>
      <c r="X654" s="305">
        <f t="shared" si="177"/>
        <v>0</v>
      </c>
    </row>
    <row r="655" spans="1:24" x14ac:dyDescent="0.2">
      <c r="A655" s="45"/>
      <c r="B655" s="16">
        <f t="shared" si="176"/>
        <v>19</v>
      </c>
      <c r="C655" s="1" t="s">
        <v>165</v>
      </c>
      <c r="D655" s="1" t="s">
        <v>166</v>
      </c>
      <c r="E655" s="16"/>
      <c r="F655" s="97">
        <f>' WP II-I-1.4'!L655</f>
        <v>150005.04999999999</v>
      </c>
      <c r="G655" s="16" t="s">
        <v>751</v>
      </c>
      <c r="H655" s="45" t="s">
        <v>303</v>
      </c>
      <c r="I655" s="16"/>
      <c r="J655" s="369">
        <f>'II-I-DIST'!J655+'II-I-MET'!J655+'II-I-TBILLTDCS'!J655</f>
        <v>76917.565429124821</v>
      </c>
      <c r="K655" s="369">
        <f>'II-I-DIST'!K655+'II-I-MET'!K655+'II-I-TBILLTDCS'!K655</f>
        <v>1453.1779658944674</v>
      </c>
      <c r="L655" s="369">
        <f>'II-I-DIST'!L655+'II-I-MET'!L655+'II-I-TBILLTDCS'!L655</f>
        <v>49404.477089675558</v>
      </c>
      <c r="M655" s="369">
        <f>'II-I-DIST'!M655+'II-I-MET'!M655+'II-I-TBILLTDCS'!M655</f>
        <v>23.118366630566353</v>
      </c>
      <c r="N655" s="369">
        <f>'II-I-DIST'!N655+'II-I-MET'!N655+'II-I-TBILLTDCS'!N655</f>
        <v>14531.906552193332</v>
      </c>
      <c r="O655" s="369">
        <f>'II-I-DIST'!O655+'II-I-MET'!O655+'II-I-TBILLTDCS'!O655</f>
        <v>6246.0994716868818</v>
      </c>
      <c r="P655" s="369">
        <f>'II-I-DIST'!P655+'II-I-MET'!P655+'II-I-TBILLTDCS'!P655</f>
        <v>0</v>
      </c>
      <c r="Q655" s="369">
        <f>'II-I-DIST'!Q655+'II-I-MET'!Q655+'II-I-TBILLTDCS'!Q655</f>
        <v>439.35743039282016</v>
      </c>
      <c r="R655" s="369">
        <f>'II-I-DIST'!R655+'II-I-MET'!R655+'II-I-TBILLTDCS'!R655</f>
        <v>431.75479803776443</v>
      </c>
      <c r="S655" s="369">
        <f>'II-I-DIST'!S655+'II-I-MET'!S655+'II-I-TBILLTDCS'!S655</f>
        <v>557.59289636375559</v>
      </c>
      <c r="T655" s="16"/>
      <c r="U655" s="98">
        <f t="shared" si="181"/>
        <v>150005.04999999996</v>
      </c>
      <c r="V655" s="64"/>
      <c r="X655" s="305">
        <f t="shared" si="177"/>
        <v>0</v>
      </c>
    </row>
    <row r="656" spans="1:24" x14ac:dyDescent="0.2">
      <c r="A656" s="45"/>
      <c r="B656" s="16">
        <f t="shared" si="176"/>
        <v>20</v>
      </c>
      <c r="C656" s="1" t="s">
        <v>167</v>
      </c>
      <c r="D656" s="1" t="s">
        <v>168</v>
      </c>
      <c r="E656" s="16"/>
      <c r="F656" s="97">
        <f>' WP II-I-1.4'!L656</f>
        <v>12682.44</v>
      </c>
      <c r="G656" s="16" t="s">
        <v>751</v>
      </c>
      <c r="H656" s="45" t="s">
        <v>303</v>
      </c>
      <c r="I656" s="16"/>
      <c r="J656" s="369">
        <f>'II-I-DIST'!J656+'II-I-MET'!J656+'II-I-TBILLTDCS'!J656</f>
        <v>6503.1304512811394</v>
      </c>
      <c r="K656" s="369">
        <f>'II-I-DIST'!K656+'II-I-MET'!K656+'II-I-TBILLTDCS'!K656</f>
        <v>122.86147940871746</v>
      </c>
      <c r="L656" s="369">
        <f>'II-I-DIST'!L656+'II-I-MET'!L656+'II-I-TBILLTDCS'!L656</f>
        <v>4176.988150873487</v>
      </c>
      <c r="M656" s="369">
        <f>'II-I-DIST'!M656+'II-I-MET'!M656+'II-I-TBILLTDCS'!M656</f>
        <v>1.9545828469785516</v>
      </c>
      <c r="N656" s="369">
        <f>'II-I-DIST'!N656+'II-I-MET'!N656+'II-I-TBILLTDCS'!N656</f>
        <v>1228.6255224994013</v>
      </c>
      <c r="O656" s="369">
        <f>'II-I-DIST'!O656+'II-I-MET'!O656+'II-I-TBILLTDCS'!O656</f>
        <v>528.08743294776127</v>
      </c>
      <c r="P656" s="369">
        <f>'II-I-DIST'!P656+'II-I-MET'!P656+'II-I-TBILLTDCS'!P656</f>
        <v>0</v>
      </c>
      <c r="Q656" s="369">
        <f>'II-I-DIST'!Q656+'II-I-MET'!Q656+'II-I-TBILLTDCS'!Q656</f>
        <v>37.146244406512437</v>
      </c>
      <c r="R656" s="369">
        <f>'II-I-DIST'!R656+'II-I-MET'!R656+'II-I-TBILLTDCS'!R656</f>
        <v>36.50346652213419</v>
      </c>
      <c r="S656" s="369">
        <f>'II-I-DIST'!S656+'II-I-MET'!S656+'II-I-TBILLTDCS'!S656</f>
        <v>47.142669213866789</v>
      </c>
      <c r="T656" s="16"/>
      <c r="U656" s="98">
        <f t="shared" si="181"/>
        <v>12682.439999999997</v>
      </c>
      <c r="V656" s="64"/>
      <c r="X656" s="305">
        <f t="shared" si="177"/>
        <v>0</v>
      </c>
    </row>
    <row r="657" spans="1:24" x14ac:dyDescent="0.2">
      <c r="A657" s="45"/>
      <c r="B657" s="16">
        <f t="shared" si="176"/>
        <v>21</v>
      </c>
      <c r="C657" s="1" t="s">
        <v>169</v>
      </c>
      <c r="D657" s="29" t="s">
        <v>170</v>
      </c>
      <c r="E657" s="16"/>
      <c r="F657" s="97">
        <f>' WP II-I-1.4'!L657</f>
        <v>0</v>
      </c>
      <c r="G657" s="16" t="s">
        <v>751</v>
      </c>
      <c r="H657" s="45" t="s">
        <v>303</v>
      </c>
      <c r="I657" s="16"/>
      <c r="J657" s="369">
        <f>'II-I-DIST'!J657+'II-I-MET'!J657+'II-I-TBILLTDCS'!J657</f>
        <v>0</v>
      </c>
      <c r="K657" s="369">
        <f>'II-I-DIST'!K657+'II-I-MET'!K657+'II-I-TBILLTDCS'!K657</f>
        <v>0</v>
      </c>
      <c r="L657" s="369">
        <f>'II-I-DIST'!L657+'II-I-MET'!L657+'II-I-TBILLTDCS'!L657</f>
        <v>0</v>
      </c>
      <c r="M657" s="369">
        <f>'II-I-DIST'!M657+'II-I-MET'!M657+'II-I-TBILLTDCS'!M657</f>
        <v>0</v>
      </c>
      <c r="N657" s="369">
        <f>'II-I-DIST'!N657+'II-I-MET'!N657+'II-I-TBILLTDCS'!N657</f>
        <v>0</v>
      </c>
      <c r="O657" s="369">
        <f>'II-I-DIST'!O657+'II-I-MET'!O657+'II-I-TBILLTDCS'!O657</f>
        <v>0</v>
      </c>
      <c r="P657" s="369">
        <f>'II-I-DIST'!P657+'II-I-MET'!P657+'II-I-TBILLTDCS'!P657</f>
        <v>0</v>
      </c>
      <c r="Q657" s="369">
        <f>'II-I-DIST'!Q657+'II-I-MET'!Q657+'II-I-TBILLTDCS'!Q657</f>
        <v>0</v>
      </c>
      <c r="R657" s="369">
        <f>'II-I-DIST'!R657+'II-I-MET'!R657+'II-I-TBILLTDCS'!R657</f>
        <v>0</v>
      </c>
      <c r="S657" s="369">
        <f>'II-I-DIST'!S657+'II-I-MET'!S657+'II-I-TBILLTDCS'!S657</f>
        <v>0</v>
      </c>
      <c r="T657" s="16"/>
      <c r="U657" s="98">
        <f t="shared" si="181"/>
        <v>0</v>
      </c>
      <c r="V657" s="64"/>
      <c r="X657" s="305">
        <f t="shared" si="177"/>
        <v>0</v>
      </c>
    </row>
    <row r="658" spans="1:24" x14ac:dyDescent="0.2">
      <c r="A658" s="45"/>
      <c r="B658" s="16">
        <f t="shared" si="176"/>
        <v>22</v>
      </c>
      <c r="C658" s="1" t="s">
        <v>171</v>
      </c>
      <c r="D658" s="29" t="s">
        <v>172</v>
      </c>
      <c r="E658" s="16"/>
      <c r="F658" s="97">
        <f>' WP II-I-1.4'!L658</f>
        <v>89251.47</v>
      </c>
      <c r="G658" s="16" t="s">
        <v>751</v>
      </c>
      <c r="H658" s="45" t="s">
        <v>303</v>
      </c>
      <c r="I658" s="16"/>
      <c r="J658" s="370">
        <f>'II-I-DIST'!J658+'II-I-MET'!J658+'II-I-TBILLTDCS'!J658</f>
        <v>45765.164461933593</v>
      </c>
      <c r="K658" s="370">
        <f>'II-I-DIST'!K658+'II-I-MET'!K658+'II-I-TBILLTDCS'!K658</f>
        <v>864.62602177520751</v>
      </c>
      <c r="L658" s="370">
        <f>'II-I-DIST'!L658+'II-I-MET'!L658+'II-I-TBILLTDCS'!L658</f>
        <v>29395.158395233135</v>
      </c>
      <c r="M658" s="370">
        <f>'II-I-DIST'!M658+'II-I-MET'!M658+'II-I-TBILLTDCS'!M658</f>
        <v>13.755191613728964</v>
      </c>
      <c r="N658" s="370">
        <f>'II-I-DIST'!N658+'II-I-MET'!N658+'II-I-TBILLTDCS'!N658</f>
        <v>8646.3357179367395</v>
      </c>
      <c r="O658" s="370">
        <f>'II-I-DIST'!O658+'II-I-MET'!O658+'II-I-TBILLTDCS'!O658</f>
        <v>3716.365279797431</v>
      </c>
      <c r="P658" s="370">
        <f>'II-I-DIST'!P658+'II-I-MET'!P658+'II-I-TBILLTDCS'!P658</f>
        <v>0</v>
      </c>
      <c r="Q658" s="370">
        <f>'II-I-DIST'!Q658+'II-I-MET'!Q658+'II-I-TBILLTDCS'!Q658</f>
        <v>261.41317587629135</v>
      </c>
      <c r="R658" s="370">
        <f>'II-I-DIST'!R658+'II-I-MET'!R658+'II-I-TBILLTDCS'!R658</f>
        <v>256.88968741001446</v>
      </c>
      <c r="S658" s="370">
        <f>'II-I-DIST'!S658+'II-I-MET'!S658+'II-I-TBILLTDCS'!S658</f>
        <v>331.76206842384869</v>
      </c>
      <c r="T658" s="16"/>
      <c r="U658" s="98">
        <f t="shared" si="181"/>
        <v>89251.470000000016</v>
      </c>
      <c r="V658" s="64"/>
      <c r="X658" s="305">
        <f t="shared" si="177"/>
        <v>0</v>
      </c>
    </row>
    <row r="659" spans="1:24" ht="15" x14ac:dyDescent="0.25">
      <c r="A659" s="45"/>
      <c r="B659" s="16">
        <f t="shared" si="176"/>
        <v>23</v>
      </c>
      <c r="C659" s="8"/>
      <c r="D659" s="233" t="s">
        <v>444</v>
      </c>
      <c r="E659" s="19"/>
      <c r="F659" s="21">
        <f>SUM(F653:F658)</f>
        <v>295585.91999999998</v>
      </c>
      <c r="G659" s="19"/>
      <c r="H659" s="19"/>
      <c r="I659" s="19"/>
      <c r="J659" s="805">
        <f t="shared" ref="J659:Q659" si="182">SUM(J653:J658)</f>
        <v>151566.55953601599</v>
      </c>
      <c r="K659" s="805">
        <f t="shared" si="182"/>
        <v>2863.4965687664835</v>
      </c>
      <c r="L659" s="805">
        <f t="shared" si="182"/>
        <v>97351.841239149449</v>
      </c>
      <c r="M659" s="805">
        <f t="shared" si="182"/>
        <v>45.554890781298738</v>
      </c>
      <c r="N659" s="805">
        <f t="shared" si="182"/>
        <v>28635.215731630997</v>
      </c>
      <c r="O659" s="805">
        <f>SUM(O653:O658)</f>
        <v>12307.979356362208</v>
      </c>
      <c r="P659" s="805">
        <f t="shared" si="182"/>
        <v>0</v>
      </c>
      <c r="Q659" s="805">
        <f t="shared" si="182"/>
        <v>865.75665466927751</v>
      </c>
      <c r="R659" s="805">
        <f>SUM(R653:R658)</f>
        <v>850.77561850355573</v>
      </c>
      <c r="S659" s="805">
        <f>SUM(S653:S658)</f>
        <v>1098.7404041206969</v>
      </c>
      <c r="T659" s="912"/>
      <c r="U659" s="190">
        <f t="shared" si="181"/>
        <v>295585.91999999998</v>
      </c>
      <c r="V659" s="64"/>
      <c r="X659" s="305">
        <f t="shared" si="177"/>
        <v>0</v>
      </c>
    </row>
    <row r="660" spans="1:24" ht="15.75" thickBot="1" x14ac:dyDescent="0.3">
      <c r="A660" s="45"/>
      <c r="B660" s="16">
        <f t="shared" si="176"/>
        <v>24</v>
      </c>
      <c r="C660" s="8"/>
      <c r="D660" s="233"/>
      <c r="E660" s="19"/>
      <c r="F660" s="21"/>
      <c r="G660" s="19"/>
      <c r="H660" s="19"/>
      <c r="I660" s="19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19"/>
      <c r="U660" s="8"/>
      <c r="V660" s="64"/>
      <c r="X660" s="305">
        <f t="shared" si="177"/>
        <v>0</v>
      </c>
    </row>
    <row r="661" spans="1:24" ht="15.75" thickBot="1" x14ac:dyDescent="0.3">
      <c r="A661" s="45"/>
      <c r="B661" s="16">
        <f t="shared" si="176"/>
        <v>25</v>
      </c>
      <c r="C661" s="779" t="s">
        <v>579</v>
      </c>
      <c r="D661" s="920"/>
      <c r="E661" s="916"/>
      <c r="F661" s="917">
        <f>+F659+F648</f>
        <v>2101989277.9800003</v>
      </c>
      <c r="G661" s="916"/>
      <c r="H661" s="916"/>
      <c r="I661" s="919"/>
      <c r="J661" s="917">
        <f t="shared" ref="J661:Q661" si="183">+J659+J648</f>
        <v>921993543.69218326</v>
      </c>
      <c r="K661" s="917">
        <f t="shared" si="183"/>
        <v>18585996.620921139</v>
      </c>
      <c r="L661" s="917">
        <f t="shared" si="183"/>
        <v>641837552.41807663</v>
      </c>
      <c r="M661" s="917">
        <f t="shared" si="183"/>
        <v>203106.28528756727</v>
      </c>
      <c r="N661" s="917">
        <f t="shared" si="183"/>
        <v>199560614.53617936</v>
      </c>
      <c r="O661" s="917">
        <f>+O659+O648</f>
        <v>72455889.307054713</v>
      </c>
      <c r="P661" s="917">
        <f t="shared" si="183"/>
        <v>247341642.9860594</v>
      </c>
      <c r="Q661" s="917">
        <f t="shared" si="183"/>
        <v>3361.8654571056686</v>
      </c>
      <c r="R661" s="917">
        <f>+R659+R648</f>
        <v>3303.6918031977702</v>
      </c>
      <c r="S661" s="917">
        <f>+S659+S648</f>
        <v>4266.5769775119388</v>
      </c>
      <c r="T661" s="919"/>
      <c r="U661" s="918">
        <f>SUM(I661:T661)</f>
        <v>2101989277.98</v>
      </c>
      <c r="V661" s="64"/>
      <c r="W661" s="1099" t="b">
        <f>' WP II-I-1.4'!$L$661=U661</f>
        <v>1</v>
      </c>
      <c r="X661" s="305">
        <f t="shared" si="177"/>
        <v>0</v>
      </c>
    </row>
    <row r="662" spans="1:24" ht="15.75" thickBot="1" x14ac:dyDescent="0.3">
      <c r="A662" s="45"/>
      <c r="B662" s="16">
        <f t="shared" si="176"/>
        <v>26</v>
      </c>
      <c r="C662" s="8"/>
      <c r="D662" s="8"/>
      <c r="E662" s="19"/>
      <c r="F662" s="21"/>
      <c r="G662" s="19"/>
      <c r="H662" s="19"/>
      <c r="I662" s="19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19"/>
      <c r="U662" s="8"/>
      <c r="V662" s="64"/>
      <c r="X662" s="305">
        <f t="shared" si="177"/>
        <v>0</v>
      </c>
    </row>
    <row r="663" spans="1:24" ht="15.75" thickBot="1" x14ac:dyDescent="0.3">
      <c r="A663" s="45"/>
      <c r="B663" s="16">
        <f t="shared" si="176"/>
        <v>27</v>
      </c>
      <c r="C663" s="779" t="s">
        <v>580</v>
      </c>
      <c r="D663" s="920"/>
      <c r="E663" s="916"/>
      <c r="F663" s="917">
        <f>F661-F645</f>
        <v>1147805.3200001717</v>
      </c>
      <c r="G663" s="916"/>
      <c r="H663" s="916"/>
      <c r="I663" s="919"/>
      <c r="J663" s="917">
        <f t="shared" ref="J663:Q663" si="184">J661-J645</f>
        <v>588556.12395048141</v>
      </c>
      <c r="K663" s="917">
        <f t="shared" si="184"/>
        <v>11119.394981436431</v>
      </c>
      <c r="L663" s="917">
        <f t="shared" si="184"/>
        <v>378032.08382201195</v>
      </c>
      <c r="M663" s="917">
        <f t="shared" si="184"/>
        <v>176.89660586943501</v>
      </c>
      <c r="N663" s="917">
        <f t="shared" si="184"/>
        <v>111194.92077332735</v>
      </c>
      <c r="O663" s="917">
        <f>O661-O645</f>
        <v>47793.765628904104</v>
      </c>
      <c r="P663" s="917">
        <f>P661-P645</f>
        <v>0</v>
      </c>
      <c r="Q663" s="917">
        <f t="shared" si="184"/>
        <v>3361.8654571056686</v>
      </c>
      <c r="R663" s="917">
        <f>R661-R645</f>
        <v>3303.6918031977702</v>
      </c>
      <c r="S663" s="917">
        <f>S661-S645</f>
        <v>4266.5769775119388</v>
      </c>
      <c r="T663" s="919"/>
      <c r="U663" s="918">
        <f>SUM(I663:T663)</f>
        <v>1147805.3199998459</v>
      </c>
      <c r="V663" s="64"/>
      <c r="W663" s="1099">
        <f>' WP II-I-1.4'!$L$663-U663</f>
        <v>1.0640360414981842E-7</v>
      </c>
      <c r="X663" s="305"/>
    </row>
    <row r="664" spans="1:24" ht="15" x14ac:dyDescent="0.25">
      <c r="A664" s="45"/>
      <c r="B664" s="16"/>
      <c r="C664" s="8"/>
      <c r="D664" s="8"/>
      <c r="E664" s="19"/>
      <c r="F664" s="21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8"/>
      <c r="V664" s="64"/>
      <c r="X664" s="305">
        <f t="shared" si="177"/>
        <v>0</v>
      </c>
    </row>
    <row r="665" spans="1:24" ht="15" x14ac:dyDescent="0.25">
      <c r="A665" s="45"/>
      <c r="B665" s="16"/>
      <c r="C665" s="8"/>
      <c r="D665" s="8"/>
      <c r="E665" s="19"/>
      <c r="F665" s="21"/>
      <c r="G665" s="19"/>
      <c r="H665" s="105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05"/>
      <c r="V665" s="105"/>
      <c r="X665" s="305"/>
    </row>
    <row r="666" spans="1:24" ht="15.75" thickBot="1" x14ac:dyDescent="0.3">
      <c r="A666" s="45"/>
      <c r="B666" s="16"/>
      <c r="C666" s="8"/>
      <c r="D666" s="8"/>
      <c r="E666" s="19"/>
      <c r="F666" s="21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8"/>
      <c r="V666" s="64"/>
      <c r="X666" s="305">
        <f t="shared" si="177"/>
        <v>0</v>
      </c>
    </row>
    <row r="667" spans="1:24" ht="15" x14ac:dyDescent="0.25">
      <c r="A667" s="45"/>
      <c r="B667" s="829" t="str">
        <f>+$B$4</f>
        <v>2025 RATE CASE</v>
      </c>
      <c r="C667" s="844"/>
      <c r="D667" s="872"/>
      <c r="F667" s="267"/>
      <c r="U667" s="105"/>
      <c r="X667" s="305">
        <f t="shared" si="177"/>
        <v>0</v>
      </c>
    </row>
    <row r="668" spans="1:24" ht="15" x14ac:dyDescent="0.25">
      <c r="A668" s="45"/>
      <c r="B668" s="826" t="str">
        <f>+$B$5</f>
        <v>ONCOR ELECTRIC DELIVERY COMPANY LLC</v>
      </c>
      <c r="C668" s="8"/>
      <c r="D668" s="873"/>
      <c r="F668" s="267"/>
      <c r="U668" s="105"/>
      <c r="V668" s="64"/>
      <c r="X668" s="305">
        <f t="shared" si="177"/>
        <v>0</v>
      </c>
    </row>
    <row r="669" spans="1:24" ht="15" x14ac:dyDescent="0.25">
      <c r="A669" s="45"/>
      <c r="B669" s="826" t="str">
        <f>+$B$6</f>
        <v>II-I-1-TOT:  CLASS REVENUE REQUIREMENT</v>
      </c>
      <c r="C669" s="82"/>
      <c r="D669" s="873"/>
      <c r="F669" s="267"/>
      <c r="U669" s="267"/>
      <c r="V669" s="64"/>
      <c r="X669" s="305">
        <f t="shared" si="177"/>
        <v>0</v>
      </c>
    </row>
    <row r="670" spans="1:24" ht="15" x14ac:dyDescent="0.25">
      <c r="A670" s="45"/>
      <c r="B670" s="341" t="str">
        <f>+$B$7</f>
        <v>TEST YEAR ENDING 12/31/2024</v>
      </c>
      <c r="C670" s="82"/>
      <c r="D670" s="873"/>
      <c r="F670" s="267"/>
      <c r="U670" s="267"/>
      <c r="V670" s="64"/>
      <c r="X670" s="305">
        <f t="shared" si="177"/>
        <v>0</v>
      </c>
    </row>
    <row r="671" spans="1:24" ht="15" x14ac:dyDescent="0.25">
      <c r="A671" s="45"/>
      <c r="B671" s="341" t="str">
        <f>+$B$8</f>
        <v>SPONSOR:  MATTHEW A. TROXLE</v>
      </c>
      <c r="C671" s="82"/>
      <c r="D671" s="873"/>
      <c r="F671" s="267"/>
      <c r="U671" s="267"/>
      <c r="V671" s="64"/>
      <c r="X671" s="305">
        <f t="shared" si="177"/>
        <v>0</v>
      </c>
    </row>
    <row r="672" spans="1:24" ht="15.75" thickBot="1" x14ac:dyDescent="0.3">
      <c r="A672" s="45"/>
      <c r="B672" s="345"/>
      <c r="C672" s="843"/>
      <c r="D672" s="845"/>
      <c r="F672" s="267"/>
      <c r="U672" s="267"/>
      <c r="V672" s="64"/>
      <c r="X672" s="305">
        <f t="shared" si="177"/>
        <v>0</v>
      </c>
    </row>
    <row r="673" spans="1:24" ht="15" thickBot="1" x14ac:dyDescent="0.25">
      <c r="A673" s="45"/>
      <c r="B673" s="12"/>
      <c r="C673" s="13"/>
      <c r="D673" s="13"/>
      <c r="E673" s="13"/>
      <c r="F673" s="12"/>
      <c r="G673" s="13"/>
      <c r="H673" s="13"/>
      <c r="I673" s="13"/>
      <c r="J673" s="177"/>
      <c r="K673" s="177"/>
      <c r="L673" s="13"/>
      <c r="M673" s="177"/>
      <c r="N673" s="177"/>
      <c r="O673" s="177"/>
      <c r="P673" s="177"/>
      <c r="Q673" s="13"/>
      <c r="R673" s="328" t="str">
        <f>R$10</f>
        <v xml:space="preserve"> </v>
      </c>
      <c r="S673" s="329"/>
      <c r="T673" s="177"/>
      <c r="U673" s="12"/>
      <c r="V673" s="64"/>
      <c r="X673" s="305">
        <f t="shared" si="177"/>
        <v>0</v>
      </c>
    </row>
    <row r="674" spans="1:24" ht="15" x14ac:dyDescent="0.25">
      <c r="A674" s="45"/>
      <c r="B674" s="14" t="s">
        <v>2</v>
      </c>
      <c r="C674" s="14" t="s">
        <v>349</v>
      </c>
      <c r="D674" s="226" t="s">
        <v>581</v>
      </c>
      <c r="E674" s="14" t="s">
        <v>350</v>
      </c>
      <c r="F674" s="226" t="str">
        <f>F$11</f>
        <v>TOTAL</v>
      </c>
      <c r="G674" s="181" t="s">
        <v>688</v>
      </c>
      <c r="H674" s="181" t="s">
        <v>355</v>
      </c>
      <c r="I674" s="14"/>
      <c r="J674" s="181" t="s">
        <v>679</v>
      </c>
      <c r="K674" s="181" t="s">
        <v>388</v>
      </c>
      <c r="L674" s="14" t="s">
        <v>388</v>
      </c>
      <c r="M674" s="181" t="s">
        <v>389</v>
      </c>
      <c r="N674" s="181" t="s">
        <v>389</v>
      </c>
      <c r="O674" s="181" t="s">
        <v>389</v>
      </c>
      <c r="P674" s="181" t="s">
        <v>390</v>
      </c>
      <c r="Q674" s="14" t="s">
        <v>391</v>
      </c>
      <c r="R674" s="331" t="str">
        <f>R$11</f>
        <v>Wholesale</v>
      </c>
      <c r="S674" s="12" t="str">
        <f>S$11</f>
        <v>Wholesale</v>
      </c>
      <c r="T674" s="181"/>
      <c r="U674" s="14" t="s">
        <v>10</v>
      </c>
      <c r="V674" s="64"/>
      <c r="X674" s="305"/>
    </row>
    <row r="675" spans="1:24" x14ac:dyDescent="0.2">
      <c r="A675" s="45"/>
      <c r="B675" s="14"/>
      <c r="C675" s="14"/>
      <c r="D675" s="14"/>
      <c r="E675" s="14"/>
      <c r="F675" s="14" t="str">
        <f>F$12</f>
        <v>(Dist+Met+Cust)</v>
      </c>
      <c r="G675" s="181" t="s">
        <v>689</v>
      </c>
      <c r="H675" s="181" t="s">
        <v>690</v>
      </c>
      <c r="I675" s="14"/>
      <c r="J675" s="181"/>
      <c r="K675" s="181" t="s">
        <v>680</v>
      </c>
      <c r="L675" s="14" t="s">
        <v>681</v>
      </c>
      <c r="M675" s="181" t="s">
        <v>680</v>
      </c>
      <c r="N675" s="181" t="s">
        <v>681</v>
      </c>
      <c r="O675" s="181" t="s">
        <v>393</v>
      </c>
      <c r="P675" s="181"/>
      <c r="Q675" s="14"/>
      <c r="R675" s="174" t="str">
        <f>R$12</f>
        <v>XFMR</v>
      </c>
      <c r="S675" s="14" t="str">
        <f>S$12</f>
        <v>DLS</v>
      </c>
      <c r="T675" s="181"/>
      <c r="U675" s="14"/>
      <c r="V675" s="64"/>
      <c r="X675" s="305"/>
    </row>
    <row r="676" spans="1:24" ht="15" thickBot="1" x14ac:dyDescent="0.25">
      <c r="A676" s="45"/>
      <c r="B676" s="15"/>
      <c r="C676" s="15"/>
      <c r="D676" s="15"/>
      <c r="E676" s="15"/>
      <c r="F676" s="15" t="s">
        <v>13</v>
      </c>
      <c r="G676" s="15" t="s">
        <v>14</v>
      </c>
      <c r="H676" s="15" t="s">
        <v>15</v>
      </c>
      <c r="I676" s="15"/>
      <c r="J676" s="182" t="str">
        <f t="shared" ref="J676:Q676" si="185">J$13</f>
        <v>(d)</v>
      </c>
      <c r="K676" s="182" t="str">
        <f t="shared" si="185"/>
        <v>(e)</v>
      </c>
      <c r="L676" s="15" t="str">
        <f t="shared" si="185"/>
        <v>(f)</v>
      </c>
      <c r="M676" s="182" t="str">
        <f t="shared" si="185"/>
        <v>(g)</v>
      </c>
      <c r="N676" s="182" t="str">
        <f t="shared" si="185"/>
        <v>(h)</v>
      </c>
      <c r="O676" s="182" t="str">
        <f>O$13</f>
        <v>(i)</v>
      </c>
      <c r="P676" s="182" t="str">
        <f t="shared" si="185"/>
        <v>(j)</v>
      </c>
      <c r="Q676" s="182" t="str">
        <f t="shared" si="185"/>
        <v>(k)</v>
      </c>
      <c r="R676" s="182" t="str">
        <f>R$13</f>
        <v>(l)</v>
      </c>
      <c r="S676" s="15" t="str">
        <f>S$13</f>
        <v>(m)</v>
      </c>
      <c r="T676" s="15"/>
      <c r="U676" s="15" t="s">
        <v>683</v>
      </c>
      <c r="V676" s="64"/>
      <c r="X676" s="305"/>
    </row>
    <row r="677" spans="1:24" x14ac:dyDescent="0.2">
      <c r="A677" s="45"/>
      <c r="B677" s="45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41"/>
      <c r="V677" s="64"/>
      <c r="X677" s="305">
        <f t="shared" si="177"/>
        <v>0</v>
      </c>
    </row>
    <row r="678" spans="1:24" ht="15" x14ac:dyDescent="0.25">
      <c r="A678" s="45"/>
      <c r="B678" s="16">
        <f t="shared" ref="B678:B709" si="186">B677+1</f>
        <v>1</v>
      </c>
      <c r="C678" s="8" t="s">
        <v>581</v>
      </c>
      <c r="D678" s="8"/>
      <c r="E678" s="19"/>
      <c r="F678" s="8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8"/>
      <c r="V678" s="64"/>
      <c r="X678" s="305">
        <f t="shared" si="177"/>
        <v>0</v>
      </c>
    </row>
    <row r="679" spans="1:24" ht="15" x14ac:dyDescent="0.25">
      <c r="A679" s="45"/>
      <c r="B679" s="16">
        <f t="shared" si="186"/>
        <v>2</v>
      </c>
      <c r="C679" s="8"/>
      <c r="D679" s="301" t="s">
        <v>576</v>
      </c>
      <c r="E679" s="19" t="s">
        <v>143</v>
      </c>
      <c r="F679" s="8"/>
      <c r="G679" s="19"/>
      <c r="H679" s="19"/>
      <c r="I679" s="19"/>
      <c r="J679" s="961"/>
      <c r="K679" s="961"/>
      <c r="L679" s="961"/>
      <c r="M679" s="961"/>
      <c r="N679" s="961"/>
      <c r="O679" s="961"/>
      <c r="P679" s="961"/>
      <c r="Q679" s="961"/>
      <c r="R679" s="961"/>
      <c r="S679" s="961"/>
      <c r="T679" s="19"/>
      <c r="U679" s="8"/>
      <c r="V679" s="64"/>
      <c r="X679" s="305">
        <f t="shared" si="177"/>
        <v>0</v>
      </c>
    </row>
    <row r="680" spans="1:24" ht="12.95" customHeight="1" x14ac:dyDescent="0.2">
      <c r="A680" s="45"/>
      <c r="B680" s="16">
        <f t="shared" si="186"/>
        <v>3</v>
      </c>
      <c r="C680" s="1" t="s">
        <v>174</v>
      </c>
      <c r="D680" s="26" t="s">
        <v>145</v>
      </c>
      <c r="E680" s="64"/>
      <c r="F680" s="97">
        <f>' WP II-I-1.4'!L680</f>
        <v>12317513.59</v>
      </c>
      <c r="G680" s="65" t="s">
        <v>751</v>
      </c>
      <c r="H680" s="45" t="s">
        <v>303</v>
      </c>
      <c r="I680" s="11"/>
      <c r="J680" s="369">
        <f>'II-I-DIST'!J680+'II-I-MET'!J680+'II-I-TBILLTDCS'!J680</f>
        <v>6529391.7351184571</v>
      </c>
      <c r="K680" s="369">
        <f>'II-I-DIST'!K680+'II-I-MET'!K680+'II-I-TBILLTDCS'!K680</f>
        <v>201736.14322572522</v>
      </c>
      <c r="L680" s="369">
        <f>'II-I-DIST'!L680+'II-I-MET'!L680+'II-I-TBILLTDCS'!L680</f>
        <v>4135353.3539090804</v>
      </c>
      <c r="M680" s="369">
        <f>'II-I-DIST'!M680+'II-I-MET'!M680+'II-I-TBILLTDCS'!M680</f>
        <v>16580.307432077854</v>
      </c>
      <c r="N680" s="369">
        <f>'II-I-DIST'!N680+'II-I-MET'!N680+'II-I-TBILLTDCS'!N680</f>
        <v>1108434.4014468193</v>
      </c>
      <c r="O680" s="369">
        <f>'II-I-DIST'!O680+'II-I-MET'!O680+'II-I-TBILLTDCS'!O680</f>
        <v>169435.31191180751</v>
      </c>
      <c r="P680" s="369">
        <f>'II-I-DIST'!P680+'II-I-MET'!P680+'II-I-TBILLTDCS'!P680</f>
        <v>7906.0335590818031</v>
      </c>
      <c r="Q680" s="369">
        <f>'II-I-DIST'!Q680+'II-I-MET'!Q680+'II-I-TBILLTDCS'!Q680</f>
        <v>98347.876807882931</v>
      </c>
      <c r="R680" s="369">
        <f>'II-I-DIST'!R680+'II-I-MET'!R680+'II-I-TBILLTDCS'!R680</f>
        <v>11670.390150244617</v>
      </c>
      <c r="S680" s="369">
        <f>'II-I-DIST'!S680+'II-I-MET'!S680+'II-I-TBILLTDCS'!S680</f>
        <v>38658.036438821626</v>
      </c>
      <c r="T680" s="11"/>
      <c r="U680" s="97">
        <f t="shared" ref="U680:U690" si="187">SUM(I680:T680)</f>
        <v>12317513.59</v>
      </c>
      <c r="V680" s="64"/>
      <c r="X680" s="305">
        <f t="shared" si="177"/>
        <v>0</v>
      </c>
    </row>
    <row r="681" spans="1:24" x14ac:dyDescent="0.2">
      <c r="A681" s="45"/>
      <c r="B681" s="16">
        <f t="shared" si="186"/>
        <v>4</v>
      </c>
      <c r="C681" s="1" t="s">
        <v>175</v>
      </c>
      <c r="D681" s="1" t="s">
        <v>176</v>
      </c>
      <c r="E681" s="18"/>
      <c r="F681" s="229">
        <f>' WP II-I-1.4'!L681</f>
        <v>12959390.869999999</v>
      </c>
      <c r="G681" s="401" t="s">
        <v>751</v>
      </c>
      <c r="H681" s="45" t="s">
        <v>303</v>
      </c>
      <c r="I681" s="18"/>
      <c r="J681" s="369">
        <f>'II-I-DIST'!J681+'II-I-MET'!J681+'II-I-TBILLTDCS'!J681</f>
        <v>6645141.5813322812</v>
      </c>
      <c r="K681" s="369">
        <f>'II-I-DIST'!K681+'II-I-MET'!K681+'II-I-TBILLTDCS'!K681</f>
        <v>125544.44842822247</v>
      </c>
      <c r="L681" s="369">
        <f>'II-I-DIST'!L681+'II-I-MET'!L681+'II-I-TBILLTDCS'!L681</f>
        <v>4268202.499402958</v>
      </c>
      <c r="M681" s="369">
        <f>'II-I-DIST'!M681+'II-I-MET'!M681+'II-I-TBILLTDCS'!M681</f>
        <v>1997.2657549960768</v>
      </c>
      <c r="N681" s="369">
        <f>'II-I-DIST'!N681+'II-I-MET'!N681+'II-I-TBILLTDCS'!N681</f>
        <v>1255455.4469745348</v>
      </c>
      <c r="O681" s="369">
        <f>'II-I-DIST'!O681+'II-I-MET'!O681+'II-I-TBILLTDCS'!O681</f>
        <v>539619.46258803154</v>
      </c>
      <c r="P681" s="369">
        <f>'II-I-DIST'!P681+'II-I-MET'!P681+'II-I-TBILLTDCS'!P681</f>
        <v>0</v>
      </c>
      <c r="Q681" s="369">
        <f>'II-I-DIST'!Q681+'II-I-MET'!Q681+'II-I-TBILLTDCS'!Q681</f>
        <v>37957.419914192047</v>
      </c>
      <c r="R681" s="369">
        <f>'II-I-DIST'!R681+'II-I-MET'!R681+'II-I-TBILLTDCS'!R681</f>
        <v>37300.605464744673</v>
      </c>
      <c r="S681" s="369">
        <f>'II-I-DIST'!S681+'II-I-MET'!S681+'II-I-TBILLTDCS'!S681</f>
        <v>48172.140140037351</v>
      </c>
      <c r="T681" s="18"/>
      <c r="U681" s="97">
        <f t="shared" si="187"/>
        <v>12959390.869999997</v>
      </c>
      <c r="V681" s="64"/>
      <c r="X681" s="305">
        <f t="shared" si="177"/>
        <v>0</v>
      </c>
    </row>
    <row r="682" spans="1:24" x14ac:dyDescent="0.2">
      <c r="A682" s="45"/>
      <c r="B682" s="16">
        <f t="shared" si="186"/>
        <v>5</v>
      </c>
      <c r="C682" s="1" t="s">
        <v>177</v>
      </c>
      <c r="D682" s="1" t="s">
        <v>149</v>
      </c>
      <c r="E682" s="18"/>
      <c r="F682" s="229">
        <f>' WP II-I-1.4'!L682</f>
        <v>5100475.93</v>
      </c>
      <c r="G682" s="401" t="s">
        <v>751</v>
      </c>
      <c r="H682" s="45" t="s">
        <v>303</v>
      </c>
      <c r="I682" s="18"/>
      <c r="J682" s="369">
        <f>'II-I-DIST'!J682+'II-I-MET'!J682+'II-I-TBILLTDCS'!J682</f>
        <v>2615353.2235444831</v>
      </c>
      <c r="K682" s="369">
        <f>'II-I-DIST'!K682+'II-I-MET'!K682+'II-I-TBILLTDCS'!K682</f>
        <v>49410.99807673871</v>
      </c>
      <c r="L682" s="369">
        <f>'II-I-DIST'!L682+'II-I-MET'!L682+'II-I-TBILLTDCS'!L682</f>
        <v>1679852.4198360436</v>
      </c>
      <c r="M682" s="369">
        <f>'II-I-DIST'!M682+'II-I-MET'!M682+'II-I-TBILLTDCS'!M682</f>
        <v>786.07135253192416</v>
      </c>
      <c r="N682" s="369">
        <f>'II-I-DIST'!N682+'II-I-MET'!N682+'II-I-TBILLTDCS'!N682</f>
        <v>494114.29539519764</v>
      </c>
      <c r="O682" s="369">
        <f>'II-I-DIST'!O682+'II-I-MET'!O682+'II-I-TBILLTDCS'!O682</f>
        <v>212380.04994981611</v>
      </c>
      <c r="P682" s="369">
        <f>'II-I-DIST'!P682+'II-I-MET'!P682+'II-I-TBILLTDCS'!P682</f>
        <v>0</v>
      </c>
      <c r="Q682" s="369">
        <f>'II-I-DIST'!Q682+'II-I-MET'!Q682+'II-I-TBILLTDCS'!Q682</f>
        <v>14939.043708096693</v>
      </c>
      <c r="R682" s="369">
        <f>'II-I-DIST'!R682+'II-I-MET'!R682+'II-I-TBILLTDCS'!R682</f>
        <v>14680.538788884967</v>
      </c>
      <c r="S682" s="369">
        <f>'II-I-DIST'!S682+'II-I-MET'!S682+'II-I-TBILLTDCS'!S682</f>
        <v>18959.289348207411</v>
      </c>
      <c r="T682" s="18"/>
      <c r="U682" s="97">
        <f t="shared" si="187"/>
        <v>5100475.93</v>
      </c>
      <c r="V682" s="64"/>
      <c r="X682" s="305">
        <f t="shared" si="177"/>
        <v>0</v>
      </c>
    </row>
    <row r="683" spans="1:24" x14ac:dyDescent="0.2">
      <c r="A683" s="45"/>
      <c r="B683" s="16">
        <f t="shared" si="186"/>
        <v>6</v>
      </c>
      <c r="C683" s="1" t="s">
        <v>178</v>
      </c>
      <c r="D683" s="1" t="s">
        <v>151</v>
      </c>
      <c r="E683" s="18"/>
      <c r="F683" s="229">
        <f>' WP II-I-1.4'!L683</f>
        <v>22068229.830000002</v>
      </c>
      <c r="G683" s="401" t="s">
        <v>751</v>
      </c>
      <c r="H683" s="45" t="s">
        <v>303</v>
      </c>
      <c r="I683" s="18"/>
      <c r="J683" s="369">
        <f>'II-I-DIST'!J683+'II-I-MET'!J683+'II-I-TBILLTDCS'!J683</f>
        <v>12019729.677596526</v>
      </c>
      <c r="K683" s="369">
        <f>'II-I-DIST'!K683+'II-I-MET'!K683+'II-I-TBILLTDCS'!K683</f>
        <v>227946.05517403613</v>
      </c>
      <c r="L683" s="369">
        <f>'II-I-DIST'!L683+'II-I-MET'!L683+'II-I-TBILLTDCS'!L683</f>
        <v>7719680.2449265607</v>
      </c>
      <c r="M683" s="369">
        <f>'II-I-DIST'!M683+'II-I-MET'!M683+'II-I-TBILLTDCS'!M683</f>
        <v>3271.2398873532184</v>
      </c>
      <c r="N683" s="369">
        <f>'II-I-DIST'!N683+'II-I-MET'!N683+'II-I-TBILLTDCS'!N683</f>
        <v>1953910.4059405872</v>
      </c>
      <c r="O683" s="369">
        <f>'II-I-DIST'!O683+'II-I-MET'!O683+'II-I-TBILLTDCS'!O683</f>
        <v>41.65105335160068</v>
      </c>
      <c r="P683" s="369">
        <f>'II-I-DIST'!P683+'II-I-MET'!P683+'II-I-TBILLTDCS'!P683</f>
        <v>86.879497788614941</v>
      </c>
      <c r="Q683" s="369">
        <f>'II-I-DIST'!Q683+'II-I-MET'!Q683+'II-I-TBILLTDCS'!Q683</f>
        <v>68624.074284037502</v>
      </c>
      <c r="R683" s="369">
        <f>'II-I-DIST'!R683+'II-I-MET'!R683+'II-I-TBILLTDCS'!R683</f>
        <v>4.5995028241031441</v>
      </c>
      <c r="S683" s="369">
        <f>'II-I-DIST'!S683+'II-I-MET'!S683+'II-I-TBILLTDCS'!S683</f>
        <v>74935.002136935829</v>
      </c>
      <c r="T683" s="18"/>
      <c r="U683" s="97">
        <f t="shared" si="187"/>
        <v>22068229.829999998</v>
      </c>
      <c r="V683" s="64"/>
      <c r="X683" s="305">
        <f t="shared" si="177"/>
        <v>0</v>
      </c>
    </row>
    <row r="684" spans="1:24" x14ac:dyDescent="0.2">
      <c r="A684" s="45"/>
      <c r="B684" s="16">
        <f t="shared" si="186"/>
        <v>7</v>
      </c>
      <c r="C684" s="1" t="s">
        <v>179</v>
      </c>
      <c r="D684" s="1" t="s">
        <v>153</v>
      </c>
      <c r="E684" s="18"/>
      <c r="F684" s="229">
        <f>' WP II-I-1.4'!L684</f>
        <v>9719614.8500000015</v>
      </c>
      <c r="G684" s="401" t="s">
        <v>751</v>
      </c>
      <c r="H684" s="45" t="s">
        <v>303</v>
      </c>
      <c r="I684" s="18"/>
      <c r="J684" s="369">
        <f>'II-I-DIST'!J684+'II-I-MET'!J684+'II-I-TBILLTDCS'!J684</f>
        <v>5339678.4575912934</v>
      </c>
      <c r="K684" s="369">
        <f>'II-I-DIST'!K684+'II-I-MET'!K684+'II-I-TBILLTDCS'!K684</f>
        <v>102054.91968816564</v>
      </c>
      <c r="L684" s="369">
        <f>'II-I-DIST'!L684+'II-I-MET'!L684+'II-I-TBILLTDCS'!L684</f>
        <v>3428821.6233838033</v>
      </c>
      <c r="M684" s="369">
        <f>'II-I-DIST'!M684+'II-I-MET'!M684+'II-I-TBILLTDCS'!M684</f>
        <v>1473.6773658728955</v>
      </c>
      <c r="N684" s="369">
        <f>'II-I-DIST'!N684+'II-I-MET'!N684+'II-I-TBILLTDCS'!N684</f>
        <v>786809.91618657834</v>
      </c>
      <c r="O684" s="369">
        <f>'II-I-DIST'!O684+'II-I-MET'!O684+'II-I-TBILLTDCS'!O684</f>
        <v>56.779879825283047</v>
      </c>
      <c r="P684" s="369">
        <f>'II-I-DIST'!P684+'II-I-MET'!P684+'II-I-TBILLTDCS'!P684</f>
        <v>118.43655914476221</v>
      </c>
      <c r="Q684" s="369">
        <f>'II-I-DIST'!Q684+'II-I-MET'!Q684+'II-I-TBILLTDCS'!Q684</f>
        <v>30455.155592576106</v>
      </c>
      <c r="R684" s="369">
        <f>'II-I-DIST'!R684+'II-I-MET'!R684+'II-I-TBILLTDCS'!R684</f>
        <v>6.2701707782521181</v>
      </c>
      <c r="S684" s="369">
        <f>'II-I-DIST'!S684+'II-I-MET'!S684+'II-I-TBILLTDCS'!S684</f>
        <v>30139.613581964411</v>
      </c>
      <c r="T684" s="18"/>
      <c r="U684" s="97">
        <f t="shared" si="187"/>
        <v>9719614.8500000015</v>
      </c>
      <c r="V684" s="64"/>
      <c r="X684" s="305">
        <f t="shared" si="177"/>
        <v>0</v>
      </c>
    </row>
    <row r="685" spans="1:24" x14ac:dyDescent="0.2">
      <c r="A685" s="45"/>
      <c r="B685" s="16">
        <f t="shared" si="186"/>
        <v>8</v>
      </c>
      <c r="C685" s="1" t="s">
        <v>180</v>
      </c>
      <c r="D685" s="1" t="s">
        <v>181</v>
      </c>
      <c r="E685" s="18"/>
      <c r="F685" s="229">
        <f>' WP II-I-1.4'!L685</f>
        <v>157.6</v>
      </c>
      <c r="G685" s="401" t="s">
        <v>751</v>
      </c>
      <c r="H685" s="45" t="s">
        <v>303</v>
      </c>
      <c r="I685" s="18"/>
      <c r="J685" s="369">
        <f>'II-I-DIST'!J685+'II-I-MET'!J685+'II-I-TBILLTDCS'!J685</f>
        <v>0</v>
      </c>
      <c r="K685" s="369">
        <f>'II-I-DIST'!K685+'II-I-MET'!K685+'II-I-TBILLTDCS'!K685</f>
        <v>0</v>
      </c>
      <c r="L685" s="369">
        <f>'II-I-DIST'!L685+'II-I-MET'!L685+'II-I-TBILLTDCS'!L685</f>
        <v>0</v>
      </c>
      <c r="M685" s="369">
        <f>'II-I-DIST'!M685+'II-I-MET'!M685+'II-I-TBILLTDCS'!M685</f>
        <v>0</v>
      </c>
      <c r="N685" s="369">
        <f>'II-I-DIST'!N685+'II-I-MET'!N685+'II-I-TBILLTDCS'!N685</f>
        <v>0</v>
      </c>
      <c r="O685" s="369">
        <f>'II-I-DIST'!O685+'II-I-MET'!O685+'II-I-TBILLTDCS'!O685</f>
        <v>0</v>
      </c>
      <c r="P685" s="369">
        <f>'II-I-DIST'!P685+'II-I-MET'!P685+'II-I-TBILLTDCS'!P685</f>
        <v>0</v>
      </c>
      <c r="Q685" s="369">
        <f>'II-I-DIST'!Q685+'II-I-MET'!Q685+'II-I-TBILLTDCS'!Q685</f>
        <v>157.6</v>
      </c>
      <c r="R685" s="369">
        <f>'II-I-DIST'!R685+'II-I-MET'!R685+'II-I-TBILLTDCS'!R685</f>
        <v>0</v>
      </c>
      <c r="S685" s="369">
        <f>'II-I-DIST'!S685+'II-I-MET'!S685+'II-I-TBILLTDCS'!S685</f>
        <v>0</v>
      </c>
      <c r="T685" s="18"/>
      <c r="U685" s="97">
        <f t="shared" si="187"/>
        <v>157.6</v>
      </c>
      <c r="V685" s="64"/>
      <c r="X685" s="305">
        <f t="shared" si="177"/>
        <v>0</v>
      </c>
    </row>
    <row r="686" spans="1:24" x14ac:dyDescent="0.2">
      <c r="A686" s="45"/>
      <c r="B686" s="16">
        <f t="shared" si="186"/>
        <v>9</v>
      </c>
      <c r="C686" s="1" t="s">
        <v>182</v>
      </c>
      <c r="D686" s="1" t="s">
        <v>183</v>
      </c>
      <c r="E686" s="18"/>
      <c r="F686" s="229">
        <f>' WP II-I-1.4'!L686</f>
        <v>35005008.409999996</v>
      </c>
      <c r="G686" s="401" t="s">
        <v>751</v>
      </c>
      <c r="H686" s="45" t="s">
        <v>303</v>
      </c>
      <c r="I686" s="18"/>
      <c r="J686" s="369">
        <f>'II-I-DIST'!J686+'II-I-MET'!J686+'II-I-TBILLTDCS'!J686</f>
        <v>18274136.18007268</v>
      </c>
      <c r="K686" s="369">
        <f>'II-I-DIST'!K686+'II-I-MET'!K686+'II-I-TBILLTDCS'!K686</f>
        <v>2563588.6481274385</v>
      </c>
      <c r="L686" s="369">
        <f>'II-I-DIST'!L686+'II-I-MET'!L686+'II-I-TBILLTDCS'!L686</f>
        <v>10081761.9903489</v>
      </c>
      <c r="M686" s="369">
        <f>'II-I-DIST'!M686+'II-I-MET'!M686+'II-I-TBILLTDCS'!M686</f>
        <v>424563.70433196303</v>
      </c>
      <c r="N686" s="369">
        <f>'II-I-DIST'!N686+'II-I-MET'!N686+'II-I-TBILLTDCS'!N686</f>
        <v>3269364.6503422409</v>
      </c>
      <c r="O686" s="369">
        <f>'II-I-DIST'!O686+'II-I-MET'!O686+'II-I-TBILLTDCS'!O686</f>
        <v>107275.04161579232</v>
      </c>
      <c r="P686" s="369">
        <f>'II-I-DIST'!P686+'II-I-MET'!P686+'II-I-TBILLTDCS'!P686</f>
        <v>223763.89048692881</v>
      </c>
      <c r="Q686" s="369">
        <f>'II-I-DIST'!Q686+'II-I-MET'!Q686+'II-I-TBILLTDCS'!Q686</f>
        <v>18634.399838669753</v>
      </c>
      <c r="R686" s="369">
        <f>'II-I-DIST'!R686+'II-I-MET'!R686+'II-I-TBILLTDCS'!R686</f>
        <v>11846.32361401388</v>
      </c>
      <c r="S686" s="369">
        <f>'II-I-DIST'!S686+'II-I-MET'!S686+'II-I-TBILLTDCS'!S686</f>
        <v>30073.58122136533</v>
      </c>
      <c r="T686" s="18"/>
      <c r="U686" s="97">
        <f t="shared" si="187"/>
        <v>35005008.409999989</v>
      </c>
      <c r="V686" s="64"/>
      <c r="X686" s="305">
        <f t="shared" si="177"/>
        <v>0</v>
      </c>
    </row>
    <row r="687" spans="1:24" x14ac:dyDescent="0.2">
      <c r="A687" s="45"/>
      <c r="B687" s="16">
        <f t="shared" si="186"/>
        <v>10</v>
      </c>
      <c r="C687" s="1" t="s">
        <v>184</v>
      </c>
      <c r="D687" s="1" t="s">
        <v>185</v>
      </c>
      <c r="E687" s="18"/>
      <c r="F687" s="229">
        <f>' WP II-I-1.4'!L687</f>
        <v>2655620.85</v>
      </c>
      <c r="G687" s="401" t="s">
        <v>751</v>
      </c>
      <c r="H687" s="45" t="s">
        <v>303</v>
      </c>
      <c r="I687" s="18"/>
      <c r="J687" s="369">
        <f>'II-I-DIST'!J687+'II-I-MET'!J687+'II-I-TBILLTDCS'!J687</f>
        <v>1388011.7326697786</v>
      </c>
      <c r="K687" s="369">
        <f>'II-I-DIST'!K687+'II-I-MET'!K687+'II-I-TBILLTDCS'!K687</f>
        <v>194717.33636417441</v>
      </c>
      <c r="L687" s="369">
        <f>'II-I-DIST'!L687+'II-I-MET'!L687+'II-I-TBILLTDCS'!L687</f>
        <v>765760.07701245195</v>
      </c>
      <c r="M687" s="369">
        <f>'II-I-DIST'!M687+'II-I-MET'!M687+'II-I-TBILLTDCS'!M687</f>
        <v>32247.729636660941</v>
      </c>
      <c r="N687" s="369">
        <f>'II-I-DIST'!N687+'II-I-MET'!N687+'II-I-TBILLTDCS'!N687</f>
        <v>248324.54176407534</v>
      </c>
      <c r="O687" s="369">
        <f>'II-I-DIST'!O687+'II-I-MET'!O687+'II-I-TBILLTDCS'!O687</f>
        <v>8148.0741370269416</v>
      </c>
      <c r="P687" s="369">
        <f>'II-I-DIST'!P687+'II-I-MET'!P687+'II-I-TBILLTDCS'!P687</f>
        <v>16995.982862510191</v>
      </c>
      <c r="Q687" s="369">
        <f>'II-I-DIST'!Q687+'II-I-MET'!Q687+'II-I-TBILLTDCS'!Q687</f>
        <v>1415.3755533209876</v>
      </c>
      <c r="R687" s="369">
        <f>'II-I-DIST'!R687+'II-I-MET'!R687+'II-I-TBILLTDCS'!R687</f>
        <v>0</v>
      </c>
      <c r="S687" s="369">
        <f>'II-I-DIST'!S687+'II-I-MET'!S687+'II-I-TBILLTDCS'!S687</f>
        <v>0</v>
      </c>
      <c r="T687" s="18"/>
      <c r="U687" s="97">
        <f t="shared" si="187"/>
        <v>2655620.8499999996</v>
      </c>
      <c r="V687" s="64"/>
      <c r="X687" s="305">
        <f t="shared" si="177"/>
        <v>0</v>
      </c>
    </row>
    <row r="688" spans="1:24" x14ac:dyDescent="0.2">
      <c r="A688" s="45"/>
      <c r="B688" s="16">
        <f t="shared" si="186"/>
        <v>11</v>
      </c>
      <c r="C688" s="1" t="s">
        <v>186</v>
      </c>
      <c r="D688" s="1" t="s">
        <v>187</v>
      </c>
      <c r="E688" s="18"/>
      <c r="F688" s="229">
        <f>' WP II-I-1.4'!L688</f>
        <v>116519126</v>
      </c>
      <c r="G688" s="401" t="s">
        <v>751</v>
      </c>
      <c r="H688" s="45" t="s">
        <v>303</v>
      </c>
      <c r="I688" s="18"/>
      <c r="J688" s="369">
        <f>'II-I-DIST'!J688+'II-I-MET'!J688+'II-I-TBILLTDCS'!J688</f>
        <v>62068740.319502681</v>
      </c>
      <c r="K688" s="369">
        <f>'II-I-DIST'!K688+'II-I-MET'!K688+'II-I-TBILLTDCS'!K688</f>
        <v>1668607.4088170123</v>
      </c>
      <c r="L688" s="369">
        <f>'II-I-DIST'!L688+'II-I-MET'!L688+'II-I-TBILLTDCS'!L688</f>
        <v>39496821.878274068</v>
      </c>
      <c r="M688" s="369">
        <f>'II-I-DIST'!M688+'II-I-MET'!M688+'II-I-TBILLTDCS'!M688</f>
        <v>110488.14038789994</v>
      </c>
      <c r="N688" s="369">
        <f>'II-I-DIST'!N688+'II-I-MET'!N688+'II-I-TBILLTDCS'!N688</f>
        <v>10516007.852487367</v>
      </c>
      <c r="O688" s="369">
        <f>'II-I-DIST'!O688+'II-I-MET'!O688+'II-I-TBILLTDCS'!O688</f>
        <v>1656386.9560250072</v>
      </c>
      <c r="P688" s="369">
        <f>'II-I-DIST'!P688+'II-I-MET'!P688+'II-I-TBILLTDCS'!P688</f>
        <v>50027.775666769434</v>
      </c>
      <c r="Q688" s="369">
        <f>'II-I-DIST'!Q688+'II-I-MET'!Q688+'II-I-TBILLTDCS'!Q688</f>
        <v>461291.79467772238</v>
      </c>
      <c r="R688" s="369">
        <f>'II-I-DIST'!R688+'II-I-MET'!R688+'II-I-TBILLTDCS'!R688</f>
        <v>113533.39231603673</v>
      </c>
      <c r="S688" s="369">
        <f>'II-I-DIST'!S688+'II-I-MET'!S688+'II-I-TBILLTDCS'!S688</f>
        <v>377220.48184542236</v>
      </c>
      <c r="T688" s="18"/>
      <c r="U688" s="97">
        <f t="shared" si="187"/>
        <v>116519125.99999999</v>
      </c>
      <c r="V688" s="64"/>
      <c r="X688" s="305">
        <f t="shared" si="177"/>
        <v>0</v>
      </c>
    </row>
    <row r="689" spans="1:24" x14ac:dyDescent="0.2">
      <c r="A689" s="45"/>
      <c r="B689" s="16">
        <f t="shared" si="186"/>
        <v>12</v>
      </c>
      <c r="C689" s="1" t="s">
        <v>188</v>
      </c>
      <c r="D689" s="1" t="s">
        <v>189</v>
      </c>
      <c r="E689" s="18"/>
      <c r="F689" s="229">
        <f>' WP II-I-1.4'!L689</f>
        <v>201175.9</v>
      </c>
      <c r="G689" s="401" t="s">
        <v>751</v>
      </c>
      <c r="H689" s="45" t="s">
        <v>303</v>
      </c>
      <c r="I689" s="18"/>
      <c r="J689" s="370">
        <f>'II-I-DIST'!J689+'II-I-MET'!J689+'II-I-TBILLTDCS'!J689</f>
        <v>107962.48661791458</v>
      </c>
      <c r="K689" s="370">
        <f>'II-I-DIST'!K689+'II-I-MET'!K689+'II-I-TBILLTDCS'!K689</f>
        <v>2039.6993303290883</v>
      </c>
      <c r="L689" s="370">
        <f>'II-I-DIST'!L689+'II-I-MET'!L689+'II-I-TBILLTDCS'!L689</f>
        <v>69344.761068575244</v>
      </c>
      <c r="M689" s="370">
        <f>'II-I-DIST'!M689+'II-I-MET'!M689+'II-I-TBILLTDCS'!M689</f>
        <v>32.44923749283781</v>
      </c>
      <c r="N689" s="370">
        <f>'II-I-DIST'!N689+'II-I-MET'!N689+'II-I-TBILLTDCS'!N689</f>
        <v>20397.171412290871</v>
      </c>
      <c r="O689" s="370">
        <f>'II-I-DIST'!O689+'II-I-MET'!O689+'II-I-TBILLTDCS'!O689</f>
        <v>0</v>
      </c>
      <c r="P689" s="370">
        <f>'II-I-DIST'!P689+'II-I-MET'!P689+'II-I-TBILLTDCS'!P689</f>
        <v>0</v>
      </c>
      <c r="Q689" s="370">
        <f>'II-I-DIST'!Q689+'II-I-MET'!Q689+'II-I-TBILLTDCS'!Q689</f>
        <v>616.68775441123432</v>
      </c>
      <c r="R689" s="370">
        <f>'II-I-DIST'!R689+'II-I-MET'!R689+'II-I-TBILLTDCS'!R689</f>
        <v>0</v>
      </c>
      <c r="S689" s="370">
        <f>'II-I-DIST'!S689+'II-I-MET'!S689+'II-I-TBILLTDCS'!S689</f>
        <v>782.64457898613875</v>
      </c>
      <c r="T689" s="18"/>
      <c r="U689" s="97">
        <f t="shared" si="187"/>
        <v>201175.89999999997</v>
      </c>
      <c r="V689" s="64"/>
      <c r="X689" s="305">
        <f t="shared" si="177"/>
        <v>0</v>
      </c>
    </row>
    <row r="690" spans="1:24" ht="15" x14ac:dyDescent="0.25">
      <c r="A690" s="45"/>
      <c r="B690" s="16">
        <f t="shared" si="186"/>
        <v>13</v>
      </c>
      <c r="C690" s="8"/>
      <c r="D690" s="233" t="s">
        <v>582</v>
      </c>
      <c r="E690" s="19"/>
      <c r="F690" s="21">
        <f>SUM(F680:F689)</f>
        <v>216546313.83000001</v>
      </c>
      <c r="G690" s="19"/>
      <c r="H690" s="19"/>
      <c r="I690" s="19"/>
      <c r="J690" s="805">
        <f t="shared" ref="J690:Q690" si="188">SUM(J680:J689)</f>
        <v>114988145.39404608</v>
      </c>
      <c r="K690" s="805">
        <f t="shared" si="188"/>
        <v>5135645.6572318422</v>
      </c>
      <c r="L690" s="805">
        <f t="shared" si="188"/>
        <v>71645598.848162442</v>
      </c>
      <c r="M690" s="805">
        <f t="shared" si="188"/>
        <v>591440.58538684878</v>
      </c>
      <c r="N690" s="805">
        <f t="shared" si="188"/>
        <v>19652818.68194969</v>
      </c>
      <c r="O690" s="805">
        <f>SUM(O680:O689)</f>
        <v>2693343.3271606583</v>
      </c>
      <c r="P690" s="805">
        <f t="shared" si="188"/>
        <v>298898.99863222364</v>
      </c>
      <c r="Q690" s="805">
        <f t="shared" si="188"/>
        <v>732439.42813090957</v>
      </c>
      <c r="R690" s="805">
        <f>SUM(R680:R689)</f>
        <v>189042.12000752724</v>
      </c>
      <c r="S690" s="805">
        <f>SUM(S680:S689)</f>
        <v>618940.7892917404</v>
      </c>
      <c r="T690" s="912"/>
      <c r="U690" s="235">
        <f t="shared" si="187"/>
        <v>216546313.82999992</v>
      </c>
      <c r="V690" s="64"/>
      <c r="W690" s="1099" t="b">
        <f>' WP II-I-1.4'!$L$690=U690</f>
        <v>1</v>
      </c>
      <c r="X690" s="305">
        <f t="shared" si="177"/>
        <v>0</v>
      </c>
    </row>
    <row r="691" spans="1:24" ht="15" x14ac:dyDescent="0.25">
      <c r="A691" s="45"/>
      <c r="B691" s="16">
        <f t="shared" si="186"/>
        <v>14</v>
      </c>
      <c r="C691" s="8"/>
      <c r="D691" s="233"/>
      <c r="E691" s="19"/>
      <c r="F691" s="21"/>
      <c r="G691" s="19"/>
      <c r="H691" s="19"/>
      <c r="I691" s="19"/>
      <c r="J691" s="805"/>
      <c r="K691" s="805"/>
      <c r="L691" s="805"/>
      <c r="M691" s="805"/>
      <c r="N691" s="805"/>
      <c r="O691" s="805"/>
      <c r="P691" s="805"/>
      <c r="Q691" s="805"/>
      <c r="R691" s="805"/>
      <c r="S691" s="805"/>
      <c r="T691" s="912"/>
      <c r="U691" s="235"/>
      <c r="V691" s="64"/>
      <c r="X691" s="305">
        <f t="shared" si="177"/>
        <v>0</v>
      </c>
    </row>
    <row r="692" spans="1:24" ht="15" x14ac:dyDescent="0.25">
      <c r="A692" s="45"/>
      <c r="B692" s="16">
        <f t="shared" si="186"/>
        <v>15</v>
      </c>
      <c r="C692" s="8"/>
      <c r="D692" s="233" t="s">
        <v>583</v>
      </c>
      <c r="E692" s="19"/>
      <c r="F692" s="21">
        <f>SUM(F681:F687)+F689</f>
        <v>87709674.239999995</v>
      </c>
      <c r="G692" s="19"/>
      <c r="H692" s="19"/>
      <c r="I692" s="19"/>
      <c r="J692" s="805">
        <f t="shared" ref="J692:Q692" si="189">SUM(J681:J687)+J689</f>
        <v>46390013.33942496</v>
      </c>
      <c r="K692" s="805">
        <f t="shared" si="189"/>
        <v>3265302.1051891046</v>
      </c>
      <c r="L692" s="805">
        <f t="shared" si="189"/>
        <v>28013423.615979295</v>
      </c>
      <c r="M692" s="805">
        <f t="shared" si="189"/>
        <v>464372.13756687095</v>
      </c>
      <c r="N692" s="805">
        <f t="shared" si="189"/>
        <v>8028376.428015505</v>
      </c>
      <c r="O692" s="805">
        <f>SUM(O681:O687)+O689</f>
        <v>867521.05922384374</v>
      </c>
      <c r="P692" s="805">
        <f t="shared" si="189"/>
        <v>240965.18940637237</v>
      </c>
      <c r="Q692" s="805">
        <f t="shared" si="189"/>
        <v>172799.7566453043</v>
      </c>
      <c r="R692" s="805">
        <f>SUM(R681:R687)+R689</f>
        <v>63838.33754124587</v>
      </c>
      <c r="S692" s="805">
        <f>SUM(S681:S687)+S689</f>
        <v>203062.27100749646</v>
      </c>
      <c r="T692" s="912"/>
      <c r="U692" s="235">
        <f>SUM(I692:T692)</f>
        <v>87709674.239999995</v>
      </c>
      <c r="V692" s="64"/>
      <c r="W692" s="1099" t="b">
        <f>' WP II-I-1.4'!$L$692=U692</f>
        <v>1</v>
      </c>
      <c r="X692" s="305">
        <f t="shared" si="177"/>
        <v>0</v>
      </c>
    </row>
    <row r="693" spans="1:24" x14ac:dyDescent="0.2">
      <c r="A693" s="45"/>
      <c r="B693" s="16">
        <f t="shared" si="186"/>
        <v>16</v>
      </c>
      <c r="C693" s="1"/>
      <c r="D693" s="28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"/>
      <c r="V693" s="64"/>
      <c r="X693" s="305">
        <f t="shared" si="177"/>
        <v>0</v>
      </c>
    </row>
    <row r="694" spans="1:24" ht="15" x14ac:dyDescent="0.25">
      <c r="A694" s="45"/>
      <c r="B694" s="16">
        <f t="shared" si="186"/>
        <v>17</v>
      </c>
      <c r="C694" s="301"/>
      <c r="D694" s="8"/>
      <c r="E694" s="19"/>
      <c r="F694" s="21"/>
      <c r="G694" s="19"/>
      <c r="H694" s="19"/>
      <c r="I694" s="19"/>
      <c r="J694" s="961"/>
      <c r="K694" s="961"/>
      <c r="L694" s="961"/>
      <c r="M694" s="961"/>
      <c r="N694" s="961"/>
      <c r="O694" s="961"/>
      <c r="P694" s="961"/>
      <c r="Q694" s="961"/>
      <c r="R694" s="961"/>
      <c r="S694" s="961"/>
      <c r="T694" s="912"/>
      <c r="U694" s="8"/>
      <c r="V694" s="64"/>
      <c r="X694" s="305">
        <f t="shared" si="177"/>
        <v>0</v>
      </c>
    </row>
    <row r="695" spans="1:24" ht="15" x14ac:dyDescent="0.25">
      <c r="A695" s="45"/>
      <c r="B695" s="16">
        <f t="shared" si="186"/>
        <v>18</v>
      </c>
      <c r="C695" s="8"/>
      <c r="D695" s="301" t="s">
        <v>578</v>
      </c>
      <c r="E695" s="19" t="s">
        <v>143</v>
      </c>
      <c r="F695" s="21"/>
      <c r="G695" s="19"/>
      <c r="H695" s="19"/>
      <c r="I695" s="19"/>
      <c r="J695" s="961"/>
      <c r="K695" s="961"/>
      <c r="L695" s="961"/>
      <c r="M695" s="961"/>
      <c r="N695" s="961"/>
      <c r="O695" s="961"/>
      <c r="P695" s="961"/>
      <c r="Q695" s="961"/>
      <c r="R695" s="961"/>
      <c r="S695" s="961"/>
      <c r="T695" s="912"/>
      <c r="U695" s="8"/>
      <c r="V695" s="64"/>
      <c r="X695" s="305">
        <f t="shared" si="177"/>
        <v>0</v>
      </c>
    </row>
    <row r="696" spans="1:24" x14ac:dyDescent="0.2">
      <c r="A696" s="45"/>
      <c r="B696" s="16">
        <f t="shared" si="186"/>
        <v>19</v>
      </c>
      <c r="C696" s="1" t="s">
        <v>191</v>
      </c>
      <c r="D696" s="1" t="s">
        <v>162</v>
      </c>
      <c r="E696" s="16"/>
      <c r="F696" s="97">
        <f>' WP II-I-1.4'!L696</f>
        <v>3333029.0600000015</v>
      </c>
      <c r="G696" s="16" t="s">
        <v>751</v>
      </c>
      <c r="H696" s="45" t="s">
        <v>303</v>
      </c>
      <c r="I696" s="16"/>
      <c r="J696" s="369">
        <f ca="1">'II-I-DIST'!J696+'II-I-MET'!J696+'II-I-TBILLTDCS'!J696</f>
        <v>1719540.8455215425</v>
      </c>
      <c r="K696" s="369">
        <f ca="1">'II-I-DIST'!K696+'II-I-MET'!K696+'II-I-TBILLTDCS'!K696</f>
        <v>75237.29480652402</v>
      </c>
      <c r="L696" s="369">
        <f ca="1">'II-I-DIST'!L696+'II-I-MET'!L696+'II-I-TBILLTDCS'!L696</f>
        <v>1072558.8733787485</v>
      </c>
      <c r="M696" s="369">
        <f ca="1">'II-I-DIST'!M696+'II-I-MET'!M696+'II-I-TBILLTDCS'!M696</f>
        <v>8514.7375761630319</v>
      </c>
      <c r="N696" s="369">
        <f ca="1">'II-I-DIST'!N696+'II-I-MET'!N696+'II-I-TBILLTDCS'!N696</f>
        <v>272273.89850766951</v>
      </c>
      <c r="O696" s="369">
        <f ca="1">'II-I-DIST'!O696+'II-I-MET'!O696+'II-I-TBILLTDCS'!O696</f>
        <v>8025.1958529947042</v>
      </c>
      <c r="P696" s="369">
        <f ca="1">'II-I-DIST'!P696+'II-I-MET'!P696+'II-I-TBILLTDCS'!P696</f>
        <v>4708.2778292556941</v>
      </c>
      <c r="Q696" s="369">
        <f ca="1">'II-I-DIST'!Q696+'II-I-MET'!Q696+'II-I-TBILLTDCS'!Q696</f>
        <v>162920.53420638072</v>
      </c>
      <c r="R696" s="369">
        <f ca="1">'II-I-DIST'!R696+'II-I-MET'!R696+'II-I-TBILLTDCS'!R696</f>
        <v>640.12424512473046</v>
      </c>
      <c r="S696" s="369">
        <f ca="1">'II-I-DIST'!S696+'II-I-MET'!S696+'II-I-TBILLTDCS'!S696</f>
        <v>8609.2780755978474</v>
      </c>
      <c r="T696" s="16"/>
      <c r="U696" s="97">
        <f t="shared" ref="U696:U705" ca="1" si="190">SUM(I696:T696)</f>
        <v>3333029.0600000015</v>
      </c>
      <c r="V696" s="64"/>
      <c r="X696" s="305">
        <f t="shared" ca="1" si="177"/>
        <v>0</v>
      </c>
    </row>
    <row r="697" spans="1:24" x14ac:dyDescent="0.2">
      <c r="A697" s="45"/>
      <c r="B697" s="16">
        <f t="shared" si="186"/>
        <v>20</v>
      </c>
      <c r="C697" s="1" t="s">
        <v>192</v>
      </c>
      <c r="D697" s="29" t="s">
        <v>164</v>
      </c>
      <c r="E697" s="16"/>
      <c r="F697" s="97">
        <f>' WP II-I-1.4'!L697</f>
        <v>6007.63</v>
      </c>
      <c r="G697" s="16" t="s">
        <v>751</v>
      </c>
      <c r="H697" s="45" t="s">
        <v>303</v>
      </c>
      <c r="I697" s="16"/>
      <c r="J697" s="369">
        <f ca="1">'II-I-DIST'!J697+'II-I-MET'!J697+'II-I-TBILLTDCS'!J697</f>
        <v>3229.4289192378751</v>
      </c>
      <c r="K697" s="369">
        <f ca="1">'II-I-DIST'!K697+'II-I-MET'!K697+'II-I-TBILLTDCS'!K697</f>
        <v>105.9780876189414</v>
      </c>
      <c r="L697" s="369">
        <f ca="1">'II-I-DIST'!L697+'II-I-MET'!L697+'II-I-TBILLTDCS'!L697</f>
        <v>2040.7130754729371</v>
      </c>
      <c r="M697" s="369">
        <f ca="1">'II-I-DIST'!M697+'II-I-MET'!M697+'II-I-TBILLTDCS'!M697</f>
        <v>0.58093218602951135</v>
      </c>
      <c r="N697" s="369">
        <f ca="1">'II-I-DIST'!N697+'II-I-MET'!N697+'II-I-TBILLTDCS'!N697</f>
        <v>365.16646592932074</v>
      </c>
      <c r="O697" s="369">
        <f ca="1">'II-I-DIST'!O697+'II-I-MET'!O697+'II-I-TBILLTDCS'!O697</f>
        <v>35.100514738718203</v>
      </c>
      <c r="P697" s="369">
        <f ca="1">'II-I-DIST'!P697+'II-I-MET'!P697+'II-I-TBILLTDCS'!P697</f>
        <v>7.1332953270580655</v>
      </c>
      <c r="Q697" s="369">
        <f ca="1">'II-I-DIST'!Q697+'II-I-MET'!Q697+'II-I-TBILLTDCS'!Q697</f>
        <v>207.09089596307479</v>
      </c>
      <c r="R697" s="369">
        <f ca="1">'II-I-DIST'!R697+'II-I-MET'!R697+'II-I-TBILLTDCS'!R697</f>
        <v>2.4262847110796968</v>
      </c>
      <c r="S697" s="369">
        <f ca="1">'II-I-DIST'!S697+'II-I-MET'!S697+'II-I-TBILLTDCS'!S697</f>
        <v>14.011528814965756</v>
      </c>
      <c r="T697" s="16"/>
      <c r="U697" s="97">
        <f t="shared" ca="1" si="190"/>
        <v>6007.6300000000019</v>
      </c>
      <c r="V697" s="64"/>
      <c r="X697" s="305">
        <f t="shared" ca="1" si="177"/>
        <v>0</v>
      </c>
    </row>
    <row r="698" spans="1:24" x14ac:dyDescent="0.2">
      <c r="A698" s="45"/>
      <c r="B698" s="16">
        <f t="shared" si="186"/>
        <v>21</v>
      </c>
      <c r="C698" s="1" t="s">
        <v>193</v>
      </c>
      <c r="D698" s="1" t="s">
        <v>166</v>
      </c>
      <c r="E698" s="16"/>
      <c r="F698" s="97">
        <f>' WP II-I-1.4'!L698</f>
        <v>9523942.879999999</v>
      </c>
      <c r="G698" s="16" t="s">
        <v>751</v>
      </c>
      <c r="H698" s="45" t="s">
        <v>303</v>
      </c>
      <c r="I698" s="16"/>
      <c r="J698" s="369">
        <f>'II-I-DIST'!J698+'II-I-MET'!J698+'II-I-TBILLTDCS'!J698</f>
        <v>4883558.9176207576</v>
      </c>
      <c r="K698" s="369">
        <f>'II-I-DIST'!K698+'II-I-MET'!K698+'II-I-TBILLTDCS'!K698</f>
        <v>92263.453408091911</v>
      </c>
      <c r="L698" s="369">
        <f>'II-I-DIST'!L698+'II-I-MET'!L698+'II-I-TBILLTDCS'!L698</f>
        <v>3136730.5155282356</v>
      </c>
      <c r="M698" s="369">
        <f>'II-I-DIST'!M698+'II-I-MET'!M698+'II-I-TBILLTDCS'!M698</f>
        <v>1467.8039390567985</v>
      </c>
      <c r="N698" s="369">
        <f>'II-I-DIST'!N698+'II-I-MET'!N698+'II-I-TBILLTDCS'!N698</f>
        <v>922642.59063669562</v>
      </c>
      <c r="O698" s="369">
        <f>'II-I-DIST'!O698+'II-I-MET'!O698+'II-I-TBILLTDCS'!O698</f>
        <v>396569.94608610874</v>
      </c>
      <c r="P698" s="369">
        <f>'II-I-DIST'!P698+'II-I-MET'!P698+'II-I-TBILLTDCS'!P698</f>
        <v>0</v>
      </c>
      <c r="Q698" s="369">
        <f>'II-I-DIST'!Q698+'II-I-MET'!Q698+'II-I-TBILLTDCS'!Q698</f>
        <v>27895.161336000325</v>
      </c>
      <c r="R698" s="369">
        <f>'II-I-DIST'!R698+'II-I-MET'!R698+'II-I-TBILLTDCS'!R698</f>
        <v>27412.464011562311</v>
      </c>
      <c r="S698" s="369">
        <f>'II-I-DIST'!S698+'II-I-MET'!S698+'II-I-TBILLTDCS'!S698</f>
        <v>35402.027433490861</v>
      </c>
      <c r="T698" s="16"/>
      <c r="U698" s="97">
        <f t="shared" si="190"/>
        <v>9523942.8800000008</v>
      </c>
      <c r="V698" s="64"/>
      <c r="X698" s="305">
        <f t="shared" si="177"/>
        <v>0</v>
      </c>
    </row>
    <row r="699" spans="1:24" x14ac:dyDescent="0.2">
      <c r="A699" s="45"/>
      <c r="B699" s="16">
        <f t="shared" si="186"/>
        <v>22</v>
      </c>
      <c r="C699" s="1" t="s">
        <v>194</v>
      </c>
      <c r="D699" s="29" t="s">
        <v>168</v>
      </c>
      <c r="E699" s="16"/>
      <c r="F699" s="97">
        <f>' WP II-I-1.4'!L699</f>
        <v>124667115.98000012</v>
      </c>
      <c r="G699" s="16" t="s">
        <v>751</v>
      </c>
      <c r="H699" s="45" t="s">
        <v>303</v>
      </c>
      <c r="I699" s="16"/>
      <c r="J699" s="369">
        <f>'II-I-DIST'!J699+'II-I-MET'!J699+'II-I-TBILLTDCS'!J699</f>
        <v>68044647.403577134</v>
      </c>
      <c r="K699" s="369">
        <f>'II-I-DIST'!K699+'II-I-MET'!K699+'II-I-TBILLTDCS'!K699</f>
        <v>1291185.925277469</v>
      </c>
      <c r="L699" s="369">
        <f>'II-I-DIST'!L699+'II-I-MET'!L699+'II-I-TBILLTDCS'!L699</f>
        <v>43701153.837273419</v>
      </c>
      <c r="M699" s="369">
        <f>'II-I-DIST'!M699+'II-I-MET'!M699+'II-I-TBILLTDCS'!M699</f>
        <v>18260.636337099277</v>
      </c>
      <c r="N699" s="369">
        <f>'II-I-DIST'!N699+'II-I-MET'!N699+'II-I-TBILLTDCS'!N699</f>
        <v>10808073.509675117</v>
      </c>
      <c r="O699" s="369">
        <f>'II-I-DIST'!O699+'II-I-MET'!O699+'II-I-TBILLTDCS'!O699</f>
        <v>272.79097240374546</v>
      </c>
      <c r="P699" s="369">
        <f>'II-I-DIST'!P699+'II-I-MET'!P699+'II-I-TBILLTDCS'!P699</f>
        <v>569.01184427775138</v>
      </c>
      <c r="Q699" s="369">
        <f>'II-I-DIST'!Q699+'II-I-MET'!Q699+'II-I-TBILLTDCS'!Q699</f>
        <v>388456.77614276501</v>
      </c>
      <c r="R699" s="369">
        <f>'II-I-DIST'!R699+'II-I-MET'!R699+'II-I-TBILLTDCS'!R699</f>
        <v>30.124156461763313</v>
      </c>
      <c r="S699" s="369">
        <f>'II-I-DIST'!S699+'II-I-MET'!S699+'II-I-TBILLTDCS'!S699</f>
        <v>414465.96474396321</v>
      </c>
      <c r="T699" s="16"/>
      <c r="U699" s="97">
        <f t="shared" si="190"/>
        <v>124667115.98000009</v>
      </c>
      <c r="V699" s="64"/>
      <c r="X699" s="305">
        <f t="shared" si="177"/>
        <v>0</v>
      </c>
    </row>
    <row r="700" spans="1:24" x14ac:dyDescent="0.2">
      <c r="A700" s="45"/>
      <c r="B700" s="16">
        <f t="shared" si="186"/>
        <v>23</v>
      </c>
      <c r="C700" s="1" t="s">
        <v>195</v>
      </c>
      <c r="D700" s="1" t="s">
        <v>170</v>
      </c>
      <c r="E700" s="16"/>
      <c r="F700" s="97">
        <f>' WP II-I-1.4'!L700</f>
        <v>31927788.229999892</v>
      </c>
      <c r="G700" s="16" t="s">
        <v>751</v>
      </c>
      <c r="H700" s="45" t="s">
        <v>303</v>
      </c>
      <c r="I700" s="16"/>
      <c r="J700" s="369">
        <f>'II-I-DIST'!J700+'II-I-MET'!J700+'II-I-TBILLTDCS'!J700</f>
        <v>17635369.565235063</v>
      </c>
      <c r="K700" s="369">
        <f>'II-I-DIST'!K700+'II-I-MET'!K700+'II-I-TBILLTDCS'!K700</f>
        <v>336753.93293514859</v>
      </c>
      <c r="L700" s="369">
        <f>'II-I-DIST'!L700+'II-I-MET'!L700+'II-I-TBILLTDCS'!L700</f>
        <v>11324604.102942139</v>
      </c>
      <c r="M700" s="369">
        <f>'II-I-DIST'!M700+'II-I-MET'!M700+'II-I-TBILLTDCS'!M700</f>
        <v>4545.0927013660175</v>
      </c>
      <c r="N700" s="369">
        <f>'II-I-DIST'!N700+'II-I-MET'!N700+'II-I-TBILLTDCS'!N700</f>
        <v>2432196.6491772612</v>
      </c>
      <c r="O700" s="369">
        <f>'II-I-DIST'!O700+'II-I-MET'!O700+'II-I-TBILLTDCS'!O700</f>
        <v>172.86925207625762</v>
      </c>
      <c r="P700" s="369">
        <f>'II-I-DIST'!P700+'II-I-MET'!P700+'II-I-TBILLTDCS'!P700</f>
        <v>360.58616997501599</v>
      </c>
      <c r="Q700" s="369">
        <f>'II-I-DIST'!Q700+'II-I-MET'!Q700+'II-I-TBILLTDCS'!Q700</f>
        <v>100596.03597150088</v>
      </c>
      <c r="R700" s="369">
        <f>'II-I-DIST'!R700+'II-I-MET'!R700+'II-I-TBILLTDCS'!R700</f>
        <v>19.089856057500846</v>
      </c>
      <c r="S700" s="369">
        <f>'II-I-DIST'!S700+'II-I-MET'!S700+'II-I-TBILLTDCS'!S700</f>
        <v>93170.30575931097</v>
      </c>
      <c r="T700" s="16"/>
      <c r="U700" s="97">
        <f t="shared" si="190"/>
        <v>31927788.229999896</v>
      </c>
      <c r="V700" s="64"/>
      <c r="X700" s="305">
        <f t="shared" si="177"/>
        <v>0</v>
      </c>
    </row>
    <row r="701" spans="1:24" x14ac:dyDescent="0.2">
      <c r="A701" s="45"/>
      <c r="B701" s="16">
        <f t="shared" si="186"/>
        <v>24</v>
      </c>
      <c r="C701" s="1" t="s">
        <v>196</v>
      </c>
      <c r="D701" s="1" t="s">
        <v>197</v>
      </c>
      <c r="E701" s="16"/>
      <c r="F701" s="97">
        <f>' WP II-I-1.4'!L701</f>
        <v>3832948.6999999969</v>
      </c>
      <c r="G701" s="16" t="s">
        <v>751</v>
      </c>
      <c r="H701" s="45" t="s">
        <v>303</v>
      </c>
      <c r="I701" s="16"/>
      <c r="J701" s="369">
        <f>'II-I-DIST'!J701+'II-I-MET'!J701+'II-I-TBILLTDCS'!J701</f>
        <v>2251221.5448682168</v>
      </c>
      <c r="K701" s="369">
        <f>'II-I-DIST'!K701+'II-I-MET'!K701+'II-I-TBILLTDCS'!K701</f>
        <v>42532.55221459009</v>
      </c>
      <c r="L701" s="369">
        <f>'II-I-DIST'!L701+'II-I-MET'!L701+'II-I-TBILLTDCS'!L701</f>
        <v>1445968.378854099</v>
      </c>
      <c r="M701" s="369">
        <f>'II-I-DIST'!M701+'II-I-MET'!M701+'II-I-TBILLTDCS'!M701</f>
        <v>70.027203602930427</v>
      </c>
      <c r="N701" s="369">
        <f>'II-I-DIST'!N701+'II-I-MET'!N701+'II-I-TBILLTDCS'!N701</f>
        <v>43902.60189279246</v>
      </c>
      <c r="O701" s="369">
        <f>'II-I-DIST'!O701+'II-I-MET'!O701+'II-I-TBILLTDCS'!O701</f>
        <v>7343.6518700937622</v>
      </c>
      <c r="P701" s="369">
        <f>'II-I-DIST'!P701+'II-I-MET'!P701+'II-I-TBILLTDCS'!P701</f>
        <v>26858.741612712427</v>
      </c>
      <c r="Q701" s="369">
        <f>'II-I-DIST'!Q701+'II-I-MET'!Q701+'II-I-TBILLTDCS'!Q701</f>
        <v>12859.065617426677</v>
      </c>
      <c r="R701" s="369">
        <f>'II-I-DIST'!R701+'II-I-MET'!R701+'II-I-TBILLTDCS'!R701</f>
        <v>507.6238508403797</v>
      </c>
      <c r="S701" s="369">
        <f>'II-I-DIST'!S701+'II-I-MET'!S701+'II-I-TBILLTDCS'!S701</f>
        <v>1684.5120156220135</v>
      </c>
      <c r="T701" s="16"/>
      <c r="U701" s="97">
        <f t="shared" si="190"/>
        <v>3832948.6999999965</v>
      </c>
      <c r="V701" s="64"/>
      <c r="X701" s="305">
        <f t="shared" ref="X701:X763" si="191">U701-F701</f>
        <v>0</v>
      </c>
    </row>
    <row r="702" spans="1:24" x14ac:dyDescent="0.2">
      <c r="A702" s="45"/>
      <c r="B702" s="16">
        <f t="shared" si="186"/>
        <v>25</v>
      </c>
      <c r="C702" s="1" t="s">
        <v>198</v>
      </c>
      <c r="D702" s="1" t="s">
        <v>199</v>
      </c>
      <c r="E702" s="16"/>
      <c r="F702" s="97">
        <f>' WP II-I-1.4'!L702</f>
        <v>10474679.369999968</v>
      </c>
      <c r="G702" s="16" t="s">
        <v>751</v>
      </c>
      <c r="H702" s="45" t="s">
        <v>303</v>
      </c>
      <c r="I702" s="16"/>
      <c r="J702" s="369">
        <f>'II-I-DIST'!J702+'II-I-MET'!J702+'II-I-TBILLTDCS'!J702</f>
        <v>0</v>
      </c>
      <c r="K702" s="369">
        <f>'II-I-DIST'!K702+'II-I-MET'!K702+'II-I-TBILLTDCS'!K702</f>
        <v>0</v>
      </c>
      <c r="L702" s="369">
        <f>'II-I-DIST'!L702+'II-I-MET'!L702+'II-I-TBILLTDCS'!L702</f>
        <v>0</v>
      </c>
      <c r="M702" s="369">
        <f>'II-I-DIST'!M702+'II-I-MET'!M702+'II-I-TBILLTDCS'!M702</f>
        <v>0</v>
      </c>
      <c r="N702" s="369">
        <f>'II-I-DIST'!N702+'II-I-MET'!N702+'II-I-TBILLTDCS'!N702</f>
        <v>0</v>
      </c>
      <c r="O702" s="369">
        <f>'II-I-DIST'!O702+'II-I-MET'!O702+'II-I-TBILLTDCS'!O702</f>
        <v>0</v>
      </c>
      <c r="P702" s="369">
        <f>'II-I-DIST'!P702+'II-I-MET'!P702+'II-I-TBILLTDCS'!P702</f>
        <v>0</v>
      </c>
      <c r="Q702" s="369">
        <f>'II-I-DIST'!Q702+'II-I-MET'!Q702+'II-I-TBILLTDCS'!Q702</f>
        <v>10474679.369999968</v>
      </c>
      <c r="R702" s="369">
        <f>'II-I-DIST'!R702+'II-I-MET'!R702+'II-I-TBILLTDCS'!R702</f>
        <v>0</v>
      </c>
      <c r="S702" s="369">
        <f>'II-I-DIST'!S702+'II-I-MET'!S702+'II-I-TBILLTDCS'!S702</f>
        <v>0</v>
      </c>
      <c r="T702" s="16"/>
      <c r="U702" s="97">
        <f t="shared" si="190"/>
        <v>10474679.369999968</v>
      </c>
      <c r="V702" s="64"/>
      <c r="X702" s="305">
        <f t="shared" si="191"/>
        <v>0</v>
      </c>
    </row>
    <row r="703" spans="1:24" x14ac:dyDescent="0.2">
      <c r="A703" s="45"/>
      <c r="B703" s="16">
        <f t="shared" si="186"/>
        <v>26</v>
      </c>
      <c r="C703" s="1" t="s">
        <v>200</v>
      </c>
      <c r="D703" s="1" t="s">
        <v>201</v>
      </c>
      <c r="E703" s="16"/>
      <c r="F703" s="97">
        <f>' WP II-I-1.4'!L703</f>
        <v>22948047.090000018</v>
      </c>
      <c r="G703" s="16" t="s">
        <v>751</v>
      </c>
      <c r="H703" s="45" t="s">
        <v>303</v>
      </c>
      <c r="I703" s="16"/>
      <c r="J703" s="369">
        <f>'II-I-DIST'!J703+'II-I-MET'!J703+'II-I-TBILLTDCS'!J703</f>
        <v>11979878.212786892</v>
      </c>
      <c r="K703" s="369">
        <f>'II-I-DIST'!K703+'II-I-MET'!K703+'II-I-TBILLTDCS'!K703</f>
        <v>1680598.1683413044</v>
      </c>
      <c r="L703" s="369">
        <f>'II-I-DIST'!L703+'II-I-MET'!L703+'II-I-TBILLTDCS'!L703</f>
        <v>6609247.0595895182</v>
      </c>
      <c r="M703" s="369">
        <f>'II-I-DIST'!M703+'II-I-MET'!M703+'II-I-TBILLTDCS'!M703</f>
        <v>278328.9684036026</v>
      </c>
      <c r="N703" s="369">
        <f>'II-I-DIST'!N703+'II-I-MET'!N703+'II-I-TBILLTDCS'!N703</f>
        <v>2143279.9864433799</v>
      </c>
      <c r="O703" s="369">
        <f>'II-I-DIST'!O703+'II-I-MET'!O703+'II-I-TBILLTDCS'!O703</f>
        <v>70325.728185731743</v>
      </c>
      <c r="P703" s="369">
        <f>'II-I-DIST'!P703+'II-I-MET'!P703+'II-I-TBILLTDCS'!P703</f>
        <v>146691.70296410308</v>
      </c>
      <c r="Q703" s="369">
        <f>'II-I-DIST'!Q703+'II-I-MET'!Q703+'II-I-TBILLTDCS'!Q703</f>
        <v>12216.054342370096</v>
      </c>
      <c r="R703" s="369">
        <f>'II-I-DIST'!R703+'II-I-MET'!R703+'II-I-TBILLTDCS'!R703</f>
        <v>7766.0313333936929</v>
      </c>
      <c r="S703" s="369">
        <f>'II-I-DIST'!S703+'II-I-MET'!S703+'II-I-TBILLTDCS'!S703</f>
        <v>19715.177609718274</v>
      </c>
      <c r="T703" s="16"/>
      <c r="U703" s="97">
        <f t="shared" si="190"/>
        <v>22948047.090000018</v>
      </c>
      <c r="V703" s="64"/>
      <c r="X703" s="305">
        <f t="shared" si="191"/>
        <v>0</v>
      </c>
    </row>
    <row r="704" spans="1:24" x14ac:dyDescent="0.2">
      <c r="A704" s="45"/>
      <c r="B704" s="16">
        <f t="shared" si="186"/>
        <v>27</v>
      </c>
      <c r="C704" s="1" t="s">
        <v>202</v>
      </c>
      <c r="D704" s="1" t="s">
        <v>203</v>
      </c>
      <c r="E704" s="16"/>
      <c r="F704" s="97">
        <f>' WP II-I-1.4'!L704</f>
        <v>2338360.3600000017</v>
      </c>
      <c r="G704" s="16" t="s">
        <v>751</v>
      </c>
      <c r="H704" s="45" t="s">
        <v>303</v>
      </c>
      <c r="I704" s="16"/>
      <c r="J704" s="370">
        <f ca="1">'II-I-DIST'!J704+'II-I-MET'!J704+'II-I-TBILLTDCS'!J704</f>
        <v>1203097.1004384866</v>
      </c>
      <c r="K704" s="370">
        <f ca="1">'II-I-DIST'!K704+'II-I-MET'!K704+'II-I-TBILLTDCS'!K704</f>
        <v>23338.889284660363</v>
      </c>
      <c r="L704" s="370">
        <f ca="1">'II-I-DIST'!L704+'II-I-MET'!L704+'II-I-TBILLTDCS'!L704</f>
        <v>772299.65282861213</v>
      </c>
      <c r="M704" s="370">
        <f ca="1">'II-I-DIST'!M704+'II-I-MET'!M704+'II-I-TBILLTDCS'!M704</f>
        <v>408.17830232999404</v>
      </c>
      <c r="N704" s="370">
        <f ca="1">'II-I-DIST'!N704+'II-I-MET'!N704+'II-I-TBILLTDCS'!N704</f>
        <v>184256.12806932448</v>
      </c>
      <c r="O704" s="370">
        <f ca="1">'II-I-DIST'!O704+'II-I-MET'!O704+'II-I-TBILLTDCS'!O704</f>
        <v>5247.818633230243</v>
      </c>
      <c r="P704" s="370">
        <f ca="1">'II-I-DIST'!P704+'II-I-MET'!P704+'II-I-TBILLTDCS'!P704</f>
        <v>408.45297980502437</v>
      </c>
      <c r="Q704" s="370">
        <f ca="1">'II-I-DIST'!Q704+'II-I-MET'!Q704+'II-I-TBILLTDCS'!Q704</f>
        <v>141896.38550695477</v>
      </c>
      <c r="R704" s="370">
        <f ca="1">'II-I-DIST'!R704+'II-I-MET'!R704+'II-I-TBILLTDCS'!R704</f>
        <v>363.96537249712264</v>
      </c>
      <c r="S704" s="370">
        <f ca="1">'II-I-DIST'!S704+'II-I-MET'!S704+'II-I-TBILLTDCS'!S704</f>
        <v>7043.7885841009384</v>
      </c>
      <c r="T704" s="16"/>
      <c r="U704" s="97">
        <f t="shared" ca="1" si="190"/>
        <v>2338360.3600000022</v>
      </c>
      <c r="V704" s="64"/>
      <c r="X704" s="305">
        <f t="shared" ca="1" si="191"/>
        <v>0</v>
      </c>
    </row>
    <row r="705" spans="1:24" ht="15" x14ac:dyDescent="0.25">
      <c r="A705" s="45"/>
      <c r="B705" s="16">
        <f t="shared" si="186"/>
        <v>28</v>
      </c>
      <c r="C705" s="8"/>
      <c r="D705" s="233" t="s">
        <v>584</v>
      </c>
      <c r="E705" s="19"/>
      <c r="F705" s="21">
        <f>SUM(F696:F704)</f>
        <v>209051919.30000001</v>
      </c>
      <c r="G705" s="19"/>
      <c r="H705" s="19"/>
      <c r="I705" s="19"/>
      <c r="J705" s="805">
        <f t="shared" ref="J705:Q705" ca="1" si="192">SUM(J696:J704)</f>
        <v>107720543.01896735</v>
      </c>
      <c r="K705" s="805">
        <f t="shared" ca="1" si="192"/>
        <v>3542016.1943554077</v>
      </c>
      <c r="L705" s="805">
        <f t="shared" ca="1" si="192"/>
        <v>68064603.133470252</v>
      </c>
      <c r="M705" s="805">
        <f t="shared" ca="1" si="192"/>
        <v>311596.02539540664</v>
      </c>
      <c r="N705" s="805">
        <f t="shared" ca="1" si="192"/>
        <v>16806990.530868169</v>
      </c>
      <c r="O705" s="805">
        <f ca="1">SUM(O696:O704)</f>
        <v>487993.10136737797</v>
      </c>
      <c r="P705" s="805">
        <f t="shared" ca="1" si="192"/>
        <v>179603.90669545607</v>
      </c>
      <c r="Q705" s="805">
        <f t="shared" ca="1" si="192"/>
        <v>11321726.474019328</v>
      </c>
      <c r="R705" s="805">
        <f ca="1">SUM(R696:R704)</f>
        <v>36741.849110648582</v>
      </c>
      <c r="S705" s="805">
        <f ca="1">SUM(S696:S704)</f>
        <v>580105.06575061905</v>
      </c>
      <c r="T705" s="19"/>
      <c r="U705" s="235">
        <f t="shared" ca="1" si="190"/>
        <v>209051919.30000001</v>
      </c>
      <c r="V705" s="64"/>
      <c r="W705" s="1099" t="b">
        <f ca="1">' WP II-I-1.4'!$L$705=U705</f>
        <v>1</v>
      </c>
      <c r="X705" s="305">
        <f t="shared" ca="1" si="191"/>
        <v>0</v>
      </c>
    </row>
    <row r="706" spans="1:24" x14ac:dyDescent="0.2">
      <c r="A706" s="45"/>
      <c r="B706" s="16">
        <f t="shared" si="186"/>
        <v>29</v>
      </c>
      <c r="C706" s="1"/>
      <c r="D706" s="1"/>
      <c r="E706" s="16"/>
      <c r="F706" s="18"/>
      <c r="G706" s="16"/>
      <c r="H706" s="16"/>
      <c r="I706" s="1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6"/>
      <c r="U706" s="1"/>
      <c r="V706" s="64"/>
      <c r="X706" s="305">
        <f t="shared" si="191"/>
        <v>0</v>
      </c>
    </row>
    <row r="707" spans="1:24" ht="15" x14ac:dyDescent="0.25">
      <c r="A707" s="45"/>
      <c r="B707" s="16">
        <f t="shared" si="186"/>
        <v>30</v>
      </c>
      <c r="C707" s="8"/>
      <c r="D707" s="233" t="s">
        <v>585</v>
      </c>
      <c r="E707" s="19"/>
      <c r="F707" s="21">
        <f>SUM(F697:F703)</f>
        <v>203380529.88</v>
      </c>
      <c r="G707" s="19"/>
      <c r="H707" s="19"/>
      <c r="I707" s="19"/>
      <c r="J707" s="21">
        <f t="shared" ref="J707:Q707" ca="1" si="193">SUM(J697:J703)</f>
        <v>104797905.0730073</v>
      </c>
      <c r="K707" s="21">
        <f t="shared" ca="1" si="193"/>
        <v>3443440.010264223</v>
      </c>
      <c r="L707" s="21">
        <f t="shared" ca="1" si="193"/>
        <v>66219744.60726288</v>
      </c>
      <c r="M707" s="21">
        <f t="shared" ca="1" si="193"/>
        <v>302673.10951691365</v>
      </c>
      <c r="N707" s="21">
        <f t="shared" ca="1" si="193"/>
        <v>16350460.504291175</v>
      </c>
      <c r="O707" s="21">
        <f ca="1">SUM(O697:O703)</f>
        <v>474720.08688115299</v>
      </c>
      <c r="P707" s="21">
        <f t="shared" ca="1" si="193"/>
        <v>174487.17588639533</v>
      </c>
      <c r="Q707" s="21">
        <f t="shared" ca="1" si="193"/>
        <v>11016909.554305993</v>
      </c>
      <c r="R707" s="21">
        <f ca="1">SUM(R697:R703)</f>
        <v>35737.75949302673</v>
      </c>
      <c r="S707" s="21">
        <f ca="1">SUM(S697:S703)</f>
        <v>564451.99909092032</v>
      </c>
      <c r="T707" s="19"/>
      <c r="U707" s="235">
        <f ca="1">SUM(I707:T707)</f>
        <v>203380529.88</v>
      </c>
      <c r="V707" s="64"/>
      <c r="W707" s="1099" t="b">
        <f ca="1">' WP II-I-1.4'!$L$707=U707</f>
        <v>1</v>
      </c>
      <c r="X707" s="305">
        <f t="shared" ca="1" si="191"/>
        <v>0</v>
      </c>
    </row>
    <row r="708" spans="1:24" ht="15" thickBot="1" x14ac:dyDescent="0.25">
      <c r="A708" s="45"/>
      <c r="B708" s="16">
        <f t="shared" si="186"/>
        <v>31</v>
      </c>
      <c r="C708" s="1"/>
      <c r="D708" s="1"/>
      <c r="E708" s="16"/>
      <c r="F708" s="18"/>
      <c r="G708" s="16"/>
      <c r="H708" s="16"/>
      <c r="I708" s="1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6"/>
      <c r="U708" s="1"/>
      <c r="V708" s="64"/>
      <c r="X708" s="305">
        <f t="shared" si="191"/>
        <v>0</v>
      </c>
    </row>
    <row r="709" spans="1:24" ht="15.75" thickBot="1" x14ac:dyDescent="0.3">
      <c r="A709" s="45"/>
      <c r="B709" s="16">
        <f t="shared" si="186"/>
        <v>32</v>
      </c>
      <c r="C709" s="779" t="s">
        <v>586</v>
      </c>
      <c r="D709" s="920"/>
      <c r="E709" s="916" t="s">
        <v>143</v>
      </c>
      <c r="F709" s="917">
        <f>+F705+F690</f>
        <v>425598233.13</v>
      </c>
      <c r="G709" s="916"/>
      <c r="H709" s="916"/>
      <c r="I709" s="919"/>
      <c r="J709" s="917">
        <f t="shared" ref="J709:Q709" ca="1" si="194">+J705+J690</f>
        <v>222708688.41301343</v>
      </c>
      <c r="K709" s="917">
        <f t="shared" ca="1" si="194"/>
        <v>8677661.8515872508</v>
      </c>
      <c r="L709" s="917">
        <f t="shared" ca="1" si="194"/>
        <v>139710201.98163271</v>
      </c>
      <c r="M709" s="917">
        <f t="shared" ca="1" si="194"/>
        <v>903036.61078225542</v>
      </c>
      <c r="N709" s="917">
        <f t="shared" ca="1" si="194"/>
        <v>36459809.212817863</v>
      </c>
      <c r="O709" s="917">
        <f ca="1">+O705+O690</f>
        <v>3181336.4285280365</v>
      </c>
      <c r="P709" s="917">
        <f t="shared" ca="1" si="194"/>
        <v>478502.90532767971</v>
      </c>
      <c r="Q709" s="917">
        <f t="shared" ca="1" si="194"/>
        <v>12054165.902150238</v>
      </c>
      <c r="R709" s="917">
        <f ca="1">+R705+R690</f>
        <v>225783.96911817582</v>
      </c>
      <c r="S709" s="917">
        <f ca="1">+S705+S690</f>
        <v>1199045.8550423593</v>
      </c>
      <c r="T709" s="919"/>
      <c r="U709" s="918">
        <f ca="1">SUM(I709:T709)</f>
        <v>425598233.12999994</v>
      </c>
      <c r="V709" s="64"/>
      <c r="W709" s="1099">
        <f ca="1">' WP II-I-1.4'!$L$709-U709</f>
        <v>0</v>
      </c>
      <c r="X709" s="305">
        <f t="shared" ca="1" si="191"/>
        <v>0</v>
      </c>
    </row>
    <row r="710" spans="1:24" ht="15" x14ac:dyDescent="0.25">
      <c r="A710" s="45"/>
      <c r="B710" s="16"/>
      <c r="C710" s="1"/>
      <c r="D710" s="8"/>
      <c r="E710" s="19"/>
      <c r="F710" s="21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"/>
      <c r="V710" s="64"/>
      <c r="X710" s="305">
        <f t="shared" si="191"/>
        <v>0</v>
      </c>
    </row>
    <row r="711" spans="1:24" ht="15.75" thickBot="1" x14ac:dyDescent="0.3">
      <c r="A711" s="45"/>
      <c r="B711" s="16"/>
      <c r="C711" s="1"/>
      <c r="D711" s="8"/>
      <c r="E711" s="19"/>
      <c r="F711" s="21"/>
      <c r="G711" s="19"/>
      <c r="H711" s="105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05"/>
      <c r="V711" s="105"/>
      <c r="X711" s="305"/>
    </row>
    <row r="712" spans="1:24" ht="15" x14ac:dyDescent="0.25">
      <c r="A712" s="45"/>
      <c r="B712" s="829" t="str">
        <f>+$B$4</f>
        <v>2025 RATE CASE</v>
      </c>
      <c r="C712" s="844"/>
      <c r="D712" s="872"/>
      <c r="F712" s="267"/>
      <c r="U712" s="105"/>
      <c r="X712" s="305">
        <f t="shared" si="191"/>
        <v>0</v>
      </c>
    </row>
    <row r="713" spans="1:24" ht="15" x14ac:dyDescent="0.25">
      <c r="A713" s="45"/>
      <c r="B713" s="826" t="str">
        <f>+$B$5</f>
        <v>ONCOR ELECTRIC DELIVERY COMPANY LLC</v>
      </c>
      <c r="C713" s="8"/>
      <c r="D713" s="873"/>
      <c r="F713" s="267"/>
      <c r="U713" s="105"/>
      <c r="V713" s="64"/>
      <c r="X713" s="305">
        <f t="shared" si="191"/>
        <v>0</v>
      </c>
    </row>
    <row r="714" spans="1:24" ht="15" x14ac:dyDescent="0.25">
      <c r="A714" s="45"/>
      <c r="B714" s="826" t="str">
        <f>+$B$6</f>
        <v>II-I-1-TOT:  CLASS REVENUE REQUIREMENT</v>
      </c>
      <c r="C714" s="82"/>
      <c r="D714" s="873"/>
      <c r="F714" s="267"/>
      <c r="U714" s="267"/>
      <c r="V714" s="64"/>
      <c r="X714" s="305">
        <f t="shared" si="191"/>
        <v>0</v>
      </c>
    </row>
    <row r="715" spans="1:24" ht="15" x14ac:dyDescent="0.25">
      <c r="A715" s="45"/>
      <c r="B715" s="341" t="str">
        <f>+$B$7</f>
        <v>TEST YEAR ENDING 12/31/2024</v>
      </c>
      <c r="C715" s="82"/>
      <c r="D715" s="873"/>
      <c r="F715" s="267"/>
      <c r="U715" s="267"/>
      <c r="V715" s="64"/>
      <c r="X715" s="305">
        <f t="shared" si="191"/>
        <v>0</v>
      </c>
    </row>
    <row r="716" spans="1:24" ht="15" x14ac:dyDescent="0.25">
      <c r="A716" s="45"/>
      <c r="B716" s="341" t="str">
        <f>+$B$8</f>
        <v>SPONSOR:  MATTHEW A. TROXLE</v>
      </c>
      <c r="C716" s="82"/>
      <c r="D716" s="873"/>
      <c r="F716" s="267"/>
      <c r="U716" s="267"/>
      <c r="V716" s="64"/>
      <c r="X716" s="305">
        <f t="shared" si="191"/>
        <v>0</v>
      </c>
    </row>
    <row r="717" spans="1:24" ht="15.75" thickBot="1" x14ac:dyDescent="0.3">
      <c r="A717" s="45"/>
      <c r="B717" s="345"/>
      <c r="C717" s="843"/>
      <c r="D717" s="845"/>
      <c r="F717" s="267"/>
      <c r="U717" s="267"/>
      <c r="V717" s="64"/>
      <c r="X717" s="305">
        <f t="shared" si="191"/>
        <v>0</v>
      </c>
    </row>
    <row r="718" spans="1:24" ht="15" thickBot="1" x14ac:dyDescent="0.25">
      <c r="A718" s="45"/>
      <c r="B718" s="12"/>
      <c r="C718" s="13"/>
      <c r="D718" s="13"/>
      <c r="E718" s="13"/>
      <c r="F718" s="12"/>
      <c r="G718" s="13"/>
      <c r="H718" s="13"/>
      <c r="I718" s="13"/>
      <c r="J718" s="177"/>
      <c r="K718" s="177"/>
      <c r="L718" s="13"/>
      <c r="M718" s="177"/>
      <c r="N718" s="177"/>
      <c r="O718" s="177"/>
      <c r="P718" s="177"/>
      <c r="Q718" s="13"/>
      <c r="R718" s="328" t="str">
        <f>R$10</f>
        <v xml:space="preserve"> </v>
      </c>
      <c r="S718" s="329"/>
      <c r="T718" s="177"/>
      <c r="U718" s="12"/>
      <c r="V718" s="64"/>
      <c r="X718" s="305">
        <f t="shared" si="191"/>
        <v>0</v>
      </c>
    </row>
    <row r="719" spans="1:24" ht="15" x14ac:dyDescent="0.25">
      <c r="A719" s="45"/>
      <c r="B719" s="14" t="s">
        <v>2</v>
      </c>
      <c r="C719" s="14" t="s">
        <v>349</v>
      </c>
      <c r="D719" s="226" t="s">
        <v>587</v>
      </c>
      <c r="E719" s="14" t="s">
        <v>350</v>
      </c>
      <c r="F719" s="226" t="str">
        <f>F$11</f>
        <v>TOTAL</v>
      </c>
      <c r="G719" s="181" t="s">
        <v>688</v>
      </c>
      <c r="H719" s="181" t="s">
        <v>355</v>
      </c>
      <c r="I719" s="14"/>
      <c r="J719" s="181" t="s">
        <v>679</v>
      </c>
      <c r="K719" s="181" t="s">
        <v>388</v>
      </c>
      <c r="L719" s="14" t="s">
        <v>388</v>
      </c>
      <c r="M719" s="181" t="s">
        <v>389</v>
      </c>
      <c r="N719" s="181" t="s">
        <v>389</v>
      </c>
      <c r="O719" s="181" t="s">
        <v>389</v>
      </c>
      <c r="P719" s="181" t="s">
        <v>390</v>
      </c>
      <c r="Q719" s="14" t="s">
        <v>391</v>
      </c>
      <c r="R719" s="331" t="str">
        <f>R$11</f>
        <v>Wholesale</v>
      </c>
      <c r="S719" s="12" t="str">
        <f>S$11</f>
        <v>Wholesale</v>
      </c>
      <c r="T719" s="181"/>
      <c r="U719" s="14" t="s">
        <v>10</v>
      </c>
      <c r="V719" s="64"/>
      <c r="X719" s="305"/>
    </row>
    <row r="720" spans="1:24" x14ac:dyDescent="0.2">
      <c r="A720" s="45"/>
      <c r="B720" s="14"/>
      <c r="C720" s="14"/>
      <c r="D720" s="14"/>
      <c r="E720" s="14"/>
      <c r="F720" s="14" t="str">
        <f>F$12</f>
        <v>(Dist+Met+Cust)</v>
      </c>
      <c r="G720" s="181" t="s">
        <v>689</v>
      </c>
      <c r="H720" s="181" t="s">
        <v>690</v>
      </c>
      <c r="I720" s="14"/>
      <c r="J720" s="181"/>
      <c r="K720" s="181" t="s">
        <v>680</v>
      </c>
      <c r="L720" s="14" t="s">
        <v>681</v>
      </c>
      <c r="M720" s="181" t="s">
        <v>680</v>
      </c>
      <c r="N720" s="181" t="s">
        <v>681</v>
      </c>
      <c r="O720" s="181" t="s">
        <v>393</v>
      </c>
      <c r="P720" s="181"/>
      <c r="Q720" s="14"/>
      <c r="R720" s="174" t="str">
        <f>R$12</f>
        <v>XFMR</v>
      </c>
      <c r="S720" s="14" t="str">
        <f>S$12</f>
        <v>DLS</v>
      </c>
      <c r="T720" s="181"/>
      <c r="U720" s="14"/>
      <c r="V720" s="64"/>
      <c r="X720" s="305"/>
    </row>
    <row r="721" spans="1:24" ht="15" thickBot="1" x14ac:dyDescent="0.25">
      <c r="A721" s="45"/>
      <c r="B721" s="15"/>
      <c r="C721" s="15"/>
      <c r="D721" s="15"/>
      <c r="E721" s="15"/>
      <c r="F721" s="15" t="s">
        <v>13</v>
      </c>
      <c r="G721" s="15" t="s">
        <v>14</v>
      </c>
      <c r="H721" s="15" t="s">
        <v>15</v>
      </c>
      <c r="I721" s="15"/>
      <c r="J721" s="182" t="str">
        <f t="shared" ref="J721:Q721" si="195">J$13</f>
        <v>(d)</v>
      </c>
      <c r="K721" s="182" t="str">
        <f t="shared" si="195"/>
        <v>(e)</v>
      </c>
      <c r="L721" s="15" t="str">
        <f t="shared" si="195"/>
        <v>(f)</v>
      </c>
      <c r="M721" s="182" t="str">
        <f t="shared" si="195"/>
        <v>(g)</v>
      </c>
      <c r="N721" s="182" t="str">
        <f t="shared" si="195"/>
        <v>(h)</v>
      </c>
      <c r="O721" s="182" t="str">
        <f>O$13</f>
        <v>(i)</v>
      </c>
      <c r="P721" s="182" t="str">
        <f t="shared" si="195"/>
        <v>(j)</v>
      </c>
      <c r="Q721" s="182" t="str">
        <f t="shared" si="195"/>
        <v>(k)</v>
      </c>
      <c r="R721" s="182" t="str">
        <f>R$13</f>
        <v>(l)</v>
      </c>
      <c r="S721" s="15" t="str">
        <f>S$13</f>
        <v>(m)</v>
      </c>
      <c r="T721" s="15"/>
      <c r="U721" s="15" t="s">
        <v>683</v>
      </c>
      <c r="V721" s="64"/>
      <c r="X721" s="305"/>
    </row>
    <row r="722" spans="1:24" x14ac:dyDescent="0.2">
      <c r="A722" s="45"/>
      <c r="B722" s="45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41"/>
      <c r="V722" s="64"/>
      <c r="X722" s="305">
        <f t="shared" si="191"/>
        <v>0</v>
      </c>
    </row>
    <row r="723" spans="1:24" ht="15" x14ac:dyDescent="0.25">
      <c r="A723" s="45"/>
      <c r="B723" s="16">
        <f>B710+1</f>
        <v>1</v>
      </c>
      <c r="C723" s="8"/>
      <c r="D723" s="301" t="s">
        <v>588</v>
      </c>
      <c r="E723" s="19" t="s">
        <v>143</v>
      </c>
      <c r="F723" s="8"/>
      <c r="G723" s="19"/>
      <c r="H723" s="19"/>
      <c r="I723" s="19"/>
      <c r="J723" s="961"/>
      <c r="K723" s="961"/>
      <c r="L723" s="961"/>
      <c r="M723" s="961"/>
      <c r="N723" s="961"/>
      <c r="O723" s="961"/>
      <c r="P723" s="961"/>
      <c r="Q723" s="961"/>
      <c r="R723" s="961"/>
      <c r="S723" s="961"/>
      <c r="T723" s="19"/>
      <c r="U723" s="8"/>
      <c r="V723" s="64"/>
      <c r="X723" s="305">
        <f t="shared" si="191"/>
        <v>0</v>
      </c>
    </row>
    <row r="724" spans="1:24" x14ac:dyDescent="0.2">
      <c r="A724" s="45"/>
      <c r="B724" s="16">
        <f t="shared" ref="B724:B738" si="196">B723+1</f>
        <v>2</v>
      </c>
      <c r="C724" s="1" t="s">
        <v>205</v>
      </c>
      <c r="D724" s="1" t="s">
        <v>206</v>
      </c>
      <c r="E724" s="16"/>
      <c r="F724" s="97">
        <f>' WP II-I-1.4'!L724</f>
        <v>109658</v>
      </c>
      <c r="G724" s="16" t="s">
        <v>751</v>
      </c>
      <c r="H724" s="45" t="s">
        <v>303</v>
      </c>
      <c r="I724" s="16"/>
      <c r="J724" s="369">
        <f>'II-I-DIST'!J724+'II-I-MET'!J724+'II-I-TBILLTDCS'!J724</f>
        <v>57246.24321649778</v>
      </c>
      <c r="K724" s="369">
        <f>'II-I-DIST'!K724+'II-I-MET'!K724+'II-I-TBILLTDCS'!K724</f>
        <v>8030.7937848131114</v>
      </c>
      <c r="L724" s="369">
        <f>'II-I-DIST'!L724+'II-I-MET'!L724+'II-I-TBILLTDCS'!L724</f>
        <v>31582.505091524406</v>
      </c>
      <c r="M724" s="369">
        <f>'II-I-DIST'!M724+'II-I-MET'!M724+'II-I-TBILLTDCS'!M724</f>
        <v>1330.0041566718883</v>
      </c>
      <c r="N724" s="369">
        <f>'II-I-DIST'!N724+'II-I-MET'!N724+'II-I-TBILLTDCS'!N724</f>
        <v>10241.734114962021</v>
      </c>
      <c r="O724" s="369">
        <f>'II-I-DIST'!O724+'II-I-MET'!O724+'II-I-TBILLTDCS'!O724</f>
        <v>336.0538119494928</v>
      </c>
      <c r="P724" s="369">
        <f>'II-I-DIST'!P724+'II-I-MET'!P724+'II-I-TBILLTDCS'!P724</f>
        <v>700.97114148973981</v>
      </c>
      <c r="Q724" s="369">
        <f>'II-I-DIST'!Q724+'II-I-MET'!Q724+'II-I-TBILLTDCS'!Q724</f>
        <v>58.374818642383175</v>
      </c>
      <c r="R724" s="369">
        <f>'II-I-DIST'!R724+'II-I-MET'!R724+'II-I-TBILLTDCS'!R724</f>
        <v>37.110236902397993</v>
      </c>
      <c r="S724" s="369">
        <f>'II-I-DIST'!S724+'II-I-MET'!S724+'II-I-TBILLTDCS'!S724</f>
        <v>94.209626546765335</v>
      </c>
      <c r="T724" s="16"/>
      <c r="U724" s="97">
        <f t="shared" ref="U724:U729" si="197">SUM(I724:T724)</f>
        <v>109657.99999999999</v>
      </c>
      <c r="V724" s="64"/>
      <c r="X724" s="305">
        <f t="shared" si="191"/>
        <v>0</v>
      </c>
    </row>
    <row r="725" spans="1:24" x14ac:dyDescent="0.2">
      <c r="A725" s="45"/>
      <c r="B725" s="16">
        <f t="shared" si="196"/>
        <v>3</v>
      </c>
      <c r="C725" s="1" t="s">
        <v>207</v>
      </c>
      <c r="D725" s="1" t="s">
        <v>208</v>
      </c>
      <c r="E725" s="16"/>
      <c r="F725" s="97">
        <f>' WP II-I-1.4'!L725</f>
        <v>62522.26</v>
      </c>
      <c r="G725" s="16" t="s">
        <v>751</v>
      </c>
      <c r="H725" s="45" t="s">
        <v>303</v>
      </c>
      <c r="I725" s="16"/>
      <c r="J725" s="369">
        <f>'II-I-DIST'!J725+'II-I-MET'!J725+'II-I-TBILLTDCS'!J725</f>
        <v>32639.337781147846</v>
      </c>
      <c r="K725" s="369">
        <f>'II-I-DIST'!K725+'II-I-MET'!K725+'II-I-TBILLTDCS'!K725</f>
        <v>4578.812097799243</v>
      </c>
      <c r="L725" s="369">
        <f>'II-I-DIST'!L725+'II-I-MET'!L725+'II-I-TBILLTDCS'!L725</f>
        <v>18006.98165919142</v>
      </c>
      <c r="M725" s="369">
        <f>'II-I-DIST'!M725+'II-I-MET'!M725+'II-I-TBILLTDCS'!M725</f>
        <v>758.31098218570958</v>
      </c>
      <c r="N725" s="369">
        <f>'II-I-DIST'!N725+'II-I-MET'!N725+'II-I-TBILLTDCS'!N725</f>
        <v>5839.3948748520443</v>
      </c>
      <c r="O725" s="369">
        <f>'II-I-DIST'!O725+'II-I-MET'!O725+'II-I-TBILLTDCS'!O725</f>
        <v>191.60338328892828</v>
      </c>
      <c r="P725" s="369">
        <f>'II-I-DIST'!P725+'II-I-MET'!P725+'II-I-TBILLTDCS'!P725</f>
        <v>399.66349888488116</v>
      </c>
      <c r="Q725" s="369">
        <f>'II-I-DIST'!Q725+'II-I-MET'!Q725+'II-I-TBILLTDCS'!Q725</f>
        <v>33.282802792426708</v>
      </c>
      <c r="R725" s="369">
        <f>'II-I-DIST'!R725+'II-I-MET'!R725+'II-I-TBILLTDCS'!R725</f>
        <v>21.15865582331724</v>
      </c>
      <c r="S725" s="369">
        <f>'II-I-DIST'!S725+'II-I-MET'!S725+'II-I-TBILLTDCS'!S725</f>
        <v>53.714264034176843</v>
      </c>
      <c r="T725" s="16"/>
      <c r="U725" s="97">
        <f t="shared" si="197"/>
        <v>62522.259999999987</v>
      </c>
      <c r="V725" s="64"/>
      <c r="X725" s="305">
        <f t="shared" si="191"/>
        <v>0</v>
      </c>
    </row>
    <row r="726" spans="1:24" x14ac:dyDescent="0.2">
      <c r="A726" s="45"/>
      <c r="B726" s="16">
        <f t="shared" si="196"/>
        <v>4</v>
      </c>
      <c r="C726" s="1" t="s">
        <v>209</v>
      </c>
      <c r="D726" s="1" t="s">
        <v>210</v>
      </c>
      <c r="E726" s="16"/>
      <c r="F726" s="97">
        <f>' WP II-I-1.4'!L726</f>
        <v>23931678.48</v>
      </c>
      <c r="G726" s="16" t="s">
        <v>751</v>
      </c>
      <c r="H726" s="45" t="s">
        <v>303</v>
      </c>
      <c r="I726" s="16"/>
      <c r="J726" s="369">
        <f>'II-I-DIST'!J726+'II-I-MET'!J726+'II-I-TBILLTDCS'!J726</f>
        <v>12493376.560261048</v>
      </c>
      <c r="K726" s="369">
        <f>'II-I-DIST'!K726+'II-I-MET'!K726+'II-I-TBILLTDCS'!K726</f>
        <v>1752634.3248767047</v>
      </c>
      <c r="L726" s="369">
        <f>'II-I-DIST'!L726+'II-I-MET'!L726+'II-I-TBILLTDCS'!L726</f>
        <v>6892541.8796925452</v>
      </c>
      <c r="M726" s="369">
        <f>'II-I-DIST'!M726+'II-I-MET'!M726+'II-I-TBILLTDCS'!M726</f>
        <v>290259.09513701854</v>
      </c>
      <c r="N726" s="369">
        <f>'II-I-DIST'!N726+'II-I-MET'!N726+'II-I-TBILLTDCS'!N726</f>
        <v>2235148.2601991505</v>
      </c>
      <c r="O726" s="369">
        <f>'II-I-DIST'!O726+'II-I-MET'!O726+'II-I-TBILLTDCS'!O726</f>
        <v>73340.128212749129</v>
      </c>
      <c r="P726" s="369">
        <f>'II-I-DIST'!P726+'II-I-MET'!P726+'II-I-TBILLTDCS'!P726</f>
        <v>152979.40854193075</v>
      </c>
      <c r="Q726" s="369">
        <f>'II-I-DIST'!Q726+'II-I-MET'!Q726+'II-I-TBILLTDCS'!Q726</f>
        <v>12739.676002460597</v>
      </c>
      <c r="R726" s="369">
        <f>'II-I-DIST'!R726+'II-I-MET'!R726+'II-I-TBILLTDCS'!R726</f>
        <v>8098.9098639845697</v>
      </c>
      <c r="S726" s="369">
        <f>'II-I-DIST'!S726+'II-I-MET'!S726+'II-I-TBILLTDCS'!S726</f>
        <v>20560.237212406395</v>
      </c>
      <c r="T726" s="16"/>
      <c r="U726" s="97">
        <f t="shared" si="197"/>
        <v>23931678.48</v>
      </c>
      <c r="V726" s="64"/>
      <c r="X726" s="305">
        <f t="shared" si="191"/>
        <v>0</v>
      </c>
    </row>
    <row r="727" spans="1:24" x14ac:dyDescent="0.2">
      <c r="A727" s="45"/>
      <c r="B727" s="16">
        <f t="shared" si="196"/>
        <v>5</v>
      </c>
      <c r="C727" s="1" t="s">
        <v>211</v>
      </c>
      <c r="D727" s="1" t="s">
        <v>212</v>
      </c>
      <c r="E727" s="16"/>
      <c r="F727" s="97">
        <f>' WP II-I-1.4'!L727</f>
        <v>2747328</v>
      </c>
      <c r="G727" s="16" t="s">
        <v>751</v>
      </c>
      <c r="H727" s="45" t="s">
        <v>303</v>
      </c>
      <c r="I727" s="16"/>
      <c r="J727" s="369">
        <f>'II-I-DIST'!J727+'II-I-MET'!J727+'II-I-TBILLTDCS'!J727</f>
        <v>1365660.8827760022</v>
      </c>
      <c r="K727" s="369">
        <f>'II-I-DIST'!K727+'II-I-MET'!K727+'II-I-TBILLTDCS'!K727</f>
        <v>49593.753792635296</v>
      </c>
      <c r="L727" s="369">
        <f>'II-I-DIST'!L727+'II-I-MET'!L727+'II-I-TBILLTDCS'!L727</f>
        <v>937783.69732982933</v>
      </c>
      <c r="M727" s="369">
        <f>'II-I-DIST'!M727+'II-I-MET'!M727+'II-I-TBILLTDCS'!M727</f>
        <v>929.29466126347893</v>
      </c>
      <c r="N727" s="369">
        <f>'II-I-DIST'!N727+'II-I-MET'!N727+'II-I-TBILLTDCS'!N727</f>
        <v>205686.29816998594</v>
      </c>
      <c r="O727" s="369">
        <f>'II-I-DIST'!O727+'II-I-MET'!O727+'II-I-TBILLTDCS'!O727</f>
        <v>41709.010368594623</v>
      </c>
      <c r="P727" s="369">
        <f>'II-I-DIST'!P727+'II-I-MET'!P727+'II-I-TBILLTDCS'!P727</f>
        <v>111792.16108142605</v>
      </c>
      <c r="Q727" s="369">
        <f>'II-I-DIST'!Q727+'II-I-MET'!Q727+'II-I-TBILLTDCS'!Q727</f>
        <v>34172.901820262981</v>
      </c>
      <c r="R727" s="369">
        <f>'II-I-DIST'!R727+'II-I-MET'!R727+'II-I-TBILLTDCS'!R727</f>
        <v>0</v>
      </c>
      <c r="S727" s="369">
        <f>'II-I-DIST'!S727+'II-I-MET'!S727+'II-I-TBILLTDCS'!S727</f>
        <v>0</v>
      </c>
      <c r="T727" s="16"/>
      <c r="U727" s="97">
        <f t="shared" si="197"/>
        <v>2747327.9999999995</v>
      </c>
      <c r="V727" s="64"/>
      <c r="X727" s="305">
        <f t="shared" si="191"/>
        <v>0</v>
      </c>
    </row>
    <row r="728" spans="1:24" x14ac:dyDescent="0.2">
      <c r="A728" s="45"/>
      <c r="B728" s="16">
        <f t="shared" si="196"/>
        <v>6</v>
      </c>
      <c r="C728" s="1" t="s">
        <v>213</v>
      </c>
      <c r="D728" s="29" t="s">
        <v>214</v>
      </c>
      <c r="E728" s="16"/>
      <c r="F728" s="97">
        <f>' WP II-I-1.4'!L728</f>
        <v>0</v>
      </c>
      <c r="G728" s="16" t="s">
        <v>751</v>
      </c>
      <c r="H728" s="45" t="s">
        <v>303</v>
      </c>
      <c r="I728" s="16"/>
      <c r="J728" s="370">
        <f>'II-I-DIST'!J728+'II-I-MET'!J728+'II-I-TBILLTDCS'!J728</f>
        <v>0</v>
      </c>
      <c r="K728" s="370">
        <f>'II-I-DIST'!K728+'II-I-MET'!K728+'II-I-TBILLTDCS'!K728</f>
        <v>0</v>
      </c>
      <c r="L728" s="370">
        <f>'II-I-DIST'!L728+'II-I-MET'!L728+'II-I-TBILLTDCS'!L728</f>
        <v>0</v>
      </c>
      <c r="M728" s="370">
        <f>'II-I-DIST'!M728+'II-I-MET'!M728+'II-I-TBILLTDCS'!M728</f>
        <v>0</v>
      </c>
      <c r="N728" s="370">
        <f>'II-I-DIST'!N728+'II-I-MET'!N728+'II-I-TBILLTDCS'!N728</f>
        <v>0</v>
      </c>
      <c r="O728" s="370">
        <f>'II-I-DIST'!O728+'II-I-MET'!O728+'II-I-TBILLTDCS'!O728</f>
        <v>0</v>
      </c>
      <c r="P728" s="370">
        <f>'II-I-DIST'!P728+'II-I-MET'!P728+'II-I-TBILLTDCS'!P728</f>
        <v>0</v>
      </c>
      <c r="Q728" s="370">
        <f>'II-I-DIST'!Q728+'II-I-MET'!Q728+'II-I-TBILLTDCS'!Q728</f>
        <v>0</v>
      </c>
      <c r="R728" s="370">
        <f>'II-I-DIST'!R728+'II-I-MET'!R728+'II-I-TBILLTDCS'!R728</f>
        <v>0</v>
      </c>
      <c r="S728" s="370">
        <f>'II-I-DIST'!S728+'II-I-MET'!S728+'II-I-TBILLTDCS'!S728</f>
        <v>0</v>
      </c>
      <c r="T728" s="16"/>
      <c r="U728" s="97">
        <f t="shared" si="197"/>
        <v>0</v>
      </c>
      <c r="V728" s="64"/>
      <c r="X728" s="305">
        <f t="shared" si="191"/>
        <v>0</v>
      </c>
    </row>
    <row r="729" spans="1:24" ht="15" x14ac:dyDescent="0.25">
      <c r="A729" s="45"/>
      <c r="B729" s="16">
        <f t="shared" si="196"/>
        <v>7</v>
      </c>
      <c r="C729" s="8"/>
      <c r="D729" s="233" t="s">
        <v>589</v>
      </c>
      <c r="E729" s="19"/>
      <c r="F729" s="21">
        <f>SUM(F724:F728)</f>
        <v>26851186.740000002</v>
      </c>
      <c r="G729" s="19"/>
      <c r="H729" s="19"/>
      <c r="I729" s="19"/>
      <c r="J729" s="805">
        <f t="shared" ref="J729:Q729" si="198">SUM(J724:J728)</f>
        <v>13948923.024034696</v>
      </c>
      <c r="K729" s="805">
        <f t="shared" si="198"/>
        <v>1814837.6845519524</v>
      </c>
      <c r="L729" s="805">
        <f t="shared" si="198"/>
        <v>7879915.06377309</v>
      </c>
      <c r="M729" s="805">
        <f t="shared" si="198"/>
        <v>293276.70493713958</v>
      </c>
      <c r="N729" s="805">
        <f t="shared" si="198"/>
        <v>2456915.6873589503</v>
      </c>
      <c r="O729" s="805">
        <f>SUM(O724:O728)</f>
        <v>115576.79577658218</v>
      </c>
      <c r="P729" s="805">
        <f t="shared" si="198"/>
        <v>265872.20426373143</v>
      </c>
      <c r="Q729" s="805">
        <f t="shared" si="198"/>
        <v>47004.235444158388</v>
      </c>
      <c r="R729" s="805">
        <f>SUM(R724:R728)</f>
        <v>8157.1787567102847</v>
      </c>
      <c r="S729" s="805">
        <f>SUM(S724:S728)</f>
        <v>20708.161102987338</v>
      </c>
      <c r="T729" s="912"/>
      <c r="U729" s="235">
        <f t="shared" si="197"/>
        <v>26851186.739999998</v>
      </c>
      <c r="V729" s="64"/>
      <c r="W729" s="1099" t="b">
        <f>' WP II-I-1.4'!$L$729=U729</f>
        <v>1</v>
      </c>
      <c r="X729" s="305">
        <f t="shared" si="191"/>
        <v>0</v>
      </c>
    </row>
    <row r="730" spans="1:24" x14ac:dyDescent="0.2">
      <c r="A730" s="45"/>
      <c r="B730" s="16">
        <f t="shared" si="196"/>
        <v>8</v>
      </c>
      <c r="C730" s="1"/>
      <c r="D730" s="1"/>
      <c r="E730" s="16"/>
      <c r="F730" s="18"/>
      <c r="G730" s="16"/>
      <c r="H730" s="16"/>
      <c r="I730" s="1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6"/>
      <c r="U730" s="1"/>
      <c r="V730" s="64"/>
      <c r="X730" s="305">
        <f t="shared" si="191"/>
        <v>0</v>
      </c>
    </row>
    <row r="731" spans="1:24" ht="15" x14ac:dyDescent="0.25">
      <c r="A731" s="45"/>
      <c r="B731" s="16">
        <f t="shared" si="196"/>
        <v>9</v>
      </c>
      <c r="C731" s="8"/>
      <c r="D731" s="233" t="s">
        <v>598</v>
      </c>
      <c r="E731" s="19"/>
      <c r="F731" s="21">
        <f>SUM(F725:F726)</f>
        <v>23994200.740000002</v>
      </c>
      <c r="G731" s="19"/>
      <c r="H731" s="19"/>
      <c r="I731" s="19"/>
      <c r="J731" s="805">
        <f t="shared" ref="J731:Q731" si="199">SUM(J725:J726)</f>
        <v>12526015.898042196</v>
      </c>
      <c r="K731" s="805">
        <f t="shared" si="199"/>
        <v>1757213.136974504</v>
      </c>
      <c r="L731" s="805">
        <f t="shared" si="199"/>
        <v>6910548.8613517368</v>
      </c>
      <c r="M731" s="805">
        <f t="shared" si="199"/>
        <v>291017.40611920424</v>
      </c>
      <c r="N731" s="805">
        <f t="shared" si="199"/>
        <v>2240987.6550740027</v>
      </c>
      <c r="O731" s="805">
        <f>SUM(O725:O726)</f>
        <v>73531.731596038051</v>
      </c>
      <c r="P731" s="805">
        <f t="shared" si="199"/>
        <v>153379.07204081563</v>
      </c>
      <c r="Q731" s="805">
        <f t="shared" si="199"/>
        <v>12772.958805253023</v>
      </c>
      <c r="R731" s="805">
        <f>SUM(R725:R726)</f>
        <v>8120.0685198078872</v>
      </c>
      <c r="S731" s="805">
        <f>SUM(S725:S726)</f>
        <v>20613.951476440572</v>
      </c>
      <c r="T731" s="912"/>
      <c r="U731" s="235">
        <f>SUM(I731:T731)</f>
        <v>23994200.739999998</v>
      </c>
      <c r="V731" s="64"/>
      <c r="W731" s="1099" t="b">
        <f>' WP II-I-1.4'!$L$731=U731</f>
        <v>1</v>
      </c>
      <c r="X731" s="305">
        <f t="shared" si="191"/>
        <v>0</v>
      </c>
    </row>
    <row r="732" spans="1:24" x14ac:dyDescent="0.2">
      <c r="A732" s="45"/>
      <c r="B732" s="16">
        <f t="shared" si="196"/>
        <v>10</v>
      </c>
      <c r="C732" s="1"/>
      <c r="D732" s="1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"/>
      <c r="V732" s="64"/>
      <c r="X732" s="305">
        <f t="shared" si="191"/>
        <v>0</v>
      </c>
    </row>
    <row r="733" spans="1:24" ht="15" x14ac:dyDescent="0.25">
      <c r="A733" s="45"/>
      <c r="B733" s="16">
        <f t="shared" si="196"/>
        <v>11</v>
      </c>
      <c r="C733" s="8"/>
      <c r="D733" s="301" t="s">
        <v>599</v>
      </c>
      <c r="E733" s="19" t="s">
        <v>143</v>
      </c>
      <c r="F733" s="21"/>
      <c r="G733" s="19"/>
      <c r="H733" s="19"/>
      <c r="I733" s="19"/>
      <c r="J733" s="961"/>
      <c r="K733" s="961"/>
      <c r="L733" s="961"/>
      <c r="M733" s="961"/>
      <c r="N733" s="961"/>
      <c r="O733" s="961"/>
      <c r="P733" s="961"/>
      <c r="Q733" s="961"/>
      <c r="R733" s="961"/>
      <c r="S733" s="961"/>
      <c r="T733" s="912"/>
      <c r="U733" s="8"/>
      <c r="V733" s="64"/>
      <c r="X733" s="305">
        <f t="shared" si="191"/>
        <v>0</v>
      </c>
    </row>
    <row r="734" spans="1:24" x14ac:dyDescent="0.2">
      <c r="A734" s="45"/>
      <c r="B734" s="16">
        <f t="shared" si="196"/>
        <v>12</v>
      </c>
      <c r="C734" s="1" t="s">
        <v>216</v>
      </c>
      <c r="D734" s="1" t="s">
        <v>217</v>
      </c>
      <c r="E734" s="16"/>
      <c r="F734" s="97">
        <f>' WP II-I-1.4'!L734</f>
        <v>0</v>
      </c>
      <c r="G734" s="16" t="s">
        <v>751</v>
      </c>
      <c r="H734" s="1" t="s">
        <v>303</v>
      </c>
      <c r="I734" s="16"/>
      <c r="J734" s="369">
        <f>'II-I-DIST'!J734+'II-I-MET'!J734+'II-I-TBILLTDCS'!J734</f>
        <v>0</v>
      </c>
      <c r="K734" s="369">
        <f>'II-I-DIST'!K734+'II-I-MET'!K734+'II-I-TBILLTDCS'!K734</f>
        <v>0</v>
      </c>
      <c r="L734" s="369">
        <f>'II-I-DIST'!L734+'II-I-MET'!L734+'II-I-TBILLTDCS'!L734</f>
        <v>0</v>
      </c>
      <c r="M734" s="369">
        <f>'II-I-DIST'!M734+'II-I-MET'!M734+'II-I-TBILLTDCS'!M734</f>
        <v>0</v>
      </c>
      <c r="N734" s="369">
        <f>'II-I-DIST'!N734+'II-I-MET'!N734+'II-I-TBILLTDCS'!N734</f>
        <v>0</v>
      </c>
      <c r="O734" s="369">
        <f>'II-I-DIST'!O734+'II-I-MET'!O734+'II-I-TBILLTDCS'!O734</f>
        <v>0</v>
      </c>
      <c r="P734" s="369">
        <f>'II-I-DIST'!P734+'II-I-MET'!P734+'II-I-TBILLTDCS'!P734</f>
        <v>0</v>
      </c>
      <c r="Q734" s="369">
        <f>'II-I-DIST'!Q734+'II-I-MET'!Q734+'II-I-TBILLTDCS'!Q734</f>
        <v>0</v>
      </c>
      <c r="R734" s="369">
        <f>'II-I-DIST'!R734+'II-I-MET'!R734+'II-I-TBILLTDCS'!R734</f>
        <v>0</v>
      </c>
      <c r="S734" s="369">
        <f>'II-I-DIST'!S734+'II-I-MET'!S734+'II-I-TBILLTDCS'!S734</f>
        <v>0</v>
      </c>
      <c r="T734" s="16"/>
      <c r="U734" s="97">
        <f t="shared" ref="U734:U739" si="200">SUM(I734:T734)</f>
        <v>0</v>
      </c>
      <c r="V734" s="64"/>
      <c r="X734" s="305">
        <f t="shared" si="191"/>
        <v>0</v>
      </c>
    </row>
    <row r="735" spans="1:24" x14ac:dyDescent="0.2">
      <c r="A735" s="45"/>
      <c r="B735" s="16">
        <f t="shared" si="196"/>
        <v>13</v>
      </c>
      <c r="C735" s="1" t="s">
        <v>218</v>
      </c>
      <c r="D735" s="1" t="s">
        <v>206</v>
      </c>
      <c r="E735" s="16"/>
      <c r="F735" s="97">
        <f>' WP II-I-1.4'!L735</f>
        <v>0</v>
      </c>
      <c r="G735" s="16" t="s">
        <v>751</v>
      </c>
      <c r="H735" s="1" t="s">
        <v>303</v>
      </c>
      <c r="I735" s="16"/>
      <c r="J735" s="369">
        <f>'II-I-DIST'!J735+'II-I-MET'!J735+'II-I-TBILLTDCS'!J735</f>
        <v>0</v>
      </c>
      <c r="K735" s="369">
        <f>'II-I-DIST'!K735+'II-I-MET'!K735+'II-I-TBILLTDCS'!K735</f>
        <v>0</v>
      </c>
      <c r="L735" s="369">
        <f>'II-I-DIST'!L735+'II-I-MET'!L735+'II-I-TBILLTDCS'!L735</f>
        <v>0</v>
      </c>
      <c r="M735" s="369">
        <f>'II-I-DIST'!M735+'II-I-MET'!M735+'II-I-TBILLTDCS'!M735</f>
        <v>0</v>
      </c>
      <c r="N735" s="369">
        <f>'II-I-DIST'!N735+'II-I-MET'!N735+'II-I-TBILLTDCS'!N735</f>
        <v>0</v>
      </c>
      <c r="O735" s="369">
        <f>'II-I-DIST'!O735+'II-I-MET'!O735+'II-I-TBILLTDCS'!O735</f>
        <v>0</v>
      </c>
      <c r="P735" s="369">
        <f>'II-I-DIST'!P735+'II-I-MET'!P735+'II-I-TBILLTDCS'!P735</f>
        <v>0</v>
      </c>
      <c r="Q735" s="369">
        <f>'II-I-DIST'!Q735+'II-I-MET'!Q735+'II-I-TBILLTDCS'!Q735</f>
        <v>0</v>
      </c>
      <c r="R735" s="369">
        <f>'II-I-DIST'!R735+'II-I-MET'!R735+'II-I-TBILLTDCS'!R735</f>
        <v>0</v>
      </c>
      <c r="S735" s="369">
        <f>'II-I-DIST'!S735+'II-I-MET'!S735+'II-I-TBILLTDCS'!S735</f>
        <v>0</v>
      </c>
      <c r="T735" s="16"/>
      <c r="U735" s="97">
        <f t="shared" si="200"/>
        <v>0</v>
      </c>
      <c r="V735" s="64"/>
      <c r="X735" s="305">
        <f t="shared" si="191"/>
        <v>0</v>
      </c>
    </row>
    <row r="736" spans="1:24" ht="15" x14ac:dyDescent="0.25">
      <c r="A736" s="45"/>
      <c r="B736" s="16">
        <f t="shared" si="196"/>
        <v>14</v>
      </c>
      <c r="C736" s="1" t="s">
        <v>219</v>
      </c>
      <c r="D736" s="1" t="s">
        <v>220</v>
      </c>
      <c r="E736" s="19"/>
      <c r="F736" s="97">
        <f>' WP II-I-1.4'!L736</f>
        <v>393782.06</v>
      </c>
      <c r="G736" s="16" t="s">
        <v>751</v>
      </c>
      <c r="H736" s="1" t="s">
        <v>303</v>
      </c>
      <c r="I736" s="912"/>
      <c r="J736" s="369">
        <f>'II-I-DIST'!J736+'II-I-MET'!J736+'II-I-TBILLTDCS'!J736</f>
        <v>336965.06920973508</v>
      </c>
      <c r="K736" s="369">
        <f>'II-I-DIST'!K736+'II-I-MET'!K736+'II-I-TBILLTDCS'!K736</f>
        <v>27950.463397977845</v>
      </c>
      <c r="L736" s="369">
        <f>'II-I-DIST'!L736+'II-I-MET'!L736+'II-I-TBILLTDCS'!L736</f>
        <v>22837.265146698941</v>
      </c>
      <c r="M736" s="369">
        <f>'II-I-DIST'!M736+'II-I-MET'!M736+'II-I-TBILLTDCS'!M736</f>
        <v>305.12756291537721</v>
      </c>
      <c r="N736" s="369">
        <f>'II-I-DIST'!N736+'II-I-MET'!N736+'II-I-TBILLTDCS'!N736</f>
        <v>683.05749171933564</v>
      </c>
      <c r="O736" s="369">
        <f>'II-I-DIST'!O736+'II-I-MET'!O736+'II-I-TBILLTDCS'!O736</f>
        <v>15.864686684276389</v>
      </c>
      <c r="P736" s="369">
        <f>'II-I-DIST'!P736+'II-I-MET'!P736+'II-I-TBILLTDCS'!P736</f>
        <v>33.091984494809644</v>
      </c>
      <c r="Q736" s="369">
        <f>'II-I-DIST'!Q736+'II-I-MET'!Q736+'II-I-TBILLTDCS'!Q736</f>
        <v>4985.307464143073</v>
      </c>
      <c r="R736" s="369">
        <f>'II-I-DIST'!R736+'II-I-MET'!R736+'II-I-TBILLTDCS'!R736</f>
        <v>1.7519285909016871</v>
      </c>
      <c r="S736" s="369">
        <f>'II-I-DIST'!S736+'II-I-MET'!S736+'II-I-TBILLTDCS'!S736</f>
        <v>5.0611270403826518</v>
      </c>
      <c r="T736" s="912"/>
      <c r="U736" s="97">
        <f t="shared" si="200"/>
        <v>393782.05999999994</v>
      </c>
      <c r="V736" s="64"/>
      <c r="X736" s="305">
        <f t="shared" si="191"/>
        <v>0</v>
      </c>
    </row>
    <row r="737" spans="1:24" x14ac:dyDescent="0.2">
      <c r="A737" s="45"/>
      <c r="B737" s="16">
        <f t="shared" si="196"/>
        <v>15</v>
      </c>
      <c r="C737" s="1" t="s">
        <v>221</v>
      </c>
      <c r="D737" s="1" t="s">
        <v>222</v>
      </c>
      <c r="E737" s="16"/>
      <c r="F737" s="97">
        <f>' WP II-I-1.4'!L737</f>
        <v>0</v>
      </c>
      <c r="G737" s="16" t="s">
        <v>751</v>
      </c>
      <c r="H737" s="1" t="s">
        <v>303</v>
      </c>
      <c r="I737" s="16"/>
      <c r="J737" s="369">
        <f>'II-I-DIST'!J737+'II-I-MET'!J737+'II-I-TBILLTDCS'!J737</f>
        <v>0</v>
      </c>
      <c r="K737" s="369">
        <f>'II-I-DIST'!K737+'II-I-MET'!K737+'II-I-TBILLTDCS'!K737</f>
        <v>0</v>
      </c>
      <c r="L737" s="369">
        <f>'II-I-DIST'!L737+'II-I-MET'!L737+'II-I-TBILLTDCS'!L737</f>
        <v>0</v>
      </c>
      <c r="M737" s="369">
        <f>'II-I-DIST'!M737+'II-I-MET'!M737+'II-I-TBILLTDCS'!M737</f>
        <v>0</v>
      </c>
      <c r="N737" s="369">
        <f>'II-I-DIST'!N737+'II-I-MET'!N737+'II-I-TBILLTDCS'!N737</f>
        <v>0</v>
      </c>
      <c r="O737" s="369">
        <f>'II-I-DIST'!O737+'II-I-MET'!O737+'II-I-TBILLTDCS'!O737</f>
        <v>0</v>
      </c>
      <c r="P737" s="369">
        <f>'II-I-DIST'!P737+'II-I-MET'!P737+'II-I-TBILLTDCS'!P737</f>
        <v>0</v>
      </c>
      <c r="Q737" s="369">
        <f>'II-I-DIST'!Q737+'II-I-MET'!Q737+'II-I-TBILLTDCS'!Q737</f>
        <v>0</v>
      </c>
      <c r="R737" s="369">
        <f>'II-I-DIST'!R737+'II-I-MET'!R737+'II-I-TBILLTDCS'!R737</f>
        <v>0</v>
      </c>
      <c r="S737" s="369">
        <f>'II-I-DIST'!S737+'II-I-MET'!S737+'II-I-TBILLTDCS'!S737</f>
        <v>0</v>
      </c>
      <c r="T737" s="16"/>
      <c r="U737" s="97">
        <f t="shared" si="200"/>
        <v>0</v>
      </c>
      <c r="V737" s="64"/>
      <c r="X737" s="305">
        <f t="shared" si="191"/>
        <v>0</v>
      </c>
    </row>
    <row r="738" spans="1:24" x14ac:dyDescent="0.2">
      <c r="A738" s="45"/>
      <c r="B738" s="16">
        <f t="shared" si="196"/>
        <v>16</v>
      </c>
      <c r="C738" s="1" t="s">
        <v>223</v>
      </c>
      <c r="D738" s="1" t="s">
        <v>224</v>
      </c>
      <c r="E738" s="16"/>
      <c r="F738" s="97">
        <f>' WP II-I-1.4'!L738</f>
        <v>1643.8600000000001</v>
      </c>
      <c r="G738" s="16" t="s">
        <v>751</v>
      </c>
      <c r="H738" s="1" t="s">
        <v>303</v>
      </c>
      <c r="I738" s="16"/>
      <c r="J738" s="370">
        <f>'II-I-DIST'!J738+'II-I-MET'!J738+'II-I-TBILLTDCS'!J738</f>
        <v>1406.6750493181812</v>
      </c>
      <c r="K738" s="370">
        <f>'II-I-DIST'!K738+'II-I-MET'!K738+'II-I-TBILLTDCS'!K738</f>
        <v>116.68040123869497</v>
      </c>
      <c r="L738" s="370">
        <f>'II-I-DIST'!L738+'II-I-MET'!L738+'II-I-TBILLTDCS'!L738</f>
        <v>95.335137116334153</v>
      </c>
      <c r="M738" s="370">
        <f>'II-I-DIST'!M738+'II-I-MET'!M738+'II-I-TBILLTDCS'!M738</f>
        <v>1.2737680217683658</v>
      </c>
      <c r="N738" s="370">
        <f>'II-I-DIST'!N738+'II-I-MET'!N738+'II-I-TBILLTDCS'!N738</f>
        <v>2.851452624169184</v>
      </c>
      <c r="O738" s="370">
        <f>'II-I-DIST'!O738+'II-I-MET'!O738+'II-I-TBILLTDCS'!O738</f>
        <v>6.6227811020173402E-2</v>
      </c>
      <c r="P738" s="370">
        <f>'II-I-DIST'!P738+'II-I-MET'!P738+'II-I-TBILLTDCS'!P738</f>
        <v>0.13814390028747828</v>
      </c>
      <c r="Q738" s="370">
        <f>'II-I-DIST'!Q738+'II-I-MET'!Q738+'II-I-TBILLTDCS'!Q738</f>
        <v>20.811378578308602</v>
      </c>
      <c r="R738" s="370">
        <f>'II-I-DIST'!R738+'II-I-MET'!R738+'II-I-TBILLTDCS'!R738</f>
        <v>7.3135006034547312E-3</v>
      </c>
      <c r="S738" s="370">
        <f>'II-I-DIST'!S738+'II-I-MET'!S738+'II-I-TBILLTDCS'!S738</f>
        <v>2.1127890632202558E-2</v>
      </c>
      <c r="T738" s="16"/>
      <c r="U738" s="97">
        <f t="shared" si="200"/>
        <v>1643.86</v>
      </c>
      <c r="V738" s="64"/>
      <c r="X738" s="305">
        <f t="shared" si="191"/>
        <v>0</v>
      </c>
    </row>
    <row r="739" spans="1:24" ht="15" x14ac:dyDescent="0.25">
      <c r="A739" s="45"/>
      <c r="B739" s="16">
        <f>B738+1</f>
        <v>17</v>
      </c>
      <c r="C739" s="8"/>
      <c r="D739" s="233" t="s">
        <v>600</v>
      </c>
      <c r="E739" s="19"/>
      <c r="F739" s="21">
        <f>SUM(F734:F738)</f>
        <v>395425.92</v>
      </c>
      <c r="G739" s="19"/>
      <c r="H739" s="912"/>
      <c r="I739" s="912"/>
      <c r="J739" s="805">
        <f t="shared" ref="J739:Q739" si="201">SUM(J734:J738)</f>
        <v>338371.74425905326</v>
      </c>
      <c r="K739" s="805">
        <f t="shared" si="201"/>
        <v>28067.143799216541</v>
      </c>
      <c r="L739" s="805">
        <f t="shared" si="201"/>
        <v>22932.600283815274</v>
      </c>
      <c r="M739" s="805">
        <f t="shared" si="201"/>
        <v>306.40133093714559</v>
      </c>
      <c r="N739" s="805">
        <f t="shared" si="201"/>
        <v>685.9089443435048</v>
      </c>
      <c r="O739" s="805">
        <f>SUM(O734:O738)</f>
        <v>15.930914495296562</v>
      </c>
      <c r="P739" s="805">
        <f t="shared" si="201"/>
        <v>33.230128395097125</v>
      </c>
      <c r="Q739" s="805">
        <f t="shared" si="201"/>
        <v>5006.118842721382</v>
      </c>
      <c r="R739" s="805">
        <f>SUM(R734:R738)</f>
        <v>1.7592420915051419</v>
      </c>
      <c r="S739" s="805">
        <f>SUM(S734:S738)</f>
        <v>5.0822549310148544</v>
      </c>
      <c r="T739" s="912"/>
      <c r="U739" s="235">
        <f t="shared" si="200"/>
        <v>395425.9200000001</v>
      </c>
      <c r="V739" s="64"/>
      <c r="W739" s="1099" t="b">
        <f>' WP II-I-1.4'!$L$739=U739</f>
        <v>1</v>
      </c>
      <c r="X739" s="305">
        <f t="shared" si="191"/>
        <v>0</v>
      </c>
    </row>
    <row r="740" spans="1:24" ht="15" x14ac:dyDescent="0.25">
      <c r="A740" s="45"/>
      <c r="B740" s="16">
        <f t="shared" ref="B740:B754" si="202">B739+1</f>
        <v>18</v>
      </c>
      <c r="C740" s="8"/>
      <c r="D740" s="233"/>
      <c r="E740" s="19"/>
      <c r="F740" s="21"/>
      <c r="G740" s="19"/>
      <c r="H740" s="19"/>
      <c r="I740" s="19"/>
      <c r="J740" s="805"/>
      <c r="K740" s="805"/>
      <c r="L740" s="805"/>
      <c r="M740" s="805"/>
      <c r="N740" s="805"/>
      <c r="O740" s="805"/>
      <c r="P740" s="805"/>
      <c r="Q740" s="805"/>
      <c r="R740" s="805"/>
      <c r="S740" s="805"/>
      <c r="T740" s="912"/>
      <c r="U740" s="235"/>
      <c r="V740" s="64"/>
      <c r="X740" s="305">
        <f t="shared" si="191"/>
        <v>0</v>
      </c>
    </row>
    <row r="741" spans="1:24" ht="15" x14ac:dyDescent="0.25">
      <c r="A741" s="45"/>
      <c r="B741" s="16">
        <f t="shared" si="202"/>
        <v>19</v>
      </c>
      <c r="C741" s="8"/>
      <c r="D741" s="233" t="s">
        <v>601</v>
      </c>
      <c r="E741" s="19"/>
      <c r="F741" s="21">
        <f>F734+F736+F737</f>
        <v>393782.06</v>
      </c>
      <c r="G741" s="19"/>
      <c r="H741" s="19"/>
      <c r="I741" s="19"/>
      <c r="J741" s="805">
        <f t="shared" ref="J741:Q741" si="203">J734+J736+J737</f>
        <v>336965.06920973508</v>
      </c>
      <c r="K741" s="805">
        <f t="shared" si="203"/>
        <v>27950.463397977845</v>
      </c>
      <c r="L741" s="805">
        <f t="shared" si="203"/>
        <v>22837.265146698941</v>
      </c>
      <c r="M741" s="805">
        <f t="shared" si="203"/>
        <v>305.12756291537721</v>
      </c>
      <c r="N741" s="805">
        <f t="shared" si="203"/>
        <v>683.05749171933564</v>
      </c>
      <c r="O741" s="805">
        <f>O734+O736+O737</f>
        <v>15.864686684276389</v>
      </c>
      <c r="P741" s="805">
        <f t="shared" si="203"/>
        <v>33.091984494809644</v>
      </c>
      <c r="Q741" s="805">
        <f t="shared" si="203"/>
        <v>4985.307464143073</v>
      </c>
      <c r="R741" s="805">
        <f>R734+R736+R737</f>
        <v>1.7519285909016871</v>
      </c>
      <c r="S741" s="805">
        <f>S734+S736+S737</f>
        <v>5.0611270403826518</v>
      </c>
      <c r="T741" s="912"/>
      <c r="U741" s="235">
        <f>SUM(I741:T741)</f>
        <v>393782.05999999994</v>
      </c>
      <c r="V741" s="64"/>
      <c r="W741" s="1099" t="b">
        <f>' WP II-I-1.4'!$L$741=U741</f>
        <v>1</v>
      </c>
      <c r="X741" s="305">
        <f t="shared" si="191"/>
        <v>0</v>
      </c>
    </row>
    <row r="742" spans="1:24" x14ac:dyDescent="0.2">
      <c r="A742" s="45"/>
      <c r="B742" s="16">
        <f t="shared" si="202"/>
        <v>20</v>
      </c>
      <c r="C742" s="1"/>
      <c r="D742" s="1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"/>
      <c r="V742" s="64"/>
      <c r="X742" s="305">
        <f t="shared" si="191"/>
        <v>0</v>
      </c>
    </row>
    <row r="743" spans="1:24" ht="15" x14ac:dyDescent="0.25">
      <c r="A743" s="45"/>
      <c r="B743" s="16">
        <f t="shared" si="202"/>
        <v>21</v>
      </c>
      <c r="C743" s="8"/>
      <c r="D743" s="303" t="s">
        <v>225</v>
      </c>
      <c r="E743" s="19" t="s">
        <v>143</v>
      </c>
      <c r="F743" s="21"/>
      <c r="G743" s="19"/>
      <c r="H743" s="19"/>
      <c r="I743" s="19"/>
      <c r="J743" s="961"/>
      <c r="K743" s="961"/>
      <c r="L743" s="961"/>
      <c r="M743" s="961"/>
      <c r="N743" s="961"/>
      <c r="O743" s="961"/>
      <c r="P743" s="961"/>
      <c r="Q743" s="961"/>
      <c r="R743" s="961"/>
      <c r="S743" s="961"/>
      <c r="T743" s="912"/>
      <c r="U743" s="8"/>
      <c r="V743" s="64"/>
      <c r="X743" s="305">
        <f t="shared" si="191"/>
        <v>0</v>
      </c>
    </row>
    <row r="744" spans="1:24" x14ac:dyDescent="0.2">
      <c r="A744" s="45"/>
      <c r="B744" s="16">
        <f t="shared" si="202"/>
        <v>22</v>
      </c>
      <c r="C744" s="1" t="s">
        <v>226</v>
      </c>
      <c r="D744" s="49" t="s">
        <v>206</v>
      </c>
      <c r="E744" s="16"/>
      <c r="F744" s="97">
        <f>' WP II-I-1.4'!L744</f>
        <v>0</v>
      </c>
      <c r="G744" s="16" t="s">
        <v>751</v>
      </c>
      <c r="H744" s="45" t="s">
        <v>303</v>
      </c>
      <c r="I744" s="16"/>
      <c r="J744" s="369">
        <f>'II-I-DIST'!J744+'II-I-MET'!J744+'II-I-TBILLTDCS'!J744</f>
        <v>0</v>
      </c>
      <c r="K744" s="369">
        <f>'II-I-DIST'!K744+'II-I-MET'!K744+'II-I-TBILLTDCS'!K744</f>
        <v>0</v>
      </c>
      <c r="L744" s="369">
        <f>'II-I-DIST'!L744+'II-I-MET'!L744+'II-I-TBILLTDCS'!L744</f>
        <v>0</v>
      </c>
      <c r="M744" s="369">
        <f>'II-I-DIST'!M744+'II-I-MET'!M744+'II-I-TBILLTDCS'!M744</f>
        <v>0</v>
      </c>
      <c r="N744" s="369">
        <f>'II-I-DIST'!N744+'II-I-MET'!N744+'II-I-TBILLTDCS'!N744</f>
        <v>0</v>
      </c>
      <c r="O744" s="369">
        <f>'II-I-DIST'!O744+'II-I-MET'!O744+'II-I-TBILLTDCS'!O744</f>
        <v>0</v>
      </c>
      <c r="P744" s="369">
        <f>'II-I-DIST'!P744+'II-I-MET'!P744+'II-I-TBILLTDCS'!P744</f>
        <v>0</v>
      </c>
      <c r="Q744" s="369">
        <f>'II-I-DIST'!Q744+'II-I-MET'!Q744+'II-I-TBILLTDCS'!Q744</f>
        <v>0</v>
      </c>
      <c r="R744" s="369">
        <f>'II-I-DIST'!R744+'II-I-MET'!R744+'II-I-TBILLTDCS'!R744</f>
        <v>0</v>
      </c>
      <c r="S744" s="369">
        <f>'II-I-DIST'!S744+'II-I-MET'!S744+'II-I-TBILLTDCS'!S744</f>
        <v>0</v>
      </c>
      <c r="T744" s="16"/>
      <c r="U744" s="97">
        <f t="shared" ref="U744:U749" si="204">SUM(I744:T744)</f>
        <v>0</v>
      </c>
      <c r="V744" s="64"/>
      <c r="X744" s="305">
        <f t="shared" si="191"/>
        <v>0</v>
      </c>
    </row>
    <row r="745" spans="1:24" x14ac:dyDescent="0.2">
      <c r="A745" s="45"/>
      <c r="B745" s="16">
        <f t="shared" si="202"/>
        <v>23</v>
      </c>
      <c r="C745" s="1" t="s">
        <v>227</v>
      </c>
      <c r="D745" s="49" t="s">
        <v>228</v>
      </c>
      <c r="E745" s="16"/>
      <c r="F745" s="97">
        <f>' WP II-I-1.4'!L745</f>
        <v>0</v>
      </c>
      <c r="G745" s="16" t="s">
        <v>751</v>
      </c>
      <c r="H745" s="45" t="s">
        <v>303</v>
      </c>
      <c r="I745" s="16"/>
      <c r="J745" s="369">
        <f>'II-I-DIST'!J745+'II-I-MET'!J745+'II-I-TBILLTDCS'!J745</f>
        <v>0</v>
      </c>
      <c r="K745" s="369">
        <f>'II-I-DIST'!K745+'II-I-MET'!K745+'II-I-TBILLTDCS'!K745</f>
        <v>0</v>
      </c>
      <c r="L745" s="369">
        <f>'II-I-DIST'!L745+'II-I-MET'!L745+'II-I-TBILLTDCS'!L745</f>
        <v>0</v>
      </c>
      <c r="M745" s="369">
        <f>'II-I-DIST'!M745+'II-I-MET'!M745+'II-I-TBILLTDCS'!M745</f>
        <v>0</v>
      </c>
      <c r="N745" s="369">
        <f>'II-I-DIST'!N745+'II-I-MET'!N745+'II-I-TBILLTDCS'!N745</f>
        <v>0</v>
      </c>
      <c r="O745" s="369">
        <f>'II-I-DIST'!O745+'II-I-MET'!O745+'II-I-TBILLTDCS'!O745</f>
        <v>0</v>
      </c>
      <c r="P745" s="369">
        <f>'II-I-DIST'!P745+'II-I-MET'!P745+'II-I-TBILLTDCS'!P745</f>
        <v>0</v>
      </c>
      <c r="Q745" s="369">
        <f>'II-I-DIST'!Q745+'II-I-MET'!Q745+'II-I-TBILLTDCS'!Q745</f>
        <v>0</v>
      </c>
      <c r="R745" s="369">
        <f>'II-I-DIST'!R745+'II-I-MET'!R745+'II-I-TBILLTDCS'!R745</f>
        <v>0</v>
      </c>
      <c r="S745" s="369">
        <f>'II-I-DIST'!S745+'II-I-MET'!S745+'II-I-TBILLTDCS'!S745</f>
        <v>0</v>
      </c>
      <c r="T745" s="16"/>
      <c r="U745" s="97">
        <f t="shared" si="204"/>
        <v>0</v>
      </c>
      <c r="V745" s="64"/>
      <c r="X745" s="305">
        <f t="shared" si="191"/>
        <v>0</v>
      </c>
    </row>
    <row r="746" spans="1:24" x14ac:dyDescent="0.2">
      <c r="A746" s="45"/>
      <c r="B746" s="16">
        <f t="shared" si="202"/>
        <v>24</v>
      </c>
      <c r="C746" s="1" t="s">
        <v>229</v>
      </c>
      <c r="D746" s="49" t="s">
        <v>230</v>
      </c>
      <c r="E746" s="16"/>
      <c r="F746" s="97">
        <f>' WP II-I-1.4'!L746</f>
        <v>0</v>
      </c>
      <c r="G746" s="16" t="s">
        <v>751</v>
      </c>
      <c r="H746" s="45" t="s">
        <v>303</v>
      </c>
      <c r="I746" s="16"/>
      <c r="J746" s="369">
        <f>'II-I-DIST'!J746+'II-I-MET'!J746+'II-I-TBILLTDCS'!J746</f>
        <v>0</v>
      </c>
      <c r="K746" s="369">
        <f>'II-I-DIST'!K746+'II-I-MET'!K746+'II-I-TBILLTDCS'!K746</f>
        <v>0</v>
      </c>
      <c r="L746" s="369">
        <f>'II-I-DIST'!L746+'II-I-MET'!L746+'II-I-TBILLTDCS'!L746</f>
        <v>0</v>
      </c>
      <c r="M746" s="369">
        <f>'II-I-DIST'!M746+'II-I-MET'!M746+'II-I-TBILLTDCS'!M746</f>
        <v>0</v>
      </c>
      <c r="N746" s="369">
        <f>'II-I-DIST'!N746+'II-I-MET'!N746+'II-I-TBILLTDCS'!N746</f>
        <v>0</v>
      </c>
      <c r="O746" s="369">
        <f>'II-I-DIST'!O746+'II-I-MET'!O746+'II-I-TBILLTDCS'!O746</f>
        <v>0</v>
      </c>
      <c r="P746" s="369">
        <f>'II-I-DIST'!P746+'II-I-MET'!P746+'II-I-TBILLTDCS'!P746</f>
        <v>0</v>
      </c>
      <c r="Q746" s="369">
        <f>'II-I-DIST'!Q746+'II-I-MET'!Q746+'II-I-TBILLTDCS'!Q746</f>
        <v>0</v>
      </c>
      <c r="R746" s="369">
        <f>'II-I-DIST'!R746+'II-I-MET'!R746+'II-I-TBILLTDCS'!R746</f>
        <v>0</v>
      </c>
      <c r="S746" s="369">
        <f>'II-I-DIST'!S746+'II-I-MET'!S746+'II-I-TBILLTDCS'!S746</f>
        <v>0</v>
      </c>
      <c r="T746" s="16"/>
      <c r="U746" s="97">
        <f t="shared" si="204"/>
        <v>0</v>
      </c>
      <c r="V746" s="64"/>
      <c r="X746" s="305">
        <f t="shared" si="191"/>
        <v>0</v>
      </c>
    </row>
    <row r="747" spans="1:24" x14ac:dyDescent="0.2">
      <c r="A747" s="45"/>
      <c r="B747" s="16">
        <f t="shared" si="202"/>
        <v>25</v>
      </c>
      <c r="C747" s="1" t="s">
        <v>231</v>
      </c>
      <c r="D747" s="49" t="s">
        <v>232</v>
      </c>
      <c r="E747" s="16"/>
      <c r="F747" s="97">
        <f>' WP II-I-1.4'!L747</f>
        <v>0</v>
      </c>
      <c r="G747" s="16" t="s">
        <v>751</v>
      </c>
      <c r="H747" s="45" t="s">
        <v>303</v>
      </c>
      <c r="I747" s="16"/>
      <c r="J747" s="369">
        <f>'II-I-DIST'!J747+'II-I-MET'!J747+'II-I-TBILLTDCS'!J747</f>
        <v>0</v>
      </c>
      <c r="K747" s="369">
        <f>'II-I-DIST'!K747+'II-I-MET'!K747+'II-I-TBILLTDCS'!K747</f>
        <v>0</v>
      </c>
      <c r="L747" s="369">
        <f>'II-I-DIST'!L747+'II-I-MET'!L747+'II-I-TBILLTDCS'!L747</f>
        <v>0</v>
      </c>
      <c r="M747" s="369">
        <f>'II-I-DIST'!M747+'II-I-MET'!M747+'II-I-TBILLTDCS'!M747</f>
        <v>0</v>
      </c>
      <c r="N747" s="369">
        <f>'II-I-DIST'!N747+'II-I-MET'!N747+'II-I-TBILLTDCS'!N747</f>
        <v>0</v>
      </c>
      <c r="O747" s="369">
        <f>'II-I-DIST'!O747+'II-I-MET'!O747+'II-I-TBILLTDCS'!O747</f>
        <v>0</v>
      </c>
      <c r="P747" s="369">
        <f>'II-I-DIST'!P747+'II-I-MET'!P747+'II-I-TBILLTDCS'!P747</f>
        <v>0</v>
      </c>
      <c r="Q747" s="369">
        <f>'II-I-DIST'!Q747+'II-I-MET'!Q747+'II-I-TBILLTDCS'!Q747</f>
        <v>0</v>
      </c>
      <c r="R747" s="369">
        <f>'II-I-DIST'!R747+'II-I-MET'!R747+'II-I-TBILLTDCS'!R747</f>
        <v>0</v>
      </c>
      <c r="S747" s="369">
        <f>'II-I-DIST'!S747+'II-I-MET'!S747+'II-I-TBILLTDCS'!S747</f>
        <v>0</v>
      </c>
      <c r="T747" s="16"/>
      <c r="U747" s="97">
        <f t="shared" si="204"/>
        <v>0</v>
      </c>
      <c r="V747" s="64"/>
      <c r="X747" s="305">
        <f t="shared" si="191"/>
        <v>0</v>
      </c>
    </row>
    <row r="748" spans="1:24" x14ac:dyDescent="0.2">
      <c r="A748" s="45"/>
      <c r="B748" s="16">
        <f t="shared" si="202"/>
        <v>26</v>
      </c>
      <c r="C748" s="1" t="s">
        <v>233</v>
      </c>
      <c r="D748" s="49" t="s">
        <v>234</v>
      </c>
      <c r="E748" s="16"/>
      <c r="F748" s="97">
        <f>' WP II-I-1.4'!L748</f>
        <v>0</v>
      </c>
      <c r="G748" s="16" t="s">
        <v>751</v>
      </c>
      <c r="H748" s="45" t="s">
        <v>303</v>
      </c>
      <c r="I748" s="16"/>
      <c r="J748" s="369">
        <f>'II-I-DIST'!J748+'II-I-MET'!J748+'II-I-TBILLTDCS'!J748</f>
        <v>0</v>
      </c>
      <c r="K748" s="369">
        <f>'II-I-DIST'!K748+'II-I-MET'!K748+'II-I-TBILLTDCS'!K748</f>
        <v>0</v>
      </c>
      <c r="L748" s="369">
        <f>'II-I-DIST'!L748+'II-I-MET'!L748+'II-I-TBILLTDCS'!L748</f>
        <v>0</v>
      </c>
      <c r="M748" s="369">
        <f>'II-I-DIST'!M748+'II-I-MET'!M748+'II-I-TBILLTDCS'!M748</f>
        <v>0</v>
      </c>
      <c r="N748" s="369">
        <f>'II-I-DIST'!N748+'II-I-MET'!N748+'II-I-TBILLTDCS'!N748</f>
        <v>0</v>
      </c>
      <c r="O748" s="369">
        <f>'II-I-DIST'!O748+'II-I-MET'!O748+'II-I-TBILLTDCS'!O748</f>
        <v>0</v>
      </c>
      <c r="P748" s="369">
        <f>'II-I-DIST'!P748+'II-I-MET'!P748+'II-I-TBILLTDCS'!P748</f>
        <v>0</v>
      </c>
      <c r="Q748" s="369">
        <f>'II-I-DIST'!Q748+'II-I-MET'!Q748+'II-I-TBILLTDCS'!Q748</f>
        <v>0</v>
      </c>
      <c r="R748" s="369">
        <f>'II-I-DIST'!R748+'II-I-MET'!R748+'II-I-TBILLTDCS'!R748</f>
        <v>0</v>
      </c>
      <c r="S748" s="369">
        <f>'II-I-DIST'!S748+'II-I-MET'!S748+'II-I-TBILLTDCS'!S748</f>
        <v>0</v>
      </c>
      <c r="T748" s="16"/>
      <c r="U748" s="97">
        <f t="shared" si="204"/>
        <v>0</v>
      </c>
      <c r="V748" s="64"/>
      <c r="X748" s="305">
        <f t="shared" si="191"/>
        <v>0</v>
      </c>
    </row>
    <row r="749" spans="1:24" ht="15" x14ac:dyDescent="0.25">
      <c r="A749" s="45"/>
      <c r="B749" s="16">
        <f t="shared" si="202"/>
        <v>27</v>
      </c>
      <c r="C749" s="8"/>
      <c r="D749" s="233" t="s">
        <v>602</v>
      </c>
      <c r="E749" s="19"/>
      <c r="F749" s="21">
        <f>SUM(F744:F748)</f>
        <v>0</v>
      </c>
      <c r="G749" s="19"/>
      <c r="H749" s="19"/>
      <c r="I749" s="912"/>
      <c r="J749" s="805">
        <f t="shared" ref="J749:Q749" si="205">SUM(J744:J748)</f>
        <v>0</v>
      </c>
      <c r="K749" s="805">
        <f t="shared" si="205"/>
        <v>0</v>
      </c>
      <c r="L749" s="805">
        <f t="shared" si="205"/>
        <v>0</v>
      </c>
      <c r="M749" s="805">
        <f t="shared" si="205"/>
        <v>0</v>
      </c>
      <c r="N749" s="805">
        <f t="shared" si="205"/>
        <v>0</v>
      </c>
      <c r="O749" s="805">
        <f>SUM(O744:O748)</f>
        <v>0</v>
      </c>
      <c r="P749" s="805">
        <f t="shared" si="205"/>
        <v>0</v>
      </c>
      <c r="Q749" s="805">
        <f t="shared" si="205"/>
        <v>0</v>
      </c>
      <c r="R749" s="805">
        <f>SUM(R744:R748)</f>
        <v>0</v>
      </c>
      <c r="S749" s="805">
        <f>SUM(S744:S748)</f>
        <v>0</v>
      </c>
      <c r="T749" s="912"/>
      <c r="U749" s="235">
        <f t="shared" si="204"/>
        <v>0</v>
      </c>
      <c r="V749" s="64"/>
      <c r="X749" s="305">
        <f t="shared" si="191"/>
        <v>0</v>
      </c>
    </row>
    <row r="750" spans="1:24" ht="15" x14ac:dyDescent="0.25">
      <c r="A750" s="45"/>
      <c r="B750" s="16">
        <f t="shared" si="202"/>
        <v>28</v>
      </c>
      <c r="C750" s="8"/>
      <c r="D750" s="304"/>
      <c r="E750" s="19"/>
      <c r="F750" s="21"/>
      <c r="G750" s="19"/>
      <c r="H750" s="19"/>
      <c r="I750" s="19"/>
      <c r="J750" s="805"/>
      <c r="K750" s="805"/>
      <c r="L750" s="805"/>
      <c r="M750" s="805"/>
      <c r="N750" s="805"/>
      <c r="O750" s="805"/>
      <c r="P750" s="805"/>
      <c r="Q750" s="805"/>
      <c r="R750" s="805"/>
      <c r="S750" s="805"/>
      <c r="T750" s="19"/>
      <c r="U750" s="8"/>
      <c r="V750" s="64"/>
      <c r="X750" s="305">
        <f t="shared" si="191"/>
        <v>0</v>
      </c>
    </row>
    <row r="751" spans="1:24" ht="15" x14ac:dyDescent="0.25">
      <c r="A751" s="45"/>
      <c r="B751" s="16">
        <f t="shared" si="202"/>
        <v>29</v>
      </c>
      <c r="C751" s="8"/>
      <c r="D751" s="233" t="s">
        <v>603</v>
      </c>
      <c r="E751" s="19"/>
      <c r="F751" s="21">
        <f>SUM(F745:F748)</f>
        <v>0</v>
      </c>
      <c r="G751" s="19"/>
      <c r="H751" s="19"/>
      <c r="I751" s="19"/>
      <c r="J751" s="805">
        <f t="shared" ref="J751:Q751" si="206">SUM(J745:J748)</f>
        <v>0</v>
      </c>
      <c r="K751" s="805">
        <f t="shared" si="206"/>
        <v>0</v>
      </c>
      <c r="L751" s="805">
        <f t="shared" si="206"/>
        <v>0</v>
      </c>
      <c r="M751" s="805">
        <f t="shared" si="206"/>
        <v>0</v>
      </c>
      <c r="N751" s="805">
        <f t="shared" si="206"/>
        <v>0</v>
      </c>
      <c r="O751" s="805">
        <f>SUM(O745:O748)</f>
        <v>0</v>
      </c>
      <c r="P751" s="805">
        <f t="shared" si="206"/>
        <v>0</v>
      </c>
      <c r="Q751" s="805">
        <f t="shared" si="206"/>
        <v>0</v>
      </c>
      <c r="R751" s="805">
        <f>SUM(R745:R748)</f>
        <v>0</v>
      </c>
      <c r="S751" s="805">
        <f>SUM(S745:S748)</f>
        <v>0</v>
      </c>
      <c r="T751" s="19"/>
      <c r="U751" s="235">
        <f>SUM(I751:T751)</f>
        <v>0</v>
      </c>
      <c r="V751" s="64"/>
      <c r="X751" s="305">
        <f t="shared" si="191"/>
        <v>0</v>
      </c>
    </row>
    <row r="752" spans="1:24" ht="15.75" thickBot="1" x14ac:dyDescent="0.3">
      <c r="A752" s="45"/>
      <c r="B752" s="16">
        <f t="shared" si="202"/>
        <v>30</v>
      </c>
      <c r="C752" s="8"/>
      <c r="D752" s="304"/>
      <c r="E752" s="19"/>
      <c r="F752" s="21"/>
      <c r="G752" s="19"/>
      <c r="H752" s="19"/>
      <c r="I752" s="19"/>
      <c r="J752" s="805"/>
      <c r="K752" s="805"/>
      <c r="L752" s="805"/>
      <c r="M752" s="805"/>
      <c r="N752" s="805"/>
      <c r="O752" s="805"/>
      <c r="P752" s="805"/>
      <c r="Q752" s="805"/>
      <c r="R752" s="805"/>
      <c r="S752" s="805"/>
      <c r="T752" s="19"/>
      <c r="U752" s="8"/>
      <c r="V752" s="64"/>
      <c r="X752" s="305">
        <f t="shared" si="191"/>
        <v>0</v>
      </c>
    </row>
    <row r="753" spans="1:24" ht="15" x14ac:dyDescent="0.25">
      <c r="A753" s="45"/>
      <c r="B753" s="16">
        <f t="shared" si="202"/>
        <v>31</v>
      </c>
      <c r="C753" s="255" t="s">
        <v>604</v>
      </c>
      <c r="D753" s="240"/>
      <c r="E753" s="241" t="s">
        <v>143</v>
      </c>
      <c r="F753" s="242">
        <f>+F749+F739+F729+F709+F661</f>
        <v>2554834123.7700005</v>
      </c>
      <c r="G753" s="241"/>
      <c r="H753" s="372"/>
      <c r="I753" s="769"/>
      <c r="J753" s="374">
        <f t="shared" ref="J753:Q753" ca="1" si="207">+J749+J739+J729+J709+J661</f>
        <v>1158989526.8734903</v>
      </c>
      <c r="K753" s="817">
        <f t="shared" ca="1" si="207"/>
        <v>29106563.300859559</v>
      </c>
      <c r="L753" s="817">
        <f t="shared" ca="1" si="207"/>
        <v>789450602.06376624</v>
      </c>
      <c r="M753" s="817">
        <f t="shared" ca="1" si="207"/>
        <v>1399726.0023378993</v>
      </c>
      <c r="N753" s="817">
        <f t="shared" ca="1" si="207"/>
        <v>238478025.34530053</v>
      </c>
      <c r="O753" s="817">
        <f ca="1">+O749+O739+O729+O709+O661</f>
        <v>75752818.462273821</v>
      </c>
      <c r="P753" s="817">
        <f t="shared" ca="1" si="207"/>
        <v>248086051.3257792</v>
      </c>
      <c r="Q753" s="817">
        <f t="shared" ca="1" si="207"/>
        <v>12109538.121894224</v>
      </c>
      <c r="R753" s="817">
        <f ca="1">+R749+R739+R729+R709+R661</f>
        <v>237246.5989201754</v>
      </c>
      <c r="S753" s="566">
        <f ca="1">+S749+S739+S729+S709+S661</f>
        <v>1224025.6753777897</v>
      </c>
      <c r="T753" s="372"/>
      <c r="U753" s="243">
        <f ca="1">SUM(I753:T753)</f>
        <v>2554834123.7699995</v>
      </c>
      <c r="V753" s="64"/>
      <c r="W753" s="1099" t="b">
        <f ca="1">' WP II-I-1.4'!$L$753=U753</f>
        <v>1</v>
      </c>
      <c r="X753" s="305">
        <f t="shared" ca="1" si="191"/>
        <v>0</v>
      </c>
    </row>
    <row r="754" spans="1:24" ht="15.75" thickBot="1" x14ac:dyDescent="0.3">
      <c r="A754" s="45"/>
      <c r="B754" s="16">
        <f t="shared" si="202"/>
        <v>32</v>
      </c>
      <c r="C754" s="262" t="s">
        <v>605</v>
      </c>
      <c r="D754" s="246"/>
      <c r="E754" s="247" t="s">
        <v>143</v>
      </c>
      <c r="F754" s="248">
        <f>F753-F645</f>
        <v>453992651.11000037</v>
      </c>
      <c r="G754" s="247"/>
      <c r="H754" s="375"/>
      <c r="I754" s="964"/>
      <c r="J754" s="377">
        <f t="shared" ref="J754:Q754" ca="1" si="208">J753-J645</f>
        <v>237584539.30525756</v>
      </c>
      <c r="K754" s="248">
        <f t="shared" ca="1" si="208"/>
        <v>10531686.074919857</v>
      </c>
      <c r="L754" s="248">
        <f t="shared" ca="1" si="208"/>
        <v>147991081.72951162</v>
      </c>
      <c r="M754" s="248">
        <f t="shared" ca="1" si="208"/>
        <v>1196796.6136562014</v>
      </c>
      <c r="N754" s="248">
        <f t="shared" ca="1" si="208"/>
        <v>39028605.729894489</v>
      </c>
      <c r="O754" s="248">
        <f ca="1">O753-O645</f>
        <v>3344722.920848012</v>
      </c>
      <c r="P754" s="248">
        <f t="shared" ca="1" si="208"/>
        <v>744408.33971980214</v>
      </c>
      <c r="Q754" s="248">
        <f t="shared" ca="1" si="208"/>
        <v>12109538.121894224</v>
      </c>
      <c r="R754" s="248">
        <f ca="1">R753-R645</f>
        <v>237246.5989201754</v>
      </c>
      <c r="S754" s="378">
        <f ca="1">S753-S645</f>
        <v>1224025.6753777897</v>
      </c>
      <c r="T754" s="375"/>
      <c r="U754" s="249">
        <f ca="1">SUM(I754:T754)</f>
        <v>453992651.10999966</v>
      </c>
      <c r="V754" s="64"/>
      <c r="W754" s="1099">
        <f ca="1">' WP II-I-1.4'!$L$754-U754</f>
        <v>0</v>
      </c>
      <c r="X754" s="305">
        <f t="shared" ca="1" si="191"/>
        <v>-7.152557373046875E-7</v>
      </c>
    </row>
    <row r="755" spans="1:24" ht="15" x14ac:dyDescent="0.25">
      <c r="A755" s="45"/>
      <c r="B755" s="16"/>
      <c r="C755" s="8"/>
      <c r="D755" s="8"/>
      <c r="E755" s="19"/>
      <c r="F755" s="21"/>
      <c r="G755" s="19"/>
      <c r="H755" s="105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05"/>
      <c r="V755" s="105"/>
      <c r="X755" s="305"/>
    </row>
    <row r="756" spans="1:24" ht="15.75" thickBot="1" x14ac:dyDescent="0.3">
      <c r="A756" s="45"/>
      <c r="B756" s="16"/>
      <c r="C756" s="8"/>
      <c r="D756" s="8"/>
      <c r="E756" s="19"/>
      <c r="F756" s="21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1"/>
      <c r="V756" s="64"/>
      <c r="X756" s="305">
        <f t="shared" si="191"/>
        <v>0</v>
      </c>
    </row>
    <row r="757" spans="1:24" ht="15" x14ac:dyDescent="0.25">
      <c r="A757" s="45"/>
      <c r="B757" s="829" t="str">
        <f>+$B$4</f>
        <v>2025 RATE CASE</v>
      </c>
      <c r="C757" s="844"/>
      <c r="D757" s="872"/>
      <c r="F757" s="267"/>
      <c r="U757" s="105"/>
      <c r="X757" s="305">
        <f t="shared" si="191"/>
        <v>0</v>
      </c>
    </row>
    <row r="758" spans="1:24" ht="15" x14ac:dyDescent="0.25">
      <c r="A758" s="45"/>
      <c r="B758" s="826" t="str">
        <f>+$B$5</f>
        <v>ONCOR ELECTRIC DELIVERY COMPANY LLC</v>
      </c>
      <c r="C758" s="8"/>
      <c r="D758" s="873"/>
      <c r="F758" s="306"/>
      <c r="U758" s="105"/>
      <c r="V758" s="64"/>
      <c r="X758" s="305">
        <f t="shared" si="191"/>
        <v>0</v>
      </c>
    </row>
    <row r="759" spans="1:24" ht="15" x14ac:dyDescent="0.25">
      <c r="A759" s="45"/>
      <c r="B759" s="826" t="str">
        <f>+$B$6</f>
        <v>II-I-1-TOT:  CLASS REVENUE REQUIREMENT</v>
      </c>
      <c r="C759" s="82"/>
      <c r="D759" s="873"/>
      <c r="F759" s="306"/>
      <c r="U759" s="267"/>
      <c r="V759" s="64"/>
      <c r="X759" s="305">
        <f t="shared" si="191"/>
        <v>0</v>
      </c>
    </row>
    <row r="760" spans="1:24" ht="15" x14ac:dyDescent="0.25">
      <c r="A760" s="45"/>
      <c r="B760" s="341" t="str">
        <f>+$B$7</f>
        <v>TEST YEAR ENDING 12/31/2024</v>
      </c>
      <c r="C760" s="82"/>
      <c r="D760" s="873"/>
      <c r="F760" s="306"/>
      <c r="U760" s="267"/>
      <c r="V760" s="64"/>
      <c r="X760" s="305">
        <f t="shared" si="191"/>
        <v>0</v>
      </c>
    </row>
    <row r="761" spans="1:24" ht="15" x14ac:dyDescent="0.25">
      <c r="A761" s="45"/>
      <c r="B761" s="341" t="str">
        <f>+$B$8</f>
        <v>SPONSOR:  MATTHEW A. TROXLE</v>
      </c>
      <c r="C761" s="82"/>
      <c r="D761" s="873"/>
      <c r="F761" s="306"/>
      <c r="U761" s="267"/>
      <c r="V761" s="64"/>
      <c r="X761" s="305">
        <f t="shared" si="191"/>
        <v>0</v>
      </c>
    </row>
    <row r="762" spans="1:24" ht="15.75" thickBot="1" x14ac:dyDescent="0.3">
      <c r="A762" s="45"/>
      <c r="B762" s="345"/>
      <c r="C762" s="843"/>
      <c r="D762" s="845"/>
      <c r="F762" s="306"/>
      <c r="U762" s="267"/>
      <c r="V762" s="64"/>
      <c r="X762" s="305">
        <f t="shared" si="191"/>
        <v>0</v>
      </c>
    </row>
    <row r="763" spans="1:24" ht="15" thickBot="1" x14ac:dyDescent="0.25">
      <c r="A763" s="45"/>
      <c r="B763" s="12"/>
      <c r="C763" s="13"/>
      <c r="D763" s="13"/>
      <c r="E763" s="13"/>
      <c r="F763" s="12"/>
      <c r="G763" s="13"/>
      <c r="H763" s="13"/>
      <c r="I763" s="13"/>
      <c r="J763" s="177"/>
      <c r="K763" s="177"/>
      <c r="L763" s="13"/>
      <c r="M763" s="177"/>
      <c r="N763" s="177"/>
      <c r="O763" s="177"/>
      <c r="P763" s="177"/>
      <c r="Q763" s="13"/>
      <c r="R763" s="328" t="str">
        <f>R$10</f>
        <v xml:space="preserve"> </v>
      </c>
      <c r="S763" s="329"/>
      <c r="T763" s="177"/>
      <c r="U763" s="12"/>
      <c r="V763" s="64"/>
      <c r="X763" s="305">
        <f t="shared" si="191"/>
        <v>0</v>
      </c>
    </row>
    <row r="764" spans="1:24" ht="15" x14ac:dyDescent="0.25">
      <c r="A764" s="45"/>
      <c r="B764" s="14" t="s">
        <v>2</v>
      </c>
      <c r="C764" s="14" t="s">
        <v>349</v>
      </c>
      <c r="D764" s="226" t="s">
        <v>1109</v>
      </c>
      <c r="E764" s="14" t="s">
        <v>350</v>
      </c>
      <c r="F764" s="226" t="str">
        <f>F$11</f>
        <v>TOTAL</v>
      </c>
      <c r="G764" s="181" t="s">
        <v>688</v>
      </c>
      <c r="H764" s="181" t="s">
        <v>355</v>
      </c>
      <c r="I764" s="14"/>
      <c r="J764" s="181" t="s">
        <v>679</v>
      </c>
      <c r="K764" s="181" t="s">
        <v>388</v>
      </c>
      <c r="L764" s="14" t="s">
        <v>388</v>
      </c>
      <c r="M764" s="181" t="s">
        <v>389</v>
      </c>
      <c r="N764" s="181" t="s">
        <v>389</v>
      </c>
      <c r="O764" s="181" t="s">
        <v>389</v>
      </c>
      <c r="P764" s="181" t="s">
        <v>390</v>
      </c>
      <c r="Q764" s="14" t="s">
        <v>391</v>
      </c>
      <c r="R764" s="331" t="str">
        <f>R$11</f>
        <v>Wholesale</v>
      </c>
      <c r="S764" s="12" t="str">
        <f>S$11</f>
        <v>Wholesale</v>
      </c>
      <c r="T764" s="181"/>
      <c r="U764" s="14" t="s">
        <v>10</v>
      </c>
      <c r="V764" s="64"/>
      <c r="X764" s="305"/>
    </row>
    <row r="765" spans="1:24" x14ac:dyDescent="0.2">
      <c r="A765" s="45"/>
      <c r="B765" s="14"/>
      <c r="C765" s="14"/>
      <c r="D765" s="14"/>
      <c r="E765" s="14"/>
      <c r="F765" s="14" t="str">
        <f>F$12</f>
        <v>(Dist+Met+Cust)</v>
      </c>
      <c r="G765" s="181" t="s">
        <v>689</v>
      </c>
      <c r="H765" s="181" t="s">
        <v>690</v>
      </c>
      <c r="I765" s="14"/>
      <c r="J765" s="181"/>
      <c r="K765" s="181" t="s">
        <v>680</v>
      </c>
      <c r="L765" s="14" t="s">
        <v>681</v>
      </c>
      <c r="M765" s="181" t="s">
        <v>680</v>
      </c>
      <c r="N765" s="181" t="s">
        <v>681</v>
      </c>
      <c r="O765" s="181" t="s">
        <v>393</v>
      </c>
      <c r="P765" s="181"/>
      <c r="Q765" s="14"/>
      <c r="R765" s="174" t="str">
        <f>R$12</f>
        <v>XFMR</v>
      </c>
      <c r="S765" s="14" t="str">
        <f>S$12</f>
        <v>DLS</v>
      </c>
      <c r="T765" s="181"/>
      <c r="U765" s="14"/>
      <c r="V765" s="64"/>
      <c r="X765" s="305"/>
    </row>
    <row r="766" spans="1:24" ht="15" thickBot="1" x14ac:dyDescent="0.25">
      <c r="A766" s="45"/>
      <c r="B766" s="15"/>
      <c r="C766" s="15"/>
      <c r="D766" s="15"/>
      <c r="E766" s="15"/>
      <c r="F766" s="15" t="s">
        <v>13</v>
      </c>
      <c r="G766" s="15" t="s">
        <v>14</v>
      </c>
      <c r="H766" s="15" t="s">
        <v>15</v>
      </c>
      <c r="I766" s="15"/>
      <c r="J766" s="182" t="str">
        <f t="shared" ref="J766:Q766" si="209">J$13</f>
        <v>(d)</v>
      </c>
      <c r="K766" s="182" t="str">
        <f t="shared" si="209"/>
        <v>(e)</v>
      </c>
      <c r="L766" s="15" t="str">
        <f t="shared" si="209"/>
        <v>(f)</v>
      </c>
      <c r="M766" s="182" t="str">
        <f t="shared" si="209"/>
        <v>(g)</v>
      </c>
      <c r="N766" s="182" t="str">
        <f t="shared" si="209"/>
        <v>(h)</v>
      </c>
      <c r="O766" s="182" t="str">
        <f>O$13</f>
        <v>(i)</v>
      </c>
      <c r="P766" s="182" t="str">
        <f t="shared" si="209"/>
        <v>(j)</v>
      </c>
      <c r="Q766" s="182" t="str">
        <f t="shared" si="209"/>
        <v>(k)</v>
      </c>
      <c r="R766" s="182" t="str">
        <f>R$13</f>
        <v>(l)</v>
      </c>
      <c r="S766" s="15" t="str">
        <f>S$13</f>
        <v>(m)</v>
      </c>
      <c r="T766" s="15"/>
      <c r="U766" s="15" t="s">
        <v>683</v>
      </c>
      <c r="V766" s="64"/>
      <c r="X766" s="305"/>
    </row>
    <row r="767" spans="1:24" x14ac:dyDescent="0.2">
      <c r="A767" s="45"/>
      <c r="B767" s="64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41"/>
      <c r="V767" s="64"/>
      <c r="X767" s="305">
        <f t="shared" ref="X767:X828" si="210">U767-F767</f>
        <v>0</v>
      </c>
    </row>
    <row r="768" spans="1:24" ht="15" x14ac:dyDescent="0.25">
      <c r="A768" s="45"/>
      <c r="B768" s="16">
        <f t="shared" ref="B768:B787" si="211">B767+1</f>
        <v>1</v>
      </c>
      <c r="C768" s="8" t="s">
        <v>1109</v>
      </c>
      <c r="D768" s="8"/>
      <c r="E768" s="19" t="s">
        <v>236</v>
      </c>
      <c r="F768" s="8"/>
      <c r="G768" s="19"/>
      <c r="H768" s="19"/>
      <c r="I768" s="19"/>
      <c r="J768" s="961"/>
      <c r="K768" s="961"/>
      <c r="L768" s="961"/>
      <c r="M768" s="961"/>
      <c r="N768" s="961"/>
      <c r="O768" s="961"/>
      <c r="P768" s="961"/>
      <c r="Q768" s="961"/>
      <c r="R768" s="961"/>
      <c r="S768" s="961"/>
      <c r="T768" s="19"/>
      <c r="U768" s="8"/>
      <c r="V768" s="64"/>
      <c r="X768" s="305">
        <f t="shared" si="210"/>
        <v>0</v>
      </c>
    </row>
    <row r="769" spans="1:24" x14ac:dyDescent="0.2">
      <c r="A769" s="45"/>
      <c r="B769" s="16">
        <f t="shared" si="211"/>
        <v>2</v>
      </c>
      <c r="C769" s="1" t="s">
        <v>237</v>
      </c>
      <c r="D769" s="1" t="s">
        <v>238</v>
      </c>
      <c r="E769" s="16"/>
      <c r="F769" s="97">
        <f>' WP II-I-1.4'!L769</f>
        <v>107029734.39999999</v>
      </c>
      <c r="G769" s="16" t="s">
        <v>751</v>
      </c>
      <c r="H769" s="45" t="s">
        <v>303</v>
      </c>
      <c r="I769" s="16"/>
      <c r="J769" s="369">
        <f ca="1">'II-I-DIST'!J769+'II-I-MET'!J769+'II-I-TBILLTDCS'!J769</f>
        <v>55864403.461767986</v>
      </c>
      <c r="K769" s="369">
        <f ca="1">'II-I-DIST'!K769+'II-I-MET'!K769+'II-I-TBILLTDCS'!K769</f>
        <v>3479423.2337704636</v>
      </c>
      <c r="L769" s="369">
        <f ca="1">'II-I-DIST'!L769+'II-I-MET'!L769+'II-I-TBILLTDCS'!L769</f>
        <v>34059149.171612419</v>
      </c>
      <c r="M769" s="369">
        <f ca="1">'II-I-DIST'!M769+'II-I-MET'!M769+'II-I-TBILLTDCS'!M769</f>
        <v>465999.8862982993</v>
      </c>
      <c r="N769" s="369">
        <f ca="1">'II-I-DIST'!N769+'II-I-MET'!N769+'II-I-TBILLTDCS'!N769</f>
        <v>9288486.0092415847</v>
      </c>
      <c r="O769" s="369">
        <f ca="1">'II-I-DIST'!O769+'II-I-MET'!O769+'II-I-TBILLTDCS'!O769</f>
        <v>721239.10826503695</v>
      </c>
      <c r="P769" s="369">
        <f ca="1">'II-I-DIST'!P769+'II-I-MET'!P769+'II-I-TBILLTDCS'!P769</f>
        <v>380587.49487074825</v>
      </c>
      <c r="Q769" s="369">
        <f ca="1">'II-I-DIST'!Q769+'II-I-MET'!Q769+'II-I-TBILLTDCS'!Q769</f>
        <v>2476877.3138350532</v>
      </c>
      <c r="R769" s="369">
        <f ca="1">'II-I-DIST'!R769+'II-I-MET'!R769+'II-I-TBILLTDCS'!R769</f>
        <v>50563.925907716199</v>
      </c>
      <c r="S769" s="369">
        <f ca="1">'II-I-DIST'!S769+'II-I-MET'!S769+'II-I-TBILLTDCS'!S769</f>
        <v>243004.79443067426</v>
      </c>
      <c r="T769" s="16"/>
      <c r="U769" s="97">
        <f t="shared" ref="U769:U781" ca="1" si="212">SUM(I769:T769)</f>
        <v>107029734.39999999</v>
      </c>
      <c r="V769" s="64"/>
      <c r="X769" s="305">
        <f t="shared" ca="1" si="210"/>
        <v>0</v>
      </c>
    </row>
    <row r="770" spans="1:24" x14ac:dyDescent="0.2">
      <c r="A770" s="45"/>
      <c r="B770" s="16">
        <f t="shared" si="211"/>
        <v>3</v>
      </c>
      <c r="C770" s="1" t="s">
        <v>239</v>
      </c>
      <c r="D770" s="1" t="s">
        <v>240</v>
      </c>
      <c r="E770" s="16"/>
      <c r="F770" s="97">
        <f>' WP II-I-1.4'!L770</f>
        <v>10516995.130000001</v>
      </c>
      <c r="G770" s="16" t="s">
        <v>751</v>
      </c>
      <c r="H770" s="45" t="s">
        <v>303</v>
      </c>
      <c r="I770" s="16"/>
      <c r="J770" s="369">
        <f ca="1">'II-I-DIST'!J770+'II-I-MET'!J770+'II-I-TBILLTDCS'!J770</f>
        <v>5493285.2965874476</v>
      </c>
      <c r="K770" s="369">
        <f ca="1">'II-I-DIST'!K770+'II-I-MET'!K770+'II-I-TBILLTDCS'!K770</f>
        <v>318030.56845927174</v>
      </c>
      <c r="L770" s="369">
        <f ca="1">'II-I-DIST'!L770+'II-I-MET'!L770+'II-I-TBILLTDCS'!L770</f>
        <v>3366857.2444913001</v>
      </c>
      <c r="M770" s="369">
        <f ca="1">'II-I-DIST'!M770+'II-I-MET'!M770+'II-I-TBILLTDCS'!M770</f>
        <v>41405.188497125404</v>
      </c>
      <c r="N770" s="369">
        <f ca="1">'II-I-DIST'!N770+'II-I-MET'!N770+'II-I-TBILLTDCS'!N770</f>
        <v>910821.42352061789</v>
      </c>
      <c r="O770" s="369">
        <f ca="1">'II-I-DIST'!O770+'II-I-MET'!O770+'II-I-TBILLTDCS'!O770</f>
        <v>72418.983232384722</v>
      </c>
      <c r="P770" s="369">
        <f ca="1">'II-I-DIST'!P770+'II-I-MET'!P770+'II-I-TBILLTDCS'!P770</f>
        <v>32106.964909886912</v>
      </c>
      <c r="Q770" s="369">
        <f ca="1">'II-I-DIST'!Q770+'II-I-MET'!Q770+'II-I-TBILLTDCS'!Q770</f>
        <v>251966.47487462978</v>
      </c>
      <c r="R770" s="369">
        <f ca="1">'II-I-DIST'!R770+'II-I-MET'!R770+'II-I-TBILLTDCS'!R770</f>
        <v>5102.9105662772254</v>
      </c>
      <c r="S770" s="369">
        <f ca="1">'II-I-DIST'!S770+'II-I-MET'!S770+'II-I-TBILLTDCS'!S770</f>
        <v>25000.074861058507</v>
      </c>
      <c r="T770" s="16"/>
      <c r="U770" s="97">
        <f t="shared" ca="1" si="212"/>
        <v>10516995.130000001</v>
      </c>
      <c r="V770" s="64"/>
      <c r="X770" s="305">
        <f t="shared" ca="1" si="210"/>
        <v>0</v>
      </c>
    </row>
    <row r="771" spans="1:24" x14ac:dyDescent="0.2">
      <c r="A771" s="45"/>
      <c r="B771" s="16">
        <f t="shared" si="211"/>
        <v>4</v>
      </c>
      <c r="C771" s="1" t="s">
        <v>241</v>
      </c>
      <c r="D771" s="1" t="s">
        <v>242</v>
      </c>
      <c r="E771" s="16"/>
      <c r="F771" s="97">
        <f>' WP II-I-1.4'!L771</f>
        <v>0</v>
      </c>
      <c r="G771" s="16" t="s">
        <v>751</v>
      </c>
      <c r="H771" s="45" t="s">
        <v>303</v>
      </c>
      <c r="I771" s="16"/>
      <c r="J771" s="369">
        <f ca="1">'II-I-DIST'!J771+'II-I-MET'!J771+'II-I-TBILLTDCS'!J771</f>
        <v>0</v>
      </c>
      <c r="K771" s="369">
        <f ca="1">'II-I-DIST'!K771+'II-I-MET'!K771+'II-I-TBILLTDCS'!K771</f>
        <v>0</v>
      </c>
      <c r="L771" s="369">
        <f ca="1">'II-I-DIST'!L771+'II-I-MET'!L771+'II-I-TBILLTDCS'!L771</f>
        <v>0</v>
      </c>
      <c r="M771" s="369">
        <f ca="1">'II-I-DIST'!M771+'II-I-MET'!M771+'II-I-TBILLTDCS'!M771</f>
        <v>0</v>
      </c>
      <c r="N771" s="369">
        <f ca="1">'II-I-DIST'!N771+'II-I-MET'!N771+'II-I-TBILLTDCS'!N771</f>
        <v>0</v>
      </c>
      <c r="O771" s="369">
        <f ca="1">'II-I-DIST'!O771+'II-I-MET'!O771+'II-I-TBILLTDCS'!O771</f>
        <v>0</v>
      </c>
      <c r="P771" s="369">
        <f ca="1">'II-I-DIST'!P771+'II-I-MET'!P771+'II-I-TBILLTDCS'!P771</f>
        <v>0</v>
      </c>
      <c r="Q771" s="369">
        <f ca="1">'II-I-DIST'!Q771+'II-I-MET'!Q771+'II-I-TBILLTDCS'!Q771</f>
        <v>0</v>
      </c>
      <c r="R771" s="369">
        <f ca="1">'II-I-DIST'!R771+'II-I-MET'!R771+'II-I-TBILLTDCS'!R771</f>
        <v>0</v>
      </c>
      <c r="S771" s="369">
        <f ca="1">'II-I-DIST'!S771+'II-I-MET'!S771+'II-I-TBILLTDCS'!S771</f>
        <v>0</v>
      </c>
      <c r="T771" s="16"/>
      <c r="U771" s="97">
        <f t="shared" ca="1" si="212"/>
        <v>0</v>
      </c>
      <c r="V771" s="64"/>
      <c r="X771" s="305">
        <f t="shared" ca="1" si="210"/>
        <v>0</v>
      </c>
    </row>
    <row r="772" spans="1:24" x14ac:dyDescent="0.2">
      <c r="A772" s="45"/>
      <c r="B772" s="16">
        <f t="shared" si="211"/>
        <v>5</v>
      </c>
      <c r="C772" s="1" t="s">
        <v>243</v>
      </c>
      <c r="D772" s="29" t="s">
        <v>244</v>
      </c>
      <c r="E772" s="16"/>
      <c r="F772" s="97">
        <f>' WP II-I-1.4'!L772</f>
        <v>104048727.56</v>
      </c>
      <c r="G772" s="16" t="s">
        <v>751</v>
      </c>
      <c r="H772" s="45" t="s">
        <v>303</v>
      </c>
      <c r="I772" s="16"/>
      <c r="J772" s="369">
        <f ca="1">'II-I-DIST'!J772+'II-I-MET'!J772+'II-I-TBILLTDCS'!J772</f>
        <v>54448126.482282393</v>
      </c>
      <c r="K772" s="369">
        <f ca="1">'II-I-DIST'!K772+'II-I-MET'!K772+'II-I-TBILLTDCS'!K772</f>
        <v>2118626.2024177457</v>
      </c>
      <c r="L772" s="369">
        <f ca="1">'II-I-DIST'!L772+'II-I-MET'!L772+'II-I-TBILLTDCS'!L772</f>
        <v>34135085.594793335</v>
      </c>
      <c r="M772" s="369">
        <f ca="1">'II-I-DIST'!M772+'II-I-MET'!M772+'II-I-TBILLTDCS'!M772</f>
        <v>217799.93718206821</v>
      </c>
      <c r="N772" s="369">
        <f ca="1">'II-I-DIST'!N772+'II-I-MET'!N772+'II-I-TBILLTDCS'!N772</f>
        <v>8895320.0720575396</v>
      </c>
      <c r="O772" s="369">
        <f ca="1">'II-I-DIST'!O772+'II-I-MET'!O772+'II-I-TBILLTDCS'!O772</f>
        <v>793711.6238834674</v>
      </c>
      <c r="P772" s="369">
        <f ca="1">'II-I-DIST'!P772+'II-I-MET'!P772+'II-I-TBILLTDCS'!P772</f>
        <v>153272.57699980322</v>
      </c>
      <c r="Q772" s="369">
        <f ca="1">'II-I-DIST'!Q772+'II-I-MET'!Q772+'II-I-TBILLTDCS'!Q772</f>
        <v>2940988.6074166512</v>
      </c>
      <c r="R772" s="369">
        <f ca="1">'II-I-DIST'!R772+'II-I-MET'!R772+'II-I-TBILLTDCS'!R772</f>
        <v>55294.286185426972</v>
      </c>
      <c r="S772" s="369">
        <f ca="1">'II-I-DIST'!S772+'II-I-MET'!S772+'II-I-TBILLTDCS'!S772</f>
        <v>290502.17678157013</v>
      </c>
      <c r="T772" s="16"/>
      <c r="U772" s="97">
        <f t="shared" ca="1" si="212"/>
        <v>104048727.56</v>
      </c>
      <c r="V772" s="64"/>
      <c r="X772" s="305">
        <f t="shared" ca="1" si="210"/>
        <v>0</v>
      </c>
    </row>
    <row r="773" spans="1:24" x14ac:dyDescent="0.2">
      <c r="A773" s="45"/>
      <c r="B773" s="16">
        <f t="shared" si="211"/>
        <v>6</v>
      </c>
      <c r="C773" s="1" t="s">
        <v>245</v>
      </c>
      <c r="D773" s="1" t="s">
        <v>246</v>
      </c>
      <c r="E773" s="16"/>
      <c r="F773" s="97">
        <f>' WP II-I-1.4'!L773</f>
        <v>581464952.13999999</v>
      </c>
      <c r="G773" s="16" t="s">
        <v>751</v>
      </c>
      <c r="H773" s="45" t="s">
        <v>303</v>
      </c>
      <c r="I773" s="16"/>
      <c r="J773" s="369">
        <f ca="1">'II-I-DIST'!J773+'II-I-MET'!J773+'II-I-TBILLTDCS'!J773</f>
        <v>312388562.76387882</v>
      </c>
      <c r="K773" s="369">
        <f ca="1">'II-I-DIST'!K773+'II-I-MET'!K773+'II-I-TBILLTDCS'!K773</f>
        <v>10092849.445930347</v>
      </c>
      <c r="L773" s="369">
        <f ca="1">'II-I-DIST'!L773+'II-I-MET'!L773+'II-I-TBILLTDCS'!L773</f>
        <v>197520290.39471349</v>
      </c>
      <c r="M773" s="369">
        <f ca="1">'II-I-DIST'!M773+'II-I-MET'!M773+'II-I-TBILLTDCS'!M773</f>
        <v>57135.447737120849</v>
      </c>
      <c r="N773" s="369">
        <f ca="1">'II-I-DIST'!N773+'II-I-MET'!N773+'II-I-TBILLTDCS'!N773</f>
        <v>35914604.202002212</v>
      </c>
      <c r="O773" s="369">
        <f ca="1">'II-I-DIST'!O773+'II-I-MET'!O773+'II-I-TBILLTDCS'!O773</f>
        <v>3906116.8527385094</v>
      </c>
      <c r="P773" s="369">
        <f ca="1">'II-I-DIST'!P773+'II-I-MET'!P773+'II-I-TBILLTDCS'!P773</f>
        <v>676695.61254975956</v>
      </c>
      <c r="Q773" s="369">
        <f ca="1">'II-I-DIST'!Q773+'II-I-MET'!Q773+'II-I-TBILLTDCS'!Q773</f>
        <v>19260638.998913523</v>
      </c>
      <c r="R773" s="369">
        <f ca="1">'II-I-DIST'!R773+'II-I-MET'!R773+'II-I-TBILLTDCS'!R773</f>
        <v>270006.05746205879</v>
      </c>
      <c r="S773" s="369">
        <f ca="1">'II-I-DIST'!S773+'II-I-MET'!S773+'II-I-TBILLTDCS'!S773</f>
        <v>1378052.3640739894</v>
      </c>
      <c r="T773" s="16"/>
      <c r="U773" s="97">
        <f t="shared" ca="1" si="212"/>
        <v>581464952.13999987</v>
      </c>
      <c r="V773" s="64"/>
      <c r="X773" s="305">
        <f t="shared" ca="1" si="210"/>
        <v>0</v>
      </c>
    </row>
    <row r="774" spans="1:24" x14ac:dyDescent="0.2">
      <c r="A774" s="45"/>
      <c r="B774" s="16">
        <f t="shared" si="211"/>
        <v>7</v>
      </c>
      <c r="C774" s="1" t="s">
        <v>247</v>
      </c>
      <c r="D774" s="1" t="s">
        <v>248</v>
      </c>
      <c r="E774" s="16"/>
      <c r="F774" s="97">
        <f>' WP II-I-1.4'!L774</f>
        <v>59852107.579999998</v>
      </c>
      <c r="G774" s="16" t="s">
        <v>751</v>
      </c>
      <c r="H774" s="45" t="s">
        <v>303</v>
      </c>
      <c r="I774" s="16"/>
      <c r="J774" s="369">
        <f ca="1">'II-I-DIST'!J774+'II-I-MET'!J774+'II-I-TBILLTDCS'!J774</f>
        <v>31360961.596519031</v>
      </c>
      <c r="K774" s="369">
        <f ca="1">'II-I-DIST'!K774+'II-I-MET'!K774+'II-I-TBILLTDCS'!K774</f>
        <v>689305.82154648937</v>
      </c>
      <c r="L774" s="369">
        <f ca="1">'II-I-DIST'!L774+'II-I-MET'!L774+'II-I-TBILLTDCS'!L774</f>
        <v>20053889.769003898</v>
      </c>
      <c r="M774" s="369">
        <f ca="1">'II-I-DIST'!M774+'II-I-MET'!M774+'II-I-TBILLTDCS'!M774</f>
        <v>25972.384848511214</v>
      </c>
      <c r="N774" s="369">
        <f ca="1">'II-I-DIST'!N774+'II-I-MET'!N774+'II-I-TBILLTDCS'!N774</f>
        <v>5051470.2484235996</v>
      </c>
      <c r="O774" s="369">
        <f ca="1">'II-I-DIST'!O774+'II-I-MET'!O774+'II-I-TBILLTDCS'!O774</f>
        <v>498116.14170109981</v>
      </c>
      <c r="P774" s="369">
        <f ca="1">'II-I-DIST'!P774+'II-I-MET'!P774+'II-I-TBILLTDCS'!P774</f>
        <v>14080.933514922574</v>
      </c>
      <c r="Q774" s="369">
        <f ca="1">'II-I-DIST'!Q774+'II-I-MET'!Q774+'II-I-TBILLTDCS'!Q774</f>
        <v>1935706.7906699688</v>
      </c>
      <c r="R774" s="369">
        <f ca="1">'II-I-DIST'!R774+'II-I-MET'!R774+'II-I-TBILLTDCS'!R774</f>
        <v>34121.144086611923</v>
      </c>
      <c r="S774" s="369">
        <f ca="1">'II-I-DIST'!S774+'II-I-MET'!S774+'II-I-TBILLTDCS'!S774</f>
        <v>188482.74968586842</v>
      </c>
      <c r="T774" s="16"/>
      <c r="U774" s="97">
        <f t="shared" ca="1" si="212"/>
        <v>59852107.580000006</v>
      </c>
      <c r="V774" s="64"/>
      <c r="X774" s="305">
        <f t="shared" ca="1" si="210"/>
        <v>0</v>
      </c>
    </row>
    <row r="775" spans="1:24" x14ac:dyDescent="0.2">
      <c r="A775" s="45"/>
      <c r="B775" s="16">
        <f t="shared" si="211"/>
        <v>8</v>
      </c>
      <c r="C775" s="1" t="s">
        <v>249</v>
      </c>
      <c r="D775" s="1" t="s">
        <v>250</v>
      </c>
      <c r="E775" s="16"/>
      <c r="F775" s="97">
        <f>' WP II-I-1.4'!L775</f>
        <v>63046370.290000021</v>
      </c>
      <c r="G775" s="16" t="s">
        <v>751</v>
      </c>
      <c r="H775" s="45" t="s">
        <v>303</v>
      </c>
      <c r="I775" s="16"/>
      <c r="J775" s="369">
        <f ca="1">'II-I-DIST'!J775+'II-I-MET'!J775+'II-I-TBILLTDCS'!J775</f>
        <v>33253693.505407918</v>
      </c>
      <c r="K775" s="369">
        <f ca="1">'II-I-DIST'!K775+'II-I-MET'!K775+'II-I-TBILLTDCS'!K775</f>
        <v>2019567.6109428769</v>
      </c>
      <c r="L775" s="369">
        <f ca="1">'II-I-DIST'!L775+'II-I-MET'!L775+'II-I-TBILLTDCS'!L775</f>
        <v>20316976.024626479</v>
      </c>
      <c r="M775" s="369">
        <f ca="1">'II-I-DIST'!M775+'II-I-MET'!M775+'II-I-TBILLTDCS'!M775</f>
        <v>269890.23048911581</v>
      </c>
      <c r="N775" s="369">
        <f ca="1">'II-I-DIST'!N775+'II-I-MET'!N775+'II-I-TBILLTDCS'!N775</f>
        <v>5589546.4690626217</v>
      </c>
      <c r="O775" s="369">
        <f ca="1">'II-I-DIST'!O775+'II-I-MET'!O775+'II-I-TBILLTDCS'!O775</f>
        <v>551595.86339201231</v>
      </c>
      <c r="P775" s="369">
        <f ca="1">'II-I-DIST'!P775+'II-I-MET'!P775+'II-I-TBILLTDCS'!P775</f>
        <v>178297.72075071244</v>
      </c>
      <c r="Q775" s="369">
        <f ca="1">'II-I-DIST'!Q775+'II-I-MET'!Q775+'II-I-TBILLTDCS'!Q775</f>
        <v>675832.81215406477</v>
      </c>
      <c r="R775" s="369">
        <f ca="1">'II-I-DIST'!R775+'II-I-MET'!R775+'II-I-TBILLTDCS'!R775</f>
        <v>39500.093817600769</v>
      </c>
      <c r="S775" s="369">
        <f ca="1">'II-I-DIST'!S775+'II-I-MET'!S775+'II-I-TBILLTDCS'!S775</f>
        <v>151469.95935661759</v>
      </c>
      <c r="T775" s="16"/>
      <c r="U775" s="97">
        <f t="shared" ca="1" si="212"/>
        <v>63046370.290000007</v>
      </c>
      <c r="V775" s="64"/>
      <c r="X775" s="305">
        <f t="shared" ca="1" si="210"/>
        <v>0</v>
      </c>
    </row>
    <row r="776" spans="1:24" x14ac:dyDescent="0.2">
      <c r="A776" s="45"/>
      <c r="B776" s="16">
        <f t="shared" si="211"/>
        <v>9</v>
      </c>
      <c r="C776" s="1" t="s">
        <v>251</v>
      </c>
      <c r="D776" s="1" t="s">
        <v>252</v>
      </c>
      <c r="E776" s="16"/>
      <c r="F776" s="97">
        <f>' WP II-I-1.4'!L776</f>
        <v>1604197.31</v>
      </c>
      <c r="G776" s="16" t="s">
        <v>751</v>
      </c>
      <c r="H776" s="45" t="s">
        <v>303</v>
      </c>
      <c r="I776" s="16"/>
      <c r="J776" s="369">
        <f>'II-I-DIST'!J776+'II-I-MET'!J776+'II-I-TBILLTDCS'!J776</f>
        <v>787731.10554891068</v>
      </c>
      <c r="K776" s="369">
        <f>'II-I-DIST'!K776+'II-I-MET'!K776+'II-I-TBILLTDCS'!K776</f>
        <v>24280.92125668814</v>
      </c>
      <c r="L776" s="369">
        <f>'II-I-DIST'!L776+'II-I-MET'!L776+'II-I-TBILLTDCS'!L776</f>
        <v>528381.83581257076</v>
      </c>
      <c r="M776" s="369">
        <f>'II-I-DIST'!M776+'II-I-MET'!M776+'II-I-TBILLTDCS'!M776</f>
        <v>1056.8935831212043</v>
      </c>
      <c r="N776" s="369">
        <f>'II-I-DIST'!N776+'II-I-MET'!N776+'II-I-TBILLTDCS'!N776</f>
        <v>126702.02720924826</v>
      </c>
      <c r="O776" s="369">
        <f>'II-I-DIST'!O776+'II-I-MET'!O776+'II-I-TBILLTDCS'!O776</f>
        <v>28094.679273183367</v>
      </c>
      <c r="P776" s="369">
        <f>'II-I-DIST'!P776+'II-I-MET'!P776+'II-I-TBILLTDCS'!P776</f>
        <v>79187.226284583754</v>
      </c>
      <c r="Q776" s="369">
        <f>'II-I-DIST'!Q776+'II-I-MET'!Q776+'II-I-TBILLTDCS'!Q776</f>
        <v>25704.188140982696</v>
      </c>
      <c r="R776" s="369">
        <f>'II-I-DIST'!R776+'II-I-MET'!R776+'II-I-TBILLTDCS'!R776</f>
        <v>602.56791096884444</v>
      </c>
      <c r="S776" s="369">
        <f>'II-I-DIST'!S776+'II-I-MET'!S776+'II-I-TBILLTDCS'!S776</f>
        <v>2455.8649797420144</v>
      </c>
      <c r="T776" s="16"/>
      <c r="U776" s="97">
        <f t="shared" si="212"/>
        <v>1604197.31</v>
      </c>
      <c r="V776" s="64"/>
      <c r="X776" s="305">
        <f t="shared" si="210"/>
        <v>0</v>
      </c>
    </row>
    <row r="777" spans="1:24" x14ac:dyDescent="0.2">
      <c r="A777" s="45"/>
      <c r="B777" s="16">
        <f t="shared" si="211"/>
        <v>10</v>
      </c>
      <c r="C777" s="26" t="s">
        <v>253</v>
      </c>
      <c r="D777" s="1" t="s">
        <v>254</v>
      </c>
      <c r="E777" s="16"/>
      <c r="F777" s="97">
        <f>' WP II-I-1.4'!L777</f>
        <v>713512.87</v>
      </c>
      <c r="G777" s="16" t="s">
        <v>751</v>
      </c>
      <c r="H777" s="45" t="s">
        <v>303</v>
      </c>
      <c r="I777" s="16"/>
      <c r="J777" s="369">
        <f>'II-I-DIST'!J777+'II-I-MET'!J777+'II-I-TBILLTDCS'!J777</f>
        <v>610573.9644309174</v>
      </c>
      <c r="K777" s="369">
        <f>'II-I-DIST'!K777+'II-I-MET'!K777+'II-I-TBILLTDCS'!K777</f>
        <v>50645.680528869314</v>
      </c>
      <c r="L777" s="369">
        <f>'II-I-DIST'!L777+'II-I-MET'!L777+'II-I-TBILLTDCS'!L777</f>
        <v>41380.667586945085</v>
      </c>
      <c r="M777" s="369">
        <f>'II-I-DIST'!M777+'II-I-MET'!M777+'II-I-TBILLTDCS'!M777</f>
        <v>552.88503993399581</v>
      </c>
      <c r="N777" s="369">
        <f>'II-I-DIST'!N777+'II-I-MET'!N777+'II-I-TBILLTDCS'!N777</f>
        <v>1237.6865104487342</v>
      </c>
      <c r="O777" s="369">
        <f>'II-I-DIST'!O777+'II-I-MET'!O777+'II-I-TBILLTDCS'!O777</f>
        <v>28.746494899279526</v>
      </c>
      <c r="P777" s="369">
        <f>'II-I-DIST'!P777+'II-I-MET'!P777+'II-I-TBILLTDCS'!P777</f>
        <v>59.962013900337659</v>
      </c>
      <c r="Q777" s="369">
        <f>'II-I-DIST'!Q777+'II-I-MET'!Q777+'II-I-TBILLTDCS'!Q777</f>
        <v>9033.2773940858679</v>
      </c>
      <c r="R777" s="369">
        <f>'II-I-DIST'!R777+'II-I-MET'!R777+'II-I-TBILLTDCS'!R777</f>
        <v>0</v>
      </c>
      <c r="S777" s="369">
        <f>'II-I-DIST'!S777+'II-I-MET'!S777+'II-I-TBILLTDCS'!S777</f>
        <v>0</v>
      </c>
      <c r="T777" s="16"/>
      <c r="U777" s="97">
        <f t="shared" si="212"/>
        <v>713512.86999999988</v>
      </c>
      <c r="V777" s="64"/>
      <c r="X777" s="305">
        <f t="shared" si="210"/>
        <v>0</v>
      </c>
    </row>
    <row r="778" spans="1:24" x14ac:dyDescent="0.2">
      <c r="A778" s="45"/>
      <c r="B778" s="16">
        <f t="shared" si="211"/>
        <v>11</v>
      </c>
      <c r="C778" s="1" t="s">
        <v>255</v>
      </c>
      <c r="D778" s="1" t="s">
        <v>256</v>
      </c>
      <c r="E778" s="16"/>
      <c r="F778" s="97">
        <f>' WP II-I-1.4'!L778</f>
        <v>20103116.579999998</v>
      </c>
      <c r="G778" s="16" t="s">
        <v>751</v>
      </c>
      <c r="H778" s="45" t="s">
        <v>303</v>
      </c>
      <c r="I778" s="16"/>
      <c r="J778" s="369">
        <f ca="1">'II-I-DIST'!J778+'II-I-MET'!J778+'II-I-TBILLTDCS'!J778</f>
        <v>10479559.350750081</v>
      </c>
      <c r="K778" s="369">
        <f ca="1">'II-I-DIST'!K778+'II-I-MET'!K778+'II-I-TBILLTDCS'!K778</f>
        <v>673195.4921304048</v>
      </c>
      <c r="L778" s="369">
        <f ca="1">'II-I-DIST'!L778+'II-I-MET'!L778+'II-I-TBILLTDCS'!L778</f>
        <v>6374530.2554153856</v>
      </c>
      <c r="M778" s="369">
        <f ca="1">'II-I-DIST'!M778+'II-I-MET'!M778+'II-I-TBILLTDCS'!M778</f>
        <v>90694.983503304218</v>
      </c>
      <c r="N778" s="369">
        <f ca="1">'II-I-DIST'!N778+'II-I-MET'!N778+'II-I-TBILLTDCS'!N778</f>
        <v>1741052.380029002</v>
      </c>
      <c r="O778" s="369">
        <f ca="1">'II-I-DIST'!O778+'II-I-MET'!O778+'II-I-TBILLTDCS'!O778</f>
        <v>135764.19134202067</v>
      </c>
      <c r="P778" s="369">
        <f ca="1">'II-I-DIST'!P778+'II-I-MET'!P778+'II-I-TBILLTDCS'!P778</f>
        <v>85283.448770240153</v>
      </c>
      <c r="Q778" s="369">
        <f ca="1">'II-I-DIST'!Q778+'II-I-MET'!Q778+'II-I-TBILLTDCS'!Q778</f>
        <v>469842.1513397888</v>
      </c>
      <c r="R778" s="369">
        <f ca="1">'II-I-DIST'!R778+'II-I-MET'!R778+'II-I-TBILLTDCS'!R778</f>
        <v>9241.1157539145588</v>
      </c>
      <c r="S778" s="369">
        <f ca="1">'II-I-DIST'!S778+'II-I-MET'!S778+'II-I-TBILLTDCS'!S778</f>
        <v>43953.210965857383</v>
      </c>
      <c r="T778" s="16"/>
      <c r="U778" s="97">
        <f t="shared" ca="1" si="212"/>
        <v>20103116.579999998</v>
      </c>
      <c r="V778" s="64"/>
      <c r="X778" s="305">
        <f t="shared" ca="1" si="210"/>
        <v>0</v>
      </c>
    </row>
    <row r="779" spans="1:24" x14ac:dyDescent="0.2">
      <c r="A779" s="45"/>
      <c r="B779" s="16">
        <f t="shared" si="211"/>
        <v>12</v>
      </c>
      <c r="C779" s="1" t="s">
        <v>257</v>
      </c>
      <c r="D779" s="1" t="s">
        <v>189</v>
      </c>
      <c r="E779" s="16"/>
      <c r="F779" s="97">
        <f>' WP II-I-1.4'!L779</f>
        <v>1555469.1300000001</v>
      </c>
      <c r="G779" s="16" t="s">
        <v>751</v>
      </c>
      <c r="H779" s="45" t="s">
        <v>303</v>
      </c>
      <c r="I779" s="16"/>
      <c r="J779" s="369">
        <f ca="1">'II-I-DIST'!J779+'II-I-MET'!J779+'II-I-TBILLTDCS'!J779</f>
        <v>813345.78777669417</v>
      </c>
      <c r="K779" s="369">
        <f ca="1">'II-I-DIST'!K779+'II-I-MET'!K779+'II-I-TBILLTDCS'!K779</f>
        <v>43179.023897199229</v>
      </c>
      <c r="L779" s="369">
        <f ca="1">'II-I-DIST'!L779+'II-I-MET'!L779+'II-I-TBILLTDCS'!L779</f>
        <v>501366.83993103099</v>
      </c>
      <c r="M779" s="369">
        <f ca="1">'II-I-DIST'!M779+'II-I-MET'!M779+'II-I-TBILLTDCS'!M779</f>
        <v>5426.1924398042274</v>
      </c>
      <c r="N779" s="369">
        <f ca="1">'II-I-DIST'!N779+'II-I-MET'!N779+'II-I-TBILLTDCS'!N779</f>
        <v>134534.72585383884</v>
      </c>
      <c r="O779" s="369">
        <f ca="1">'II-I-DIST'!O779+'II-I-MET'!O779+'II-I-TBILLTDCS'!O779</f>
        <v>10921.664166861654</v>
      </c>
      <c r="P779" s="369">
        <f ca="1">'II-I-DIST'!P779+'II-I-MET'!P779+'II-I-TBILLTDCS'!P779</f>
        <v>3656.6248186727935</v>
      </c>
      <c r="Q779" s="369">
        <f ca="1">'II-I-DIST'!Q779+'II-I-MET'!Q779+'II-I-TBILLTDCS'!Q779</f>
        <v>38360.105622192597</v>
      </c>
      <c r="R779" s="369">
        <f ca="1">'II-I-DIST'!R779+'II-I-MET'!R779+'II-I-TBILLTDCS'!R779</f>
        <v>780.09443915545444</v>
      </c>
      <c r="S779" s="369">
        <f ca="1">'II-I-DIST'!S779+'II-I-MET'!S779+'II-I-TBILLTDCS'!S779</f>
        <v>3898.071054550167</v>
      </c>
      <c r="T779" s="16"/>
      <c r="U779" s="97">
        <f t="shared" ca="1" si="212"/>
        <v>1555469.1300000004</v>
      </c>
      <c r="V779" s="64"/>
      <c r="X779" s="305">
        <f t="shared" ca="1" si="210"/>
        <v>0</v>
      </c>
    </row>
    <row r="780" spans="1:24" x14ac:dyDescent="0.2">
      <c r="A780" s="45"/>
      <c r="B780" s="16">
        <f t="shared" si="211"/>
        <v>13</v>
      </c>
      <c r="C780" s="1" t="s">
        <v>258</v>
      </c>
      <c r="D780" s="1" t="s">
        <v>259</v>
      </c>
      <c r="E780" s="16"/>
      <c r="F780" s="97">
        <f>' WP II-I-1.4'!L780</f>
        <v>96431.38</v>
      </c>
      <c r="G780" s="16" t="s">
        <v>751</v>
      </c>
      <c r="H780" s="45" t="s">
        <v>303</v>
      </c>
      <c r="I780" s="16"/>
      <c r="J780" s="369">
        <f ca="1">'II-I-DIST'!J780+'II-I-MET'!J780+'II-I-TBILLTDCS'!J780</f>
        <v>52151.963496916425</v>
      </c>
      <c r="K780" s="369">
        <f ca="1">'II-I-DIST'!K780+'II-I-MET'!K780+'II-I-TBILLTDCS'!K780</f>
        <v>2412.4561558050264</v>
      </c>
      <c r="L780" s="369">
        <f ca="1">'II-I-DIST'!L780+'II-I-MET'!L780+'II-I-TBILLTDCS'!L780</f>
        <v>32426.553354436513</v>
      </c>
      <c r="M780" s="369">
        <f ca="1">'II-I-DIST'!M780+'II-I-MET'!M780+'II-I-TBILLTDCS'!M780</f>
        <v>218.8020027340994</v>
      </c>
      <c r="N780" s="369">
        <f ca="1">'II-I-DIST'!N780+'II-I-MET'!N780+'II-I-TBILLTDCS'!N780</f>
        <v>6815.3726731775405</v>
      </c>
      <c r="O780" s="369">
        <f ca="1">'II-I-DIST'!O780+'II-I-MET'!O780+'II-I-TBILLTDCS'!O780</f>
        <v>660.11223340788376</v>
      </c>
      <c r="P780" s="369">
        <f ca="1">'II-I-DIST'!P780+'II-I-MET'!P780+'II-I-TBILLTDCS'!P780</f>
        <v>213.39191153091804</v>
      </c>
      <c r="Q780" s="369">
        <f ca="1">'II-I-DIST'!Q780+'II-I-MET'!Q780+'II-I-TBILLTDCS'!Q780</f>
        <v>1270.6871396237616</v>
      </c>
      <c r="R780" s="369">
        <f ca="1">'II-I-DIST'!R780+'II-I-MET'!R780+'II-I-TBILLTDCS'!R780</f>
        <v>47.826791100012336</v>
      </c>
      <c r="S780" s="369">
        <f ca="1">'II-I-DIST'!S780+'II-I-MET'!S780+'II-I-TBILLTDCS'!S780</f>
        <v>214.21424126781719</v>
      </c>
      <c r="T780" s="16"/>
      <c r="U780" s="97">
        <f t="shared" ca="1" si="212"/>
        <v>96431.37999999999</v>
      </c>
      <c r="V780" s="64"/>
      <c r="X780" s="305">
        <f t="shared" ca="1" si="210"/>
        <v>0</v>
      </c>
    </row>
    <row r="781" spans="1:24" x14ac:dyDescent="0.2">
      <c r="A781" s="45"/>
      <c r="B781" s="16">
        <f t="shared" si="211"/>
        <v>14</v>
      </c>
      <c r="C781" s="1" t="s">
        <v>260</v>
      </c>
      <c r="D781" s="1" t="s">
        <v>259</v>
      </c>
      <c r="E781" s="16"/>
      <c r="F781" s="97">
        <f>' WP II-I-1.4'!L781</f>
        <v>2128183.1999999997</v>
      </c>
      <c r="G781" s="16" t="s">
        <v>751</v>
      </c>
      <c r="H781" s="45" t="s">
        <v>303</v>
      </c>
      <c r="I781" s="16"/>
      <c r="J781" s="369">
        <f ca="1">'II-I-DIST'!J781+'II-I-MET'!J781+'II-I-TBILLTDCS'!J781</f>
        <v>1149186.5509926791</v>
      </c>
      <c r="K781" s="369">
        <f ca="1">'II-I-DIST'!K781+'II-I-MET'!K781+'II-I-TBILLTDCS'!K781</f>
        <v>59042.97338695293</v>
      </c>
      <c r="L781" s="369">
        <f ca="1">'II-I-DIST'!L781+'II-I-MET'!L781+'II-I-TBILLTDCS'!L781</f>
        <v>710198.73395713302</v>
      </c>
      <c r="M781" s="369">
        <f ca="1">'II-I-DIST'!M781+'II-I-MET'!M781+'II-I-TBILLTDCS'!M781</f>
        <v>6013.7254619183159</v>
      </c>
      <c r="N781" s="369">
        <f ca="1">'II-I-DIST'!N781+'II-I-MET'!N781+'II-I-TBILLTDCS'!N781</f>
        <v>153211.58483354867</v>
      </c>
      <c r="O781" s="369">
        <f ca="1">'II-I-DIST'!O781+'II-I-MET'!O781+'II-I-TBILLTDCS'!O781</f>
        <v>14122.107971390837</v>
      </c>
      <c r="P781" s="369">
        <f ca="1">'II-I-DIST'!P781+'II-I-MET'!P781+'II-I-TBILLTDCS'!P781</f>
        <v>5213.0659038508966</v>
      </c>
      <c r="Q781" s="369">
        <f ca="1">'II-I-DIST'!Q781+'II-I-MET'!Q781+'II-I-TBILLTDCS'!Q781</f>
        <v>25590.760743080926</v>
      </c>
      <c r="R781" s="369">
        <f ca="1">'II-I-DIST'!R781+'II-I-MET'!R781+'II-I-TBILLTDCS'!R781</f>
        <v>1037.1409717883566</v>
      </c>
      <c r="S781" s="369">
        <f ca="1">'II-I-DIST'!S781+'II-I-MET'!S781+'II-I-TBILLTDCS'!S781</f>
        <v>4566.5557776568949</v>
      </c>
      <c r="T781" s="16"/>
      <c r="U781" s="97">
        <f t="shared" ca="1" si="212"/>
        <v>2128183.1999999997</v>
      </c>
      <c r="V781" s="64"/>
      <c r="X781" s="305">
        <f t="shared" ca="1" si="210"/>
        <v>0</v>
      </c>
    </row>
    <row r="782" spans="1:24" ht="15" thickBot="1" x14ac:dyDescent="0.25">
      <c r="A782" s="45"/>
      <c r="B782" s="16">
        <f t="shared" si="211"/>
        <v>15</v>
      </c>
      <c r="C782" s="1"/>
      <c r="D782" s="1"/>
      <c r="E782" s="16"/>
      <c r="F782" s="1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23"/>
      <c r="V782" s="64"/>
      <c r="X782" s="305">
        <f t="shared" si="210"/>
        <v>0</v>
      </c>
    </row>
    <row r="783" spans="1:24" ht="15.75" thickBot="1" x14ac:dyDescent="0.3">
      <c r="A783" s="45"/>
      <c r="B783" s="16">
        <f t="shared" si="211"/>
        <v>16</v>
      </c>
      <c r="C783" s="223" t="s">
        <v>606</v>
      </c>
      <c r="D783" s="307"/>
      <c r="E783" s="252"/>
      <c r="F783" s="194">
        <f>SUM(F769:F781)</f>
        <v>952159797.57000017</v>
      </c>
      <c r="G783" s="252"/>
      <c r="H783" s="252"/>
      <c r="I783" s="380"/>
      <c r="J783" s="812">
        <f t="shared" ref="J783:Q783" ca="1" si="213">SUM(J769:J781)</f>
        <v>506701581.82943988</v>
      </c>
      <c r="K783" s="812">
        <f t="shared" ca="1" si="213"/>
        <v>19570559.430423118</v>
      </c>
      <c r="L783" s="812">
        <f t="shared" ca="1" si="213"/>
        <v>317640533.08529836</v>
      </c>
      <c r="M783" s="812">
        <f t="shared" ca="1" si="213"/>
        <v>1182166.557083057</v>
      </c>
      <c r="N783" s="812">
        <f t="shared" ca="1" si="213"/>
        <v>67813802.201417446</v>
      </c>
      <c r="O783" s="812">
        <f ca="1">SUM(O769:O781)</f>
        <v>6732790.0746942731</v>
      </c>
      <c r="P783" s="812">
        <f t="shared" ca="1" si="213"/>
        <v>1608655.0232986119</v>
      </c>
      <c r="Q783" s="812">
        <f t="shared" ca="1" si="213"/>
        <v>28111812.168243643</v>
      </c>
      <c r="R783" s="812">
        <f ca="1">SUM(R769:R781)</f>
        <v>466297.1638926192</v>
      </c>
      <c r="S783" s="812">
        <f ca="1">SUM(S769:S781)</f>
        <v>2331600.0362088527</v>
      </c>
      <c r="T783" s="380"/>
      <c r="U783" s="195">
        <f ca="1">SUM(I783:T783)</f>
        <v>952159797.56999993</v>
      </c>
      <c r="V783" s="64"/>
      <c r="W783" s="1099" t="b">
        <f ca="1">' WP II-I-1.4'!$L$783=U783</f>
        <v>1</v>
      </c>
      <c r="X783" s="305">
        <f t="shared" ca="1" si="210"/>
        <v>0</v>
      </c>
    </row>
    <row r="784" spans="1:24" ht="15.75" thickBot="1" x14ac:dyDescent="0.3">
      <c r="A784" s="45"/>
      <c r="B784" s="16">
        <f t="shared" si="211"/>
        <v>17</v>
      </c>
      <c r="C784" s="223" t="s">
        <v>1184</v>
      </c>
      <c r="D784" s="307"/>
      <c r="E784" s="252"/>
      <c r="F784" s="194">
        <f>F783-('II-I-DIST'!$F$776*('WP II-I-2.2'!$P$45))</f>
        <v>952159797.57000017</v>
      </c>
      <c r="G784" s="252"/>
      <c r="H784" s="252"/>
      <c r="I784" s="380"/>
      <c r="J784" s="812">
        <f ca="1">J783-('II-I-DIST'!$J$776*('WP II-I-2.2'!$P$45))</f>
        <v>506701581.82943988</v>
      </c>
      <c r="K784" s="812">
        <f ca="1">K783-('II-I-DIST'!K776*('WP II-I-2.2'!$P$45))</f>
        <v>19570559.430423118</v>
      </c>
      <c r="L784" s="812">
        <f ca="1">L783-('II-I-DIST'!L776*('WP II-I-2.2'!$P$45))</f>
        <v>317640533.08529836</v>
      </c>
      <c r="M784" s="812">
        <f ca="1">M783-('II-I-DIST'!M776*('WP II-I-2.2'!$P$45))</f>
        <v>1182166.557083057</v>
      </c>
      <c r="N784" s="812">
        <f ca="1">N783-('II-I-DIST'!N776*('WP II-I-2.2'!$P$45))</f>
        <v>67813802.201417446</v>
      </c>
      <c r="O784" s="812">
        <f ca="1">O783-('II-I-DIST'!O776*('WP II-I-2.2'!$P$45))</f>
        <v>6732790.0746942731</v>
      </c>
      <c r="P784" s="812">
        <f ca="1">P783-('II-I-DIST'!P776*('WP II-I-2.2'!$P$45))</f>
        <v>1608655.0232986119</v>
      </c>
      <c r="Q784" s="812">
        <f ca="1">Q783-('II-I-DIST'!Q776*('WP II-I-2.2'!$P$45))</f>
        <v>28111812.168243643</v>
      </c>
      <c r="R784" s="812">
        <f ca="1">R783-('II-I-DIST'!R776*('WP II-I-2.2'!$P$45))</f>
        <v>466297.1638926192</v>
      </c>
      <c r="S784" s="812">
        <f ca="1">S783-('II-I-DIST'!S776*('WP II-I-2.2'!$P$45))</f>
        <v>2331600.0362088527</v>
      </c>
      <c r="T784" s="380"/>
      <c r="U784" s="195">
        <f ca="1">SUM(I784:T784)</f>
        <v>952159797.56999993</v>
      </c>
      <c r="V784" s="64"/>
      <c r="W784" s="1099">
        <f ca="1">' WP II-I-1.4'!$L$784-U784</f>
        <v>0</v>
      </c>
      <c r="X784" s="305">
        <f t="shared" ca="1" si="210"/>
        <v>0</v>
      </c>
    </row>
    <row r="785" spans="1:24" ht="15.75" thickBot="1" x14ac:dyDescent="0.3">
      <c r="A785" s="45"/>
      <c r="B785" s="16">
        <f t="shared" si="211"/>
        <v>18</v>
      </c>
      <c r="C785" s="223" t="s">
        <v>607</v>
      </c>
      <c r="D785" s="307"/>
      <c r="E785" s="252"/>
      <c r="F785" s="194">
        <f>+F783+F753</f>
        <v>3506993921.3400006</v>
      </c>
      <c r="G785" s="252"/>
      <c r="H785" s="252"/>
      <c r="I785" s="380"/>
      <c r="J785" s="248">
        <f t="shared" ref="J785:Q785" ca="1" si="214">+J783+J753</f>
        <v>1665691108.7029302</v>
      </c>
      <c r="K785" s="248">
        <f t="shared" ca="1" si="214"/>
        <v>48677122.731282681</v>
      </c>
      <c r="L785" s="248">
        <f t="shared" ca="1" si="214"/>
        <v>1107091135.1490645</v>
      </c>
      <c r="M785" s="248">
        <f t="shared" ca="1" si="214"/>
        <v>2581892.5594209563</v>
      </c>
      <c r="N785" s="248">
        <f t="shared" ca="1" si="214"/>
        <v>306291827.546718</v>
      </c>
      <c r="O785" s="248">
        <f ca="1">+O783+O753</f>
        <v>82485608.536968097</v>
      </c>
      <c r="P785" s="248">
        <f t="shared" ca="1" si="214"/>
        <v>249694706.34907782</v>
      </c>
      <c r="Q785" s="248">
        <f t="shared" ca="1" si="214"/>
        <v>40221350.290137865</v>
      </c>
      <c r="R785" s="248">
        <f ca="1">+R783+R753</f>
        <v>703543.76281279465</v>
      </c>
      <c r="S785" s="248">
        <f ca="1">+S783+S753</f>
        <v>3555625.7115866421</v>
      </c>
      <c r="T785" s="380"/>
      <c r="U785" s="195">
        <f ca="1">SUM(I785:T785)</f>
        <v>3506993921.3399997</v>
      </c>
      <c r="V785" s="64"/>
      <c r="W785" s="1099" t="b">
        <f ca="1">' WP II-I-1.4'!$L$785=U785</f>
        <v>1</v>
      </c>
      <c r="X785" s="305">
        <f t="shared" ca="1" si="210"/>
        <v>0</v>
      </c>
    </row>
    <row r="786" spans="1:24" ht="15.75" thickBot="1" x14ac:dyDescent="0.3">
      <c r="A786" s="45"/>
      <c r="B786" s="16">
        <f t="shared" si="211"/>
        <v>19</v>
      </c>
      <c r="C786" s="8"/>
      <c r="D786" s="8"/>
      <c r="E786" s="19"/>
      <c r="F786" s="21"/>
      <c r="G786" s="19"/>
      <c r="H786" s="19"/>
      <c r="I786" s="117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19"/>
      <c r="U786" s="8"/>
      <c r="V786" s="64"/>
      <c r="X786" s="305">
        <f t="shared" si="210"/>
        <v>0</v>
      </c>
    </row>
    <row r="787" spans="1:24" ht="15.75" thickBot="1" x14ac:dyDescent="0.3">
      <c r="A787" s="45"/>
      <c r="B787" s="16">
        <f t="shared" si="211"/>
        <v>20</v>
      </c>
      <c r="C787" s="223" t="s">
        <v>1185</v>
      </c>
      <c r="D787" s="307"/>
      <c r="E787" s="252"/>
      <c r="F787" s="194">
        <f>F785-F645-('II-I-DIST'!$F$776*('WP II-I-2.2'!$P$45))</f>
        <v>1406152448.6800005</v>
      </c>
      <c r="G787" s="252"/>
      <c r="H787" s="252"/>
      <c r="I787" s="380"/>
      <c r="J787" s="812">
        <f ca="1">J785-J645-('II-I-DIST'!$J$776*('WP II-I-2.2'!$P$45))</f>
        <v>744286121.13469744</v>
      </c>
      <c r="K787" s="812">
        <f ca="1">K785-K645-('II-I-DIST'!K$776*('WP II-I-2.2'!$P$45))</f>
        <v>30102245.505342979</v>
      </c>
      <c r="L787" s="812">
        <f ca="1">L785-L645-('II-I-DIST'!L$776*('WP II-I-2.2'!$P$45))</f>
        <v>465631614.81480992</v>
      </c>
      <c r="M787" s="812">
        <f ca="1">M785-M645-('II-I-DIST'!M$776*('WP II-I-2.2'!$P$45))</f>
        <v>2378963.1707392586</v>
      </c>
      <c r="N787" s="812">
        <f ca="1">N785-N645-('II-I-DIST'!N$776*('WP II-I-2.2'!$P$45))</f>
        <v>106842407.93131196</v>
      </c>
      <c r="O787" s="812">
        <f ca="1">O785-O645-('II-I-DIST'!O$776*('WP II-I-2.2'!$P$45))</f>
        <v>10077512.995542288</v>
      </c>
      <c r="P787" s="812">
        <f ca="1">P785-P645-('II-I-DIST'!P$776*('WP II-I-2.2'!$P$45))</f>
        <v>2353063.3630184233</v>
      </c>
      <c r="Q787" s="812">
        <f ca="1">Q785-Q645-('II-I-DIST'!Q$776*('WP II-I-2.2'!$P$45))</f>
        <v>40221350.290137865</v>
      </c>
      <c r="R787" s="812">
        <f ca="1">R785-R645-('II-I-DIST'!R$776*('WP II-I-2.2'!$P$45))</f>
        <v>703543.76281279465</v>
      </c>
      <c r="S787" s="812">
        <f ca="1">S785-S645-('II-I-DIST'!S$776*('WP II-I-2.2'!$P$45))</f>
        <v>3555625.7115866421</v>
      </c>
      <c r="T787" s="380"/>
      <c r="U787" s="195">
        <f ca="1">SUM(I787:T787)</f>
        <v>1406152448.6799996</v>
      </c>
      <c r="V787" s="64"/>
      <c r="W787" s="1099">
        <f ca="1">' WP II-I-1.4'!$L$787-U787</f>
        <v>0</v>
      </c>
      <c r="X787" s="305">
        <f t="shared" ca="1" si="210"/>
        <v>0</v>
      </c>
    </row>
    <row r="788" spans="1:24" ht="15" thickBot="1" x14ac:dyDescent="0.25">
      <c r="A788" s="45"/>
      <c r="B788" s="64"/>
      <c r="C788" s="64"/>
      <c r="D788" s="64"/>
      <c r="E788" s="64"/>
      <c r="F788" s="64"/>
      <c r="G788" s="64"/>
      <c r="H788" s="64"/>
      <c r="I788" s="1175"/>
      <c r="J788" s="64"/>
      <c r="K788" s="64"/>
      <c r="L788" s="64"/>
      <c r="M788" s="64"/>
      <c r="N788" s="64"/>
      <c r="O788" s="589" t="s">
        <v>1195</v>
      </c>
      <c r="P788" s="64"/>
      <c r="Q788" s="64"/>
      <c r="R788" s="64"/>
      <c r="S788" s="64"/>
      <c r="T788" s="64"/>
      <c r="U788" s="64"/>
      <c r="V788" s="64"/>
      <c r="X788" s="305">
        <f t="shared" si="210"/>
        <v>0</v>
      </c>
    </row>
    <row r="789" spans="1:24" x14ac:dyDescent="0.2">
      <c r="A789" s="45"/>
      <c r="B789" s="64"/>
      <c r="C789" s="64"/>
      <c r="D789" s="64"/>
      <c r="E789" s="64"/>
      <c r="F789" s="64"/>
      <c r="G789" s="64"/>
      <c r="H789" s="105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105"/>
      <c r="V789" s="105"/>
      <c r="X789" s="305"/>
    </row>
    <row r="790" spans="1:24" ht="15" thickBot="1" x14ac:dyDescent="0.25">
      <c r="A790" s="45"/>
      <c r="B790" s="64"/>
      <c r="C790" s="64"/>
      <c r="D790" s="64"/>
      <c r="E790" s="64"/>
      <c r="F790" s="97"/>
      <c r="G790" s="64"/>
      <c r="H790" s="64"/>
      <c r="I790" s="64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64"/>
      <c r="U790" s="64"/>
      <c r="V790" s="64"/>
      <c r="X790" s="305">
        <f t="shared" si="210"/>
        <v>0</v>
      </c>
    </row>
    <row r="791" spans="1:24" ht="15" x14ac:dyDescent="0.25">
      <c r="A791" s="45"/>
      <c r="B791" s="829" t="str">
        <f>+$B$4</f>
        <v>2025 RATE CASE</v>
      </c>
      <c r="C791" s="844"/>
      <c r="D791" s="547"/>
      <c r="F791" s="11"/>
      <c r="U791" s="105"/>
      <c r="X791" s="305">
        <f t="shared" si="210"/>
        <v>0</v>
      </c>
    </row>
    <row r="792" spans="1:24" ht="15" x14ac:dyDescent="0.25">
      <c r="A792" s="45"/>
      <c r="B792" s="826" t="str">
        <f>+$B$5</f>
        <v>ONCOR ELECTRIC DELIVERY COMPANY LLC</v>
      </c>
      <c r="C792" s="8"/>
      <c r="D792" s="548"/>
      <c r="F792" s="11"/>
      <c r="H792" s="305"/>
      <c r="U792" s="105"/>
      <c r="V792" s="64"/>
      <c r="X792" s="305">
        <f t="shared" si="210"/>
        <v>0</v>
      </c>
    </row>
    <row r="793" spans="1:24" ht="15" x14ac:dyDescent="0.25">
      <c r="A793" s="45"/>
      <c r="B793" s="826" t="str">
        <f>+$B$6</f>
        <v>II-I-1-TOT:  CLASS REVENUE REQUIREMENT</v>
      </c>
      <c r="C793" s="82"/>
      <c r="D793" s="548"/>
      <c r="F793" s="98"/>
      <c r="U793" s="11"/>
      <c r="V793" s="64"/>
      <c r="X793" s="305">
        <f t="shared" si="210"/>
        <v>0</v>
      </c>
    </row>
    <row r="794" spans="1:24" ht="15" x14ac:dyDescent="0.25">
      <c r="A794" s="45"/>
      <c r="B794" s="341" t="str">
        <f>+$B$7</f>
        <v>TEST YEAR ENDING 12/31/2024</v>
      </c>
      <c r="C794" s="82"/>
      <c r="D794" s="548"/>
      <c r="F794" s="11"/>
      <c r="U794" s="11"/>
      <c r="V794" s="64"/>
      <c r="X794" s="305">
        <f t="shared" si="210"/>
        <v>0</v>
      </c>
    </row>
    <row r="795" spans="1:24" ht="15" x14ac:dyDescent="0.25">
      <c r="A795" s="45"/>
      <c r="B795" s="341" t="str">
        <f>+$B$8</f>
        <v>SPONSOR:  MATTHEW A. TROXLE</v>
      </c>
      <c r="C795" s="82"/>
      <c r="D795" s="548"/>
      <c r="F795" s="11"/>
      <c r="U795" s="11"/>
      <c r="V795" s="64"/>
      <c r="X795" s="305">
        <f t="shared" si="210"/>
        <v>0</v>
      </c>
    </row>
    <row r="796" spans="1:24" ht="15.75" thickBot="1" x14ac:dyDescent="0.3">
      <c r="A796" s="45"/>
      <c r="B796" s="345"/>
      <c r="C796" s="843"/>
      <c r="D796" s="549"/>
      <c r="F796" s="11"/>
      <c r="U796" s="11"/>
      <c r="V796" s="64"/>
      <c r="X796" s="305">
        <f t="shared" si="210"/>
        <v>0</v>
      </c>
    </row>
    <row r="797" spans="1:24" ht="15" thickBot="1" x14ac:dyDescent="0.25">
      <c r="A797" s="45"/>
      <c r="B797" s="12"/>
      <c r="C797" s="13"/>
      <c r="D797" s="13"/>
      <c r="E797" s="13"/>
      <c r="F797" s="12"/>
      <c r="G797" s="13"/>
      <c r="H797" s="13"/>
      <c r="I797" s="13"/>
      <c r="J797" s="177"/>
      <c r="K797" s="177"/>
      <c r="L797" s="13"/>
      <c r="M797" s="177"/>
      <c r="N797" s="177"/>
      <c r="O797" s="177"/>
      <c r="P797" s="177"/>
      <c r="Q797" s="13"/>
      <c r="R797" s="328" t="str">
        <f>R$10</f>
        <v xml:space="preserve"> </v>
      </c>
      <c r="S797" s="329"/>
      <c r="T797" s="177"/>
      <c r="U797" s="12"/>
      <c r="V797" s="64"/>
      <c r="X797" s="305">
        <f t="shared" si="210"/>
        <v>0</v>
      </c>
    </row>
    <row r="798" spans="1:24" ht="15" x14ac:dyDescent="0.25">
      <c r="A798" s="45"/>
      <c r="B798" s="14" t="s">
        <v>2</v>
      </c>
      <c r="C798" s="14" t="s">
        <v>349</v>
      </c>
      <c r="D798" s="226" t="s">
        <v>608</v>
      </c>
      <c r="E798" s="14" t="s">
        <v>350</v>
      </c>
      <c r="F798" s="226" t="str">
        <f>F$11</f>
        <v>TOTAL</v>
      </c>
      <c r="G798" s="181" t="s">
        <v>688</v>
      </c>
      <c r="H798" s="181" t="s">
        <v>355</v>
      </c>
      <c r="I798" s="14"/>
      <c r="J798" s="181" t="s">
        <v>679</v>
      </c>
      <c r="K798" s="181" t="s">
        <v>388</v>
      </c>
      <c r="L798" s="14" t="s">
        <v>388</v>
      </c>
      <c r="M798" s="181" t="s">
        <v>389</v>
      </c>
      <c r="N798" s="181" t="s">
        <v>389</v>
      </c>
      <c r="O798" s="181" t="s">
        <v>389</v>
      </c>
      <c r="P798" s="181" t="s">
        <v>390</v>
      </c>
      <c r="Q798" s="14" t="s">
        <v>391</v>
      </c>
      <c r="R798" s="331" t="str">
        <f>R$11</f>
        <v>Wholesale</v>
      </c>
      <c r="S798" s="12" t="str">
        <f>S$11</f>
        <v>Wholesale</v>
      </c>
      <c r="T798" s="181"/>
      <c r="U798" s="14" t="s">
        <v>10</v>
      </c>
      <c r="V798" s="64"/>
      <c r="X798" s="305"/>
    </row>
    <row r="799" spans="1:24" x14ac:dyDescent="0.2">
      <c r="A799" s="45"/>
      <c r="B799" s="14"/>
      <c r="C799" s="14"/>
      <c r="D799" s="14"/>
      <c r="E799" s="14"/>
      <c r="F799" s="14" t="str">
        <f>F$12</f>
        <v>(Dist+Met+Cust)</v>
      </c>
      <c r="G799" s="181" t="s">
        <v>689</v>
      </c>
      <c r="H799" s="181" t="s">
        <v>690</v>
      </c>
      <c r="I799" s="14"/>
      <c r="J799" s="181"/>
      <c r="K799" s="181" t="s">
        <v>680</v>
      </c>
      <c r="L799" s="14" t="s">
        <v>681</v>
      </c>
      <c r="M799" s="181" t="s">
        <v>680</v>
      </c>
      <c r="N799" s="181" t="s">
        <v>681</v>
      </c>
      <c r="O799" s="181" t="s">
        <v>393</v>
      </c>
      <c r="P799" s="181"/>
      <c r="Q799" s="14"/>
      <c r="R799" s="174" t="str">
        <f>R$12</f>
        <v>XFMR</v>
      </c>
      <c r="S799" s="14" t="str">
        <f>S$12</f>
        <v>DLS</v>
      </c>
      <c r="T799" s="181"/>
      <c r="U799" s="14"/>
      <c r="V799" s="64"/>
      <c r="X799" s="305"/>
    </row>
    <row r="800" spans="1:24" ht="15" thickBot="1" x14ac:dyDescent="0.25">
      <c r="A800" s="45"/>
      <c r="B800" s="15"/>
      <c r="C800" s="15"/>
      <c r="D800" s="15"/>
      <c r="E800" s="15"/>
      <c r="F800" s="15" t="s">
        <v>13</v>
      </c>
      <c r="G800" s="15" t="s">
        <v>14</v>
      </c>
      <c r="H800" s="15" t="s">
        <v>15</v>
      </c>
      <c r="I800" s="15"/>
      <c r="J800" s="182" t="str">
        <f t="shared" ref="J800:Q800" si="215">J$13</f>
        <v>(d)</v>
      </c>
      <c r="K800" s="182" t="str">
        <f t="shared" si="215"/>
        <v>(e)</v>
      </c>
      <c r="L800" s="15" t="str">
        <f t="shared" si="215"/>
        <v>(f)</v>
      </c>
      <c r="M800" s="182" t="str">
        <f t="shared" si="215"/>
        <v>(g)</v>
      </c>
      <c r="N800" s="182" t="str">
        <f t="shared" si="215"/>
        <v>(h)</v>
      </c>
      <c r="O800" s="182" t="str">
        <f>O$13</f>
        <v>(i)</v>
      </c>
      <c r="P800" s="182" t="str">
        <f t="shared" si="215"/>
        <v>(j)</v>
      </c>
      <c r="Q800" s="182" t="str">
        <f t="shared" si="215"/>
        <v>(k)</v>
      </c>
      <c r="R800" s="182" t="str">
        <f>R$13</f>
        <v>(l)</v>
      </c>
      <c r="S800" s="15" t="str">
        <f>S$13</f>
        <v>(m)</v>
      </c>
      <c r="T800" s="15"/>
      <c r="U800" s="15" t="s">
        <v>683</v>
      </c>
      <c r="V800" s="64"/>
      <c r="X800" s="305"/>
    </row>
    <row r="801" spans="1:24" x14ac:dyDescent="0.2">
      <c r="A801" s="45"/>
      <c r="B801" s="64"/>
      <c r="C801" s="96"/>
      <c r="D801" s="96"/>
      <c r="E801" s="251"/>
      <c r="F801" s="308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1"/>
      <c r="V801" s="64"/>
      <c r="X801" s="305">
        <f t="shared" si="210"/>
        <v>0</v>
      </c>
    </row>
    <row r="802" spans="1:24" ht="15" x14ac:dyDescent="0.25">
      <c r="A802" s="45"/>
      <c r="B802" s="16">
        <f t="shared" ref="B802:B826" si="216">B801+1</f>
        <v>1</v>
      </c>
      <c r="C802" s="8" t="s">
        <v>608</v>
      </c>
      <c r="D802" s="1"/>
      <c r="E802" s="19"/>
      <c r="F802" s="18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"/>
      <c r="V802" s="64"/>
      <c r="X802" s="305">
        <f t="shared" si="210"/>
        <v>0</v>
      </c>
    </row>
    <row r="803" spans="1:24" ht="15" x14ac:dyDescent="0.25">
      <c r="A803" s="45"/>
      <c r="B803" s="16">
        <f t="shared" si="216"/>
        <v>2</v>
      </c>
      <c r="C803" s="8"/>
      <c r="D803" s="301" t="s">
        <v>609</v>
      </c>
      <c r="E803" s="19" t="s">
        <v>262</v>
      </c>
      <c r="F803" s="21"/>
      <c r="G803" s="19"/>
      <c r="H803" s="19"/>
      <c r="I803" s="19"/>
      <c r="J803" s="961"/>
      <c r="K803" s="961"/>
      <c r="L803" s="961"/>
      <c r="M803" s="961"/>
      <c r="N803" s="961"/>
      <c r="O803" s="961"/>
      <c r="P803" s="961"/>
      <c r="Q803" s="961"/>
      <c r="R803" s="961"/>
      <c r="S803" s="961"/>
      <c r="T803" s="912"/>
      <c r="U803" s="8"/>
      <c r="V803" s="64"/>
      <c r="X803" s="305">
        <f t="shared" si="210"/>
        <v>0</v>
      </c>
    </row>
    <row r="804" spans="1:24" x14ac:dyDescent="0.2">
      <c r="A804" s="45"/>
      <c r="B804" s="16">
        <f t="shared" si="216"/>
        <v>3</v>
      </c>
      <c r="C804" s="1" t="s">
        <v>144</v>
      </c>
      <c r="D804" s="1" t="s">
        <v>145</v>
      </c>
      <c r="E804" s="16"/>
      <c r="F804" s="97">
        <f>' WP II-I-1.4'!L804</f>
        <v>17081.400000000001</v>
      </c>
      <c r="G804" s="16" t="s">
        <v>751</v>
      </c>
      <c r="H804" s="1" t="s">
        <v>303</v>
      </c>
      <c r="I804" s="16"/>
      <c r="J804" s="369">
        <f>'II-I-DIST'!J804+'II-I-MET'!J804+'II-I-TBILLTDCS'!J804</f>
        <v>8758.7698022236782</v>
      </c>
      <c r="K804" s="369">
        <f>'II-I-DIST'!K804+'II-I-MET'!K804+'II-I-TBILLTDCS'!K804</f>
        <v>165.47652300125736</v>
      </c>
      <c r="L804" s="369">
        <f>'II-I-DIST'!L804+'II-I-MET'!L804+'II-I-TBILLTDCS'!L804</f>
        <v>5625.7948313045745</v>
      </c>
      <c r="M804" s="369">
        <f>'II-I-DIST'!M804+'II-I-MET'!M804+'II-I-TBILLTDCS'!M804</f>
        <v>2.6325384896265573</v>
      </c>
      <c r="N804" s="369">
        <f>'II-I-DIST'!N804+'II-I-MET'!N804+'II-I-TBILLTDCS'!N804</f>
        <v>1654.7796796216876</v>
      </c>
      <c r="O804" s="369">
        <f>'II-I-DIST'!O804+'II-I-MET'!O804+'II-I-TBILLTDCS'!O804</f>
        <v>711.25687778959662</v>
      </c>
      <c r="P804" s="369">
        <f>'II-I-DIST'!P804+'II-I-MET'!P804+'II-I-TBILLTDCS'!P804</f>
        <v>0</v>
      </c>
      <c r="Q804" s="369">
        <f>'II-I-DIST'!Q804+'II-I-MET'!Q804+'II-I-TBILLTDCS'!Q804</f>
        <v>50.030582380472659</v>
      </c>
      <c r="R804" s="369">
        <f>'II-I-DIST'!R804+'II-I-MET'!R804+'II-I-TBILLTDCS'!R804</f>
        <v>49.164854164591596</v>
      </c>
      <c r="S804" s="369">
        <f>'II-I-DIST'!S804+'II-I-MET'!S804+'II-I-TBILLTDCS'!S804</f>
        <v>63.494311024514552</v>
      </c>
      <c r="T804" s="16"/>
      <c r="U804" s="97">
        <f t="shared" ref="U804:U812" si="217">SUM(I804:T804)</f>
        <v>17081.400000000001</v>
      </c>
      <c r="V804" s="64"/>
      <c r="X804" s="305">
        <f t="shared" si="210"/>
        <v>0</v>
      </c>
    </row>
    <row r="805" spans="1:24" x14ac:dyDescent="0.2">
      <c r="A805" s="45"/>
      <c r="B805" s="16">
        <f t="shared" si="216"/>
        <v>4</v>
      </c>
      <c r="C805" s="1" t="s">
        <v>146</v>
      </c>
      <c r="D805" s="1" t="s">
        <v>147</v>
      </c>
      <c r="E805" s="16"/>
      <c r="F805" s="229">
        <f>' WP II-I-1.4'!L805</f>
        <v>0</v>
      </c>
      <c r="G805" s="16" t="s">
        <v>751</v>
      </c>
      <c r="H805" s="1" t="s">
        <v>303</v>
      </c>
      <c r="I805" s="16"/>
      <c r="J805" s="369">
        <f>'II-I-DIST'!J805+'II-I-MET'!J805+'II-I-TBILLTDCS'!J805</f>
        <v>0</v>
      </c>
      <c r="K805" s="369">
        <f>'II-I-DIST'!K805+'II-I-MET'!K805+'II-I-TBILLTDCS'!K805</f>
        <v>0</v>
      </c>
      <c r="L805" s="369">
        <f>'II-I-DIST'!L805+'II-I-MET'!L805+'II-I-TBILLTDCS'!L805</f>
        <v>0</v>
      </c>
      <c r="M805" s="369">
        <f>'II-I-DIST'!M805+'II-I-MET'!M805+'II-I-TBILLTDCS'!M805</f>
        <v>0</v>
      </c>
      <c r="N805" s="369">
        <f>'II-I-DIST'!N805+'II-I-MET'!N805+'II-I-TBILLTDCS'!N805</f>
        <v>0</v>
      </c>
      <c r="O805" s="369">
        <f>'II-I-DIST'!O805+'II-I-MET'!O805+'II-I-TBILLTDCS'!O805</f>
        <v>0</v>
      </c>
      <c r="P805" s="369">
        <f>'II-I-DIST'!P805+'II-I-MET'!P805+'II-I-TBILLTDCS'!P805</f>
        <v>0</v>
      </c>
      <c r="Q805" s="369">
        <f>'II-I-DIST'!Q805+'II-I-MET'!Q805+'II-I-TBILLTDCS'!Q805</f>
        <v>0</v>
      </c>
      <c r="R805" s="369">
        <f>'II-I-DIST'!R805+'II-I-MET'!R805+'II-I-TBILLTDCS'!R805</f>
        <v>0</v>
      </c>
      <c r="S805" s="369">
        <f>'II-I-DIST'!S805+'II-I-MET'!S805+'II-I-TBILLTDCS'!S805</f>
        <v>0</v>
      </c>
      <c r="T805" s="16"/>
      <c r="U805" s="97">
        <f t="shared" si="217"/>
        <v>0</v>
      </c>
      <c r="V805" s="64"/>
      <c r="X805" s="305">
        <f t="shared" si="210"/>
        <v>0</v>
      </c>
    </row>
    <row r="806" spans="1:24" x14ac:dyDescent="0.2">
      <c r="A806" s="45"/>
      <c r="B806" s="16">
        <f t="shared" si="216"/>
        <v>5</v>
      </c>
      <c r="C806" s="1" t="s">
        <v>148</v>
      </c>
      <c r="D806" s="1" t="s">
        <v>149</v>
      </c>
      <c r="E806" s="16"/>
      <c r="F806" s="229">
        <f>' WP II-I-1.4'!L806</f>
        <v>142759.42000000001</v>
      </c>
      <c r="G806" s="16" t="s">
        <v>751</v>
      </c>
      <c r="H806" s="1" t="s">
        <v>303</v>
      </c>
      <c r="I806" s="16"/>
      <c r="J806" s="369">
        <f>'II-I-DIST'!J806+'II-I-MET'!J806+'II-I-TBILLTDCS'!J806</f>
        <v>73202.249047441481</v>
      </c>
      <c r="K806" s="369">
        <f>'II-I-DIST'!K806+'II-I-MET'!K806+'II-I-TBILLTDCS'!K806</f>
        <v>1382.985729932919</v>
      </c>
      <c r="L806" s="369">
        <f>'II-I-DIST'!L806+'II-I-MET'!L806+'II-I-TBILLTDCS'!L806</f>
        <v>47018.11368834164</v>
      </c>
      <c r="M806" s="369">
        <f>'II-I-DIST'!M806+'II-I-MET'!M806+'II-I-TBILLTDCS'!M806</f>
        <v>22.001690019949375</v>
      </c>
      <c r="N806" s="369">
        <f>'II-I-DIST'!N806+'II-I-MET'!N806+'II-I-TBILLTDCS'!N806</f>
        <v>13829.978063307335</v>
      </c>
      <c r="O806" s="369">
        <f>'II-I-DIST'!O806+'II-I-MET'!O806+'II-I-TBILLTDCS'!O806</f>
        <v>5944.3967909102112</v>
      </c>
      <c r="P806" s="369">
        <f>'II-I-DIST'!P806+'II-I-MET'!P806+'II-I-TBILLTDCS'!P806</f>
        <v>0</v>
      </c>
      <c r="Q806" s="369">
        <f>'II-I-DIST'!Q806+'II-I-MET'!Q806+'II-I-TBILLTDCS'!Q806</f>
        <v>418.13533568082801</v>
      </c>
      <c r="R806" s="369">
        <f>'II-I-DIST'!R806+'II-I-MET'!R806+'II-I-TBILLTDCS'!R806</f>
        <v>410.89993003627808</v>
      </c>
      <c r="S806" s="369">
        <f>'II-I-DIST'!S806+'II-I-MET'!S806+'II-I-TBILLTDCS'!S806</f>
        <v>530.65972432934666</v>
      </c>
      <c r="T806" s="16"/>
      <c r="U806" s="97">
        <f t="shared" si="217"/>
        <v>142759.41999999998</v>
      </c>
      <c r="V806" s="64"/>
      <c r="X806" s="305">
        <f t="shared" si="210"/>
        <v>0</v>
      </c>
    </row>
    <row r="807" spans="1:24" x14ac:dyDescent="0.2">
      <c r="A807" s="45"/>
      <c r="B807" s="16">
        <f t="shared" si="216"/>
        <v>6</v>
      </c>
      <c r="C807" s="1" t="s">
        <v>150</v>
      </c>
      <c r="D807" s="1" t="s">
        <v>151</v>
      </c>
      <c r="E807" s="16"/>
      <c r="F807" s="229">
        <f>' WP II-I-1.4'!L807</f>
        <v>0</v>
      </c>
      <c r="G807" s="16" t="s">
        <v>751</v>
      </c>
      <c r="H807" s="1" t="s">
        <v>303</v>
      </c>
      <c r="I807" s="16"/>
      <c r="J807" s="369">
        <f>'II-I-DIST'!J807+'II-I-MET'!J807+'II-I-TBILLTDCS'!J807</f>
        <v>0</v>
      </c>
      <c r="K807" s="369">
        <f>'II-I-DIST'!K807+'II-I-MET'!K807+'II-I-TBILLTDCS'!K807</f>
        <v>0</v>
      </c>
      <c r="L807" s="369">
        <f>'II-I-DIST'!L807+'II-I-MET'!L807+'II-I-TBILLTDCS'!L807</f>
        <v>0</v>
      </c>
      <c r="M807" s="369">
        <f>'II-I-DIST'!M807+'II-I-MET'!M807+'II-I-TBILLTDCS'!M807</f>
        <v>0</v>
      </c>
      <c r="N807" s="369">
        <f>'II-I-DIST'!N807+'II-I-MET'!N807+'II-I-TBILLTDCS'!N807</f>
        <v>0</v>
      </c>
      <c r="O807" s="369">
        <f>'II-I-DIST'!O807+'II-I-MET'!O807+'II-I-TBILLTDCS'!O807</f>
        <v>0</v>
      </c>
      <c r="P807" s="369">
        <f>'II-I-DIST'!P807+'II-I-MET'!P807+'II-I-TBILLTDCS'!P807</f>
        <v>0</v>
      </c>
      <c r="Q807" s="369">
        <f>'II-I-DIST'!Q807+'II-I-MET'!Q807+'II-I-TBILLTDCS'!Q807</f>
        <v>0</v>
      </c>
      <c r="R807" s="369">
        <f>'II-I-DIST'!R807+'II-I-MET'!R807+'II-I-TBILLTDCS'!R807</f>
        <v>0</v>
      </c>
      <c r="S807" s="369">
        <f>'II-I-DIST'!S807+'II-I-MET'!S807+'II-I-TBILLTDCS'!S807</f>
        <v>0</v>
      </c>
      <c r="T807" s="16"/>
      <c r="U807" s="97">
        <f t="shared" si="217"/>
        <v>0</v>
      </c>
      <c r="V807" s="64"/>
      <c r="X807" s="305">
        <f t="shared" si="210"/>
        <v>0</v>
      </c>
    </row>
    <row r="808" spans="1:24" x14ac:dyDescent="0.2">
      <c r="A808" s="45"/>
      <c r="B808" s="16">
        <f t="shared" si="216"/>
        <v>7</v>
      </c>
      <c r="C808" s="1" t="s">
        <v>152</v>
      </c>
      <c r="D808" s="1" t="s">
        <v>153</v>
      </c>
      <c r="E808" s="16"/>
      <c r="F808" s="229">
        <f>' WP II-I-1.4'!L808</f>
        <v>0</v>
      </c>
      <c r="G808" s="16" t="s">
        <v>751</v>
      </c>
      <c r="H808" s="1" t="s">
        <v>303</v>
      </c>
      <c r="I808" s="16"/>
      <c r="J808" s="369">
        <f>'II-I-DIST'!J808+'II-I-MET'!J808+'II-I-TBILLTDCS'!J808</f>
        <v>0</v>
      </c>
      <c r="K808" s="369">
        <f>'II-I-DIST'!K808+'II-I-MET'!K808+'II-I-TBILLTDCS'!K808</f>
        <v>0</v>
      </c>
      <c r="L808" s="369">
        <f>'II-I-DIST'!L808+'II-I-MET'!L808+'II-I-TBILLTDCS'!L808</f>
        <v>0</v>
      </c>
      <c r="M808" s="369">
        <f>'II-I-DIST'!M808+'II-I-MET'!M808+'II-I-TBILLTDCS'!M808</f>
        <v>0</v>
      </c>
      <c r="N808" s="369">
        <f>'II-I-DIST'!N808+'II-I-MET'!N808+'II-I-TBILLTDCS'!N808</f>
        <v>0</v>
      </c>
      <c r="O808" s="369">
        <f>'II-I-DIST'!O808+'II-I-MET'!O808+'II-I-TBILLTDCS'!O808</f>
        <v>0</v>
      </c>
      <c r="P808" s="369">
        <f>'II-I-DIST'!P808+'II-I-MET'!P808+'II-I-TBILLTDCS'!P808</f>
        <v>0</v>
      </c>
      <c r="Q808" s="369">
        <f>'II-I-DIST'!Q808+'II-I-MET'!Q808+'II-I-TBILLTDCS'!Q808</f>
        <v>0</v>
      </c>
      <c r="R808" s="369">
        <f>'II-I-DIST'!R808+'II-I-MET'!R808+'II-I-TBILLTDCS'!R808</f>
        <v>0</v>
      </c>
      <c r="S808" s="369">
        <f>'II-I-DIST'!S808+'II-I-MET'!S808+'II-I-TBILLTDCS'!S808</f>
        <v>0</v>
      </c>
      <c r="T808" s="16"/>
      <c r="U808" s="97">
        <f t="shared" si="217"/>
        <v>0</v>
      </c>
      <c r="V808" s="64"/>
      <c r="X808" s="305">
        <f t="shared" si="210"/>
        <v>0</v>
      </c>
    </row>
    <row r="809" spans="1:24" ht="15" x14ac:dyDescent="0.25">
      <c r="A809" s="118"/>
      <c r="B809" s="16">
        <f t="shared" si="216"/>
        <v>8</v>
      </c>
      <c r="C809" s="1" t="s">
        <v>154</v>
      </c>
      <c r="D809" s="29" t="s">
        <v>155</v>
      </c>
      <c r="E809" s="19"/>
      <c r="F809" s="229">
        <f>' WP II-I-1.4'!L809</f>
        <v>0</v>
      </c>
      <c r="G809" s="16" t="s">
        <v>751</v>
      </c>
      <c r="H809" s="1" t="s">
        <v>303</v>
      </c>
      <c r="I809" s="912"/>
      <c r="J809" s="369">
        <f>'II-I-DIST'!J809+'II-I-MET'!J809+'II-I-TBILLTDCS'!J809</f>
        <v>0</v>
      </c>
      <c r="K809" s="369">
        <f>'II-I-DIST'!K809+'II-I-MET'!K809+'II-I-TBILLTDCS'!K809</f>
        <v>0</v>
      </c>
      <c r="L809" s="369">
        <f>'II-I-DIST'!L809+'II-I-MET'!L809+'II-I-TBILLTDCS'!L809</f>
        <v>0</v>
      </c>
      <c r="M809" s="369">
        <f>'II-I-DIST'!M809+'II-I-MET'!M809+'II-I-TBILLTDCS'!M809</f>
        <v>0</v>
      </c>
      <c r="N809" s="369">
        <f>'II-I-DIST'!N809+'II-I-MET'!N809+'II-I-TBILLTDCS'!N809</f>
        <v>0</v>
      </c>
      <c r="O809" s="369">
        <f>'II-I-DIST'!O809+'II-I-MET'!O809+'II-I-TBILLTDCS'!O809</f>
        <v>0</v>
      </c>
      <c r="P809" s="369">
        <f>'II-I-DIST'!P809+'II-I-MET'!P809+'II-I-TBILLTDCS'!P809</f>
        <v>0</v>
      </c>
      <c r="Q809" s="369">
        <f>'II-I-DIST'!Q809+'II-I-MET'!Q809+'II-I-TBILLTDCS'!Q809</f>
        <v>0</v>
      </c>
      <c r="R809" s="369">
        <f>'II-I-DIST'!R809+'II-I-MET'!R809+'II-I-TBILLTDCS'!R809</f>
        <v>0</v>
      </c>
      <c r="S809" s="369">
        <f>'II-I-DIST'!S809+'II-I-MET'!S809+'II-I-TBILLTDCS'!S809</f>
        <v>0</v>
      </c>
      <c r="T809" s="912"/>
      <c r="U809" s="235">
        <f t="shared" si="217"/>
        <v>0</v>
      </c>
      <c r="V809" s="104"/>
      <c r="W809" s="280"/>
      <c r="X809" s="305">
        <f t="shared" si="210"/>
        <v>0</v>
      </c>
    </row>
    <row r="810" spans="1:24" x14ac:dyDescent="0.2">
      <c r="A810" s="45"/>
      <c r="B810" s="16">
        <f t="shared" si="216"/>
        <v>9</v>
      </c>
      <c r="C810" s="1" t="s">
        <v>156</v>
      </c>
      <c r="D810" s="29" t="s">
        <v>157</v>
      </c>
      <c r="E810" s="16"/>
      <c r="F810" s="229">
        <f>' WP II-I-1.4'!L810</f>
        <v>328543.03000000003</v>
      </c>
      <c r="G810" s="16" t="s">
        <v>751</v>
      </c>
      <c r="H810" s="1" t="s">
        <v>303</v>
      </c>
      <c r="I810" s="16"/>
      <c r="J810" s="369">
        <f>'II-I-DIST'!J810+'II-I-MET'!J810+'II-I-TBILLTDCS'!J810</f>
        <v>168465.86169137587</v>
      </c>
      <c r="K810" s="369">
        <f>'II-I-DIST'!K810+'II-I-MET'!K810+'II-I-TBILLTDCS'!K810</f>
        <v>3182.7694603895343</v>
      </c>
      <c r="L810" s="369">
        <f>'II-I-DIST'!L810+'II-I-MET'!L810+'II-I-TBILLTDCS'!L810</f>
        <v>108206.33437745992</v>
      </c>
      <c r="M810" s="369">
        <f>'II-I-DIST'!M810+'II-I-MET'!M810+'II-I-TBILLTDCS'!M810</f>
        <v>50.634150126660145</v>
      </c>
      <c r="N810" s="369">
        <f>'II-I-DIST'!N810+'II-I-MET'!N810+'II-I-TBILLTDCS'!N810</f>
        <v>31827.97252715459</v>
      </c>
      <c r="O810" s="369">
        <f>'II-I-DIST'!O810+'II-I-MET'!O810+'II-I-TBILLTDCS'!O810</f>
        <v>13680.289070997327</v>
      </c>
      <c r="P810" s="369">
        <f>'II-I-DIST'!P810+'II-I-MET'!P810+'II-I-TBILLTDCS'!P810</f>
        <v>0</v>
      </c>
      <c r="Q810" s="369">
        <f>'II-I-DIST'!Q810+'II-I-MET'!Q810+'II-I-TBILLTDCS'!Q810</f>
        <v>962.2864125859179</v>
      </c>
      <c r="R810" s="369">
        <f>'II-I-DIST'!R810+'II-I-MET'!R810+'II-I-TBILLTDCS'!R810</f>
        <v>945.63502738317948</v>
      </c>
      <c r="S810" s="369">
        <f>'II-I-DIST'!S810+'II-I-MET'!S810+'II-I-TBILLTDCS'!S810</f>
        <v>1221.2472825269833</v>
      </c>
      <c r="T810" s="16"/>
      <c r="U810" s="97">
        <f t="shared" si="217"/>
        <v>328543.02999999997</v>
      </c>
      <c r="V810" s="64"/>
      <c r="X810" s="305">
        <f t="shared" si="210"/>
        <v>0</v>
      </c>
    </row>
    <row r="811" spans="1:24" x14ac:dyDescent="0.2">
      <c r="A811" s="45"/>
      <c r="B811" s="16">
        <f t="shared" si="216"/>
        <v>10</v>
      </c>
      <c r="C811" s="1" t="s">
        <v>158</v>
      </c>
      <c r="D811" s="1" t="s">
        <v>159</v>
      </c>
      <c r="E811" s="16"/>
      <c r="F811" s="229">
        <f>' WP II-I-1.4'!L811</f>
        <v>0</v>
      </c>
      <c r="G811" s="16" t="s">
        <v>751</v>
      </c>
      <c r="H811" s="1" t="s">
        <v>303</v>
      </c>
      <c r="I811" s="16"/>
      <c r="J811" s="370">
        <f>'II-I-DIST'!J811+'II-I-MET'!J811+'II-I-TBILLTDCS'!J811</f>
        <v>0</v>
      </c>
      <c r="K811" s="370">
        <f>'II-I-DIST'!K811+'II-I-MET'!K811+'II-I-TBILLTDCS'!K811</f>
        <v>0</v>
      </c>
      <c r="L811" s="370">
        <f>'II-I-DIST'!L811+'II-I-MET'!L811+'II-I-TBILLTDCS'!L811</f>
        <v>0</v>
      </c>
      <c r="M811" s="370">
        <f>'II-I-DIST'!M811+'II-I-MET'!M811+'II-I-TBILLTDCS'!M811</f>
        <v>0</v>
      </c>
      <c r="N811" s="370">
        <f>'II-I-DIST'!N811+'II-I-MET'!N811+'II-I-TBILLTDCS'!N811</f>
        <v>0</v>
      </c>
      <c r="O811" s="370">
        <f>'II-I-DIST'!O811+'II-I-MET'!O811+'II-I-TBILLTDCS'!O811</f>
        <v>0</v>
      </c>
      <c r="P811" s="370">
        <f>'II-I-DIST'!P811+'II-I-MET'!P811+'II-I-TBILLTDCS'!P811</f>
        <v>0</v>
      </c>
      <c r="Q811" s="370">
        <f>'II-I-DIST'!Q811+'II-I-MET'!Q811+'II-I-TBILLTDCS'!Q811</f>
        <v>0</v>
      </c>
      <c r="R811" s="370">
        <f>'II-I-DIST'!R811+'II-I-MET'!R811+'II-I-TBILLTDCS'!R811</f>
        <v>0</v>
      </c>
      <c r="S811" s="370">
        <f>'II-I-DIST'!S811+'II-I-MET'!S811+'II-I-TBILLTDCS'!S811</f>
        <v>0</v>
      </c>
      <c r="T811" s="16"/>
      <c r="U811" s="97">
        <f t="shared" si="217"/>
        <v>0</v>
      </c>
      <c r="V811" s="64"/>
      <c r="X811" s="305">
        <f t="shared" si="210"/>
        <v>0</v>
      </c>
    </row>
    <row r="812" spans="1:24" ht="15" x14ac:dyDescent="0.25">
      <c r="A812" s="45"/>
      <c r="B812" s="16">
        <f t="shared" si="216"/>
        <v>11</v>
      </c>
      <c r="C812" s="8"/>
      <c r="D812" s="24" t="s">
        <v>444</v>
      </c>
      <c r="E812" s="19"/>
      <c r="F812" s="21">
        <f>SUM(F804:F811)</f>
        <v>488383.85000000003</v>
      </c>
      <c r="G812" s="19"/>
      <c r="H812" s="19"/>
      <c r="I812" s="19"/>
      <c r="J812" s="805">
        <f t="shared" ref="J812:Q812" si="218">SUM(J804:J811)</f>
        <v>250426.88054104103</v>
      </c>
      <c r="K812" s="805">
        <f t="shared" si="218"/>
        <v>4731.2317133237102</v>
      </c>
      <c r="L812" s="805">
        <f t="shared" si="218"/>
        <v>160850.24289710613</v>
      </c>
      <c r="M812" s="805">
        <f t="shared" si="218"/>
        <v>75.268378636236079</v>
      </c>
      <c r="N812" s="805">
        <f t="shared" si="218"/>
        <v>47312.730270083615</v>
      </c>
      <c r="O812" s="805">
        <f>SUM(O804:O811)</f>
        <v>20335.942739697137</v>
      </c>
      <c r="P812" s="805">
        <f t="shared" si="218"/>
        <v>0</v>
      </c>
      <c r="Q812" s="805">
        <f t="shared" si="218"/>
        <v>1430.4523306472186</v>
      </c>
      <c r="R812" s="805">
        <f>SUM(R804:R811)</f>
        <v>1405.6998115840493</v>
      </c>
      <c r="S812" s="805">
        <f>SUM(S804:S811)</f>
        <v>1815.4013178808445</v>
      </c>
      <c r="T812" s="912"/>
      <c r="U812" s="235">
        <f t="shared" si="217"/>
        <v>488383.84999999992</v>
      </c>
      <c r="V812" s="64"/>
      <c r="W812" s="1099" t="b">
        <f>' WP II-I-1.4'!$L$812=U812</f>
        <v>1</v>
      </c>
      <c r="X812" s="305">
        <f t="shared" si="210"/>
        <v>0</v>
      </c>
    </row>
    <row r="813" spans="1:24" x14ac:dyDescent="0.2">
      <c r="A813" s="45"/>
      <c r="B813" s="16">
        <f t="shared" si="216"/>
        <v>12</v>
      </c>
      <c r="C813" s="1"/>
      <c r="D813" s="1"/>
      <c r="E813" s="16"/>
      <c r="F813" s="18"/>
      <c r="G813" s="16"/>
      <c r="H813" s="16"/>
      <c r="I813" s="1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6"/>
      <c r="U813" s="1"/>
      <c r="V813" s="64"/>
      <c r="X813" s="305">
        <f t="shared" si="210"/>
        <v>0</v>
      </c>
    </row>
    <row r="814" spans="1:24" ht="15" x14ac:dyDescent="0.25">
      <c r="A814" s="45"/>
      <c r="B814" s="16">
        <f t="shared" si="216"/>
        <v>13</v>
      </c>
      <c r="C814" s="8"/>
      <c r="D814" s="24" t="s">
        <v>610</v>
      </c>
      <c r="E814" s="19"/>
      <c r="F814" s="21">
        <f>SUM(F805:F811)</f>
        <v>471302.45000000007</v>
      </c>
      <c r="G814" s="19"/>
      <c r="H814" s="19"/>
      <c r="I814" s="19"/>
      <c r="J814" s="805">
        <f t="shared" ref="J814:Q814" si="219">SUM(J805:J811)</f>
        <v>241668.11073881737</v>
      </c>
      <c r="K814" s="805">
        <f t="shared" si="219"/>
        <v>4565.755190322453</v>
      </c>
      <c r="L814" s="805">
        <f t="shared" si="219"/>
        <v>155224.44806580155</v>
      </c>
      <c r="M814" s="805">
        <f t="shared" si="219"/>
        <v>72.635840146609524</v>
      </c>
      <c r="N814" s="805">
        <f t="shared" si="219"/>
        <v>45657.950590461929</v>
      </c>
      <c r="O814" s="805">
        <f>SUM(O805:O811)</f>
        <v>19624.685861907539</v>
      </c>
      <c r="P814" s="805">
        <f t="shared" si="219"/>
        <v>0</v>
      </c>
      <c r="Q814" s="805">
        <f t="shared" si="219"/>
        <v>1380.4217482667459</v>
      </c>
      <c r="R814" s="805">
        <f>SUM(R805:R811)</f>
        <v>1356.5349574194574</v>
      </c>
      <c r="S814" s="805">
        <f>SUM(S805:S811)</f>
        <v>1751.9070068563301</v>
      </c>
      <c r="T814" s="912"/>
      <c r="U814" s="235">
        <f>SUM(I814:T814)</f>
        <v>471302.45</v>
      </c>
      <c r="V814" s="64"/>
      <c r="W814" s="1099" t="b">
        <f>' WP II-I-1.4'!$L$814=U814</f>
        <v>1</v>
      </c>
      <c r="X814" s="305">
        <f t="shared" si="210"/>
        <v>0</v>
      </c>
    </row>
    <row r="815" spans="1:24" x14ac:dyDescent="0.2">
      <c r="A815" s="45"/>
      <c r="B815" s="16">
        <f t="shared" si="216"/>
        <v>14</v>
      </c>
      <c r="C815" s="1"/>
      <c r="D815" s="1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"/>
      <c r="V815" s="64"/>
      <c r="X815" s="305">
        <f t="shared" si="210"/>
        <v>0</v>
      </c>
    </row>
    <row r="816" spans="1:24" ht="15" x14ac:dyDescent="0.25">
      <c r="A816" s="45"/>
      <c r="B816" s="16">
        <f t="shared" si="216"/>
        <v>15</v>
      </c>
      <c r="C816" s="8"/>
      <c r="D816" s="301" t="s">
        <v>611</v>
      </c>
      <c r="E816" s="19" t="s">
        <v>262</v>
      </c>
      <c r="F816" s="21"/>
      <c r="G816" s="19"/>
      <c r="H816" s="19"/>
      <c r="I816" s="19"/>
      <c r="J816" s="961"/>
      <c r="K816" s="961"/>
      <c r="L816" s="961"/>
      <c r="M816" s="961"/>
      <c r="N816" s="961"/>
      <c r="O816" s="961"/>
      <c r="P816" s="961"/>
      <c r="Q816" s="961"/>
      <c r="R816" s="961"/>
      <c r="S816" s="961"/>
      <c r="T816" s="912"/>
      <c r="U816" s="8"/>
      <c r="V816" s="64"/>
      <c r="X816" s="305">
        <f t="shared" si="210"/>
        <v>0</v>
      </c>
    </row>
    <row r="817" spans="1:24" x14ac:dyDescent="0.2">
      <c r="A817" s="45"/>
      <c r="B817" s="16">
        <f t="shared" si="216"/>
        <v>16</v>
      </c>
      <c r="C817" s="1" t="s">
        <v>161</v>
      </c>
      <c r="D817" s="1" t="s">
        <v>162</v>
      </c>
      <c r="E817" s="16"/>
      <c r="F817" s="229">
        <f>' WP II-I-1.4'!L817</f>
        <v>43419.67</v>
      </c>
      <c r="G817" s="16" t="s">
        <v>751</v>
      </c>
      <c r="H817" s="45" t="s">
        <v>303</v>
      </c>
      <c r="I817" s="16"/>
      <c r="J817" s="369">
        <f>'II-I-DIST'!J817+'II-I-MET'!J817+'II-I-TBILLTDCS'!J817</f>
        <v>22264.152494439408</v>
      </c>
      <c r="K817" s="369">
        <f>'II-I-DIST'!K817+'II-I-MET'!K817+'II-I-TBILLTDCS'!K817</f>
        <v>420.6292236855295</v>
      </c>
      <c r="L817" s="369">
        <f>'II-I-DIST'!L817+'II-I-MET'!L817+'II-I-TBILLTDCS'!L817</f>
        <v>14300.359166283226</v>
      </c>
      <c r="M817" s="369">
        <f>'II-I-DIST'!M817+'II-I-MET'!M817+'II-I-TBILLTDCS'!M817</f>
        <v>6.6917203790019277</v>
      </c>
      <c r="N817" s="369">
        <f>'II-I-DIST'!N817+'II-I-MET'!N817+'II-I-TBILLTDCS'!N817</f>
        <v>4206.3289667052704</v>
      </c>
      <c r="O817" s="369">
        <f>'II-I-DIST'!O817+'II-I-MET'!O817+'II-I-TBILLTDCS'!O817</f>
        <v>1807.9629842316558</v>
      </c>
      <c r="P817" s="369">
        <f>'II-I-DIST'!P817+'II-I-MET'!P817+'II-I-TBILLTDCS'!P817</f>
        <v>0</v>
      </c>
      <c r="Q817" s="369">
        <f>'II-I-DIST'!Q817+'II-I-MET'!Q817+'II-I-TBILLTDCS'!Q817</f>
        <v>127.17408273724267</v>
      </c>
      <c r="R817" s="369">
        <f>'II-I-DIST'!R817+'II-I-MET'!R817+'II-I-TBILLTDCS'!R817</f>
        <v>124.97346490479073</v>
      </c>
      <c r="S817" s="369">
        <f>'II-I-DIST'!S817+'II-I-MET'!S817+'II-I-TBILLTDCS'!S817</f>
        <v>161.39789663386978</v>
      </c>
      <c r="T817" s="16"/>
      <c r="U817" s="97">
        <f t="shared" ref="U817:U823" si="220">SUM(I817:T817)</f>
        <v>43419.669999999984</v>
      </c>
      <c r="V817" s="64"/>
      <c r="X817" s="305">
        <f t="shared" si="210"/>
        <v>0</v>
      </c>
    </row>
    <row r="818" spans="1:24" x14ac:dyDescent="0.2">
      <c r="A818" s="45"/>
      <c r="B818" s="16">
        <f t="shared" si="216"/>
        <v>17</v>
      </c>
      <c r="C818" s="1" t="s">
        <v>163</v>
      </c>
      <c r="D818" s="29" t="s">
        <v>164</v>
      </c>
      <c r="E818" s="16"/>
      <c r="F818" s="229">
        <f>' WP II-I-1.4'!L818</f>
        <v>0</v>
      </c>
      <c r="G818" s="16" t="s">
        <v>751</v>
      </c>
      <c r="H818" s="45" t="s">
        <v>303</v>
      </c>
      <c r="I818" s="16"/>
      <c r="J818" s="369">
        <f>'II-I-DIST'!J818+'II-I-MET'!J818+'II-I-TBILLTDCS'!J818</f>
        <v>0</v>
      </c>
      <c r="K818" s="369">
        <f>'II-I-DIST'!K818+'II-I-MET'!K818+'II-I-TBILLTDCS'!K818</f>
        <v>0</v>
      </c>
      <c r="L818" s="369">
        <f>'II-I-DIST'!L818+'II-I-MET'!L818+'II-I-TBILLTDCS'!L818</f>
        <v>0</v>
      </c>
      <c r="M818" s="369">
        <f>'II-I-DIST'!M818+'II-I-MET'!M818+'II-I-TBILLTDCS'!M818</f>
        <v>0</v>
      </c>
      <c r="N818" s="369">
        <f>'II-I-DIST'!N818+'II-I-MET'!N818+'II-I-TBILLTDCS'!N818</f>
        <v>0</v>
      </c>
      <c r="O818" s="369">
        <f>'II-I-DIST'!O818+'II-I-MET'!O818+'II-I-TBILLTDCS'!O818</f>
        <v>0</v>
      </c>
      <c r="P818" s="369">
        <f>'II-I-DIST'!P818+'II-I-MET'!P818+'II-I-TBILLTDCS'!P818</f>
        <v>0</v>
      </c>
      <c r="Q818" s="369">
        <f>'II-I-DIST'!Q818+'II-I-MET'!Q818+'II-I-TBILLTDCS'!Q818</f>
        <v>0</v>
      </c>
      <c r="R818" s="369">
        <f>'II-I-DIST'!R818+'II-I-MET'!R818+'II-I-TBILLTDCS'!R818</f>
        <v>0</v>
      </c>
      <c r="S818" s="369">
        <f>'II-I-DIST'!S818+'II-I-MET'!S818+'II-I-TBILLTDCS'!S818</f>
        <v>0</v>
      </c>
      <c r="T818" s="16"/>
      <c r="U818" s="97">
        <f t="shared" si="220"/>
        <v>0</v>
      </c>
      <c r="V818" s="64"/>
      <c r="X818" s="305">
        <f t="shared" si="210"/>
        <v>0</v>
      </c>
    </row>
    <row r="819" spans="1:24" x14ac:dyDescent="0.2">
      <c r="A819" s="45"/>
      <c r="B819" s="16">
        <f t="shared" si="216"/>
        <v>18</v>
      </c>
      <c r="C819" s="1" t="s">
        <v>165</v>
      </c>
      <c r="D819" s="1" t="s">
        <v>166</v>
      </c>
      <c r="E819" s="16"/>
      <c r="F819" s="229">
        <f>' WP II-I-1.4'!L819</f>
        <v>51182.04</v>
      </c>
      <c r="G819" s="16" t="s">
        <v>751</v>
      </c>
      <c r="H819" s="45" t="s">
        <v>303</v>
      </c>
      <c r="I819" s="16"/>
      <c r="J819" s="369">
        <f>'II-I-DIST'!J819+'II-I-MET'!J819+'II-I-TBILLTDCS'!J819</f>
        <v>26244.435840633927</v>
      </c>
      <c r="K819" s="369">
        <f>'II-I-DIST'!K819+'II-I-MET'!K819+'II-I-TBILLTDCS'!K819</f>
        <v>495.82739232798679</v>
      </c>
      <c r="L819" s="369">
        <f>'II-I-DIST'!L819+'II-I-MET'!L819+'II-I-TBILLTDCS'!L819</f>
        <v>16856.911967849472</v>
      </c>
      <c r="M819" s="369">
        <f>'II-I-DIST'!M819+'II-I-MET'!M819+'II-I-TBILLTDCS'!M819</f>
        <v>7.8880355402722264</v>
      </c>
      <c r="N819" s="369">
        <f>'II-I-DIST'!N819+'II-I-MET'!N819+'II-I-TBILLTDCS'!N819</f>
        <v>4958.3172195244179</v>
      </c>
      <c r="O819" s="369">
        <f>'II-I-DIST'!O819+'II-I-MET'!O819+'II-I-TBILLTDCS'!O819</f>
        <v>2131.1823368870373</v>
      </c>
      <c r="P819" s="369">
        <f>'II-I-DIST'!P819+'II-I-MET'!P819+'II-I-TBILLTDCS'!P819</f>
        <v>0</v>
      </c>
      <c r="Q819" s="369">
        <f>'II-I-DIST'!Q819+'II-I-MET'!Q819+'II-I-TBILLTDCS'!Q819</f>
        <v>149.90968355173734</v>
      </c>
      <c r="R819" s="369">
        <f>'II-I-DIST'!R819+'II-I-MET'!R819+'II-I-TBILLTDCS'!R819</f>
        <v>147.31564932887781</v>
      </c>
      <c r="S819" s="369">
        <f>'II-I-DIST'!S819+'II-I-MET'!S819+'II-I-TBILLTDCS'!S819</f>
        <v>190.25187435626731</v>
      </c>
      <c r="T819" s="16"/>
      <c r="U819" s="97">
        <f t="shared" si="220"/>
        <v>51182.039999999994</v>
      </c>
      <c r="V819" s="64"/>
      <c r="X819" s="305">
        <f t="shared" si="210"/>
        <v>0</v>
      </c>
    </row>
    <row r="820" spans="1:24" x14ac:dyDescent="0.2">
      <c r="A820" s="45"/>
      <c r="B820" s="16">
        <f t="shared" si="216"/>
        <v>19</v>
      </c>
      <c r="C820" s="1" t="s">
        <v>167</v>
      </c>
      <c r="D820" s="1" t="s">
        <v>168</v>
      </c>
      <c r="E820" s="16"/>
      <c r="F820" s="229">
        <f>' WP II-I-1.4'!L820</f>
        <v>11104.72</v>
      </c>
      <c r="G820" s="16" t="s">
        <v>751</v>
      </c>
      <c r="H820" s="45" t="s">
        <v>303</v>
      </c>
      <c r="I820" s="16"/>
      <c r="J820" s="369">
        <f>'II-I-DIST'!J820+'II-I-MET'!J820+'II-I-TBILLTDCS'!J820</f>
        <v>5694.1284788219527</v>
      </c>
      <c r="K820" s="369">
        <f>'II-I-DIST'!K820+'II-I-MET'!K820+'II-I-TBILLTDCS'!K820</f>
        <v>107.57727437461347</v>
      </c>
      <c r="L820" s="369">
        <f>'II-I-DIST'!L820+'II-I-MET'!L820+'II-I-TBILLTDCS'!L820</f>
        <v>3657.3627676352362</v>
      </c>
      <c r="M820" s="369">
        <f>'II-I-DIST'!M820+'II-I-MET'!M820+'II-I-TBILLTDCS'!M820</f>
        <v>1.7114289704898789</v>
      </c>
      <c r="N820" s="369">
        <f>'II-I-DIST'!N820+'II-I-MET'!N820+'II-I-TBILLTDCS'!N820</f>
        <v>1075.7821375231856</v>
      </c>
      <c r="O820" s="369">
        <f>'II-I-DIST'!O820+'II-I-MET'!O820+'II-I-TBILLTDCS'!O820</f>
        <v>462.39233762617158</v>
      </c>
      <c r="P820" s="369">
        <f>'II-I-DIST'!P820+'II-I-MET'!P820+'II-I-TBILLTDCS'!P820</f>
        <v>0</v>
      </c>
      <c r="Q820" s="369">
        <f>'II-I-DIST'!Q820+'II-I-MET'!Q820+'II-I-TBILLTDCS'!Q820</f>
        <v>32.525179948486787</v>
      </c>
      <c r="R820" s="369">
        <f>'II-I-DIST'!R820+'II-I-MET'!R820+'II-I-TBILLTDCS'!R820</f>
        <v>31.962364872822103</v>
      </c>
      <c r="S820" s="369">
        <f>'II-I-DIST'!S820+'II-I-MET'!S820+'II-I-TBILLTDCS'!S820</f>
        <v>41.278030227039181</v>
      </c>
      <c r="T820" s="16"/>
      <c r="U820" s="97">
        <f t="shared" si="220"/>
        <v>11104.719999999998</v>
      </c>
      <c r="V820" s="64"/>
      <c r="X820" s="305">
        <f t="shared" si="210"/>
        <v>0</v>
      </c>
    </row>
    <row r="821" spans="1:24" x14ac:dyDescent="0.2">
      <c r="A821" s="45"/>
      <c r="B821" s="16">
        <f t="shared" si="216"/>
        <v>20</v>
      </c>
      <c r="C821" s="1" t="s">
        <v>169</v>
      </c>
      <c r="D821" s="29" t="s">
        <v>170</v>
      </c>
      <c r="E821" s="16"/>
      <c r="F821" s="229">
        <f>' WP II-I-1.4'!L821</f>
        <v>0</v>
      </c>
      <c r="G821" s="16" t="s">
        <v>751</v>
      </c>
      <c r="H821" s="45" t="s">
        <v>303</v>
      </c>
      <c r="I821" s="16"/>
      <c r="J821" s="369">
        <f>'II-I-DIST'!J821+'II-I-MET'!J821+'II-I-TBILLTDCS'!J821</f>
        <v>0</v>
      </c>
      <c r="K821" s="369">
        <f>'II-I-DIST'!K821+'II-I-MET'!K821+'II-I-TBILLTDCS'!K821</f>
        <v>0</v>
      </c>
      <c r="L821" s="369">
        <f>'II-I-DIST'!L821+'II-I-MET'!L821+'II-I-TBILLTDCS'!L821</f>
        <v>0</v>
      </c>
      <c r="M821" s="369">
        <f>'II-I-DIST'!M821+'II-I-MET'!M821+'II-I-TBILLTDCS'!M821</f>
        <v>0</v>
      </c>
      <c r="N821" s="369">
        <f>'II-I-DIST'!N821+'II-I-MET'!N821+'II-I-TBILLTDCS'!N821</f>
        <v>0</v>
      </c>
      <c r="O821" s="369">
        <f>'II-I-DIST'!O821+'II-I-MET'!O821+'II-I-TBILLTDCS'!O821</f>
        <v>0</v>
      </c>
      <c r="P821" s="369">
        <f>'II-I-DIST'!P821+'II-I-MET'!P821+'II-I-TBILLTDCS'!P821</f>
        <v>0</v>
      </c>
      <c r="Q821" s="369">
        <f>'II-I-DIST'!Q821+'II-I-MET'!Q821+'II-I-TBILLTDCS'!Q821</f>
        <v>0</v>
      </c>
      <c r="R821" s="369">
        <f>'II-I-DIST'!R821+'II-I-MET'!R821+'II-I-TBILLTDCS'!R821</f>
        <v>0</v>
      </c>
      <c r="S821" s="369">
        <f>'II-I-DIST'!S821+'II-I-MET'!S821+'II-I-TBILLTDCS'!S821</f>
        <v>0</v>
      </c>
      <c r="T821" s="16"/>
      <c r="U821" s="97">
        <f t="shared" si="220"/>
        <v>0</v>
      </c>
      <c r="V821" s="64"/>
      <c r="X821" s="305">
        <f t="shared" si="210"/>
        <v>0</v>
      </c>
    </row>
    <row r="822" spans="1:24" x14ac:dyDescent="0.2">
      <c r="A822" s="45"/>
      <c r="B822" s="16">
        <f t="shared" si="216"/>
        <v>21</v>
      </c>
      <c r="C822" s="1" t="s">
        <v>171</v>
      </c>
      <c r="D822" s="29" t="s">
        <v>172</v>
      </c>
      <c r="E822" s="16"/>
      <c r="F822" s="229">
        <f>' WP II-I-1.4'!L822</f>
        <v>0</v>
      </c>
      <c r="G822" s="16" t="s">
        <v>751</v>
      </c>
      <c r="H822" s="45" t="s">
        <v>303</v>
      </c>
      <c r="I822" s="16"/>
      <c r="J822" s="370">
        <f>'II-I-DIST'!J822+'II-I-MET'!J822+'II-I-TBILLTDCS'!J822</f>
        <v>0</v>
      </c>
      <c r="K822" s="370">
        <f>'II-I-DIST'!K822+'II-I-MET'!K822+'II-I-TBILLTDCS'!K822</f>
        <v>0</v>
      </c>
      <c r="L822" s="370">
        <f>'II-I-DIST'!L822+'II-I-MET'!L822+'II-I-TBILLTDCS'!L822</f>
        <v>0</v>
      </c>
      <c r="M822" s="370">
        <f>'II-I-DIST'!M822+'II-I-MET'!M822+'II-I-TBILLTDCS'!M822</f>
        <v>0</v>
      </c>
      <c r="N822" s="370">
        <f>'II-I-DIST'!N822+'II-I-MET'!N822+'II-I-TBILLTDCS'!N822</f>
        <v>0</v>
      </c>
      <c r="O822" s="370">
        <f>'II-I-DIST'!O822+'II-I-MET'!O822+'II-I-TBILLTDCS'!O822</f>
        <v>0</v>
      </c>
      <c r="P822" s="370">
        <f>'II-I-DIST'!P822+'II-I-MET'!P822+'II-I-TBILLTDCS'!P822</f>
        <v>0</v>
      </c>
      <c r="Q822" s="370">
        <f>'II-I-DIST'!Q822+'II-I-MET'!Q822+'II-I-TBILLTDCS'!Q822</f>
        <v>0</v>
      </c>
      <c r="R822" s="370">
        <f>'II-I-DIST'!R822+'II-I-MET'!R822+'II-I-TBILLTDCS'!R822</f>
        <v>0</v>
      </c>
      <c r="S822" s="370">
        <f>'II-I-DIST'!S822+'II-I-MET'!S822+'II-I-TBILLTDCS'!S822</f>
        <v>0</v>
      </c>
      <c r="T822" s="16"/>
      <c r="U822" s="97">
        <f t="shared" si="220"/>
        <v>0</v>
      </c>
      <c r="V822" s="64"/>
      <c r="X822" s="305">
        <f t="shared" si="210"/>
        <v>0</v>
      </c>
    </row>
    <row r="823" spans="1:24" ht="15" x14ac:dyDescent="0.25">
      <c r="A823" s="45"/>
      <c r="B823" s="16">
        <f t="shared" si="216"/>
        <v>22</v>
      </c>
      <c r="C823" s="8"/>
      <c r="D823" s="24" t="s">
        <v>444</v>
      </c>
      <c r="E823" s="19"/>
      <c r="F823" s="21">
        <f>SUM(F817:F822)</f>
        <v>105706.43</v>
      </c>
      <c r="G823" s="19"/>
      <c r="H823" s="19"/>
      <c r="I823" s="19"/>
      <c r="J823" s="805">
        <f t="shared" ref="J823:Q823" si="221">SUM(J817:J822)</f>
        <v>54202.716813895284</v>
      </c>
      <c r="K823" s="805">
        <f t="shared" si="221"/>
        <v>1024.0338903881297</v>
      </c>
      <c r="L823" s="805">
        <f t="shared" si="221"/>
        <v>34814.633901767935</v>
      </c>
      <c r="M823" s="805">
        <f t="shared" si="221"/>
        <v>16.291184889764033</v>
      </c>
      <c r="N823" s="805">
        <f t="shared" si="221"/>
        <v>10240.428323752874</v>
      </c>
      <c r="O823" s="805">
        <f>SUM(O817:O822)</f>
        <v>4401.5376587448645</v>
      </c>
      <c r="P823" s="805">
        <f t="shared" si="221"/>
        <v>0</v>
      </c>
      <c r="Q823" s="805">
        <f t="shared" si="221"/>
        <v>309.6089462374668</v>
      </c>
      <c r="R823" s="805">
        <f>SUM(R817:R822)</f>
        <v>304.25147910649065</v>
      </c>
      <c r="S823" s="805">
        <f>SUM(S817:S822)</f>
        <v>392.92780121717624</v>
      </c>
      <c r="T823" s="912"/>
      <c r="U823" s="235">
        <f t="shared" si="220"/>
        <v>105706.42999999998</v>
      </c>
      <c r="V823" s="64"/>
      <c r="W823" s="1099" t="b">
        <f>' WP II-I-1.4'!$L$823=U823</f>
        <v>1</v>
      </c>
      <c r="X823" s="305">
        <f t="shared" si="210"/>
        <v>0</v>
      </c>
    </row>
    <row r="824" spans="1:24" x14ac:dyDescent="0.2">
      <c r="A824" s="45"/>
      <c r="B824" s="16">
        <f t="shared" si="216"/>
        <v>23</v>
      </c>
      <c r="C824" s="1"/>
      <c r="D824" s="1"/>
      <c r="E824" s="16"/>
      <c r="F824" s="18"/>
      <c r="G824" s="16"/>
      <c r="H824" s="16"/>
      <c r="I824" s="1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6"/>
      <c r="U824" s="1"/>
      <c r="V824" s="64"/>
      <c r="X824" s="305">
        <f t="shared" si="210"/>
        <v>0</v>
      </c>
    </row>
    <row r="825" spans="1:24" ht="15" x14ac:dyDescent="0.25">
      <c r="A825" s="45"/>
      <c r="B825" s="16">
        <f t="shared" si="216"/>
        <v>24</v>
      </c>
      <c r="C825" s="8"/>
      <c r="D825" s="24" t="s">
        <v>612</v>
      </c>
      <c r="E825" s="19"/>
      <c r="F825" s="21">
        <f>SUM(F818:F822)</f>
        <v>62286.76</v>
      </c>
      <c r="G825" s="19"/>
      <c r="H825" s="19"/>
      <c r="I825" s="19"/>
      <c r="J825" s="21">
        <f t="shared" ref="J825:Q825" si="222">SUM(J818:J822)</f>
        <v>31938.56431945588</v>
      </c>
      <c r="K825" s="21">
        <f t="shared" si="222"/>
        <v>603.40466670260025</v>
      </c>
      <c r="L825" s="21">
        <f t="shared" si="222"/>
        <v>20514.274735484709</v>
      </c>
      <c r="M825" s="21">
        <f t="shared" si="222"/>
        <v>9.5994645107621057</v>
      </c>
      <c r="N825" s="21">
        <f t="shared" si="222"/>
        <v>6034.0993570476039</v>
      </c>
      <c r="O825" s="21">
        <f>SUM(O818:O822)</f>
        <v>2593.5746745132087</v>
      </c>
      <c r="P825" s="21">
        <f t="shared" si="222"/>
        <v>0</v>
      </c>
      <c r="Q825" s="21">
        <f t="shared" si="222"/>
        <v>182.43486350022414</v>
      </c>
      <c r="R825" s="21">
        <f>SUM(R818:R822)</f>
        <v>179.2780142016999</v>
      </c>
      <c r="S825" s="21">
        <f>SUM(S818:S822)</f>
        <v>231.52990458330649</v>
      </c>
      <c r="T825" s="19"/>
      <c r="U825" s="235">
        <f>SUM(I825:T825)</f>
        <v>62286.759999999995</v>
      </c>
      <c r="V825" s="64"/>
      <c r="W825" s="1099" t="b">
        <f>' WP II-I-1.4'!$L$825=U825</f>
        <v>1</v>
      </c>
      <c r="X825" s="305">
        <f t="shared" si="210"/>
        <v>0</v>
      </c>
    </row>
    <row r="826" spans="1:24" ht="15" thickBot="1" x14ac:dyDescent="0.25">
      <c r="A826" s="45"/>
      <c r="B826" s="16">
        <f t="shared" si="216"/>
        <v>25</v>
      </c>
      <c r="C826" s="1"/>
      <c r="D826" s="1"/>
      <c r="E826" s="16"/>
      <c r="F826" s="18"/>
      <c r="G826" s="16"/>
      <c r="H826" s="16"/>
      <c r="I826" s="1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6"/>
      <c r="U826" s="1"/>
      <c r="V826" s="64"/>
      <c r="X826" s="305">
        <f t="shared" si="210"/>
        <v>0</v>
      </c>
    </row>
    <row r="827" spans="1:24" ht="15.75" thickBot="1" x14ac:dyDescent="0.3">
      <c r="A827" s="45"/>
      <c r="B827" s="16">
        <f>B824+1</f>
        <v>24</v>
      </c>
      <c r="C827" s="779" t="s">
        <v>613</v>
      </c>
      <c r="D827" s="915"/>
      <c r="E827" s="916"/>
      <c r="F827" s="917">
        <f>+F823+F812</f>
        <v>594090.28</v>
      </c>
      <c r="G827" s="916"/>
      <c r="H827" s="916"/>
      <c r="I827" s="919"/>
      <c r="J827" s="917">
        <f t="shared" ref="J827:Q827" si="223">+J823+J812</f>
        <v>304629.5973549363</v>
      </c>
      <c r="K827" s="917">
        <f t="shared" si="223"/>
        <v>5755.2656037118395</v>
      </c>
      <c r="L827" s="917">
        <f t="shared" si="223"/>
        <v>195664.87679887406</v>
      </c>
      <c r="M827" s="917">
        <f t="shared" si="223"/>
        <v>91.559563526000119</v>
      </c>
      <c r="N827" s="917">
        <f t="shared" si="223"/>
        <v>57553.158593836488</v>
      </c>
      <c r="O827" s="917">
        <f>+O823+O812</f>
        <v>24737.480398442</v>
      </c>
      <c r="P827" s="917">
        <f t="shared" si="223"/>
        <v>0</v>
      </c>
      <c r="Q827" s="917">
        <f t="shared" si="223"/>
        <v>1740.0612768846854</v>
      </c>
      <c r="R827" s="917">
        <f>+R823+R812</f>
        <v>1709.95129069054</v>
      </c>
      <c r="S827" s="917">
        <f>+S823+S812</f>
        <v>2208.3291190980208</v>
      </c>
      <c r="T827" s="919"/>
      <c r="U827" s="918">
        <f>SUM(I827:T827)</f>
        <v>594090.27999999991</v>
      </c>
      <c r="V827" s="64"/>
      <c r="W827" s="1099" t="b">
        <f>' WP II-I-1.4'!$L$827=U827</f>
        <v>1</v>
      </c>
      <c r="X827" s="305">
        <f t="shared" si="210"/>
        <v>0</v>
      </c>
    </row>
    <row r="828" spans="1:24" x14ac:dyDescent="0.2">
      <c r="A828" s="45"/>
      <c r="B828" s="16"/>
      <c r="C828" s="1"/>
      <c r="D828" s="1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"/>
      <c r="V828" s="64"/>
      <c r="X828" s="305">
        <f t="shared" si="210"/>
        <v>0</v>
      </c>
    </row>
    <row r="829" spans="1:24" x14ac:dyDescent="0.2">
      <c r="A829" s="45"/>
      <c r="B829" s="16"/>
      <c r="C829" s="1"/>
      <c r="D829" s="1"/>
      <c r="E829" s="16"/>
      <c r="F829" s="18"/>
      <c r="G829" s="16"/>
      <c r="H829" s="105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05"/>
      <c r="V829" s="105"/>
      <c r="X829" s="305"/>
    </row>
    <row r="830" spans="1:24" ht="15" thickBot="1" x14ac:dyDescent="0.25">
      <c r="A830" s="45"/>
      <c r="B830" s="16"/>
      <c r="C830" s="1"/>
      <c r="D830" s="1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"/>
      <c r="V830" s="64"/>
      <c r="X830" s="305">
        <f t="shared" ref="X830:X892" si="224">U830-F830</f>
        <v>0</v>
      </c>
    </row>
    <row r="831" spans="1:24" ht="15" x14ac:dyDescent="0.25">
      <c r="A831" s="45"/>
      <c r="B831" s="829" t="str">
        <f>+$B$4</f>
        <v>2025 RATE CASE</v>
      </c>
      <c r="C831" s="844"/>
      <c r="D831" s="547"/>
      <c r="F831" s="11"/>
      <c r="U831" s="105"/>
      <c r="X831" s="305">
        <f t="shared" si="224"/>
        <v>0</v>
      </c>
    </row>
    <row r="832" spans="1:24" ht="15" x14ac:dyDescent="0.25">
      <c r="A832" s="45"/>
      <c r="B832" s="826" t="str">
        <f>+$B$5</f>
        <v>ONCOR ELECTRIC DELIVERY COMPANY LLC</v>
      </c>
      <c r="C832" s="8"/>
      <c r="D832" s="548"/>
      <c r="F832" s="11"/>
      <c r="U832" s="105"/>
      <c r="V832" s="64"/>
      <c r="X832" s="305">
        <f t="shared" si="224"/>
        <v>0</v>
      </c>
    </row>
    <row r="833" spans="1:24" ht="15" x14ac:dyDescent="0.25">
      <c r="A833" s="45"/>
      <c r="B833" s="826" t="str">
        <f>+$B$6</f>
        <v>II-I-1-TOT:  CLASS REVENUE REQUIREMENT</v>
      </c>
      <c r="C833" s="82"/>
      <c r="D833" s="548"/>
      <c r="F833" s="11"/>
      <c r="U833" s="11"/>
      <c r="V833" s="64"/>
      <c r="X833" s="305">
        <f t="shared" si="224"/>
        <v>0</v>
      </c>
    </row>
    <row r="834" spans="1:24" ht="15" x14ac:dyDescent="0.25">
      <c r="A834" s="45"/>
      <c r="B834" s="341" t="str">
        <f>+$B$7</f>
        <v>TEST YEAR ENDING 12/31/2024</v>
      </c>
      <c r="C834" s="82"/>
      <c r="D834" s="548"/>
      <c r="F834" s="11"/>
      <c r="U834" s="11"/>
      <c r="V834" s="64"/>
      <c r="X834" s="305">
        <f t="shared" si="224"/>
        <v>0</v>
      </c>
    </row>
    <row r="835" spans="1:24" ht="15" x14ac:dyDescent="0.25">
      <c r="A835" s="45"/>
      <c r="B835" s="341" t="str">
        <f>+$B$8</f>
        <v>SPONSOR:  MATTHEW A. TROXLE</v>
      </c>
      <c r="C835" s="82"/>
      <c r="D835" s="548"/>
      <c r="F835" s="11"/>
      <c r="U835" s="11"/>
      <c r="V835" s="64"/>
      <c r="X835" s="305">
        <f t="shared" si="224"/>
        <v>0</v>
      </c>
    </row>
    <row r="836" spans="1:24" ht="15.75" thickBot="1" x14ac:dyDescent="0.3">
      <c r="A836" s="45"/>
      <c r="B836" s="345"/>
      <c r="C836" s="843"/>
      <c r="D836" s="549"/>
      <c r="F836" s="11"/>
      <c r="U836" s="11"/>
      <c r="V836" s="64"/>
      <c r="X836" s="305">
        <f t="shared" si="224"/>
        <v>0</v>
      </c>
    </row>
    <row r="837" spans="1:24" ht="15" thickBot="1" x14ac:dyDescent="0.25">
      <c r="A837" s="45"/>
      <c r="B837" s="12"/>
      <c r="C837" s="13"/>
      <c r="D837" s="13"/>
      <c r="E837" s="13"/>
      <c r="F837" s="12"/>
      <c r="G837" s="13"/>
      <c r="H837" s="13"/>
      <c r="I837" s="13"/>
      <c r="J837" s="177"/>
      <c r="K837" s="177"/>
      <c r="L837" s="13"/>
      <c r="M837" s="177"/>
      <c r="N837" s="177"/>
      <c r="O837" s="177"/>
      <c r="P837" s="177"/>
      <c r="Q837" s="13"/>
      <c r="R837" s="328" t="str">
        <f>R$10</f>
        <v xml:space="preserve"> </v>
      </c>
      <c r="S837" s="329"/>
      <c r="T837" s="177"/>
      <c r="U837" s="12"/>
      <c r="V837" s="64"/>
      <c r="X837" s="305">
        <f t="shared" si="224"/>
        <v>0</v>
      </c>
    </row>
    <row r="838" spans="1:24" ht="15" x14ac:dyDescent="0.25">
      <c r="A838" s="45"/>
      <c r="B838" s="14" t="s">
        <v>2</v>
      </c>
      <c r="C838" s="14" t="s">
        <v>349</v>
      </c>
      <c r="D838" s="226" t="s">
        <v>614</v>
      </c>
      <c r="E838" s="14" t="s">
        <v>350</v>
      </c>
      <c r="F838" s="226" t="str">
        <f>F$11</f>
        <v>TOTAL</v>
      </c>
      <c r="G838" s="181" t="s">
        <v>688</v>
      </c>
      <c r="H838" s="181" t="s">
        <v>355</v>
      </c>
      <c r="I838" s="14"/>
      <c r="J838" s="181" t="s">
        <v>679</v>
      </c>
      <c r="K838" s="181" t="s">
        <v>388</v>
      </c>
      <c r="L838" s="14" t="s">
        <v>388</v>
      </c>
      <c r="M838" s="181" t="s">
        <v>389</v>
      </c>
      <c r="N838" s="181" t="s">
        <v>389</v>
      </c>
      <c r="O838" s="181" t="s">
        <v>389</v>
      </c>
      <c r="P838" s="181" t="s">
        <v>390</v>
      </c>
      <c r="Q838" s="14" t="s">
        <v>391</v>
      </c>
      <c r="R838" s="331" t="str">
        <f>R$11</f>
        <v>Wholesale</v>
      </c>
      <c r="S838" s="12" t="str">
        <f>S$11</f>
        <v>Wholesale</v>
      </c>
      <c r="T838" s="181"/>
      <c r="U838" s="14" t="s">
        <v>10</v>
      </c>
      <c r="V838" s="64"/>
      <c r="X838" s="305"/>
    </row>
    <row r="839" spans="1:24" x14ac:dyDescent="0.2">
      <c r="A839" s="45"/>
      <c r="B839" s="14"/>
      <c r="C839" s="14"/>
      <c r="D839" s="14"/>
      <c r="E839" s="14"/>
      <c r="F839" s="14" t="str">
        <f>F$12</f>
        <v>(Dist+Met+Cust)</v>
      </c>
      <c r="G839" s="181" t="s">
        <v>689</v>
      </c>
      <c r="H839" s="181" t="s">
        <v>690</v>
      </c>
      <c r="I839" s="14"/>
      <c r="J839" s="181"/>
      <c r="K839" s="181" t="s">
        <v>680</v>
      </c>
      <c r="L839" s="14" t="s">
        <v>681</v>
      </c>
      <c r="M839" s="181" t="s">
        <v>680</v>
      </c>
      <c r="N839" s="181" t="s">
        <v>681</v>
      </c>
      <c r="O839" s="181" t="s">
        <v>393</v>
      </c>
      <c r="P839" s="181"/>
      <c r="Q839" s="14"/>
      <c r="R839" s="174" t="str">
        <f>R$12</f>
        <v>XFMR</v>
      </c>
      <c r="S839" s="14" t="str">
        <f>S$12</f>
        <v>DLS</v>
      </c>
      <c r="T839" s="181"/>
      <c r="U839" s="14"/>
      <c r="V839" s="64"/>
      <c r="X839" s="305"/>
    </row>
    <row r="840" spans="1:24" ht="15" thickBot="1" x14ac:dyDescent="0.25">
      <c r="A840" s="45"/>
      <c r="B840" s="15"/>
      <c r="C840" s="15"/>
      <c r="D840" s="15"/>
      <c r="E840" s="15"/>
      <c r="F840" s="15" t="s">
        <v>13</v>
      </c>
      <c r="G840" s="15" t="s">
        <v>14</v>
      </c>
      <c r="H840" s="15" t="s">
        <v>15</v>
      </c>
      <c r="I840" s="15"/>
      <c r="J840" s="182" t="str">
        <f t="shared" ref="J840:Q840" si="225">J$13</f>
        <v>(d)</v>
      </c>
      <c r="K840" s="182" t="str">
        <f t="shared" si="225"/>
        <v>(e)</v>
      </c>
      <c r="L840" s="15" t="str">
        <f t="shared" si="225"/>
        <v>(f)</v>
      </c>
      <c r="M840" s="182" t="str">
        <f t="shared" si="225"/>
        <v>(g)</v>
      </c>
      <c r="N840" s="182" t="str">
        <f t="shared" si="225"/>
        <v>(h)</v>
      </c>
      <c r="O840" s="182" t="str">
        <f>O$13</f>
        <v>(i)</v>
      </c>
      <c r="P840" s="182" t="str">
        <f t="shared" si="225"/>
        <v>(j)</v>
      </c>
      <c r="Q840" s="182" t="str">
        <f t="shared" si="225"/>
        <v>(k)</v>
      </c>
      <c r="R840" s="182" t="str">
        <f>R$13</f>
        <v>(l)</v>
      </c>
      <c r="S840" s="15" t="str">
        <f>S$13</f>
        <v>(m)</v>
      </c>
      <c r="T840" s="15"/>
      <c r="U840" s="15" t="s">
        <v>683</v>
      </c>
      <c r="V840" s="64"/>
      <c r="X840" s="305"/>
    </row>
    <row r="841" spans="1:24" x14ac:dyDescent="0.2">
      <c r="A841" s="45"/>
      <c r="B841" s="64"/>
      <c r="C841" s="96"/>
      <c r="D841" s="96"/>
      <c r="E841" s="251"/>
      <c r="F841" s="308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1"/>
      <c r="V841" s="64"/>
      <c r="X841" s="305">
        <f t="shared" si="224"/>
        <v>0</v>
      </c>
    </row>
    <row r="842" spans="1:24" ht="15" x14ac:dyDescent="0.25">
      <c r="A842" s="45"/>
      <c r="B842" s="16">
        <f>B828+1</f>
        <v>1</v>
      </c>
      <c r="C842" s="8" t="s">
        <v>614</v>
      </c>
      <c r="D842" s="8"/>
      <c r="E842" s="19"/>
      <c r="F842" s="21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8"/>
      <c r="V842" s="64"/>
      <c r="X842" s="305">
        <f t="shared" si="224"/>
        <v>0</v>
      </c>
    </row>
    <row r="843" spans="1:24" ht="15" x14ac:dyDescent="0.25">
      <c r="A843" s="45"/>
      <c r="B843" s="16">
        <f t="shared" ref="B843:B874" si="226">B842+1</f>
        <v>2</v>
      </c>
      <c r="C843" s="8"/>
      <c r="D843" s="301" t="s">
        <v>609</v>
      </c>
      <c r="E843" s="19" t="s">
        <v>262</v>
      </c>
      <c r="F843" s="21"/>
      <c r="G843" s="19"/>
      <c r="H843" s="19"/>
      <c r="I843" s="19"/>
      <c r="J843" s="961"/>
      <c r="K843" s="961"/>
      <c r="L843" s="961"/>
      <c r="M843" s="961"/>
      <c r="N843" s="961"/>
      <c r="O843" s="961"/>
      <c r="P843" s="961"/>
      <c r="Q843" s="961"/>
      <c r="R843" s="961"/>
      <c r="S843" s="961"/>
      <c r="T843" s="19"/>
      <c r="U843" s="8"/>
      <c r="V843" s="64"/>
      <c r="X843" s="305">
        <f t="shared" si="224"/>
        <v>0</v>
      </c>
    </row>
    <row r="844" spans="1:24" x14ac:dyDescent="0.2">
      <c r="A844" s="45"/>
      <c r="B844" s="16">
        <f t="shared" si="226"/>
        <v>3</v>
      </c>
      <c r="C844" s="1" t="s">
        <v>175</v>
      </c>
      <c r="D844" s="1" t="s">
        <v>176</v>
      </c>
      <c r="E844" s="16"/>
      <c r="F844" s="229">
        <f>' WP II-I-1.4'!L844</f>
        <v>12872276.280000001</v>
      </c>
      <c r="G844" s="16" t="s">
        <v>751</v>
      </c>
      <c r="H844" s="45" t="s">
        <v>303</v>
      </c>
      <c r="I844" s="16"/>
      <c r="J844" s="369">
        <f>'II-I-DIST'!J844+'II-I-MET'!J844+'II-I-TBILLTDCS'!J844</f>
        <v>6600472.1373625202</v>
      </c>
      <c r="K844" s="369">
        <f>'II-I-DIST'!K844+'II-I-MET'!K844+'II-I-TBILLTDCS'!K844</f>
        <v>124700.52348905591</v>
      </c>
      <c r="L844" s="369">
        <f>'II-I-DIST'!L844+'II-I-MET'!L844+'II-I-TBILLTDCS'!L844</f>
        <v>4239511.1269069556</v>
      </c>
      <c r="M844" s="369">
        <f>'II-I-DIST'!M844+'II-I-MET'!M844+'II-I-TBILLTDCS'!M844</f>
        <v>1983.8398934634722</v>
      </c>
      <c r="N844" s="369">
        <f>'II-I-DIST'!N844+'II-I-MET'!N844+'II-I-TBILLTDCS'!N844</f>
        <v>1247016.123890328</v>
      </c>
      <c r="O844" s="369">
        <f>'II-I-DIST'!O844+'II-I-MET'!O844+'II-I-TBILLTDCS'!O844</f>
        <v>535992.07541289832</v>
      </c>
      <c r="P844" s="369">
        <f>'II-I-DIST'!P844+'II-I-MET'!P844+'II-I-TBILLTDCS'!P844</f>
        <v>0</v>
      </c>
      <c r="Q844" s="369">
        <f>'II-I-DIST'!Q844+'II-I-MET'!Q844+'II-I-TBILLTDCS'!Q844</f>
        <v>37702.265554974656</v>
      </c>
      <c r="R844" s="369">
        <f>'II-I-DIST'!R844+'II-I-MET'!R844+'II-I-TBILLTDCS'!R844</f>
        <v>37049.866291552891</v>
      </c>
      <c r="S844" s="369">
        <f>'II-I-DIST'!S844+'II-I-MET'!S844+'II-I-TBILLTDCS'!S844</f>
        <v>47848.321198250793</v>
      </c>
      <c r="T844" s="16"/>
      <c r="U844" s="97">
        <f t="shared" ref="U844:U853" si="227">SUM(I844:T844)</f>
        <v>12872276.279999999</v>
      </c>
      <c r="V844" s="64"/>
      <c r="X844" s="305">
        <f t="shared" si="224"/>
        <v>0</v>
      </c>
    </row>
    <row r="845" spans="1:24" x14ac:dyDescent="0.2">
      <c r="A845" s="45"/>
      <c r="B845" s="16">
        <f t="shared" si="226"/>
        <v>4</v>
      </c>
      <c r="C845" s="1" t="s">
        <v>177</v>
      </c>
      <c r="D845" s="1" t="s">
        <v>149</v>
      </c>
      <c r="E845" s="16"/>
      <c r="F845" s="97">
        <f>' WP II-I-1.4'!L845</f>
        <v>3113325.23</v>
      </c>
      <c r="G845" s="16" t="s">
        <v>751</v>
      </c>
      <c r="H845" s="45" t="s">
        <v>303</v>
      </c>
      <c r="I845" s="16"/>
      <c r="J845" s="369">
        <f>'II-I-DIST'!J845+'II-I-MET'!J845+'II-I-TBILLTDCS'!J845</f>
        <v>1596408.9014381194</v>
      </c>
      <c r="K845" s="369">
        <f>'II-I-DIST'!K845+'II-I-MET'!K845+'II-I-TBILLTDCS'!K845</f>
        <v>30160.422098451527</v>
      </c>
      <c r="L845" s="369">
        <f>'II-I-DIST'!L845+'II-I-MET'!L845+'II-I-TBILLTDCS'!L845</f>
        <v>1025380.1788556047</v>
      </c>
      <c r="M845" s="369">
        <f>'II-I-DIST'!M845+'II-I-MET'!M845+'II-I-TBILLTDCS'!M845</f>
        <v>479.81714020516199</v>
      </c>
      <c r="N845" s="369">
        <f>'II-I-DIST'!N845+'II-I-MET'!N845+'II-I-TBILLTDCS'!N845</f>
        <v>301606.85462886631</v>
      </c>
      <c r="O845" s="369">
        <f>'II-I-DIST'!O845+'II-I-MET'!O845+'II-I-TBILLTDCS'!O845</f>
        <v>129636.56273100435</v>
      </c>
      <c r="P845" s="369">
        <f>'II-I-DIST'!P845+'II-I-MET'!P845+'II-I-TBILLTDCS'!P845</f>
        <v>0</v>
      </c>
      <c r="Q845" s="369">
        <f>'II-I-DIST'!Q845+'II-I-MET'!Q845+'II-I-TBILLTDCS'!Q845</f>
        <v>9118.7768213799209</v>
      </c>
      <c r="R845" s="369">
        <f>'II-I-DIST'!R845+'II-I-MET'!R845+'II-I-TBILLTDCS'!R845</f>
        <v>8960.985686178743</v>
      </c>
      <c r="S845" s="369">
        <f>'II-I-DIST'!S845+'II-I-MET'!S845+'II-I-TBILLTDCS'!S845</f>
        <v>11572.730600190165</v>
      </c>
      <c r="T845" s="16"/>
      <c r="U845" s="97">
        <f t="shared" si="227"/>
        <v>3113325.2300000004</v>
      </c>
      <c r="V845" s="64"/>
      <c r="X845" s="305">
        <f t="shared" si="224"/>
        <v>0</v>
      </c>
    </row>
    <row r="846" spans="1:24" x14ac:dyDescent="0.2">
      <c r="A846" s="45"/>
      <c r="B846" s="16">
        <f t="shared" si="226"/>
        <v>5</v>
      </c>
      <c r="C846" s="1" t="s">
        <v>178</v>
      </c>
      <c r="D846" s="1" t="s">
        <v>151</v>
      </c>
      <c r="E846" s="16"/>
      <c r="F846" s="97">
        <f>' WP II-I-1.4'!L846</f>
        <v>4023091.5499999519</v>
      </c>
      <c r="G846" s="16" t="s">
        <v>751</v>
      </c>
      <c r="H846" s="45" t="s">
        <v>303</v>
      </c>
      <c r="I846" s="16"/>
      <c r="J846" s="369">
        <f>'II-I-DIST'!J846+'II-I-MET'!J846+'II-I-TBILLTDCS'!J846</f>
        <v>2191006.1314708861</v>
      </c>
      <c r="K846" s="369">
        <f>'II-I-DIST'!K846+'II-I-MET'!K846+'II-I-TBILLTDCS'!K846</f>
        <v>42165.835375081348</v>
      </c>
      <c r="L846" s="369">
        <f>'II-I-DIST'!L846+'II-I-MET'!L846+'II-I-TBILLTDCS'!L846</f>
        <v>1406716.3472242027</v>
      </c>
      <c r="M846" s="369">
        <f>'II-I-DIST'!M846+'II-I-MET'!M846+'II-I-TBILLTDCS'!M846</f>
        <v>712.66665126469593</v>
      </c>
      <c r="N846" s="369">
        <f>'II-I-DIST'!N846+'II-I-MET'!N846+'II-I-TBILLTDCS'!N846</f>
        <v>356249.74122018297</v>
      </c>
      <c r="O846" s="369">
        <f>'II-I-DIST'!O846+'II-I-MET'!O846+'II-I-TBILLTDCS'!O846</f>
        <v>37.327016732434757</v>
      </c>
      <c r="P846" s="369">
        <f>'II-I-DIST'!P846+'II-I-MET'!P846+'II-I-TBILLTDCS'!P846</f>
        <v>77.860034902011165</v>
      </c>
      <c r="Q846" s="369">
        <f>'II-I-DIST'!Q846+'II-I-MET'!Q846+'II-I-TBILLTDCS'!Q846</f>
        <v>12485.312695538698</v>
      </c>
      <c r="R846" s="369">
        <f>'II-I-DIST'!R846+'II-I-MET'!R846+'II-I-TBILLTDCS'!R846</f>
        <v>4.1220018477535332</v>
      </c>
      <c r="S846" s="369">
        <f>'II-I-DIST'!S846+'II-I-MET'!S846+'II-I-TBILLTDCS'!S846</f>
        <v>13636.206309313422</v>
      </c>
      <c r="T846" s="16"/>
      <c r="U846" s="97">
        <f t="shared" si="227"/>
        <v>4023091.5499999519</v>
      </c>
      <c r="V846" s="64"/>
      <c r="X846" s="305">
        <f t="shared" si="224"/>
        <v>0</v>
      </c>
    </row>
    <row r="847" spans="1:24" x14ac:dyDescent="0.2">
      <c r="A847" s="45"/>
      <c r="B847" s="16">
        <f t="shared" si="226"/>
        <v>6</v>
      </c>
      <c r="C847" s="1" t="s">
        <v>179</v>
      </c>
      <c r="D847" s="1" t="s">
        <v>153</v>
      </c>
      <c r="E847" s="16"/>
      <c r="F847" s="97">
        <f>' WP II-I-1.4'!L847</f>
        <v>4523584.7799999909</v>
      </c>
      <c r="G847" s="16" t="s">
        <v>751</v>
      </c>
      <c r="H847" s="45" t="s">
        <v>303</v>
      </c>
      <c r="I847" s="16"/>
      <c r="J847" s="369">
        <f>'II-I-DIST'!J847+'II-I-MET'!J847+'II-I-TBILLTDCS'!J847</f>
        <v>2484899.6653386867</v>
      </c>
      <c r="K847" s="369">
        <f>'II-I-DIST'!K847+'II-I-MET'!K847+'II-I-TBILLTDCS'!K847</f>
        <v>48021.612048523122</v>
      </c>
      <c r="L847" s="369">
        <f>'II-I-DIST'!L847+'II-I-MET'!L847+'II-I-TBILLTDCS'!L847</f>
        <v>1595258.9860742514</v>
      </c>
      <c r="M847" s="369">
        <f>'II-I-DIST'!M847+'II-I-MET'!M847+'II-I-TBILLTDCS'!M847</f>
        <v>785.98697786212801</v>
      </c>
      <c r="N847" s="369">
        <f>'II-I-DIST'!N847+'II-I-MET'!N847+'II-I-TBILLTDCS'!N847</f>
        <v>366291.53874325036</v>
      </c>
      <c r="O847" s="369">
        <f>'II-I-DIST'!O847+'II-I-MET'!O847+'II-I-TBILLTDCS'!O847</f>
        <v>51.996189453045737</v>
      </c>
      <c r="P847" s="369">
        <f>'II-I-DIST'!P847+'II-I-MET'!P847+'II-I-TBILLTDCS'!P847</f>
        <v>108.45830928856168</v>
      </c>
      <c r="Q847" s="369">
        <f>'II-I-DIST'!Q847+'II-I-MET'!Q847+'II-I-TBILLTDCS'!Q847</f>
        <v>14152.323423405003</v>
      </c>
      <c r="R847" s="369">
        <f>'II-I-DIST'!R847+'II-I-MET'!R847+'II-I-TBILLTDCS'!R847</f>
        <v>5.741910491747384</v>
      </c>
      <c r="S847" s="369">
        <f>'II-I-DIST'!S847+'II-I-MET'!S847+'II-I-TBILLTDCS'!S847</f>
        <v>14008.470984779426</v>
      </c>
      <c r="T847" s="16"/>
      <c r="U847" s="97">
        <f t="shared" si="227"/>
        <v>4523584.7799999909</v>
      </c>
      <c r="V847" s="64"/>
      <c r="X847" s="305">
        <f t="shared" si="224"/>
        <v>0</v>
      </c>
    </row>
    <row r="848" spans="1:24" x14ac:dyDescent="0.2">
      <c r="A848" s="45"/>
      <c r="B848" s="16">
        <f t="shared" si="226"/>
        <v>7</v>
      </c>
      <c r="C848" s="1" t="s">
        <v>180</v>
      </c>
      <c r="D848" s="1" t="s">
        <v>181</v>
      </c>
      <c r="E848" s="16"/>
      <c r="F848" s="97">
        <f>' WP II-I-1.4'!L848</f>
        <v>0</v>
      </c>
      <c r="G848" s="16" t="s">
        <v>751</v>
      </c>
      <c r="H848" s="45" t="s">
        <v>303</v>
      </c>
      <c r="I848" s="16"/>
      <c r="J848" s="369">
        <f>'II-I-DIST'!J848+'II-I-MET'!J848+'II-I-TBILLTDCS'!J848</f>
        <v>0</v>
      </c>
      <c r="K848" s="369">
        <f>'II-I-DIST'!K848+'II-I-MET'!K848+'II-I-TBILLTDCS'!K848</f>
        <v>0</v>
      </c>
      <c r="L848" s="369">
        <f>'II-I-DIST'!L848+'II-I-MET'!L848+'II-I-TBILLTDCS'!L848</f>
        <v>0</v>
      </c>
      <c r="M848" s="369">
        <f>'II-I-DIST'!M848+'II-I-MET'!M848+'II-I-TBILLTDCS'!M848</f>
        <v>0</v>
      </c>
      <c r="N848" s="369">
        <f>'II-I-DIST'!N848+'II-I-MET'!N848+'II-I-TBILLTDCS'!N848</f>
        <v>0</v>
      </c>
      <c r="O848" s="369">
        <f>'II-I-DIST'!O848+'II-I-MET'!O848+'II-I-TBILLTDCS'!O848</f>
        <v>0</v>
      </c>
      <c r="P848" s="369">
        <f>'II-I-DIST'!P848+'II-I-MET'!P848+'II-I-TBILLTDCS'!P848</f>
        <v>0</v>
      </c>
      <c r="Q848" s="369">
        <f>'II-I-DIST'!Q848+'II-I-MET'!Q848+'II-I-TBILLTDCS'!Q848</f>
        <v>0</v>
      </c>
      <c r="R848" s="369">
        <f>'II-I-DIST'!R848+'II-I-MET'!R848+'II-I-TBILLTDCS'!R848</f>
        <v>0</v>
      </c>
      <c r="S848" s="369">
        <f>'II-I-DIST'!S848+'II-I-MET'!S848+'II-I-TBILLTDCS'!S848</f>
        <v>0</v>
      </c>
      <c r="T848" s="16"/>
      <c r="U848" s="97">
        <f t="shared" si="227"/>
        <v>0</v>
      </c>
      <c r="V848" s="64"/>
      <c r="X848" s="305">
        <f t="shared" si="224"/>
        <v>0</v>
      </c>
    </row>
    <row r="849" spans="1:24" x14ac:dyDescent="0.2">
      <c r="A849" s="45"/>
      <c r="B849" s="16">
        <f t="shared" si="226"/>
        <v>8</v>
      </c>
      <c r="C849" s="1" t="s">
        <v>182</v>
      </c>
      <c r="D849" s="1" t="s">
        <v>183</v>
      </c>
      <c r="E849" s="16"/>
      <c r="F849" s="97">
        <f>' WP II-I-1.4'!L849</f>
        <v>12456801.770000009</v>
      </c>
      <c r="G849" s="16" t="s">
        <v>751</v>
      </c>
      <c r="H849" s="45" t="s">
        <v>303</v>
      </c>
      <c r="I849" s="16"/>
      <c r="J849" s="369">
        <f>'II-I-DIST'!J849+'II-I-MET'!J849+'II-I-TBILLTDCS'!J849</f>
        <v>6502992.0646475451</v>
      </c>
      <c r="K849" s="369">
        <f>'II-I-DIST'!K849+'II-I-MET'!K849+'II-I-TBILLTDCS'!K849</f>
        <v>912272.75924387667</v>
      </c>
      <c r="L849" s="369">
        <f>'II-I-DIST'!L849+'II-I-MET'!L849+'II-I-TBILLTDCS'!L849</f>
        <v>3587672.6305890633</v>
      </c>
      <c r="M849" s="369">
        <f>'II-I-DIST'!M849+'II-I-MET'!M849+'II-I-TBILLTDCS'!M849</f>
        <v>151084.26319044436</v>
      </c>
      <c r="N849" s="369">
        <f>'II-I-DIST'!N849+'II-I-MET'!N849+'II-I-TBILLTDCS'!N849</f>
        <v>1163428.58388014</v>
      </c>
      <c r="O849" s="369">
        <f>'II-I-DIST'!O849+'II-I-MET'!O849+'II-I-TBILLTDCS'!O849</f>
        <v>38174.649542283209</v>
      </c>
      <c r="P849" s="369">
        <f>'II-I-DIST'!P849+'II-I-MET'!P849+'II-I-TBILLTDCS'!P849</f>
        <v>79628.103339731868</v>
      </c>
      <c r="Q849" s="369">
        <f>'II-I-DIST'!Q849+'II-I-MET'!Q849+'II-I-TBILLTDCS'!Q849</f>
        <v>6631.1946614735662</v>
      </c>
      <c r="R849" s="369">
        <f>'II-I-DIST'!R849+'II-I-MET'!R849+'II-I-TBILLTDCS'!R849</f>
        <v>4215.605470926982</v>
      </c>
      <c r="S849" s="369">
        <f>'II-I-DIST'!S849+'II-I-MET'!S849+'II-I-TBILLTDCS'!S849</f>
        <v>10701.91543452175</v>
      </c>
      <c r="T849" s="16"/>
      <c r="U849" s="97">
        <f t="shared" si="227"/>
        <v>12456801.770000007</v>
      </c>
      <c r="V849" s="64"/>
      <c r="X849" s="305">
        <f t="shared" si="224"/>
        <v>0</v>
      </c>
    </row>
    <row r="850" spans="1:24" x14ac:dyDescent="0.2">
      <c r="A850" s="45"/>
      <c r="B850" s="16">
        <f t="shared" si="226"/>
        <v>9</v>
      </c>
      <c r="C850" s="1" t="s">
        <v>184</v>
      </c>
      <c r="D850" s="1" t="s">
        <v>185</v>
      </c>
      <c r="E850" s="16"/>
      <c r="F850" s="97">
        <f>' WP II-I-1.4'!L850</f>
        <v>2034184.280000001</v>
      </c>
      <c r="G850" s="16" t="s">
        <v>751</v>
      </c>
      <c r="H850" s="45" t="s">
        <v>303</v>
      </c>
      <c r="I850" s="16"/>
      <c r="J850" s="369">
        <f>'II-I-DIST'!J850+'II-I-MET'!J850+'II-I-TBILLTDCS'!J850</f>
        <v>1063205.859018778</v>
      </c>
      <c r="K850" s="369">
        <f>'II-I-DIST'!K850+'II-I-MET'!K850+'II-I-TBILLTDCS'!K850</f>
        <v>149151.91853365517</v>
      </c>
      <c r="L850" s="369">
        <f>'II-I-DIST'!L850+'II-I-MET'!L850+'II-I-TBILLTDCS'!L850</f>
        <v>586566.07960820908</v>
      </c>
      <c r="M850" s="369">
        <f>'II-I-DIST'!M850+'II-I-MET'!M850+'II-I-TBILLTDCS'!M850</f>
        <v>24701.502359640621</v>
      </c>
      <c r="N850" s="369">
        <f>'II-I-DIST'!N850+'II-I-MET'!N850+'II-I-TBILLTDCS'!N850</f>
        <v>190214.6080810767</v>
      </c>
      <c r="O850" s="369">
        <f>'II-I-DIST'!O850+'II-I-MET'!O850+'II-I-TBILLTDCS'!O850</f>
        <v>6241.3594628219525</v>
      </c>
      <c r="P850" s="369">
        <f>'II-I-DIST'!P850+'II-I-MET'!P850+'II-I-TBILLTDCS'!P850</f>
        <v>13018.786609567267</v>
      </c>
      <c r="Q850" s="369">
        <f>'II-I-DIST'!Q850+'II-I-MET'!Q850+'II-I-TBILLTDCS'!Q850</f>
        <v>1084.1663262516772</v>
      </c>
      <c r="R850" s="369">
        <f>'II-I-DIST'!R850+'II-I-MET'!R850+'II-I-TBILLTDCS'!R850</f>
        <v>0</v>
      </c>
      <c r="S850" s="369">
        <f>'II-I-DIST'!S850+'II-I-MET'!S850+'II-I-TBILLTDCS'!S850</f>
        <v>0</v>
      </c>
      <c r="T850" s="16"/>
      <c r="U850" s="97">
        <f t="shared" si="227"/>
        <v>2034184.2800000003</v>
      </c>
      <c r="V850" s="64"/>
      <c r="X850" s="305">
        <f t="shared" si="224"/>
        <v>0</v>
      </c>
    </row>
    <row r="851" spans="1:24" x14ac:dyDescent="0.2">
      <c r="A851" s="45"/>
      <c r="B851" s="16">
        <f t="shared" si="226"/>
        <v>10</v>
      </c>
      <c r="C851" s="1" t="s">
        <v>186</v>
      </c>
      <c r="D851" s="1" t="s">
        <v>187</v>
      </c>
      <c r="E851" s="16"/>
      <c r="F851" s="97">
        <f>' WP II-I-1.4'!L851</f>
        <v>59354146.57000003</v>
      </c>
      <c r="G851" s="16" t="s">
        <v>751</v>
      </c>
      <c r="H851" s="45" t="s">
        <v>303</v>
      </c>
      <c r="I851" s="16"/>
      <c r="J851" s="369">
        <f>'II-I-DIST'!J851+'II-I-MET'!J851+'II-I-TBILLTDCS'!J851</f>
        <v>31632465.999184947</v>
      </c>
      <c r="K851" s="369">
        <f>'II-I-DIST'!K851+'II-I-MET'!K851+'II-I-TBILLTDCS'!K851</f>
        <v>792441.90258556418</v>
      </c>
      <c r="L851" s="369">
        <f>'II-I-DIST'!L851+'II-I-MET'!L851+'II-I-TBILLTDCS'!L851</f>
        <v>20172250.657661647</v>
      </c>
      <c r="M851" s="369">
        <f>'II-I-DIST'!M851+'II-I-MET'!M851+'II-I-TBILLTDCS'!M851</f>
        <v>45347.7590189982</v>
      </c>
      <c r="N851" s="369">
        <f>'II-I-DIST'!N851+'II-I-MET'!N851+'II-I-TBILLTDCS'!N851</f>
        <v>5354492.0449767821</v>
      </c>
      <c r="O851" s="369">
        <f>'II-I-DIST'!O851+'II-I-MET'!O851+'II-I-TBILLTDCS'!O851</f>
        <v>854790.00932693749</v>
      </c>
      <c r="P851" s="369">
        <f>'II-I-DIST'!P851+'II-I-MET'!P851+'II-I-TBILLTDCS'!P851</f>
        <v>19651.499774316017</v>
      </c>
      <c r="Q851" s="369">
        <f>'II-I-DIST'!Q851+'II-I-MET'!Q851+'II-I-TBILLTDCS'!Q851</f>
        <v>229733.15587711136</v>
      </c>
      <c r="R851" s="369">
        <f>'II-I-DIST'!R851+'II-I-MET'!R851+'II-I-TBILLTDCS'!R851</f>
        <v>58464.06488534181</v>
      </c>
      <c r="S851" s="369">
        <f>'II-I-DIST'!S851+'II-I-MET'!S851+'II-I-TBILLTDCS'!S851</f>
        <v>194509.47670837786</v>
      </c>
      <c r="T851" s="16"/>
      <c r="U851" s="97">
        <f t="shared" si="227"/>
        <v>59354146.570000015</v>
      </c>
      <c r="V851" s="64"/>
      <c r="X851" s="305">
        <f t="shared" si="224"/>
        <v>0</v>
      </c>
    </row>
    <row r="852" spans="1:24" x14ac:dyDescent="0.2">
      <c r="A852" s="45"/>
      <c r="B852" s="16">
        <f t="shared" si="226"/>
        <v>11</v>
      </c>
      <c r="C852" s="1" t="s">
        <v>188</v>
      </c>
      <c r="D852" s="1" t="s">
        <v>189</v>
      </c>
      <c r="E852" s="16"/>
      <c r="F852" s="97">
        <f>' WP II-I-1.4'!L852</f>
        <v>0</v>
      </c>
      <c r="G852" s="16" t="s">
        <v>751</v>
      </c>
      <c r="H852" s="45" t="s">
        <v>303</v>
      </c>
      <c r="I852" s="16"/>
      <c r="J852" s="370">
        <f>'II-I-DIST'!J852+'II-I-MET'!J852+'II-I-TBILLTDCS'!J852</f>
        <v>0</v>
      </c>
      <c r="K852" s="370">
        <f>'II-I-DIST'!K852+'II-I-MET'!K852+'II-I-TBILLTDCS'!K852</f>
        <v>0</v>
      </c>
      <c r="L852" s="370">
        <f>'II-I-DIST'!L852+'II-I-MET'!L852+'II-I-TBILLTDCS'!L852</f>
        <v>0</v>
      </c>
      <c r="M852" s="370">
        <f>'II-I-DIST'!M852+'II-I-MET'!M852+'II-I-TBILLTDCS'!M852</f>
        <v>0</v>
      </c>
      <c r="N852" s="370">
        <f>'II-I-DIST'!N852+'II-I-MET'!N852+'II-I-TBILLTDCS'!N852</f>
        <v>0</v>
      </c>
      <c r="O852" s="370">
        <f>'II-I-DIST'!O852+'II-I-MET'!O852+'II-I-TBILLTDCS'!O852</f>
        <v>0</v>
      </c>
      <c r="P852" s="370">
        <f>'II-I-DIST'!P852+'II-I-MET'!P852+'II-I-TBILLTDCS'!P852</f>
        <v>0</v>
      </c>
      <c r="Q852" s="370">
        <f>'II-I-DIST'!Q852+'II-I-MET'!Q852+'II-I-TBILLTDCS'!Q852</f>
        <v>0</v>
      </c>
      <c r="R852" s="370">
        <f>'II-I-DIST'!R852+'II-I-MET'!R852+'II-I-TBILLTDCS'!R852</f>
        <v>0</v>
      </c>
      <c r="S852" s="370">
        <f>'II-I-DIST'!S852+'II-I-MET'!S852+'II-I-TBILLTDCS'!S852</f>
        <v>0</v>
      </c>
      <c r="T852" s="16"/>
      <c r="U852" s="97">
        <f t="shared" si="227"/>
        <v>0</v>
      </c>
      <c r="V852" s="64"/>
      <c r="X852" s="305">
        <f t="shared" si="224"/>
        <v>0</v>
      </c>
    </row>
    <row r="853" spans="1:24" ht="15" x14ac:dyDescent="0.25">
      <c r="A853" s="45"/>
      <c r="B853" s="16">
        <f t="shared" si="226"/>
        <v>12</v>
      </c>
      <c r="C853" s="8"/>
      <c r="D853" s="24" t="s">
        <v>615</v>
      </c>
      <c r="E853" s="19"/>
      <c r="F853" s="21">
        <f>SUM(F844:F852)</f>
        <v>98377410.459999979</v>
      </c>
      <c r="G853" s="19"/>
      <c r="H853" s="19"/>
      <c r="I853" s="912"/>
      <c r="J853" s="805">
        <f t="shared" ref="J853:Q853" si="228">SUM(J844:J852)</f>
        <v>52071450.758461483</v>
      </c>
      <c r="K853" s="805">
        <f t="shared" si="228"/>
        <v>2098914.973374208</v>
      </c>
      <c r="L853" s="805">
        <f t="shared" si="228"/>
        <v>32613356.006919935</v>
      </c>
      <c r="M853" s="805">
        <f t="shared" si="228"/>
        <v>225095.83523187862</v>
      </c>
      <c r="N853" s="805">
        <f t="shared" si="228"/>
        <v>8979299.4954206273</v>
      </c>
      <c r="O853" s="805">
        <f>SUM(O844:O852)</f>
        <v>1564923.9796821307</v>
      </c>
      <c r="P853" s="805">
        <f t="shared" si="228"/>
        <v>112484.70806780572</v>
      </c>
      <c r="Q853" s="805">
        <f t="shared" si="228"/>
        <v>310907.19536013488</v>
      </c>
      <c r="R853" s="805">
        <f>SUM(R844:R852)</f>
        <v>108700.38624633993</v>
      </c>
      <c r="S853" s="805">
        <f>SUM(S844:S852)</f>
        <v>292277.12123543344</v>
      </c>
      <c r="T853" s="19"/>
      <c r="U853" s="235">
        <f t="shared" si="227"/>
        <v>98377410.459999993</v>
      </c>
      <c r="V853" s="64"/>
      <c r="W853" s="1099" t="b">
        <f>' WP II-I-1.4'!$L$853=U853</f>
        <v>1</v>
      </c>
      <c r="X853" s="305">
        <f t="shared" si="224"/>
        <v>0</v>
      </c>
    </row>
    <row r="854" spans="1:24" ht="15" x14ac:dyDescent="0.25">
      <c r="A854" s="45"/>
      <c r="B854" s="16">
        <f t="shared" si="226"/>
        <v>13</v>
      </c>
      <c r="C854" s="1"/>
      <c r="D854" s="301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"/>
      <c r="V854" s="64"/>
      <c r="X854" s="305">
        <f t="shared" si="224"/>
        <v>0</v>
      </c>
    </row>
    <row r="855" spans="1:24" x14ac:dyDescent="0.2">
      <c r="A855" s="45"/>
      <c r="B855" s="16">
        <f t="shared" si="226"/>
        <v>14</v>
      </c>
      <c r="C855" s="1" t="s">
        <v>174</v>
      </c>
      <c r="D855" s="29" t="s">
        <v>145</v>
      </c>
      <c r="E855" s="16"/>
      <c r="F855" s="97">
        <f>' WP II-I-1.4'!L855</f>
        <v>9020875.3000000007</v>
      </c>
      <c r="G855" s="16">
        <v>2</v>
      </c>
      <c r="H855" s="45" t="s">
        <v>751</v>
      </c>
      <c r="I855" s="16"/>
      <c r="J855" s="369">
        <f>'II-I-DIST'!J855+'II-I-MET'!J855+'II-I-TBILLTDCS'!J855</f>
        <v>4761604.4601686215</v>
      </c>
      <c r="K855" s="369">
        <f>'II-I-DIST'!K855+'II-I-MET'!K855+'II-I-TBILLTDCS'!K855</f>
        <v>156146.11704085191</v>
      </c>
      <c r="L855" s="369">
        <f>'II-I-DIST'!L855+'II-I-MET'!L855+'II-I-TBILLTDCS'!L855</f>
        <v>3008996.2137999269</v>
      </c>
      <c r="M855" s="369">
        <f>'II-I-DIST'!M855+'II-I-MET'!M855+'II-I-TBILLTDCS'!M855</f>
        <v>13814.734904677327</v>
      </c>
      <c r="N855" s="369">
        <f>'II-I-DIST'!N855+'II-I-MET'!N855+'II-I-TBILLTDCS'!N855</f>
        <v>818786.03873719205</v>
      </c>
      <c r="O855" s="369">
        <f>'II-I-DIST'!O855+'II-I-MET'!O855+'II-I-TBILLTDCS'!O855</f>
        <v>151758.64893619073</v>
      </c>
      <c r="P855" s="369">
        <f>'II-I-DIST'!P855+'II-I-MET'!P855+'II-I-TBILLTDCS'!P855</f>
        <v>6676.2469104115016</v>
      </c>
      <c r="Q855" s="369">
        <f>'II-I-DIST'!Q855+'II-I-MET'!Q855+'II-I-TBILLTDCS'!Q855</f>
        <v>64490.717037210663</v>
      </c>
      <c r="R855" s="369">
        <f>'II-I-DIST'!R855+'II-I-MET'!R855+'II-I-TBILLTDCS'!R855</f>
        <v>10455.143509127878</v>
      </c>
      <c r="S855" s="369">
        <f>'II-I-DIST'!S855+'II-I-MET'!S855+'II-I-TBILLTDCS'!S855</f>
        <v>28146.978955791095</v>
      </c>
      <c r="T855" s="16"/>
      <c r="U855" s="97">
        <f>SUM(I855:T855)</f>
        <v>9020875.3000000007</v>
      </c>
      <c r="V855" s="64"/>
      <c r="W855" s="1099" t="b">
        <f>' WP II-I-1.4'!$L$855=U855</f>
        <v>1</v>
      </c>
      <c r="X855" s="305">
        <f t="shared" si="224"/>
        <v>0</v>
      </c>
    </row>
    <row r="856" spans="1:24" ht="15" x14ac:dyDescent="0.25">
      <c r="A856" s="45"/>
      <c r="B856" s="16">
        <f t="shared" si="226"/>
        <v>15</v>
      </c>
      <c r="C856" s="1"/>
      <c r="D856" s="301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"/>
      <c r="V856" s="64"/>
      <c r="X856" s="305">
        <f t="shared" si="224"/>
        <v>0</v>
      </c>
    </row>
    <row r="857" spans="1:24" ht="15" x14ac:dyDescent="0.25">
      <c r="A857" s="45"/>
      <c r="B857" s="16">
        <f t="shared" si="226"/>
        <v>16</v>
      </c>
      <c r="C857" s="1"/>
      <c r="D857" s="301" t="s">
        <v>616</v>
      </c>
      <c r="E857" s="19" t="s">
        <v>262</v>
      </c>
      <c r="F857" s="21">
        <f>F853+F855</f>
        <v>107398285.75999998</v>
      </c>
      <c r="G857" s="19"/>
      <c r="H857" s="19"/>
      <c r="I857" s="912"/>
      <c r="J857" s="805">
        <f t="shared" ref="J857:Q857" si="229">J853+J855</f>
        <v>56833055.218630105</v>
      </c>
      <c r="K857" s="805">
        <f t="shared" si="229"/>
        <v>2255061.0904150601</v>
      </c>
      <c r="L857" s="805">
        <f t="shared" si="229"/>
        <v>35622352.220719859</v>
      </c>
      <c r="M857" s="805">
        <f t="shared" si="229"/>
        <v>238910.57013655594</v>
      </c>
      <c r="N857" s="805">
        <f t="shared" si="229"/>
        <v>9798085.53415782</v>
      </c>
      <c r="O857" s="805">
        <f>O853+O855</f>
        <v>1716682.6286183214</v>
      </c>
      <c r="P857" s="805">
        <f t="shared" si="229"/>
        <v>119160.95497821723</v>
      </c>
      <c r="Q857" s="805">
        <f t="shared" si="229"/>
        <v>375397.91239734553</v>
      </c>
      <c r="R857" s="805">
        <f>R853+R855</f>
        <v>119155.52975546781</v>
      </c>
      <c r="S857" s="805">
        <f>S853+S855</f>
        <v>320424.10019122454</v>
      </c>
      <c r="T857" s="912"/>
      <c r="U857" s="235">
        <f>SUM(I857:T857)</f>
        <v>107398285.75999996</v>
      </c>
      <c r="V857" s="64"/>
      <c r="W857" s="1099" t="b">
        <f>' WP II-I-1.4'!$L$857=U857</f>
        <v>1</v>
      </c>
      <c r="X857" s="305">
        <f t="shared" si="224"/>
        <v>0</v>
      </c>
    </row>
    <row r="858" spans="1:24" ht="15" x14ac:dyDescent="0.25">
      <c r="A858" s="45"/>
      <c r="B858" s="16">
        <f t="shared" si="226"/>
        <v>17</v>
      </c>
      <c r="C858" s="1"/>
      <c r="D858" s="301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"/>
      <c r="V858" s="64"/>
      <c r="X858" s="305">
        <f t="shared" si="224"/>
        <v>0</v>
      </c>
    </row>
    <row r="859" spans="1:24" ht="15" x14ac:dyDescent="0.25">
      <c r="A859" s="45"/>
      <c r="B859" s="16">
        <f t="shared" si="226"/>
        <v>18</v>
      </c>
      <c r="C859" s="8"/>
      <c r="D859" s="301" t="s">
        <v>611</v>
      </c>
      <c r="E859" s="19" t="s">
        <v>262</v>
      </c>
      <c r="F859" s="21"/>
      <c r="G859" s="19"/>
      <c r="H859" s="19"/>
      <c r="I859" s="912"/>
      <c r="J859" s="961"/>
      <c r="K859" s="961"/>
      <c r="L859" s="961"/>
      <c r="M859" s="961"/>
      <c r="N859" s="961"/>
      <c r="O859" s="961"/>
      <c r="P859" s="961"/>
      <c r="Q859" s="961"/>
      <c r="R859" s="961"/>
      <c r="S859" s="961"/>
      <c r="T859" s="912"/>
      <c r="U859" s="8"/>
      <c r="V859" s="64"/>
      <c r="X859" s="305">
        <f t="shared" si="224"/>
        <v>0</v>
      </c>
    </row>
    <row r="860" spans="1:24" x14ac:dyDescent="0.2">
      <c r="A860" s="45"/>
      <c r="B860" s="16">
        <f t="shared" si="226"/>
        <v>19</v>
      </c>
      <c r="C860" s="1" t="s">
        <v>192</v>
      </c>
      <c r="D860" s="1" t="s">
        <v>164</v>
      </c>
      <c r="E860" s="16"/>
      <c r="F860" s="97">
        <f>' WP II-I-1.4'!L860</f>
        <v>0</v>
      </c>
      <c r="G860" s="16" t="s">
        <v>751</v>
      </c>
      <c r="H860" s="45" t="s">
        <v>303</v>
      </c>
      <c r="I860" s="16"/>
      <c r="J860" s="369">
        <f ca="1">'II-I-DIST'!J860+'II-I-MET'!J860+'II-I-TBILLTDCS'!J860</f>
        <v>0</v>
      </c>
      <c r="K860" s="369">
        <f ca="1">'II-I-DIST'!K860+'II-I-MET'!K860+'II-I-TBILLTDCS'!K860</f>
        <v>0</v>
      </c>
      <c r="L860" s="369">
        <f ca="1">'II-I-DIST'!L860+'II-I-MET'!L860+'II-I-TBILLTDCS'!L860</f>
        <v>0</v>
      </c>
      <c r="M860" s="369">
        <f ca="1">'II-I-DIST'!M860+'II-I-MET'!M860+'II-I-TBILLTDCS'!M860</f>
        <v>0</v>
      </c>
      <c r="N860" s="369">
        <f ca="1">'II-I-DIST'!N860+'II-I-MET'!N860+'II-I-TBILLTDCS'!N860</f>
        <v>0</v>
      </c>
      <c r="O860" s="369">
        <f ca="1">'II-I-DIST'!O860+'II-I-MET'!O860+'II-I-TBILLTDCS'!O860</f>
        <v>0</v>
      </c>
      <c r="P860" s="369">
        <f ca="1">'II-I-DIST'!P860+'II-I-MET'!P860+'II-I-TBILLTDCS'!P860</f>
        <v>0</v>
      </c>
      <c r="Q860" s="369">
        <f ca="1">'II-I-DIST'!Q860+'II-I-MET'!Q860+'II-I-TBILLTDCS'!Q860</f>
        <v>0</v>
      </c>
      <c r="R860" s="369">
        <f ca="1">'II-I-DIST'!R860+'II-I-MET'!R860+'II-I-TBILLTDCS'!R860</f>
        <v>0</v>
      </c>
      <c r="S860" s="369">
        <f ca="1">'II-I-DIST'!S860+'II-I-MET'!S860+'II-I-TBILLTDCS'!S860</f>
        <v>0</v>
      </c>
      <c r="T860" s="16"/>
      <c r="U860" s="97">
        <f t="shared" ref="U860:U868" ca="1" si="230">SUM(I860:T860)</f>
        <v>0</v>
      </c>
      <c r="V860" s="64"/>
      <c r="X860" s="305">
        <f t="shared" ca="1" si="224"/>
        <v>0</v>
      </c>
    </row>
    <row r="861" spans="1:24" x14ac:dyDescent="0.2">
      <c r="A861" s="45"/>
      <c r="B861" s="16">
        <f t="shared" si="226"/>
        <v>20</v>
      </c>
      <c r="C861" s="1" t="s">
        <v>193</v>
      </c>
      <c r="D861" s="29" t="s">
        <v>166</v>
      </c>
      <c r="E861" s="16"/>
      <c r="F861" s="97">
        <f>' WP II-I-1.4'!L861</f>
        <v>6188260.0800000001</v>
      </c>
      <c r="G861" s="16" t="s">
        <v>751</v>
      </c>
      <c r="H861" s="45" t="s">
        <v>303</v>
      </c>
      <c r="I861" s="16"/>
      <c r="J861" s="369">
        <f>'II-I-DIST'!J861+'II-I-MET'!J861+'II-I-TBILLTDCS'!J861</f>
        <v>3173132.5018447135</v>
      </c>
      <c r="K861" s="369">
        <f>'II-I-DIST'!K861+'II-I-MET'!K861+'II-I-TBILLTDCS'!K861</f>
        <v>59948.93635567827</v>
      </c>
      <c r="L861" s="369">
        <f>'II-I-DIST'!L861+'II-I-MET'!L861+'II-I-TBILLTDCS'!L861</f>
        <v>2038116.4057297667</v>
      </c>
      <c r="M861" s="369">
        <f>'II-I-DIST'!M861+'II-I-MET'!M861+'II-I-TBILLTDCS'!M861</f>
        <v>953.71766040368573</v>
      </c>
      <c r="N861" s="369">
        <f>'II-I-DIST'!N861+'II-I-MET'!N861+'II-I-TBILLTDCS'!N861</f>
        <v>599494.59837004461</v>
      </c>
      <c r="O861" s="369">
        <f>'II-I-DIST'!O861+'II-I-MET'!O861+'II-I-TBILLTDCS'!O861</f>
        <v>257674.57839818744</v>
      </c>
      <c r="P861" s="369">
        <f>'II-I-DIST'!P861+'II-I-MET'!P861+'II-I-TBILLTDCS'!P861</f>
        <v>0</v>
      </c>
      <c r="Q861" s="369">
        <f>'II-I-DIST'!Q861+'II-I-MET'!Q861+'II-I-TBILLTDCS'!Q861</f>
        <v>18125.110103634965</v>
      </c>
      <c r="R861" s="369">
        <f>'II-I-DIST'!R861+'II-I-MET'!R861+'II-I-TBILLTDCS'!R861</f>
        <v>17811.47355402742</v>
      </c>
      <c r="S861" s="369">
        <f>'II-I-DIST'!S861+'II-I-MET'!S861+'II-I-TBILLTDCS'!S861</f>
        <v>23002.757983543928</v>
      </c>
      <c r="T861" s="16"/>
      <c r="U861" s="97">
        <f t="shared" si="230"/>
        <v>6188260.080000001</v>
      </c>
      <c r="V861" s="64"/>
      <c r="X861" s="305">
        <f t="shared" si="224"/>
        <v>0</v>
      </c>
    </row>
    <row r="862" spans="1:24" x14ac:dyDescent="0.2">
      <c r="A862" s="45"/>
      <c r="B862" s="16">
        <f t="shared" si="226"/>
        <v>21</v>
      </c>
      <c r="C862" s="1" t="s">
        <v>194</v>
      </c>
      <c r="D862" s="1" t="s">
        <v>168</v>
      </c>
      <c r="E862" s="16"/>
      <c r="F862" s="97">
        <f>' WP II-I-1.4'!L862</f>
        <v>38807101.199999996</v>
      </c>
      <c r="G862" s="16" t="s">
        <v>751</v>
      </c>
      <c r="H862" s="45" t="s">
        <v>303</v>
      </c>
      <c r="I862" s="16"/>
      <c r="J862" s="369">
        <f>'II-I-DIST'!J862+'II-I-MET'!J862+'II-I-TBILLTDCS'!J862</f>
        <v>21181498.935195412</v>
      </c>
      <c r="K862" s="369">
        <f>'II-I-DIST'!K862+'II-I-MET'!K862+'II-I-TBILLTDCS'!K862</f>
        <v>401485.01714009262</v>
      </c>
      <c r="L862" s="369">
        <f>'II-I-DIST'!L862+'II-I-MET'!L862+'II-I-TBILLTDCS'!L862</f>
        <v>13603988.410693666</v>
      </c>
      <c r="M862" s="369">
        <f>'II-I-DIST'!M862+'II-I-MET'!M862+'II-I-TBILLTDCS'!M862</f>
        <v>5599.8936621477924</v>
      </c>
      <c r="N862" s="369">
        <f>'II-I-DIST'!N862+'II-I-MET'!N862+'II-I-TBILLTDCS'!N862</f>
        <v>3364352.4637730569</v>
      </c>
      <c r="O862" s="369">
        <f>'II-I-DIST'!O862+'II-I-MET'!O862+'II-I-TBILLTDCS'!O862</f>
        <v>63.349597314594945</v>
      </c>
      <c r="P862" s="369">
        <f>'II-I-DIST'!P862+'II-I-MET'!P862+'II-I-TBILLTDCS'!P862</f>
        <v>132.14026433719195</v>
      </c>
      <c r="Q862" s="369">
        <f>'II-I-DIST'!Q862+'II-I-MET'!Q862+'II-I-TBILLTDCS'!Q862</f>
        <v>120939.2677019539</v>
      </c>
      <c r="R862" s="369">
        <f>'II-I-DIST'!R862+'II-I-MET'!R862+'II-I-TBILLTDCS'!R862</f>
        <v>6.9956610531454571</v>
      </c>
      <c r="S862" s="369">
        <f>'II-I-DIST'!S862+'II-I-MET'!S862+'II-I-TBILLTDCS'!S862</f>
        <v>129034.72631096111</v>
      </c>
      <c r="T862" s="16"/>
      <c r="U862" s="97">
        <f t="shared" si="230"/>
        <v>38807101.199999996</v>
      </c>
      <c r="V862" s="64"/>
      <c r="X862" s="305">
        <f t="shared" si="224"/>
        <v>0</v>
      </c>
    </row>
    <row r="863" spans="1:24" x14ac:dyDescent="0.2">
      <c r="A863" s="45"/>
      <c r="B863" s="16">
        <f t="shared" si="226"/>
        <v>22</v>
      </c>
      <c r="C863" s="1" t="s">
        <v>195</v>
      </c>
      <c r="D863" s="1" t="s">
        <v>170</v>
      </c>
      <c r="E863" s="16"/>
      <c r="F863" s="97">
        <f>' WP II-I-1.4'!L863</f>
        <v>9760779.9199999999</v>
      </c>
      <c r="G863" s="16" t="s">
        <v>751</v>
      </c>
      <c r="H863" s="45" t="s">
        <v>303</v>
      </c>
      <c r="I863" s="16"/>
      <c r="J863" s="369">
        <f>'II-I-DIST'!J863+'II-I-MET'!J863+'II-I-TBILLTDCS'!J863</f>
        <v>5391396.472712188</v>
      </c>
      <c r="K863" s="369">
        <f>'II-I-DIST'!K863+'II-I-MET'!K863+'II-I-TBILLTDCS'!K863</f>
        <v>102924.32396605426</v>
      </c>
      <c r="L863" s="369">
        <f>'II-I-DIST'!L863+'II-I-MET'!L863+'II-I-TBILLTDCS'!L863</f>
        <v>3462120.7015555627</v>
      </c>
      <c r="M863" s="369">
        <f>'II-I-DIST'!M863+'II-I-MET'!M863+'II-I-TBILLTDCS'!M863</f>
        <v>1384.4989821109598</v>
      </c>
      <c r="N863" s="369">
        <f>'II-I-DIST'!N863+'II-I-MET'!N863+'II-I-TBILLTDCS'!N863</f>
        <v>743549.99739189341</v>
      </c>
      <c r="O863" s="369">
        <f>'II-I-DIST'!O863+'II-I-MET'!O863+'II-I-TBILLTDCS'!O863</f>
        <v>51.572329791819605</v>
      </c>
      <c r="P863" s="369">
        <f>'II-I-DIST'!P863+'II-I-MET'!P863+'II-I-TBILLTDCS'!P863</f>
        <v>107.57418484183233</v>
      </c>
      <c r="Q863" s="369">
        <f>'II-I-DIST'!Q863+'II-I-MET'!Q863+'II-I-TBILLTDCS'!Q863</f>
        <v>30754.734350827704</v>
      </c>
      <c r="R863" s="369">
        <f>'II-I-DIST'!R863+'II-I-MET'!R863+'II-I-TBILLTDCS'!R863</f>
        <v>5.6951039033911242</v>
      </c>
      <c r="S863" s="369">
        <f>'II-I-DIST'!S863+'II-I-MET'!S863+'II-I-TBILLTDCS'!S863</f>
        <v>28484.349422829142</v>
      </c>
      <c r="T863" s="16"/>
      <c r="U863" s="97">
        <f t="shared" si="230"/>
        <v>9760779.9200000037</v>
      </c>
      <c r="V863" s="64"/>
      <c r="X863" s="305">
        <f t="shared" si="224"/>
        <v>0</v>
      </c>
    </row>
    <row r="864" spans="1:24" x14ac:dyDescent="0.2">
      <c r="A864" s="45"/>
      <c r="B864" s="16">
        <f t="shared" si="226"/>
        <v>23</v>
      </c>
      <c r="C864" s="1" t="s">
        <v>196</v>
      </c>
      <c r="D864" s="1" t="s">
        <v>197</v>
      </c>
      <c r="E864" s="16"/>
      <c r="F864" s="97">
        <f>' WP II-I-1.4'!L864</f>
        <v>1406931.9800000002</v>
      </c>
      <c r="G864" s="16" t="s">
        <v>751</v>
      </c>
      <c r="H864" s="45" t="s">
        <v>303</v>
      </c>
      <c r="I864" s="16"/>
      <c r="J864" s="369">
        <f>'II-I-DIST'!J864+'II-I-MET'!J864+'II-I-TBILLTDCS'!J864</f>
        <v>826338.61614914576</v>
      </c>
      <c r="K864" s="369">
        <f>'II-I-DIST'!K864+'II-I-MET'!K864+'II-I-TBILLTDCS'!K864</f>
        <v>15612.619445052624</v>
      </c>
      <c r="L864" s="369">
        <f>'II-I-DIST'!L864+'II-I-MET'!L864+'II-I-TBILLTDCS'!L864</f>
        <v>530760.12661791116</v>
      </c>
      <c r="M864" s="369">
        <f>'II-I-DIST'!M864+'II-I-MET'!M864+'II-I-TBILLTDCS'!M864</f>
        <v>25.804101520108588</v>
      </c>
      <c r="N864" s="369">
        <f>'II-I-DIST'!N864+'II-I-MET'!N864+'II-I-TBILLTDCS'!N864</f>
        <v>16115.676497696493</v>
      </c>
      <c r="O864" s="369">
        <f>'II-I-DIST'!O864+'II-I-MET'!O864+'II-I-TBILLTDCS'!O864</f>
        <v>2695.5891490706822</v>
      </c>
      <c r="P864" s="369">
        <f>'II-I-DIST'!P864+'II-I-MET'!P864+'II-I-TBILLTDCS'!P864</f>
        <v>9858.8335148341721</v>
      </c>
      <c r="Q864" s="369">
        <f>'II-I-DIST'!Q864+'II-I-MET'!Q864+'II-I-TBILLTDCS'!Q864</f>
        <v>4720.0583591796167</v>
      </c>
      <c r="R864" s="369">
        <f>'II-I-DIST'!R864+'II-I-MET'!R864+'II-I-TBILLTDCS'!R864</f>
        <v>186.33140895006787</v>
      </c>
      <c r="S864" s="369">
        <f>'II-I-DIST'!S864+'II-I-MET'!S864+'II-I-TBILLTDCS'!S864</f>
        <v>618.32475663917432</v>
      </c>
      <c r="T864" s="16"/>
      <c r="U864" s="97">
        <f t="shared" si="230"/>
        <v>1406931.9799999995</v>
      </c>
      <c r="V864" s="64"/>
      <c r="X864" s="305">
        <f t="shared" si="224"/>
        <v>0</v>
      </c>
    </row>
    <row r="865" spans="1:24" x14ac:dyDescent="0.2">
      <c r="A865" s="45"/>
      <c r="B865" s="16">
        <f t="shared" si="226"/>
        <v>24</v>
      </c>
      <c r="C865" s="1" t="s">
        <v>198</v>
      </c>
      <c r="D865" s="1" t="s">
        <v>199</v>
      </c>
      <c r="E865" s="16"/>
      <c r="F865" s="97">
        <f>' WP II-I-1.4'!L865</f>
        <v>335977.91000000003</v>
      </c>
      <c r="G865" s="16" t="s">
        <v>751</v>
      </c>
      <c r="H865" s="45" t="s">
        <v>303</v>
      </c>
      <c r="I865" s="16"/>
      <c r="J865" s="369">
        <f>'II-I-DIST'!J865+'II-I-MET'!J865+'II-I-TBILLTDCS'!J865</f>
        <v>0</v>
      </c>
      <c r="K865" s="369">
        <f>'II-I-DIST'!K865+'II-I-MET'!K865+'II-I-TBILLTDCS'!K865</f>
        <v>0</v>
      </c>
      <c r="L865" s="369">
        <f>'II-I-DIST'!L865+'II-I-MET'!L865+'II-I-TBILLTDCS'!L865</f>
        <v>0</v>
      </c>
      <c r="M865" s="369">
        <f>'II-I-DIST'!M865+'II-I-MET'!M865+'II-I-TBILLTDCS'!M865</f>
        <v>0</v>
      </c>
      <c r="N865" s="369">
        <f>'II-I-DIST'!N865+'II-I-MET'!N865+'II-I-TBILLTDCS'!N865</f>
        <v>0</v>
      </c>
      <c r="O865" s="369">
        <f>'II-I-DIST'!O865+'II-I-MET'!O865+'II-I-TBILLTDCS'!O865</f>
        <v>0</v>
      </c>
      <c r="P865" s="369">
        <f>'II-I-DIST'!P865+'II-I-MET'!P865+'II-I-TBILLTDCS'!P865</f>
        <v>0</v>
      </c>
      <c r="Q865" s="369">
        <f>'II-I-DIST'!Q865+'II-I-MET'!Q865+'II-I-TBILLTDCS'!Q865</f>
        <v>335977.91000000003</v>
      </c>
      <c r="R865" s="369">
        <f>'II-I-DIST'!R865+'II-I-MET'!R865+'II-I-TBILLTDCS'!R865</f>
        <v>0</v>
      </c>
      <c r="S865" s="369">
        <f>'II-I-DIST'!S865+'II-I-MET'!S865+'II-I-TBILLTDCS'!S865</f>
        <v>0</v>
      </c>
      <c r="T865" s="16"/>
      <c r="U865" s="97">
        <f t="shared" si="230"/>
        <v>335977.91000000003</v>
      </c>
      <c r="V865" s="64"/>
      <c r="X865" s="305">
        <f t="shared" si="224"/>
        <v>0</v>
      </c>
    </row>
    <row r="866" spans="1:24" x14ac:dyDescent="0.2">
      <c r="A866" s="45"/>
      <c r="B866" s="16">
        <f t="shared" si="226"/>
        <v>25</v>
      </c>
      <c r="C866" s="1" t="s">
        <v>200</v>
      </c>
      <c r="D866" s="1" t="s">
        <v>201</v>
      </c>
      <c r="E866" s="16"/>
      <c r="F866" s="97">
        <f>' WP II-I-1.4'!L866</f>
        <v>15622947.98</v>
      </c>
      <c r="G866" s="16" t="s">
        <v>751</v>
      </c>
      <c r="H866" s="45" t="s">
        <v>303</v>
      </c>
      <c r="I866" s="16"/>
      <c r="J866" s="369">
        <f>'II-I-DIST'!J866+'II-I-MET'!J866+'II-I-TBILLTDCS'!J866</f>
        <v>8155858.0297084814</v>
      </c>
      <c r="K866" s="369">
        <f>'II-I-DIST'!K866+'II-I-MET'!K866+'II-I-TBILLTDCS'!K866</f>
        <v>1144145.1926739733</v>
      </c>
      <c r="L866" s="369">
        <f>'II-I-DIST'!L866+'II-I-MET'!L866+'II-I-TBILLTDCS'!L866</f>
        <v>4499551.643500437</v>
      </c>
      <c r="M866" s="369">
        <f>'II-I-DIST'!M866+'II-I-MET'!M866+'II-I-TBILLTDCS'!M866</f>
        <v>189485.36133130899</v>
      </c>
      <c r="N866" s="369">
        <f>'II-I-DIST'!N866+'II-I-MET'!N866+'II-I-TBILLTDCS'!N866</f>
        <v>1459137.3114870142</v>
      </c>
      <c r="O866" s="369">
        <f>'II-I-DIST'!O866+'II-I-MET'!O866+'II-I-TBILLTDCS'!O866</f>
        <v>47877.502987174936</v>
      </c>
      <c r="P866" s="369">
        <f>'II-I-DIST'!P866+'II-I-MET'!P866+'II-I-TBILLTDCS'!P866</f>
        <v>99867.184145027495</v>
      </c>
      <c r="Q866" s="369">
        <f>'II-I-DIST'!Q866+'II-I-MET'!Q866+'II-I-TBILLTDCS'!Q866</f>
        <v>8316.6458898747624</v>
      </c>
      <c r="R866" s="369">
        <f>'II-I-DIST'!R866+'II-I-MET'!R866+'II-I-TBILLTDCS'!R866</f>
        <v>5287.0862194426327</v>
      </c>
      <c r="S866" s="369">
        <f>'II-I-DIST'!S866+'II-I-MET'!S866+'II-I-TBILLTDCS'!S866</f>
        <v>13422.022057262961</v>
      </c>
      <c r="T866" s="16"/>
      <c r="U866" s="97">
        <f t="shared" si="230"/>
        <v>15622947.979999997</v>
      </c>
      <c r="V866" s="64"/>
      <c r="X866" s="305">
        <f t="shared" si="224"/>
        <v>0</v>
      </c>
    </row>
    <row r="867" spans="1:24" x14ac:dyDescent="0.2">
      <c r="A867" s="45"/>
      <c r="B867" s="16">
        <f t="shared" si="226"/>
        <v>26</v>
      </c>
      <c r="C867" s="1" t="s">
        <v>202</v>
      </c>
      <c r="D867" s="1" t="s">
        <v>203</v>
      </c>
      <c r="E867" s="16"/>
      <c r="F867" s="97">
        <f>' WP II-I-1.4'!L867</f>
        <v>290636.13</v>
      </c>
      <c r="G867" s="16" t="s">
        <v>751</v>
      </c>
      <c r="H867" s="45" t="s">
        <v>303</v>
      </c>
      <c r="I867" s="16"/>
      <c r="J867" s="370">
        <f ca="1">'II-I-DIST'!J867+'II-I-MET'!J867+'II-I-TBILLTDCS'!J867</f>
        <v>149525.16174172203</v>
      </c>
      <c r="K867" s="370">
        <f ca="1">'II-I-DIST'!K867+'II-I-MET'!K867+'II-I-TBILLTDCS'!K867</f>
        <v>2825.0016161607828</v>
      </c>
      <c r="L867" s="370">
        <f ca="1">'II-I-DIST'!L867+'II-I-MET'!L867+'II-I-TBILLTDCS'!L867</f>
        <v>96040.588703099376</v>
      </c>
      <c r="M867" s="370">
        <f ca="1">'II-I-DIST'!M867+'II-I-MET'!M867+'II-I-TBILLTDCS'!M867</f>
        <v>36.405279321964642</v>
      </c>
      <c r="N867" s="370">
        <f ca="1">'II-I-DIST'!N867+'II-I-MET'!N867+'II-I-TBILLTDCS'!N867</f>
        <v>22883.888190172122</v>
      </c>
      <c r="O867" s="370">
        <f ca="1">'II-I-DIST'!O867+'II-I-MET'!O867+'II-I-TBILLTDCS'!O867</f>
        <v>651.27365650969716</v>
      </c>
      <c r="P867" s="370">
        <f ca="1">'II-I-DIST'!P867+'II-I-MET'!P867+'II-I-TBILLTDCS'!P867</f>
        <v>43.314843657022841</v>
      </c>
      <c r="Q867" s="370">
        <f ca="1">'II-I-DIST'!Q867+'II-I-MET'!Q867+'II-I-TBILLTDCS'!Q867</f>
        <v>17707.416864823332</v>
      </c>
      <c r="R867" s="370">
        <f ca="1">'II-I-DIST'!R867+'II-I-MET'!R867+'II-I-TBILLTDCS'!R867</f>
        <v>45.018579564458925</v>
      </c>
      <c r="S867" s="370">
        <f ca="1">'II-I-DIST'!S867+'II-I-MET'!S867+'II-I-TBILLTDCS'!S867</f>
        <v>878.06052496921222</v>
      </c>
      <c r="T867" s="16"/>
      <c r="U867" s="97">
        <f t="shared" ca="1" si="230"/>
        <v>290636.13</v>
      </c>
      <c r="V867" s="64"/>
      <c r="X867" s="305">
        <f t="shared" ca="1" si="224"/>
        <v>0</v>
      </c>
    </row>
    <row r="868" spans="1:24" ht="15" x14ac:dyDescent="0.25">
      <c r="A868" s="45"/>
      <c r="B868" s="16">
        <f t="shared" si="226"/>
        <v>27</v>
      </c>
      <c r="C868" s="8"/>
      <c r="D868" s="24" t="s">
        <v>617</v>
      </c>
      <c r="E868" s="19"/>
      <c r="F868" s="21">
        <f>SUM(F860:F867)</f>
        <v>72412635.199999988</v>
      </c>
      <c r="G868" s="19"/>
      <c r="H868" s="19"/>
      <c r="I868" s="19"/>
      <c r="J868" s="805">
        <f t="shared" ref="J868:Q868" ca="1" si="231">SUM(J860:J867)</f>
        <v>38877749.71735166</v>
      </c>
      <c r="K868" s="805">
        <f t="shared" ca="1" si="231"/>
        <v>1726941.091197012</v>
      </c>
      <c r="L868" s="805">
        <f t="shared" ca="1" si="231"/>
        <v>24230577.876800444</v>
      </c>
      <c r="M868" s="805">
        <f t="shared" ca="1" si="231"/>
        <v>197485.6810168135</v>
      </c>
      <c r="N868" s="805">
        <f t="shared" ca="1" si="231"/>
        <v>6205533.9357098779</v>
      </c>
      <c r="O868" s="805">
        <f ca="1">SUM(O860:O867)</f>
        <v>309013.86611804919</v>
      </c>
      <c r="P868" s="805">
        <f t="shared" ca="1" si="231"/>
        <v>110009.04695269771</v>
      </c>
      <c r="Q868" s="805">
        <f t="shared" ca="1" si="231"/>
        <v>536541.1432702943</v>
      </c>
      <c r="R868" s="805">
        <f ca="1">SUM(R860:R867)</f>
        <v>23342.600526941114</v>
      </c>
      <c r="S868" s="805">
        <f ca="1">SUM(S860:S867)</f>
        <v>195440.2410562055</v>
      </c>
      <c r="T868" s="19"/>
      <c r="U868" s="235">
        <f t="shared" ca="1" si="230"/>
        <v>72412635.199999988</v>
      </c>
      <c r="V868" s="64"/>
      <c r="W868" s="1099" t="b">
        <f ca="1">' WP II-I-1.4'!$L$868=U868</f>
        <v>1</v>
      </c>
      <c r="X868" s="305">
        <f t="shared" ca="1" si="224"/>
        <v>0</v>
      </c>
    </row>
    <row r="869" spans="1:24" ht="15" x14ac:dyDescent="0.25">
      <c r="A869" s="45"/>
      <c r="B869" s="16">
        <f t="shared" si="226"/>
        <v>28</v>
      </c>
      <c r="C869" s="1"/>
      <c r="D869" s="301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"/>
      <c r="V869" s="64"/>
      <c r="X869" s="305">
        <f t="shared" si="224"/>
        <v>0</v>
      </c>
    </row>
    <row r="870" spans="1:24" x14ac:dyDescent="0.2">
      <c r="A870" s="45"/>
      <c r="B870" s="16">
        <f t="shared" si="226"/>
        <v>29</v>
      </c>
      <c r="C870" s="1" t="s">
        <v>191</v>
      </c>
      <c r="D870" s="29" t="s">
        <v>162</v>
      </c>
      <c r="E870" s="16"/>
      <c r="F870" s="97">
        <f>' WP II-I-1.4'!L870</f>
        <v>3059320.42</v>
      </c>
      <c r="G870" s="16" t="s">
        <v>751</v>
      </c>
      <c r="H870" s="45" t="s">
        <v>303</v>
      </c>
      <c r="I870" s="16"/>
      <c r="J870" s="369">
        <f ca="1">'II-I-DIST'!J870+'II-I-MET'!J870+'II-I-TBILLTDCS'!J870</f>
        <v>1642902.385480904</v>
      </c>
      <c r="K870" s="369">
        <f ca="1">'II-I-DIST'!K870+'II-I-MET'!K870+'II-I-TBILLTDCS'!K870</f>
        <v>71702.147631047425</v>
      </c>
      <c r="L870" s="369">
        <f ca="1">'II-I-DIST'!L870+'II-I-MET'!L870+'II-I-TBILLTDCS'!L870</f>
        <v>1024891.6059030056</v>
      </c>
      <c r="M870" s="369">
        <f ca="1">'II-I-DIST'!M870+'II-I-MET'!M870+'II-I-TBILLTDCS'!M870</f>
        <v>8103.903555552788</v>
      </c>
      <c r="N870" s="369">
        <f ca="1">'II-I-DIST'!N870+'II-I-MET'!N870+'II-I-TBILLTDCS'!N870</f>
        <v>261977.88122116946</v>
      </c>
      <c r="O870" s="369">
        <f ca="1">'II-I-DIST'!O870+'II-I-MET'!O870+'II-I-TBILLTDCS'!O870</f>
        <v>13086.001356877909</v>
      </c>
      <c r="P870" s="369">
        <f ca="1">'II-I-DIST'!P870+'II-I-MET'!P870+'II-I-TBILLTDCS'!P870</f>
        <v>4523.5377326251837</v>
      </c>
      <c r="Q870" s="369">
        <f ca="1">'II-I-DIST'!Q870+'II-I-MET'!Q870+'II-I-TBILLTDCS'!Q870</f>
        <v>22843.252718423595</v>
      </c>
      <c r="R870" s="369">
        <f ca="1">'II-I-DIST'!R870+'II-I-MET'!R870+'II-I-TBILLTDCS'!R870</f>
        <v>985.77902352989258</v>
      </c>
      <c r="S870" s="369">
        <f ca="1">'II-I-DIST'!S870+'II-I-MET'!S870+'II-I-TBILLTDCS'!S870</f>
        <v>8303.9253768640592</v>
      </c>
      <c r="T870" s="16"/>
      <c r="U870" s="97">
        <f ca="1">SUM(I870:T870)</f>
        <v>3059320.4200000004</v>
      </c>
      <c r="V870" s="64"/>
      <c r="W870" s="1099" t="b">
        <f ca="1">' WP II-I-1.4'!$L$870=U870</f>
        <v>1</v>
      </c>
      <c r="X870" s="305">
        <f t="shared" ca="1" si="224"/>
        <v>0</v>
      </c>
    </row>
    <row r="871" spans="1:24" ht="15" x14ac:dyDescent="0.25">
      <c r="A871" s="45"/>
      <c r="B871" s="16">
        <f t="shared" si="226"/>
        <v>30</v>
      </c>
      <c r="C871" s="1"/>
      <c r="D871" s="301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"/>
      <c r="V871" s="64"/>
      <c r="X871" s="305">
        <f t="shared" si="224"/>
        <v>0</v>
      </c>
    </row>
    <row r="872" spans="1:24" ht="15" x14ac:dyDescent="0.25">
      <c r="A872" s="45"/>
      <c r="B872" s="16">
        <f t="shared" si="226"/>
        <v>31</v>
      </c>
      <c r="C872" s="1"/>
      <c r="D872" s="301" t="s">
        <v>618</v>
      </c>
      <c r="E872" s="19" t="s">
        <v>262</v>
      </c>
      <c r="F872" s="21">
        <f>F868+F870</f>
        <v>75471955.61999999</v>
      </c>
      <c r="G872" s="19"/>
      <c r="H872" s="19"/>
      <c r="I872" s="19"/>
      <c r="J872" s="21">
        <f t="shared" ref="J872:Q872" ca="1" si="232">J868+J870</f>
        <v>40520652.102832563</v>
      </c>
      <c r="K872" s="21">
        <f t="shared" ca="1" si="232"/>
        <v>1798643.2388280595</v>
      </c>
      <c r="L872" s="21">
        <f t="shared" ca="1" si="232"/>
        <v>25255469.482703451</v>
      </c>
      <c r="M872" s="21">
        <f t="shared" ca="1" si="232"/>
        <v>205589.58457236629</v>
      </c>
      <c r="N872" s="21">
        <f t="shared" ca="1" si="232"/>
        <v>6467511.8169310475</v>
      </c>
      <c r="O872" s="21">
        <f ca="1">O868+O870</f>
        <v>322099.8674749271</v>
      </c>
      <c r="P872" s="21">
        <f t="shared" ca="1" si="232"/>
        <v>114532.58468532289</v>
      </c>
      <c r="Q872" s="21">
        <f t="shared" ca="1" si="232"/>
        <v>559384.39598871791</v>
      </c>
      <c r="R872" s="21">
        <f ca="1">R868+R870</f>
        <v>24328.379550471007</v>
      </c>
      <c r="S872" s="21">
        <f ca="1">S868+S870</f>
        <v>203744.16643306956</v>
      </c>
      <c r="T872" s="19"/>
      <c r="U872" s="235">
        <f ca="1">SUM(I872:T872)</f>
        <v>75471955.620000005</v>
      </c>
      <c r="V872" s="64"/>
      <c r="W872" s="1099" t="b">
        <f ca="1">' WP II-I-1.4'!$L$872=U872</f>
        <v>1</v>
      </c>
      <c r="X872" s="305">
        <f t="shared" ca="1" si="224"/>
        <v>0</v>
      </c>
    </row>
    <row r="873" spans="1:24" ht="15.75" thickBot="1" x14ac:dyDescent="0.3">
      <c r="A873" s="45"/>
      <c r="B873" s="16">
        <f t="shared" si="226"/>
        <v>32</v>
      </c>
      <c r="C873" s="1"/>
      <c r="D873" s="301"/>
      <c r="E873" s="16"/>
      <c r="F873" s="18"/>
      <c r="G873" s="16"/>
      <c r="H873" s="16"/>
      <c r="I873" s="1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6"/>
      <c r="U873" s="1"/>
      <c r="V873" s="64"/>
      <c r="X873" s="305">
        <f t="shared" si="224"/>
        <v>0</v>
      </c>
    </row>
    <row r="874" spans="1:24" ht="15.75" thickBot="1" x14ac:dyDescent="0.3">
      <c r="A874" s="45"/>
      <c r="B874" s="16">
        <f t="shared" si="226"/>
        <v>33</v>
      </c>
      <c r="C874" s="779" t="s">
        <v>619</v>
      </c>
      <c r="D874" s="920"/>
      <c r="E874" s="916" t="s">
        <v>262</v>
      </c>
      <c r="F874" s="917">
        <f>F857+F872</f>
        <v>182870241.37999997</v>
      </c>
      <c r="G874" s="916"/>
      <c r="H874" s="916"/>
      <c r="I874" s="919"/>
      <c r="J874" s="917">
        <f t="shared" ref="J874:Q874" ca="1" si="233">J857+J872</f>
        <v>97353707.321462661</v>
      </c>
      <c r="K874" s="917">
        <f t="shared" ca="1" si="233"/>
        <v>4053704.3292431198</v>
      </c>
      <c r="L874" s="917">
        <f t="shared" ca="1" si="233"/>
        <v>60877821.703423306</v>
      </c>
      <c r="M874" s="917">
        <f t="shared" ca="1" si="233"/>
        <v>444500.15470892226</v>
      </c>
      <c r="N874" s="917">
        <f t="shared" ca="1" si="233"/>
        <v>16265597.351088867</v>
      </c>
      <c r="O874" s="917">
        <f ca="1">O857+O872</f>
        <v>2038782.4960932485</v>
      </c>
      <c r="P874" s="917">
        <f t="shared" ca="1" si="233"/>
        <v>233693.53966354011</v>
      </c>
      <c r="Q874" s="917">
        <f t="shared" ca="1" si="233"/>
        <v>934782.30838606344</v>
      </c>
      <c r="R874" s="917">
        <f ca="1">R857+R872</f>
        <v>143483.90930593881</v>
      </c>
      <c r="S874" s="917">
        <f ca="1">S857+S872</f>
        <v>524168.2666242941</v>
      </c>
      <c r="T874" s="919"/>
      <c r="U874" s="918">
        <f ca="1">SUM(I874:T874)</f>
        <v>182870241.37999997</v>
      </c>
      <c r="V874" s="64"/>
      <c r="W874" s="1099" t="b">
        <f ca="1">' WP II-I-1.4'!$L$874=U874</f>
        <v>1</v>
      </c>
      <c r="X874" s="305">
        <f t="shared" ca="1" si="224"/>
        <v>0</v>
      </c>
    </row>
    <row r="875" spans="1:24" ht="15" thickBot="1" x14ac:dyDescent="0.25">
      <c r="A875" s="45"/>
      <c r="B875" s="16"/>
      <c r="C875" s="1"/>
      <c r="D875" s="1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"/>
      <c r="V875" s="64"/>
      <c r="X875" s="305">
        <f t="shared" si="224"/>
        <v>0</v>
      </c>
    </row>
    <row r="876" spans="1:24" ht="15" x14ac:dyDescent="0.25">
      <c r="A876" s="45"/>
      <c r="B876" s="829" t="str">
        <f>+$B$4</f>
        <v>2025 RATE CASE</v>
      </c>
      <c r="C876" s="844"/>
      <c r="D876" s="547"/>
      <c r="F876" s="11"/>
      <c r="H876" s="105"/>
      <c r="U876" s="105"/>
      <c r="V876" s="105"/>
      <c r="X876" s="305"/>
    </row>
    <row r="877" spans="1:24" ht="15" x14ac:dyDescent="0.25">
      <c r="A877" s="45"/>
      <c r="B877" s="826" t="str">
        <f>+$B$5</f>
        <v>ONCOR ELECTRIC DELIVERY COMPANY LLC</v>
      </c>
      <c r="C877" s="8"/>
      <c r="D877" s="548"/>
      <c r="F877" s="11"/>
      <c r="U877" s="105"/>
      <c r="V877" s="64"/>
      <c r="X877" s="305">
        <f t="shared" si="224"/>
        <v>0</v>
      </c>
    </row>
    <row r="878" spans="1:24" ht="15" x14ac:dyDescent="0.25">
      <c r="A878" s="45"/>
      <c r="B878" s="826" t="str">
        <f>+$B$6</f>
        <v>II-I-1-TOT:  CLASS REVENUE REQUIREMENT</v>
      </c>
      <c r="C878" s="82"/>
      <c r="D878" s="548"/>
      <c r="F878" s="11"/>
      <c r="U878" s="11"/>
      <c r="V878" s="64"/>
      <c r="X878" s="305">
        <f t="shared" si="224"/>
        <v>0</v>
      </c>
    </row>
    <row r="879" spans="1:24" ht="15" x14ac:dyDescent="0.25">
      <c r="A879" s="45"/>
      <c r="B879" s="341" t="str">
        <f>+$B$7</f>
        <v>TEST YEAR ENDING 12/31/2024</v>
      </c>
      <c r="C879" s="82"/>
      <c r="D879" s="548"/>
      <c r="F879" s="11"/>
      <c r="U879" s="11"/>
      <c r="V879" s="64"/>
      <c r="X879" s="305">
        <f t="shared" si="224"/>
        <v>0</v>
      </c>
    </row>
    <row r="880" spans="1:24" ht="15" x14ac:dyDescent="0.25">
      <c r="A880" s="45"/>
      <c r="B880" s="341" t="str">
        <f>+$B$8</f>
        <v>SPONSOR:  MATTHEW A. TROXLE</v>
      </c>
      <c r="C880" s="82"/>
      <c r="D880" s="548"/>
      <c r="F880" s="11"/>
      <c r="U880" s="11"/>
      <c r="V880" s="64"/>
      <c r="X880" s="305">
        <f t="shared" si="224"/>
        <v>0</v>
      </c>
    </row>
    <row r="881" spans="1:24" ht="15.75" thickBot="1" x14ac:dyDescent="0.3">
      <c r="A881" s="45"/>
      <c r="B881" s="345"/>
      <c r="C881" s="843"/>
      <c r="D881" s="549"/>
      <c r="F881" s="11"/>
      <c r="U881" s="11"/>
      <c r="V881" s="64"/>
      <c r="X881" s="305">
        <f t="shared" si="224"/>
        <v>0</v>
      </c>
    </row>
    <row r="882" spans="1:24" ht="15" thickBot="1" x14ac:dyDescent="0.25">
      <c r="A882" s="45"/>
      <c r="B882" s="12"/>
      <c r="C882" s="13"/>
      <c r="D882" s="13"/>
      <c r="E882" s="13"/>
      <c r="F882" s="12"/>
      <c r="G882" s="13"/>
      <c r="H882" s="13"/>
      <c r="I882" s="13"/>
      <c r="J882" s="177"/>
      <c r="K882" s="177"/>
      <c r="L882" s="13"/>
      <c r="M882" s="177"/>
      <c r="N882" s="177"/>
      <c r="O882" s="177"/>
      <c r="P882" s="177"/>
      <c r="Q882" s="13"/>
      <c r="R882" s="328" t="str">
        <f>R$10</f>
        <v xml:space="preserve"> </v>
      </c>
      <c r="S882" s="329"/>
      <c r="T882" s="177"/>
      <c r="U882" s="12"/>
      <c r="V882" s="64"/>
      <c r="X882" s="305">
        <f t="shared" si="224"/>
        <v>0</v>
      </c>
    </row>
    <row r="883" spans="1:24" ht="15" x14ac:dyDescent="0.25">
      <c r="A883" s="45"/>
      <c r="B883" s="14" t="s">
        <v>2</v>
      </c>
      <c r="C883" s="14" t="s">
        <v>349</v>
      </c>
      <c r="D883" s="226" t="s">
        <v>620</v>
      </c>
      <c r="E883" s="14" t="s">
        <v>350</v>
      </c>
      <c r="F883" s="226" t="str">
        <f>F$11</f>
        <v>TOTAL</v>
      </c>
      <c r="G883" s="181" t="s">
        <v>688</v>
      </c>
      <c r="H883" s="181" t="s">
        <v>355</v>
      </c>
      <c r="I883" s="14"/>
      <c r="J883" s="181" t="s">
        <v>679</v>
      </c>
      <c r="K883" s="181" t="s">
        <v>388</v>
      </c>
      <c r="L883" s="14" t="s">
        <v>388</v>
      </c>
      <c r="M883" s="181" t="s">
        <v>389</v>
      </c>
      <c r="N883" s="181" t="s">
        <v>389</v>
      </c>
      <c r="O883" s="181" t="s">
        <v>389</v>
      </c>
      <c r="P883" s="181" t="s">
        <v>390</v>
      </c>
      <c r="Q883" s="14" t="s">
        <v>391</v>
      </c>
      <c r="R883" s="331" t="str">
        <f>R$11</f>
        <v>Wholesale</v>
      </c>
      <c r="S883" s="12" t="str">
        <f>S$11</f>
        <v>Wholesale</v>
      </c>
      <c r="T883" s="181"/>
      <c r="U883" s="14" t="s">
        <v>10</v>
      </c>
      <c r="V883" s="64"/>
      <c r="X883" s="305"/>
    </row>
    <row r="884" spans="1:24" x14ac:dyDescent="0.2">
      <c r="A884" s="45"/>
      <c r="B884" s="14"/>
      <c r="C884" s="14"/>
      <c r="D884" s="14"/>
      <c r="E884" s="14"/>
      <c r="F884" s="14" t="str">
        <f>F$12</f>
        <v>(Dist+Met+Cust)</v>
      </c>
      <c r="G884" s="181" t="s">
        <v>689</v>
      </c>
      <c r="H884" s="181" t="s">
        <v>690</v>
      </c>
      <c r="I884" s="14"/>
      <c r="J884" s="181"/>
      <c r="K884" s="181" t="s">
        <v>680</v>
      </c>
      <c r="L884" s="14" t="s">
        <v>681</v>
      </c>
      <c r="M884" s="181" t="s">
        <v>680</v>
      </c>
      <c r="N884" s="181" t="s">
        <v>681</v>
      </c>
      <c r="O884" s="181" t="s">
        <v>393</v>
      </c>
      <c r="P884" s="181"/>
      <c r="Q884" s="14"/>
      <c r="R884" s="174" t="str">
        <f>R$12</f>
        <v>XFMR</v>
      </c>
      <c r="S884" s="14" t="str">
        <f>S$12</f>
        <v>DLS</v>
      </c>
      <c r="T884" s="181"/>
      <c r="U884" s="14"/>
      <c r="V884" s="64"/>
      <c r="X884" s="305"/>
    </row>
    <row r="885" spans="1:24" ht="15" thickBot="1" x14ac:dyDescent="0.25">
      <c r="A885" s="45"/>
      <c r="B885" s="15"/>
      <c r="C885" s="15"/>
      <c r="D885" s="15"/>
      <c r="E885" s="15"/>
      <c r="F885" s="15" t="s">
        <v>13</v>
      </c>
      <c r="G885" s="15" t="s">
        <v>14</v>
      </c>
      <c r="H885" s="15" t="s">
        <v>15</v>
      </c>
      <c r="I885" s="15"/>
      <c r="J885" s="182" t="str">
        <f t="shared" ref="J885:Q885" si="234">J$13</f>
        <v>(d)</v>
      </c>
      <c r="K885" s="182" t="str">
        <f t="shared" si="234"/>
        <v>(e)</v>
      </c>
      <c r="L885" s="15" t="str">
        <f t="shared" si="234"/>
        <v>(f)</v>
      </c>
      <c r="M885" s="182" t="str">
        <f t="shared" si="234"/>
        <v>(g)</v>
      </c>
      <c r="N885" s="182" t="str">
        <f t="shared" si="234"/>
        <v>(h)</v>
      </c>
      <c r="O885" s="182" t="str">
        <f>O$13</f>
        <v>(i)</v>
      </c>
      <c r="P885" s="182" t="str">
        <f t="shared" si="234"/>
        <v>(j)</v>
      </c>
      <c r="Q885" s="182" t="str">
        <f t="shared" si="234"/>
        <v>(k)</v>
      </c>
      <c r="R885" s="182" t="str">
        <f>R$13</f>
        <v>(l)</v>
      </c>
      <c r="S885" s="15" t="str">
        <f>S$13</f>
        <v>(m)</v>
      </c>
      <c r="T885" s="15"/>
      <c r="U885" s="15" t="s">
        <v>683</v>
      </c>
      <c r="V885" s="64"/>
      <c r="X885" s="305"/>
    </row>
    <row r="886" spans="1:24" x14ac:dyDescent="0.2">
      <c r="A886" s="45"/>
      <c r="B886" s="64"/>
      <c r="C886" s="96"/>
      <c r="D886" s="96"/>
      <c r="E886" s="251"/>
      <c r="F886" s="308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1"/>
      <c r="V886" s="64"/>
      <c r="X886" s="305">
        <f t="shared" si="224"/>
        <v>0</v>
      </c>
    </row>
    <row r="887" spans="1:24" ht="15" x14ac:dyDescent="0.25">
      <c r="A887" s="45"/>
      <c r="B887" s="16">
        <f t="shared" ref="B887:B925" si="235">B886+1</f>
        <v>1</v>
      </c>
      <c r="C887" s="8"/>
      <c r="D887" s="301" t="s">
        <v>266</v>
      </c>
      <c r="E887" s="19" t="s">
        <v>262</v>
      </c>
      <c r="F887" s="21"/>
      <c r="G887" s="19"/>
      <c r="H887" s="19"/>
      <c r="I887" s="19"/>
      <c r="J887" s="961"/>
      <c r="K887" s="961"/>
      <c r="L887" s="961"/>
      <c r="M887" s="961"/>
      <c r="N887" s="961"/>
      <c r="O887" s="961"/>
      <c r="P887" s="961"/>
      <c r="Q887" s="961"/>
      <c r="R887" s="961"/>
      <c r="S887" s="961"/>
      <c r="T887" s="19"/>
      <c r="U887" s="8"/>
      <c r="V887" s="64"/>
      <c r="X887" s="305">
        <f t="shared" si="224"/>
        <v>0</v>
      </c>
    </row>
    <row r="888" spans="1:24" x14ac:dyDescent="0.2">
      <c r="A888" s="45"/>
      <c r="B888" s="16">
        <f t="shared" si="235"/>
        <v>2</v>
      </c>
      <c r="C888" s="1" t="s">
        <v>207</v>
      </c>
      <c r="D888" s="1" t="s">
        <v>208</v>
      </c>
      <c r="E888" s="16"/>
      <c r="F888" s="97">
        <f>' WP II-I-1.4'!L888</f>
        <v>0</v>
      </c>
      <c r="G888" s="16" t="s">
        <v>751</v>
      </c>
      <c r="H888" s="45" t="s">
        <v>303</v>
      </c>
      <c r="I888" s="16"/>
      <c r="J888" s="369">
        <f>'II-I-DIST'!J888+'II-I-MET'!J888+'II-I-TBILLTDCS'!J888</f>
        <v>0</v>
      </c>
      <c r="K888" s="369">
        <f>'II-I-DIST'!K888+'II-I-MET'!K888+'II-I-TBILLTDCS'!K888</f>
        <v>0</v>
      </c>
      <c r="L888" s="369">
        <f>'II-I-DIST'!L888+'II-I-MET'!L888+'II-I-TBILLTDCS'!L888</f>
        <v>0</v>
      </c>
      <c r="M888" s="369">
        <f>'II-I-DIST'!M888+'II-I-MET'!M888+'II-I-TBILLTDCS'!M888</f>
        <v>0</v>
      </c>
      <c r="N888" s="369">
        <f>'II-I-DIST'!N888+'II-I-MET'!N888+'II-I-TBILLTDCS'!N888</f>
        <v>0</v>
      </c>
      <c r="O888" s="369">
        <f>'II-I-DIST'!O888+'II-I-MET'!O888+'II-I-TBILLTDCS'!O888</f>
        <v>0</v>
      </c>
      <c r="P888" s="369">
        <f>'II-I-DIST'!P888+'II-I-MET'!P888+'II-I-TBILLTDCS'!P888</f>
        <v>0</v>
      </c>
      <c r="Q888" s="369">
        <f>'II-I-DIST'!Q888+'II-I-MET'!Q888+'II-I-TBILLTDCS'!Q888</f>
        <v>0</v>
      </c>
      <c r="R888" s="369">
        <f>'II-I-DIST'!R888+'II-I-MET'!R888+'II-I-TBILLTDCS'!R888</f>
        <v>0</v>
      </c>
      <c r="S888" s="369">
        <f>'II-I-DIST'!S888+'II-I-MET'!S888+'II-I-TBILLTDCS'!S888</f>
        <v>0</v>
      </c>
      <c r="T888" s="16"/>
      <c r="U888" s="97">
        <f>SUM(I888:T888)</f>
        <v>0</v>
      </c>
      <c r="V888" s="64"/>
      <c r="X888" s="305">
        <f t="shared" si="224"/>
        <v>0</v>
      </c>
    </row>
    <row r="889" spans="1:24" x14ac:dyDescent="0.2">
      <c r="A889" s="45"/>
      <c r="B889" s="16">
        <f t="shared" si="235"/>
        <v>3</v>
      </c>
      <c r="C889" s="1" t="s">
        <v>209</v>
      </c>
      <c r="D889" s="1" t="s">
        <v>210</v>
      </c>
      <c r="E889" s="16"/>
      <c r="F889" s="97">
        <f>' WP II-I-1.4'!L889</f>
        <v>10790173.59</v>
      </c>
      <c r="G889" s="16" t="s">
        <v>751</v>
      </c>
      <c r="H889" s="45" t="s">
        <v>303</v>
      </c>
      <c r="I889" s="16"/>
      <c r="J889" s="370">
        <f>'II-I-DIST'!J889+'II-I-MET'!J889+'II-I-TBILLTDCS'!J889</f>
        <v>5632939.7005359475</v>
      </c>
      <c r="K889" s="370">
        <f>'II-I-DIST'!K889+'II-I-MET'!K889+'II-I-TBILLTDCS'!K889</f>
        <v>790217.39411284681</v>
      </c>
      <c r="L889" s="370">
        <f>'II-I-DIST'!L889+'II-I-MET'!L889+'II-I-TBILLTDCS'!L889</f>
        <v>3107668.4997410779</v>
      </c>
      <c r="M889" s="370">
        <f>'II-I-DIST'!M889+'II-I-MET'!M889+'II-I-TBILLTDCS'!M889</f>
        <v>130870.30336055034</v>
      </c>
      <c r="N889" s="370">
        <f>'II-I-DIST'!N889+'II-I-MET'!N889+'II-I-TBILLTDCS'!N889</f>
        <v>1007770.4222497696</v>
      </c>
      <c r="O889" s="370">
        <f>'II-I-DIST'!O889+'II-I-MET'!O889+'II-I-TBILLTDCS'!O889</f>
        <v>33067.163057107035</v>
      </c>
      <c r="P889" s="370">
        <f>'II-I-DIST'!P889+'II-I-MET'!P889+'II-I-TBILLTDCS'!P889</f>
        <v>68974.450548566849</v>
      </c>
      <c r="Q889" s="370">
        <f>'II-I-DIST'!Q889+'II-I-MET'!Q889+'II-I-TBILLTDCS'!Q889</f>
        <v>5743.9897356880711</v>
      </c>
      <c r="R889" s="370">
        <f>'II-I-DIST'!R889+'II-I-MET'!R889+'II-I-TBILLTDCS'!R889</f>
        <v>3651.588558453539</v>
      </c>
      <c r="S889" s="370">
        <f>'II-I-DIST'!S889+'II-I-MET'!S889+'II-I-TBILLTDCS'!S889</f>
        <v>9270.0780999896961</v>
      </c>
      <c r="T889" s="16"/>
      <c r="U889" s="97">
        <f>SUM(I889:T889)</f>
        <v>10790173.589999998</v>
      </c>
      <c r="V889" s="64"/>
      <c r="X889" s="305">
        <f t="shared" si="224"/>
        <v>0</v>
      </c>
    </row>
    <row r="890" spans="1:24" ht="15" x14ac:dyDescent="0.25">
      <c r="A890" s="45"/>
      <c r="B890" s="16">
        <f t="shared" si="235"/>
        <v>4</v>
      </c>
      <c r="C890" s="8"/>
      <c r="D890" s="24" t="s">
        <v>598</v>
      </c>
      <c r="E890" s="19"/>
      <c r="F890" s="21">
        <f>+F888+F889</f>
        <v>10790173.59</v>
      </c>
      <c r="G890" s="19"/>
      <c r="H890" s="19"/>
      <c r="I890" s="912"/>
      <c r="J890" s="805">
        <f t="shared" ref="J890:Q890" si="236">+J888+J889</f>
        <v>5632939.7005359475</v>
      </c>
      <c r="K890" s="805">
        <f t="shared" si="236"/>
        <v>790217.39411284681</v>
      </c>
      <c r="L890" s="805">
        <f t="shared" si="236"/>
        <v>3107668.4997410779</v>
      </c>
      <c r="M890" s="805">
        <f t="shared" si="236"/>
        <v>130870.30336055034</v>
      </c>
      <c r="N890" s="805">
        <f t="shared" si="236"/>
        <v>1007770.4222497696</v>
      </c>
      <c r="O890" s="805">
        <f>+O888+O889</f>
        <v>33067.163057107035</v>
      </c>
      <c r="P890" s="805">
        <f t="shared" si="236"/>
        <v>68974.450548566849</v>
      </c>
      <c r="Q890" s="805">
        <f t="shared" si="236"/>
        <v>5743.9897356880711</v>
      </c>
      <c r="R890" s="805">
        <f>+R888+R889</f>
        <v>3651.588558453539</v>
      </c>
      <c r="S890" s="805">
        <f>+S888+S889</f>
        <v>9270.0780999896961</v>
      </c>
      <c r="T890" s="912"/>
      <c r="U890" s="235">
        <f>SUM(I890:T890)</f>
        <v>10790173.589999998</v>
      </c>
      <c r="V890" s="64"/>
      <c r="W890" s="1099" t="b">
        <f>' WP II-I-1.4'!$L$890=U890</f>
        <v>1</v>
      </c>
      <c r="X890" s="305">
        <f t="shared" si="224"/>
        <v>0</v>
      </c>
    </row>
    <row r="891" spans="1:24" ht="15" x14ac:dyDescent="0.25">
      <c r="A891" s="45"/>
      <c r="B891" s="16">
        <f t="shared" si="235"/>
        <v>5</v>
      </c>
      <c r="C891" s="1"/>
      <c r="D891" s="24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"/>
      <c r="V891" s="64"/>
      <c r="X891" s="305">
        <f t="shared" si="224"/>
        <v>0</v>
      </c>
    </row>
    <row r="892" spans="1:24" x14ac:dyDescent="0.2">
      <c r="A892" s="45"/>
      <c r="B892" s="16">
        <f t="shared" si="235"/>
        <v>6</v>
      </c>
      <c r="C892" s="1" t="s">
        <v>205</v>
      </c>
      <c r="D892" s="1" t="s">
        <v>206</v>
      </c>
      <c r="E892" s="16"/>
      <c r="F892" s="97">
        <f>' WP II-I-1.4'!L892</f>
        <v>107858</v>
      </c>
      <c r="G892" s="16" t="s">
        <v>751</v>
      </c>
      <c r="H892" s="45" t="s">
        <v>303</v>
      </c>
      <c r="I892" s="16"/>
      <c r="J892" s="369">
        <f>'II-I-DIST'!J892+'II-I-MET'!J892+'II-I-TBILLTDCS'!J892</f>
        <v>56306.564964207057</v>
      </c>
      <c r="K892" s="369">
        <f>'II-I-DIST'!K892+'II-I-MET'!K892+'II-I-TBILLTDCS'!K892</f>
        <v>7898.9709464186153</v>
      </c>
      <c r="L892" s="369">
        <f>'II-I-DIST'!L892+'II-I-MET'!L892+'II-I-TBILLTDCS'!L892</f>
        <v>31064.088658936325</v>
      </c>
      <c r="M892" s="369">
        <f>'II-I-DIST'!M892+'II-I-MET'!M892+'II-I-TBILLTDCS'!M892</f>
        <v>1308.1725759207402</v>
      </c>
      <c r="N892" s="369">
        <f>'II-I-DIST'!N892+'II-I-MET'!N892+'II-I-TBILLTDCS'!N892</f>
        <v>10073.619418296646</v>
      </c>
      <c r="O892" s="369">
        <f>'II-I-DIST'!O892+'II-I-MET'!O892+'II-I-TBILLTDCS'!O892</f>
        <v>330.53759916511694</v>
      </c>
      <c r="P892" s="369">
        <f>'II-I-DIST'!P892+'II-I-MET'!P892+'II-I-TBILLTDCS'!P892</f>
        <v>689.46493077386378</v>
      </c>
      <c r="Q892" s="369">
        <f>'II-I-DIST'!Q892+'II-I-MET'!Q892+'II-I-TBILLTDCS'!Q892</f>
        <v>57.416615195700857</v>
      </c>
      <c r="R892" s="369">
        <f>'II-I-DIST'!R892+'II-I-MET'!R892+'II-I-TBILLTDCS'!R892</f>
        <v>36.501084570381025</v>
      </c>
      <c r="S892" s="369">
        <f>'II-I-DIST'!S892+'II-I-MET'!S892+'II-I-TBILLTDCS'!S892</f>
        <v>92.663206515539358</v>
      </c>
      <c r="T892" s="16"/>
      <c r="U892" s="97">
        <f>SUM(I892:T892)</f>
        <v>107857.99999999999</v>
      </c>
      <c r="V892" s="64"/>
      <c r="W892" s="1099" t="b">
        <f>' WP II-I-1.4'!$L$892=U892</f>
        <v>1</v>
      </c>
      <c r="X892" s="305">
        <f t="shared" si="224"/>
        <v>0</v>
      </c>
    </row>
    <row r="893" spans="1:24" x14ac:dyDescent="0.2">
      <c r="A893" s="45"/>
      <c r="B893" s="16">
        <f t="shared" si="235"/>
        <v>7</v>
      </c>
      <c r="C893" s="1" t="s">
        <v>211</v>
      </c>
      <c r="D893" s="1" t="s">
        <v>212</v>
      </c>
      <c r="E893" s="16"/>
      <c r="F893" s="97">
        <f>' WP II-I-1.4'!L893</f>
        <v>0</v>
      </c>
      <c r="G893" s="16" t="s">
        <v>751</v>
      </c>
      <c r="H893" s="45" t="s">
        <v>303</v>
      </c>
      <c r="I893" s="16"/>
      <c r="J893" s="369">
        <f>'II-I-DIST'!J893+'II-I-MET'!J893+'II-I-TBILLTDCS'!J893</f>
        <v>0</v>
      </c>
      <c r="K893" s="369">
        <f>'II-I-DIST'!K893+'II-I-MET'!K893+'II-I-TBILLTDCS'!K893</f>
        <v>0</v>
      </c>
      <c r="L893" s="369">
        <f>'II-I-DIST'!L893+'II-I-MET'!L893+'II-I-TBILLTDCS'!L893</f>
        <v>0</v>
      </c>
      <c r="M893" s="369">
        <f>'II-I-DIST'!M893+'II-I-MET'!M893+'II-I-TBILLTDCS'!M893</f>
        <v>0</v>
      </c>
      <c r="N893" s="369">
        <f>'II-I-DIST'!N893+'II-I-MET'!N893+'II-I-TBILLTDCS'!N893</f>
        <v>0</v>
      </c>
      <c r="O893" s="369">
        <f>'II-I-DIST'!O893+'II-I-MET'!O893+'II-I-TBILLTDCS'!O893</f>
        <v>0</v>
      </c>
      <c r="P893" s="369">
        <f>'II-I-DIST'!P893+'II-I-MET'!P893+'II-I-TBILLTDCS'!P893</f>
        <v>0</v>
      </c>
      <c r="Q893" s="369">
        <f>'II-I-DIST'!Q893+'II-I-MET'!Q893+'II-I-TBILLTDCS'!Q893</f>
        <v>0</v>
      </c>
      <c r="R893" s="369">
        <f>'II-I-DIST'!R893+'II-I-MET'!R893+'II-I-TBILLTDCS'!R893</f>
        <v>0</v>
      </c>
      <c r="S893" s="369">
        <f>'II-I-DIST'!S893+'II-I-MET'!S893+'II-I-TBILLTDCS'!S893</f>
        <v>0</v>
      </c>
      <c r="T893" s="16"/>
      <c r="U893" s="97">
        <f>SUM(I893:T893)</f>
        <v>0</v>
      </c>
      <c r="V893" s="64"/>
      <c r="X893" s="305">
        <f t="shared" ref="X893:X956" si="237">U893-F893</f>
        <v>0</v>
      </c>
    </row>
    <row r="894" spans="1:24" x14ac:dyDescent="0.2">
      <c r="A894" s="45"/>
      <c r="B894" s="16">
        <f t="shared" si="235"/>
        <v>8</v>
      </c>
      <c r="C894" s="1" t="s">
        <v>213</v>
      </c>
      <c r="D894" s="29" t="s">
        <v>214</v>
      </c>
      <c r="E894" s="16"/>
      <c r="F894" s="97">
        <f>' WP II-I-1.4'!L894</f>
        <v>0</v>
      </c>
      <c r="G894" s="16" t="s">
        <v>751</v>
      </c>
      <c r="H894" s="45" t="s">
        <v>303</v>
      </c>
      <c r="I894" s="16"/>
      <c r="J894" s="370">
        <f>'II-I-DIST'!J894+'II-I-MET'!J894+'II-I-TBILLTDCS'!J894</f>
        <v>0</v>
      </c>
      <c r="K894" s="370">
        <f>'II-I-DIST'!K894+'II-I-MET'!K894+'II-I-TBILLTDCS'!K894</f>
        <v>0</v>
      </c>
      <c r="L894" s="370">
        <f>'II-I-DIST'!L894+'II-I-MET'!L894+'II-I-TBILLTDCS'!L894</f>
        <v>0</v>
      </c>
      <c r="M894" s="370">
        <f>'II-I-DIST'!M894+'II-I-MET'!M894+'II-I-TBILLTDCS'!M894</f>
        <v>0</v>
      </c>
      <c r="N894" s="370">
        <f>'II-I-DIST'!N894+'II-I-MET'!N894+'II-I-TBILLTDCS'!N894</f>
        <v>0</v>
      </c>
      <c r="O894" s="370">
        <f>'II-I-DIST'!O894+'II-I-MET'!O894+'II-I-TBILLTDCS'!O894</f>
        <v>0</v>
      </c>
      <c r="P894" s="370">
        <f>'II-I-DIST'!P894+'II-I-MET'!P894+'II-I-TBILLTDCS'!P894</f>
        <v>0</v>
      </c>
      <c r="Q894" s="370">
        <f>'II-I-DIST'!Q894+'II-I-MET'!Q894+'II-I-TBILLTDCS'!Q894</f>
        <v>0</v>
      </c>
      <c r="R894" s="370">
        <f>'II-I-DIST'!R894+'II-I-MET'!R894+'II-I-TBILLTDCS'!R894</f>
        <v>0</v>
      </c>
      <c r="S894" s="370">
        <f>'II-I-DIST'!S894+'II-I-MET'!S894+'II-I-TBILLTDCS'!S894</f>
        <v>0</v>
      </c>
      <c r="T894" s="16"/>
      <c r="U894" s="97">
        <f>SUM(I894:T894)</f>
        <v>0</v>
      </c>
      <c r="V894" s="64"/>
      <c r="X894" s="305">
        <f t="shared" si="237"/>
        <v>0</v>
      </c>
    </row>
    <row r="895" spans="1:24" ht="15" x14ac:dyDescent="0.25">
      <c r="A895" s="45"/>
      <c r="B895" s="16">
        <f t="shared" si="235"/>
        <v>9</v>
      </c>
      <c r="C895" s="8"/>
      <c r="D895" s="24" t="s">
        <v>621</v>
      </c>
      <c r="E895" s="19"/>
      <c r="F895" s="21">
        <f>SUM(F892:F894)</f>
        <v>107858</v>
      </c>
      <c r="G895" s="19"/>
      <c r="H895" s="19"/>
      <c r="I895" s="912"/>
      <c r="J895" s="805">
        <f t="shared" ref="J895:Q895" si="238">SUM(J892:J894)</f>
        <v>56306.564964207057</v>
      </c>
      <c r="K895" s="805">
        <f t="shared" si="238"/>
        <v>7898.9709464186153</v>
      </c>
      <c r="L895" s="805">
        <f t="shared" si="238"/>
        <v>31064.088658936325</v>
      </c>
      <c r="M895" s="805">
        <f t="shared" si="238"/>
        <v>1308.1725759207402</v>
      </c>
      <c r="N895" s="805">
        <f t="shared" si="238"/>
        <v>10073.619418296646</v>
      </c>
      <c r="O895" s="805">
        <f>SUM(O892:O894)</f>
        <v>330.53759916511694</v>
      </c>
      <c r="P895" s="805">
        <f t="shared" si="238"/>
        <v>689.46493077386378</v>
      </c>
      <c r="Q895" s="805">
        <f t="shared" si="238"/>
        <v>57.416615195700857</v>
      </c>
      <c r="R895" s="805">
        <f>SUM(R892:R894)</f>
        <v>36.501084570381025</v>
      </c>
      <c r="S895" s="805">
        <f>SUM(S892:S894)</f>
        <v>92.663206515539358</v>
      </c>
      <c r="T895" s="912"/>
      <c r="U895" s="235">
        <f>SUM(I895:T895)</f>
        <v>107857.99999999999</v>
      </c>
      <c r="V895" s="64"/>
      <c r="W895" s="1099" t="b">
        <f>' WP II-I-1.4'!$L$895=U895</f>
        <v>1</v>
      </c>
      <c r="X895" s="305">
        <f t="shared" si="237"/>
        <v>0</v>
      </c>
    </row>
    <row r="896" spans="1:24" ht="15" x14ac:dyDescent="0.25">
      <c r="A896" s="45"/>
      <c r="B896" s="16">
        <f t="shared" si="235"/>
        <v>10</v>
      </c>
      <c r="C896" s="1"/>
      <c r="D896" s="24"/>
      <c r="E896" s="16"/>
      <c r="F896" s="18"/>
      <c r="G896" s="16"/>
      <c r="H896" s="16"/>
      <c r="I896" s="1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6"/>
      <c r="U896" s="1"/>
      <c r="V896" s="64"/>
      <c r="X896" s="305">
        <f t="shared" si="237"/>
        <v>0</v>
      </c>
    </row>
    <row r="897" spans="1:24" ht="15" x14ac:dyDescent="0.25">
      <c r="A897" s="45"/>
      <c r="B897" s="16">
        <f t="shared" si="235"/>
        <v>11</v>
      </c>
      <c r="C897" s="8"/>
      <c r="D897" s="233" t="s">
        <v>622</v>
      </c>
      <c r="E897" s="19"/>
      <c r="F897" s="21">
        <f>+F890+F895</f>
        <v>10898031.59</v>
      </c>
      <c r="G897" s="19"/>
      <c r="H897" s="19"/>
      <c r="I897" s="912"/>
      <c r="J897" s="805">
        <f t="shared" ref="J897:Q897" si="239">+J890+J895</f>
        <v>5689246.2655001543</v>
      </c>
      <c r="K897" s="805">
        <f t="shared" si="239"/>
        <v>798116.3650592654</v>
      </c>
      <c r="L897" s="805">
        <f t="shared" si="239"/>
        <v>3138732.5884000142</v>
      </c>
      <c r="M897" s="805">
        <f t="shared" si="239"/>
        <v>132178.47593647108</v>
      </c>
      <c r="N897" s="805">
        <f t="shared" si="239"/>
        <v>1017844.0416680662</v>
      </c>
      <c r="O897" s="805">
        <f>+O890+O895</f>
        <v>33397.700656272151</v>
      </c>
      <c r="P897" s="805">
        <f t="shared" si="239"/>
        <v>69663.915479340707</v>
      </c>
      <c r="Q897" s="805">
        <f t="shared" si="239"/>
        <v>5801.4063508837717</v>
      </c>
      <c r="R897" s="805">
        <f>+R890+R895</f>
        <v>3688.08964302392</v>
      </c>
      <c r="S897" s="805">
        <f>+S890+S895</f>
        <v>9362.7413065052351</v>
      </c>
      <c r="T897" s="912"/>
      <c r="U897" s="235">
        <f>SUM(I897:T897)</f>
        <v>10898031.59</v>
      </c>
      <c r="V897" s="64"/>
      <c r="W897" s="1099" t="b">
        <f>' WP II-I-1.4'!$L$897=U897</f>
        <v>1</v>
      </c>
      <c r="X897" s="305">
        <f t="shared" si="237"/>
        <v>0</v>
      </c>
    </row>
    <row r="898" spans="1:24" x14ac:dyDescent="0.2">
      <c r="A898" s="45"/>
      <c r="B898" s="16">
        <f t="shared" si="235"/>
        <v>12</v>
      </c>
      <c r="C898" s="1"/>
      <c r="D898" s="1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"/>
      <c r="V898" s="64"/>
      <c r="X898" s="305">
        <f t="shared" si="237"/>
        <v>0</v>
      </c>
    </row>
    <row r="899" spans="1:24" ht="15" x14ac:dyDescent="0.25">
      <c r="A899" s="45"/>
      <c r="B899" s="16">
        <f t="shared" si="235"/>
        <v>13</v>
      </c>
      <c r="C899" s="8"/>
      <c r="D899" s="301" t="s">
        <v>623</v>
      </c>
      <c r="E899" s="19" t="s">
        <v>262</v>
      </c>
      <c r="F899" s="21"/>
      <c r="G899" s="19"/>
      <c r="H899" s="19"/>
      <c r="I899" s="912"/>
      <c r="J899" s="961"/>
      <c r="K899" s="961"/>
      <c r="L899" s="961"/>
      <c r="M899" s="961"/>
      <c r="N899" s="961"/>
      <c r="O899" s="961"/>
      <c r="P899" s="961"/>
      <c r="Q899" s="961"/>
      <c r="R899" s="961"/>
      <c r="S899" s="961"/>
      <c r="T899" s="912"/>
      <c r="U899" s="8"/>
      <c r="V899" s="64"/>
      <c r="X899" s="305">
        <f t="shared" si="237"/>
        <v>0</v>
      </c>
    </row>
    <row r="900" spans="1:24" x14ac:dyDescent="0.2">
      <c r="A900" s="45"/>
      <c r="B900" s="16">
        <f t="shared" si="235"/>
        <v>14</v>
      </c>
      <c r="C900" s="1" t="s">
        <v>216</v>
      </c>
      <c r="D900" s="1" t="s">
        <v>217</v>
      </c>
      <c r="E900" s="16"/>
      <c r="F900" s="97">
        <f>' WP II-I-1.4'!L900</f>
        <v>0</v>
      </c>
      <c r="G900" s="16" t="s">
        <v>751</v>
      </c>
      <c r="H900" s="45" t="s">
        <v>303</v>
      </c>
      <c r="I900" s="16"/>
      <c r="J900" s="369">
        <f>'II-I-DIST'!J900+'II-I-MET'!J900+'II-I-TBILLTDCS'!J900</f>
        <v>0</v>
      </c>
      <c r="K900" s="369">
        <f>'II-I-DIST'!K900+'II-I-MET'!K900+'II-I-TBILLTDCS'!K900</f>
        <v>0</v>
      </c>
      <c r="L900" s="369">
        <f>'II-I-DIST'!L900+'II-I-MET'!L900+'II-I-TBILLTDCS'!L900</f>
        <v>0</v>
      </c>
      <c r="M900" s="369">
        <f>'II-I-DIST'!M900+'II-I-MET'!M900+'II-I-TBILLTDCS'!M900</f>
        <v>0</v>
      </c>
      <c r="N900" s="369">
        <f>'II-I-DIST'!N900+'II-I-MET'!N900+'II-I-TBILLTDCS'!N900</f>
        <v>0</v>
      </c>
      <c r="O900" s="369">
        <f>'II-I-DIST'!O900+'II-I-MET'!O900+'II-I-TBILLTDCS'!O900</f>
        <v>0</v>
      </c>
      <c r="P900" s="369">
        <f>'II-I-DIST'!P900+'II-I-MET'!P900+'II-I-TBILLTDCS'!P900</f>
        <v>0</v>
      </c>
      <c r="Q900" s="369">
        <f>'II-I-DIST'!Q900+'II-I-MET'!Q900+'II-I-TBILLTDCS'!Q900</f>
        <v>0</v>
      </c>
      <c r="R900" s="369">
        <f>'II-I-DIST'!R900+'II-I-MET'!R900+'II-I-TBILLTDCS'!R900</f>
        <v>0</v>
      </c>
      <c r="S900" s="369">
        <f>'II-I-DIST'!S900+'II-I-MET'!S900+'II-I-TBILLTDCS'!S900</f>
        <v>0</v>
      </c>
      <c r="T900" s="16"/>
      <c r="U900" s="97">
        <f>SUM(I900:T900)</f>
        <v>0</v>
      </c>
      <c r="V900" s="64"/>
      <c r="X900" s="305">
        <f t="shared" si="237"/>
        <v>0</v>
      </c>
    </row>
    <row r="901" spans="1:24" x14ac:dyDescent="0.2">
      <c r="A901" s="45"/>
      <c r="B901" s="16">
        <f t="shared" si="235"/>
        <v>15</v>
      </c>
      <c r="C901" s="1" t="s">
        <v>219</v>
      </c>
      <c r="D901" s="29" t="s">
        <v>220</v>
      </c>
      <c r="E901" s="16"/>
      <c r="F901" s="97">
        <f>' WP II-I-1.4'!L901</f>
        <v>12000</v>
      </c>
      <c r="G901" s="16" t="s">
        <v>751</v>
      </c>
      <c r="H901" s="45" t="s">
        <v>303</v>
      </c>
      <c r="I901" s="16"/>
      <c r="J901" s="369">
        <f>'II-I-DIST'!J901+'II-I-MET'!J901+'II-I-TBILLTDCS'!J901</f>
        <v>10268.57554281884</v>
      </c>
      <c r="K901" s="369">
        <f>'II-I-DIST'!K901+'II-I-MET'!K901+'II-I-TBILLTDCS'!K901</f>
        <v>851.75429468710206</v>
      </c>
      <c r="L901" s="369">
        <f>'II-I-DIST'!L901+'II-I-MET'!L901+'II-I-TBILLTDCS'!L901</f>
        <v>695.93617789593395</v>
      </c>
      <c r="M901" s="369">
        <f>'II-I-DIST'!M901+'II-I-MET'!M901+'II-I-TBILLTDCS'!M901</f>
        <v>9.29836863310768</v>
      </c>
      <c r="N901" s="369">
        <f>'II-I-DIST'!N901+'II-I-MET'!N901+'II-I-TBILLTDCS'!N901</f>
        <v>20.815295396219998</v>
      </c>
      <c r="O901" s="369">
        <f>'II-I-DIST'!O901+'II-I-MET'!O901+'II-I-TBILLTDCS'!O901</f>
        <v>0.48345584918550294</v>
      </c>
      <c r="P901" s="369">
        <f>'II-I-DIST'!P901+'II-I-MET'!P901+'II-I-TBILLTDCS'!P901</f>
        <v>1.0084355136384724</v>
      </c>
      <c r="Q901" s="369">
        <f>'II-I-DIST'!Q901+'II-I-MET'!Q901+'II-I-TBILLTDCS'!Q901</f>
        <v>151.92081012963587</v>
      </c>
      <c r="R901" s="369">
        <f>'II-I-DIST'!R901+'II-I-MET'!R901+'II-I-TBILLTDCS'!R901</f>
        <v>5.3387762486742658E-2</v>
      </c>
      <c r="S901" s="369">
        <f>'II-I-DIST'!S901+'II-I-MET'!S901+'II-I-TBILLTDCS'!S901</f>
        <v>0.15423131385058991</v>
      </c>
      <c r="T901" s="16"/>
      <c r="U901" s="97">
        <f>SUM(I901:T901)</f>
        <v>12000.000000000002</v>
      </c>
      <c r="V901" s="64"/>
      <c r="W901" s="1099" t="b">
        <f>' WP II-I-1.4'!$L$901=U901</f>
        <v>1</v>
      </c>
      <c r="X901" s="305">
        <f t="shared" si="237"/>
        <v>0</v>
      </c>
    </row>
    <row r="902" spans="1:24" x14ac:dyDescent="0.2">
      <c r="A902" s="45"/>
      <c r="B902" s="16">
        <f t="shared" si="235"/>
        <v>16</v>
      </c>
      <c r="C902" s="1" t="s">
        <v>221</v>
      </c>
      <c r="D902" s="1" t="s">
        <v>222</v>
      </c>
      <c r="E902" s="16"/>
      <c r="F902" s="97">
        <f>' WP II-I-1.4'!L902</f>
        <v>0</v>
      </c>
      <c r="G902" s="16" t="s">
        <v>751</v>
      </c>
      <c r="H902" s="45" t="s">
        <v>303</v>
      </c>
      <c r="I902" s="16"/>
      <c r="J902" s="370">
        <f>'II-I-DIST'!J902+'II-I-MET'!J902+'II-I-TBILLTDCS'!J902</f>
        <v>0</v>
      </c>
      <c r="K902" s="370">
        <f>'II-I-DIST'!K902+'II-I-MET'!K902+'II-I-TBILLTDCS'!K902</f>
        <v>0</v>
      </c>
      <c r="L902" s="370">
        <f>'II-I-DIST'!L902+'II-I-MET'!L902+'II-I-TBILLTDCS'!L902</f>
        <v>0</v>
      </c>
      <c r="M902" s="370">
        <f>'II-I-DIST'!M902+'II-I-MET'!M902+'II-I-TBILLTDCS'!M902</f>
        <v>0</v>
      </c>
      <c r="N902" s="370">
        <f>'II-I-DIST'!N902+'II-I-MET'!N902+'II-I-TBILLTDCS'!N902</f>
        <v>0</v>
      </c>
      <c r="O902" s="370">
        <f>'II-I-DIST'!O902+'II-I-MET'!O902+'II-I-TBILLTDCS'!O902</f>
        <v>0</v>
      </c>
      <c r="P902" s="370">
        <f>'II-I-DIST'!P902+'II-I-MET'!P902+'II-I-TBILLTDCS'!P902</f>
        <v>0</v>
      </c>
      <c r="Q902" s="370">
        <f>'II-I-DIST'!Q902+'II-I-MET'!Q902+'II-I-TBILLTDCS'!Q902</f>
        <v>0</v>
      </c>
      <c r="R902" s="370">
        <f>'II-I-DIST'!R902+'II-I-MET'!R902+'II-I-TBILLTDCS'!R902</f>
        <v>0</v>
      </c>
      <c r="S902" s="370">
        <f>'II-I-DIST'!S902+'II-I-MET'!S902+'II-I-TBILLTDCS'!S902</f>
        <v>0</v>
      </c>
      <c r="T902" s="16"/>
      <c r="U902" s="97">
        <f>SUM(I902:T902)</f>
        <v>0</v>
      </c>
      <c r="V902" s="64"/>
      <c r="X902" s="305">
        <f t="shared" si="237"/>
        <v>0</v>
      </c>
    </row>
    <row r="903" spans="1:24" ht="15" x14ac:dyDescent="0.25">
      <c r="A903" s="45"/>
      <c r="B903" s="16">
        <f t="shared" si="235"/>
        <v>17</v>
      </c>
      <c r="C903" s="8"/>
      <c r="D903" s="24" t="s">
        <v>624</v>
      </c>
      <c r="E903" s="19"/>
      <c r="F903" s="21">
        <f>SUM(F900:F902)</f>
        <v>12000</v>
      </c>
      <c r="G903" s="19"/>
      <c r="H903" s="19"/>
      <c r="I903" s="912"/>
      <c r="J903" s="805">
        <f t="shared" ref="J903:Q903" si="240">SUM(J900:J902)</f>
        <v>10268.57554281884</v>
      </c>
      <c r="K903" s="805">
        <f t="shared" si="240"/>
        <v>851.75429468710206</v>
      </c>
      <c r="L903" s="805">
        <f t="shared" si="240"/>
        <v>695.93617789593395</v>
      </c>
      <c r="M903" s="805">
        <f t="shared" si="240"/>
        <v>9.29836863310768</v>
      </c>
      <c r="N903" s="805">
        <f t="shared" si="240"/>
        <v>20.815295396219998</v>
      </c>
      <c r="O903" s="805">
        <f>SUM(O900:O902)</f>
        <v>0.48345584918550294</v>
      </c>
      <c r="P903" s="805">
        <f t="shared" si="240"/>
        <v>1.0084355136384724</v>
      </c>
      <c r="Q903" s="805">
        <f t="shared" si="240"/>
        <v>151.92081012963587</v>
      </c>
      <c r="R903" s="805">
        <f>SUM(R900:R902)</f>
        <v>5.3387762486742658E-2</v>
      </c>
      <c r="S903" s="805">
        <f>SUM(S900:S902)</f>
        <v>0.15423131385058991</v>
      </c>
      <c r="T903" s="912"/>
      <c r="U903" s="235">
        <f>SUM(I903:T903)</f>
        <v>12000.000000000002</v>
      </c>
      <c r="V903" s="64"/>
      <c r="W903" s="1099" t="b">
        <f>' WP II-I-1.4'!$L$903=U903</f>
        <v>1</v>
      </c>
      <c r="X903" s="305">
        <f t="shared" si="237"/>
        <v>0</v>
      </c>
    </row>
    <row r="904" spans="1:24" x14ac:dyDescent="0.2">
      <c r="A904" s="45"/>
      <c r="B904" s="16">
        <f t="shared" si="235"/>
        <v>18</v>
      </c>
      <c r="C904" s="1"/>
      <c r="D904" s="1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"/>
      <c r="V904" s="64"/>
      <c r="X904" s="305">
        <f t="shared" si="237"/>
        <v>0</v>
      </c>
    </row>
    <row r="905" spans="1:24" x14ac:dyDescent="0.2">
      <c r="A905" s="45"/>
      <c r="B905" s="16">
        <f t="shared" si="235"/>
        <v>19</v>
      </c>
      <c r="C905" s="1" t="s">
        <v>218</v>
      </c>
      <c r="D905" s="1" t="s">
        <v>206</v>
      </c>
      <c r="E905" s="16"/>
      <c r="F905" s="97">
        <f>' WP II-I-1.4'!L905</f>
        <v>0</v>
      </c>
      <c r="G905" s="16" t="s">
        <v>751</v>
      </c>
      <c r="H905" s="45" t="s">
        <v>303</v>
      </c>
      <c r="I905" s="16"/>
      <c r="J905" s="369">
        <f>'II-I-DIST'!J905+'II-I-MET'!J905+'II-I-TBILLTDCS'!J905</f>
        <v>0</v>
      </c>
      <c r="K905" s="369">
        <f>'II-I-DIST'!K905+'II-I-MET'!K905+'II-I-TBILLTDCS'!K905</f>
        <v>0</v>
      </c>
      <c r="L905" s="369">
        <f>'II-I-DIST'!L905+'II-I-MET'!L905+'II-I-TBILLTDCS'!L905</f>
        <v>0</v>
      </c>
      <c r="M905" s="369">
        <f>'II-I-DIST'!M905+'II-I-MET'!M905+'II-I-TBILLTDCS'!M905</f>
        <v>0</v>
      </c>
      <c r="N905" s="369">
        <f>'II-I-DIST'!N905+'II-I-MET'!N905+'II-I-TBILLTDCS'!N905</f>
        <v>0</v>
      </c>
      <c r="O905" s="369">
        <f>'II-I-DIST'!O905+'II-I-MET'!O905+'II-I-TBILLTDCS'!O905</f>
        <v>0</v>
      </c>
      <c r="P905" s="369">
        <f>'II-I-DIST'!P905+'II-I-MET'!P905+'II-I-TBILLTDCS'!P905</f>
        <v>0</v>
      </c>
      <c r="Q905" s="369">
        <f>'II-I-DIST'!Q905+'II-I-MET'!Q905+'II-I-TBILLTDCS'!Q905</f>
        <v>0</v>
      </c>
      <c r="R905" s="369">
        <f>'II-I-DIST'!R905+'II-I-MET'!R905+'II-I-TBILLTDCS'!R905</f>
        <v>0</v>
      </c>
      <c r="S905" s="369">
        <f>'II-I-DIST'!S905+'II-I-MET'!S905+'II-I-TBILLTDCS'!S905</f>
        <v>0</v>
      </c>
      <c r="T905" s="16"/>
      <c r="U905" s="97">
        <f>SUM(I905:T905)</f>
        <v>0</v>
      </c>
      <c r="V905" s="64"/>
      <c r="X905" s="305">
        <f t="shared" si="237"/>
        <v>0</v>
      </c>
    </row>
    <row r="906" spans="1:24" x14ac:dyDescent="0.2">
      <c r="A906" s="45"/>
      <c r="B906" s="16">
        <f t="shared" si="235"/>
        <v>20</v>
      </c>
      <c r="C906" s="1" t="s">
        <v>223</v>
      </c>
      <c r="D906" s="1" t="s">
        <v>625</v>
      </c>
      <c r="E906" s="16"/>
      <c r="F906" s="97">
        <f>' WP II-I-1.4'!L906</f>
        <v>0</v>
      </c>
      <c r="G906" s="16" t="s">
        <v>751</v>
      </c>
      <c r="H906" s="45" t="s">
        <v>303</v>
      </c>
      <c r="I906" s="16"/>
      <c r="J906" s="370">
        <f>'II-I-DIST'!J906+'II-I-MET'!J906+'II-I-TBILLTDCS'!J906</f>
        <v>0</v>
      </c>
      <c r="K906" s="370">
        <f>'II-I-DIST'!K906+'II-I-MET'!K906+'II-I-TBILLTDCS'!K906</f>
        <v>0</v>
      </c>
      <c r="L906" s="370">
        <f>'II-I-DIST'!L906+'II-I-MET'!L906+'II-I-TBILLTDCS'!L906</f>
        <v>0</v>
      </c>
      <c r="M906" s="370">
        <f>'II-I-DIST'!M906+'II-I-MET'!M906+'II-I-TBILLTDCS'!M906</f>
        <v>0</v>
      </c>
      <c r="N906" s="370">
        <f>'II-I-DIST'!N906+'II-I-MET'!N906+'II-I-TBILLTDCS'!N906</f>
        <v>0</v>
      </c>
      <c r="O906" s="370">
        <f>'II-I-DIST'!O906+'II-I-MET'!O906+'II-I-TBILLTDCS'!O906</f>
        <v>0</v>
      </c>
      <c r="P906" s="370">
        <f>'II-I-DIST'!P906+'II-I-MET'!P906+'II-I-TBILLTDCS'!P906</f>
        <v>0</v>
      </c>
      <c r="Q906" s="370">
        <f>'II-I-DIST'!Q906+'II-I-MET'!Q906+'II-I-TBILLTDCS'!Q906</f>
        <v>0</v>
      </c>
      <c r="R906" s="370">
        <f>'II-I-DIST'!R906+'II-I-MET'!R906+'II-I-TBILLTDCS'!R906</f>
        <v>0</v>
      </c>
      <c r="S906" s="370">
        <f>'II-I-DIST'!S906+'II-I-MET'!S906+'II-I-TBILLTDCS'!S906</f>
        <v>0</v>
      </c>
      <c r="T906" s="16"/>
      <c r="U906" s="97">
        <f>SUM(I906:T906)</f>
        <v>0</v>
      </c>
      <c r="V906" s="64"/>
      <c r="X906" s="305">
        <f t="shared" si="237"/>
        <v>0</v>
      </c>
    </row>
    <row r="907" spans="1:24" ht="15" x14ac:dyDescent="0.25">
      <c r="A907" s="45"/>
      <c r="B907" s="16">
        <f t="shared" si="235"/>
        <v>21</v>
      </c>
      <c r="C907" s="8"/>
      <c r="D907" s="24" t="s">
        <v>626</v>
      </c>
      <c r="E907" s="19"/>
      <c r="F907" s="21">
        <f>SUM(F905:F906)</f>
        <v>0</v>
      </c>
      <c r="G907" s="19"/>
      <c r="H907" s="19"/>
      <c r="I907" s="912"/>
      <c r="J907" s="805">
        <f t="shared" ref="J907:Q907" si="241">SUM(J905:J906)</f>
        <v>0</v>
      </c>
      <c r="K907" s="805">
        <f t="shared" si="241"/>
        <v>0</v>
      </c>
      <c r="L907" s="805">
        <f t="shared" si="241"/>
        <v>0</v>
      </c>
      <c r="M907" s="805">
        <f t="shared" si="241"/>
        <v>0</v>
      </c>
      <c r="N907" s="805">
        <f t="shared" si="241"/>
        <v>0</v>
      </c>
      <c r="O907" s="805">
        <f>SUM(O905:O906)</f>
        <v>0</v>
      </c>
      <c r="P907" s="805">
        <f t="shared" si="241"/>
        <v>0</v>
      </c>
      <c r="Q907" s="805">
        <f t="shared" si="241"/>
        <v>0</v>
      </c>
      <c r="R907" s="805">
        <f>SUM(R905:R906)</f>
        <v>0</v>
      </c>
      <c r="S907" s="805">
        <f>SUM(S905:S906)</f>
        <v>0</v>
      </c>
      <c r="T907" s="912"/>
      <c r="U907" s="235">
        <f>SUM(I907:T907)</f>
        <v>0</v>
      </c>
      <c r="V907" s="64"/>
      <c r="X907" s="305">
        <f t="shared" si="237"/>
        <v>0</v>
      </c>
    </row>
    <row r="908" spans="1:24" x14ac:dyDescent="0.2">
      <c r="A908" s="45"/>
      <c r="B908" s="16">
        <f t="shared" si="235"/>
        <v>22</v>
      </c>
      <c r="C908" s="1"/>
      <c r="D908" s="1"/>
      <c r="E908" s="16"/>
      <c r="F908" s="18"/>
      <c r="G908" s="16"/>
      <c r="H908" s="16"/>
      <c r="I908" s="1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6"/>
      <c r="U908" s="1"/>
      <c r="V908" s="64"/>
      <c r="X908" s="305">
        <f t="shared" si="237"/>
        <v>0</v>
      </c>
    </row>
    <row r="909" spans="1:24" ht="15" x14ac:dyDescent="0.25">
      <c r="A909" s="45"/>
      <c r="B909" s="16">
        <f t="shared" si="235"/>
        <v>23</v>
      </c>
      <c r="C909" s="8"/>
      <c r="D909" s="233" t="s">
        <v>627</v>
      </c>
      <c r="E909" s="19"/>
      <c r="F909" s="21">
        <f>+F907+F903</f>
        <v>12000</v>
      </c>
      <c r="G909" s="19"/>
      <c r="H909" s="19"/>
      <c r="I909" s="912"/>
      <c r="J909" s="805">
        <f t="shared" ref="J909:Q909" si="242">+J907+J903</f>
        <v>10268.57554281884</v>
      </c>
      <c r="K909" s="805">
        <f t="shared" si="242"/>
        <v>851.75429468710206</v>
      </c>
      <c r="L909" s="805">
        <f t="shared" si="242"/>
        <v>695.93617789593395</v>
      </c>
      <c r="M909" s="805">
        <f t="shared" si="242"/>
        <v>9.29836863310768</v>
      </c>
      <c r="N909" s="805">
        <f t="shared" si="242"/>
        <v>20.815295396219998</v>
      </c>
      <c r="O909" s="805">
        <f>+O907+O903</f>
        <v>0.48345584918550294</v>
      </c>
      <c r="P909" s="805">
        <f t="shared" si="242"/>
        <v>1.0084355136384724</v>
      </c>
      <c r="Q909" s="805">
        <f t="shared" si="242"/>
        <v>151.92081012963587</v>
      </c>
      <c r="R909" s="805">
        <f>+R907+R903</f>
        <v>5.3387762486742658E-2</v>
      </c>
      <c r="S909" s="805">
        <f>+S907+S903</f>
        <v>0.15423131385058991</v>
      </c>
      <c r="T909" s="912"/>
      <c r="U909" s="235">
        <f>SUM(I909:T909)</f>
        <v>12000.000000000002</v>
      </c>
      <c r="V909" s="64"/>
      <c r="W909" s="1099" t="b">
        <f>' WP II-I-1.4'!$L$909=U909</f>
        <v>1</v>
      </c>
      <c r="X909" s="305">
        <f t="shared" si="237"/>
        <v>0</v>
      </c>
    </row>
    <row r="910" spans="1:24" x14ac:dyDescent="0.2">
      <c r="A910" s="45"/>
      <c r="B910" s="16">
        <f t="shared" si="235"/>
        <v>24</v>
      </c>
      <c r="C910" s="1"/>
      <c r="D910" s="1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"/>
      <c r="V910" s="64"/>
      <c r="X910" s="305">
        <f t="shared" si="237"/>
        <v>0</v>
      </c>
    </row>
    <row r="911" spans="1:24" ht="15" x14ac:dyDescent="0.25">
      <c r="A911" s="45"/>
      <c r="B911" s="16">
        <f t="shared" si="235"/>
        <v>25</v>
      </c>
      <c r="C911" s="8"/>
      <c r="D911" s="303" t="s">
        <v>268</v>
      </c>
      <c r="E911" s="19" t="s">
        <v>262</v>
      </c>
      <c r="F911" s="21"/>
      <c r="G911" s="19"/>
      <c r="H911" s="19"/>
      <c r="I911" s="912"/>
      <c r="J911" s="961"/>
      <c r="K911" s="961"/>
      <c r="L911" s="961"/>
      <c r="M911" s="961"/>
      <c r="N911" s="961"/>
      <c r="O911" s="961"/>
      <c r="P911" s="961"/>
      <c r="Q911" s="961"/>
      <c r="R911" s="961"/>
      <c r="S911" s="961"/>
      <c r="T911" s="912"/>
      <c r="U911" s="8"/>
      <c r="V911" s="64"/>
      <c r="X911" s="305">
        <f t="shared" si="237"/>
        <v>0</v>
      </c>
    </row>
    <row r="912" spans="1:24" x14ac:dyDescent="0.2">
      <c r="A912" s="45"/>
      <c r="B912" s="16">
        <f t="shared" si="235"/>
        <v>26</v>
      </c>
      <c r="C912" s="1" t="s">
        <v>227</v>
      </c>
      <c r="D912" s="49" t="s">
        <v>628</v>
      </c>
      <c r="E912" s="16"/>
      <c r="F912" s="97">
        <f>' WP II-I-1.4'!L912</f>
        <v>0</v>
      </c>
      <c r="G912" s="16" t="s">
        <v>751</v>
      </c>
      <c r="H912" s="45" t="s">
        <v>303</v>
      </c>
      <c r="I912" s="16"/>
      <c r="J912" s="369">
        <f>'II-I-DIST'!J912+'II-I-MET'!J912+'II-I-TBILLTDCS'!J912</f>
        <v>0</v>
      </c>
      <c r="K912" s="369">
        <f>'II-I-DIST'!K912+'II-I-MET'!K912+'II-I-TBILLTDCS'!K912</f>
        <v>0</v>
      </c>
      <c r="L912" s="369">
        <f>'II-I-DIST'!L912+'II-I-MET'!L912+'II-I-TBILLTDCS'!L912</f>
        <v>0</v>
      </c>
      <c r="M912" s="369">
        <f>'II-I-DIST'!M912+'II-I-MET'!M912+'II-I-TBILLTDCS'!M912</f>
        <v>0</v>
      </c>
      <c r="N912" s="369">
        <f>'II-I-DIST'!N912+'II-I-MET'!N912+'II-I-TBILLTDCS'!N912</f>
        <v>0</v>
      </c>
      <c r="O912" s="369">
        <f>'II-I-DIST'!O912+'II-I-MET'!O912+'II-I-TBILLTDCS'!O912</f>
        <v>0</v>
      </c>
      <c r="P912" s="369">
        <f>'II-I-DIST'!P912+'II-I-MET'!P912+'II-I-TBILLTDCS'!P912</f>
        <v>0</v>
      </c>
      <c r="Q912" s="369">
        <f>'II-I-DIST'!Q912+'II-I-MET'!Q912+'II-I-TBILLTDCS'!Q912</f>
        <v>0</v>
      </c>
      <c r="R912" s="369">
        <f>'II-I-DIST'!R912+'II-I-MET'!R912+'II-I-TBILLTDCS'!R912</f>
        <v>0</v>
      </c>
      <c r="S912" s="369">
        <f>'II-I-DIST'!S912+'II-I-MET'!S912+'II-I-TBILLTDCS'!S912</f>
        <v>0</v>
      </c>
      <c r="T912" s="16"/>
      <c r="U912" s="97">
        <f>SUM(I912:T912)</f>
        <v>0</v>
      </c>
      <c r="V912" s="64"/>
      <c r="X912" s="305">
        <f t="shared" si="237"/>
        <v>0</v>
      </c>
    </row>
    <row r="913" spans="1:24" x14ac:dyDescent="0.2">
      <c r="A913" s="45"/>
      <c r="B913" s="16">
        <f t="shared" si="235"/>
        <v>27</v>
      </c>
      <c r="C913" s="1" t="s">
        <v>229</v>
      </c>
      <c r="D913" s="49" t="s">
        <v>629</v>
      </c>
      <c r="E913" s="16"/>
      <c r="F913" s="97">
        <f>' WP II-I-1.4'!L913</f>
        <v>0</v>
      </c>
      <c r="G913" s="16" t="s">
        <v>751</v>
      </c>
      <c r="H913" s="45" t="s">
        <v>303</v>
      </c>
      <c r="I913" s="16"/>
      <c r="J913" s="369">
        <f>'II-I-DIST'!J913+'II-I-MET'!J913+'II-I-TBILLTDCS'!J913</f>
        <v>0</v>
      </c>
      <c r="K913" s="369">
        <f>'II-I-DIST'!K913+'II-I-MET'!K913+'II-I-TBILLTDCS'!K913</f>
        <v>0</v>
      </c>
      <c r="L913" s="369">
        <f>'II-I-DIST'!L913+'II-I-MET'!L913+'II-I-TBILLTDCS'!L913</f>
        <v>0</v>
      </c>
      <c r="M913" s="369">
        <f>'II-I-DIST'!M913+'II-I-MET'!M913+'II-I-TBILLTDCS'!M913</f>
        <v>0</v>
      </c>
      <c r="N913" s="369">
        <f>'II-I-DIST'!N913+'II-I-MET'!N913+'II-I-TBILLTDCS'!N913</f>
        <v>0</v>
      </c>
      <c r="O913" s="369">
        <f>'II-I-DIST'!O913+'II-I-MET'!O913+'II-I-TBILLTDCS'!O913</f>
        <v>0</v>
      </c>
      <c r="P913" s="369">
        <f>'II-I-DIST'!P913+'II-I-MET'!P913+'II-I-TBILLTDCS'!P913</f>
        <v>0</v>
      </c>
      <c r="Q913" s="369">
        <f>'II-I-DIST'!Q913+'II-I-MET'!Q913+'II-I-TBILLTDCS'!Q913</f>
        <v>0</v>
      </c>
      <c r="R913" s="369">
        <f>'II-I-DIST'!R913+'II-I-MET'!R913+'II-I-TBILLTDCS'!R913</f>
        <v>0</v>
      </c>
      <c r="S913" s="369">
        <f>'II-I-DIST'!S913+'II-I-MET'!S913+'II-I-TBILLTDCS'!S913</f>
        <v>0</v>
      </c>
      <c r="T913" s="16"/>
      <c r="U913" s="97">
        <f>SUM(I913:T913)</f>
        <v>0</v>
      </c>
      <c r="V913" s="64"/>
      <c r="X913" s="305">
        <f t="shared" si="237"/>
        <v>0</v>
      </c>
    </row>
    <row r="914" spans="1:24" x14ac:dyDescent="0.2">
      <c r="A914" s="45"/>
      <c r="B914" s="16">
        <f t="shared" si="235"/>
        <v>28</v>
      </c>
      <c r="C914" s="1" t="s">
        <v>233</v>
      </c>
      <c r="D914" s="49" t="s">
        <v>225</v>
      </c>
      <c r="E914" s="16"/>
      <c r="F914" s="97">
        <f>' WP II-I-1.4'!L914</f>
        <v>0</v>
      </c>
      <c r="G914" s="16" t="s">
        <v>751</v>
      </c>
      <c r="H914" s="45" t="s">
        <v>303</v>
      </c>
      <c r="I914" s="16"/>
      <c r="J914" s="370">
        <f>'II-I-DIST'!J914+'II-I-MET'!J914+'II-I-TBILLTDCS'!J914</f>
        <v>0</v>
      </c>
      <c r="K914" s="370">
        <f>'II-I-DIST'!K914+'II-I-MET'!K914+'II-I-TBILLTDCS'!K914</f>
        <v>0</v>
      </c>
      <c r="L914" s="370">
        <f>'II-I-DIST'!L914+'II-I-MET'!L914+'II-I-TBILLTDCS'!L914</f>
        <v>0</v>
      </c>
      <c r="M914" s="370">
        <f>'II-I-DIST'!M914+'II-I-MET'!M914+'II-I-TBILLTDCS'!M914</f>
        <v>0</v>
      </c>
      <c r="N914" s="370">
        <f>'II-I-DIST'!N914+'II-I-MET'!N914+'II-I-TBILLTDCS'!N914</f>
        <v>0</v>
      </c>
      <c r="O914" s="370">
        <f>'II-I-DIST'!O914+'II-I-MET'!O914+'II-I-TBILLTDCS'!O914</f>
        <v>0</v>
      </c>
      <c r="P914" s="370">
        <f>'II-I-DIST'!P914+'II-I-MET'!P914+'II-I-TBILLTDCS'!P914</f>
        <v>0</v>
      </c>
      <c r="Q914" s="370">
        <f>'II-I-DIST'!Q914+'II-I-MET'!Q914+'II-I-TBILLTDCS'!Q914</f>
        <v>0</v>
      </c>
      <c r="R914" s="370">
        <f>'II-I-DIST'!R914+'II-I-MET'!R914+'II-I-TBILLTDCS'!R914</f>
        <v>0</v>
      </c>
      <c r="S914" s="370">
        <f>'II-I-DIST'!S914+'II-I-MET'!S914+'II-I-TBILLTDCS'!S914</f>
        <v>0</v>
      </c>
      <c r="T914" s="16"/>
      <c r="U914" s="97">
        <f>SUM(I914:T914)</f>
        <v>0</v>
      </c>
      <c r="V914" s="64"/>
      <c r="X914" s="305">
        <f t="shared" si="237"/>
        <v>0</v>
      </c>
    </row>
    <row r="915" spans="1:24" ht="15" x14ac:dyDescent="0.25">
      <c r="A915" s="45"/>
      <c r="B915" s="16">
        <f t="shared" si="235"/>
        <v>29</v>
      </c>
      <c r="C915" s="8"/>
      <c r="D915" s="233" t="s">
        <v>630</v>
      </c>
      <c r="E915" s="19"/>
      <c r="F915" s="21">
        <f>+F912+F913+F914</f>
        <v>0</v>
      </c>
      <c r="G915" s="19"/>
      <c r="H915" s="19"/>
      <c r="I915" s="912"/>
      <c r="J915" s="805">
        <f t="shared" ref="J915:Q915" si="243">+J912+J913+J914</f>
        <v>0</v>
      </c>
      <c r="K915" s="805">
        <f t="shared" si="243"/>
        <v>0</v>
      </c>
      <c r="L915" s="805">
        <f t="shared" si="243"/>
        <v>0</v>
      </c>
      <c r="M915" s="805">
        <f t="shared" si="243"/>
        <v>0</v>
      </c>
      <c r="N915" s="805">
        <f t="shared" si="243"/>
        <v>0</v>
      </c>
      <c r="O915" s="805">
        <f>+O912+O913+O914</f>
        <v>0</v>
      </c>
      <c r="P915" s="805">
        <f t="shared" si="243"/>
        <v>0</v>
      </c>
      <c r="Q915" s="805">
        <f t="shared" si="243"/>
        <v>0</v>
      </c>
      <c r="R915" s="805">
        <f>+R912+R913+R914</f>
        <v>0</v>
      </c>
      <c r="S915" s="805">
        <f>+S912+S913+S914</f>
        <v>0</v>
      </c>
      <c r="T915" s="912"/>
      <c r="U915" s="235">
        <f>SUM(I915:T915)</f>
        <v>0</v>
      </c>
      <c r="V915" s="64"/>
      <c r="W915" s="1099" t="b">
        <f>' WP II-I-1.4'!$L$915=U915</f>
        <v>1</v>
      </c>
      <c r="X915" s="305">
        <f t="shared" si="237"/>
        <v>0</v>
      </c>
    </row>
    <row r="916" spans="1:24" ht="15" x14ac:dyDescent="0.25">
      <c r="A916" s="45"/>
      <c r="B916" s="16">
        <f t="shared" si="235"/>
        <v>30</v>
      </c>
      <c r="C916" s="1"/>
      <c r="D916" s="233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"/>
      <c r="V916" s="64"/>
      <c r="X916" s="305">
        <f t="shared" si="237"/>
        <v>0</v>
      </c>
    </row>
    <row r="917" spans="1:24" x14ac:dyDescent="0.2">
      <c r="A917" s="45"/>
      <c r="B917" s="16">
        <f t="shared" si="235"/>
        <v>31</v>
      </c>
      <c r="C917" s="1" t="s">
        <v>226</v>
      </c>
      <c r="D917" s="49" t="s">
        <v>206</v>
      </c>
      <c r="E917" s="16"/>
      <c r="F917" s="97">
        <f>' WP II-I-1.4'!L917</f>
        <v>0</v>
      </c>
      <c r="G917" s="16" t="s">
        <v>751</v>
      </c>
      <c r="H917" s="45" t="s">
        <v>303</v>
      </c>
      <c r="I917" s="16"/>
      <c r="J917" s="369">
        <f>'II-I-DIST'!J917+'II-I-MET'!J917+'II-I-TBILLTDCS'!J917</f>
        <v>0</v>
      </c>
      <c r="K917" s="369">
        <f>'II-I-DIST'!K917+'II-I-MET'!K917+'II-I-TBILLTDCS'!K917</f>
        <v>0</v>
      </c>
      <c r="L917" s="369">
        <f>'II-I-DIST'!L917+'II-I-MET'!L917+'II-I-TBILLTDCS'!L917</f>
        <v>0</v>
      </c>
      <c r="M917" s="369">
        <f>'II-I-DIST'!M917+'II-I-MET'!M917+'II-I-TBILLTDCS'!M917</f>
        <v>0</v>
      </c>
      <c r="N917" s="369">
        <f>'II-I-DIST'!N917+'II-I-MET'!N917+'II-I-TBILLTDCS'!N917</f>
        <v>0</v>
      </c>
      <c r="O917" s="369">
        <f>'II-I-DIST'!O917+'II-I-MET'!O917+'II-I-TBILLTDCS'!O917</f>
        <v>0</v>
      </c>
      <c r="P917" s="369">
        <f>'II-I-DIST'!P917+'II-I-MET'!P917+'II-I-TBILLTDCS'!P917</f>
        <v>0</v>
      </c>
      <c r="Q917" s="369">
        <f>'II-I-DIST'!Q917+'II-I-MET'!Q917+'II-I-TBILLTDCS'!Q917</f>
        <v>0</v>
      </c>
      <c r="R917" s="369">
        <f>'II-I-DIST'!R917+'II-I-MET'!R917+'II-I-TBILLTDCS'!R917</f>
        <v>0</v>
      </c>
      <c r="S917" s="369">
        <f>'II-I-DIST'!S917+'II-I-MET'!S917+'II-I-TBILLTDCS'!S917</f>
        <v>0</v>
      </c>
      <c r="T917" s="16"/>
      <c r="U917" s="97">
        <f>SUM(I917:T917)</f>
        <v>0</v>
      </c>
      <c r="V917" s="64"/>
      <c r="X917" s="305">
        <f t="shared" si="237"/>
        <v>0</v>
      </c>
    </row>
    <row r="918" spans="1:24" x14ac:dyDescent="0.2">
      <c r="A918" s="45"/>
      <c r="B918" s="16">
        <f t="shared" si="235"/>
        <v>32</v>
      </c>
      <c r="C918" s="1" t="s">
        <v>231</v>
      </c>
      <c r="D918" s="49" t="s">
        <v>631</v>
      </c>
      <c r="E918" s="16"/>
      <c r="F918" s="97">
        <f>' WP II-I-1.4'!L918</f>
        <v>0</v>
      </c>
      <c r="G918" s="16" t="s">
        <v>751</v>
      </c>
      <c r="H918" s="45" t="s">
        <v>303</v>
      </c>
      <c r="I918" s="16"/>
      <c r="J918" s="370">
        <f>'II-I-DIST'!J918+'II-I-MET'!J918+'II-I-TBILLTDCS'!J918</f>
        <v>0</v>
      </c>
      <c r="K918" s="370">
        <f>'II-I-DIST'!K918+'II-I-MET'!K918+'II-I-TBILLTDCS'!K918</f>
        <v>0</v>
      </c>
      <c r="L918" s="370">
        <f>'II-I-DIST'!L918+'II-I-MET'!L918+'II-I-TBILLTDCS'!L918</f>
        <v>0</v>
      </c>
      <c r="M918" s="370">
        <f>'II-I-DIST'!M918+'II-I-MET'!M918+'II-I-TBILLTDCS'!M918</f>
        <v>0</v>
      </c>
      <c r="N918" s="370">
        <f>'II-I-DIST'!N918+'II-I-MET'!N918+'II-I-TBILLTDCS'!N918</f>
        <v>0</v>
      </c>
      <c r="O918" s="370">
        <f>'II-I-DIST'!O918+'II-I-MET'!O918+'II-I-TBILLTDCS'!O918</f>
        <v>0</v>
      </c>
      <c r="P918" s="370">
        <f>'II-I-DIST'!P918+'II-I-MET'!P918+'II-I-TBILLTDCS'!P918</f>
        <v>0</v>
      </c>
      <c r="Q918" s="370">
        <f>'II-I-DIST'!Q918+'II-I-MET'!Q918+'II-I-TBILLTDCS'!Q918</f>
        <v>0</v>
      </c>
      <c r="R918" s="370">
        <f>'II-I-DIST'!R918+'II-I-MET'!R918+'II-I-TBILLTDCS'!R918</f>
        <v>0</v>
      </c>
      <c r="S918" s="370">
        <f>'II-I-DIST'!S918+'II-I-MET'!S918+'II-I-TBILLTDCS'!S918</f>
        <v>0</v>
      </c>
      <c r="T918" s="16"/>
      <c r="U918" s="97">
        <f>SUM(I918:T918)</f>
        <v>0</v>
      </c>
      <c r="V918" s="64"/>
      <c r="X918" s="305">
        <f t="shared" si="237"/>
        <v>0</v>
      </c>
    </row>
    <row r="919" spans="1:24" ht="15" x14ac:dyDescent="0.25">
      <c r="A919" s="45"/>
      <c r="B919" s="16">
        <f t="shared" si="235"/>
        <v>33</v>
      </c>
      <c r="C919" s="8"/>
      <c r="D919" s="24" t="s">
        <v>632</v>
      </c>
      <c r="E919" s="19"/>
      <c r="F919" s="21">
        <f>SUM(F917:F918)</f>
        <v>0</v>
      </c>
      <c r="G919" s="19"/>
      <c r="H919" s="19"/>
      <c r="I919" s="912"/>
      <c r="J919" s="805">
        <f t="shared" ref="J919:Q919" si="244">SUM(J917:J918)</f>
        <v>0</v>
      </c>
      <c r="K919" s="805">
        <f t="shared" si="244"/>
        <v>0</v>
      </c>
      <c r="L919" s="805">
        <f t="shared" si="244"/>
        <v>0</v>
      </c>
      <c r="M919" s="805">
        <f t="shared" si="244"/>
        <v>0</v>
      </c>
      <c r="N919" s="805">
        <f t="shared" si="244"/>
        <v>0</v>
      </c>
      <c r="O919" s="805">
        <f>SUM(O917:O918)</f>
        <v>0</v>
      </c>
      <c r="P919" s="805">
        <f t="shared" si="244"/>
        <v>0</v>
      </c>
      <c r="Q919" s="805">
        <f t="shared" si="244"/>
        <v>0</v>
      </c>
      <c r="R919" s="805">
        <f>SUM(R917:R918)</f>
        <v>0</v>
      </c>
      <c r="S919" s="805">
        <f>SUM(S917:S918)</f>
        <v>0</v>
      </c>
      <c r="T919" s="19"/>
      <c r="U919" s="235">
        <f>SUM(I919:T919)</f>
        <v>0</v>
      </c>
      <c r="V919" s="64"/>
      <c r="W919" s="1099" t="b">
        <f>' WP II-I-1.4'!$L$919=U919</f>
        <v>1</v>
      </c>
      <c r="X919" s="305">
        <f t="shared" si="237"/>
        <v>0</v>
      </c>
    </row>
    <row r="920" spans="1:24" x14ac:dyDescent="0.2">
      <c r="A920" s="45"/>
      <c r="B920" s="16">
        <f t="shared" si="235"/>
        <v>34</v>
      </c>
      <c r="C920" s="1"/>
      <c r="D920" s="1"/>
      <c r="E920" s="16"/>
      <c r="F920" s="18"/>
      <c r="G920" s="16"/>
      <c r="H920" s="16"/>
      <c r="I920" s="1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6"/>
      <c r="U920" s="1"/>
      <c r="V920" s="64"/>
      <c r="X920" s="305">
        <f t="shared" si="237"/>
        <v>0</v>
      </c>
    </row>
    <row r="921" spans="1:24" ht="15" x14ac:dyDescent="0.25">
      <c r="A921" s="45"/>
      <c r="B921" s="16">
        <f t="shared" si="235"/>
        <v>35</v>
      </c>
      <c r="C921" s="8"/>
      <c r="D921" s="233" t="s">
        <v>633</v>
      </c>
      <c r="E921" s="19"/>
      <c r="F921" s="21">
        <f>+F915+F919</f>
        <v>0</v>
      </c>
      <c r="G921" s="19"/>
      <c r="H921" s="19"/>
      <c r="I921" s="912"/>
      <c r="J921" s="21">
        <f t="shared" ref="J921:Q921" si="245">+J915+J919</f>
        <v>0</v>
      </c>
      <c r="K921" s="21">
        <f t="shared" si="245"/>
        <v>0</v>
      </c>
      <c r="L921" s="21">
        <f t="shared" si="245"/>
        <v>0</v>
      </c>
      <c r="M921" s="21">
        <f t="shared" si="245"/>
        <v>0</v>
      </c>
      <c r="N921" s="21">
        <f t="shared" si="245"/>
        <v>0</v>
      </c>
      <c r="O921" s="21">
        <f>+O915+O919</f>
        <v>0</v>
      </c>
      <c r="P921" s="21">
        <f t="shared" si="245"/>
        <v>0</v>
      </c>
      <c r="Q921" s="21">
        <f t="shared" si="245"/>
        <v>0</v>
      </c>
      <c r="R921" s="21">
        <f>+R915+R919</f>
        <v>0</v>
      </c>
      <c r="S921" s="21">
        <f>+S915+S919</f>
        <v>0</v>
      </c>
      <c r="T921" s="19"/>
      <c r="U921" s="97">
        <f>SUM(I921:T921)</f>
        <v>0</v>
      </c>
      <c r="V921" s="64"/>
      <c r="X921" s="305">
        <f t="shared" si="237"/>
        <v>0</v>
      </c>
    </row>
    <row r="922" spans="1:24" ht="15" thickBot="1" x14ac:dyDescent="0.25">
      <c r="A922" s="45"/>
      <c r="B922" s="16">
        <f t="shared" si="235"/>
        <v>36</v>
      </c>
      <c r="C922" s="1"/>
      <c r="D922" s="49"/>
      <c r="E922" s="16"/>
      <c r="F922" s="18"/>
      <c r="G922" s="16"/>
      <c r="H922" s="16"/>
      <c r="I922" s="1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6"/>
      <c r="U922" s="1"/>
      <c r="V922" s="64"/>
      <c r="X922" s="305">
        <f t="shared" si="237"/>
        <v>0</v>
      </c>
    </row>
    <row r="923" spans="1:24" ht="15.75" thickBot="1" x14ac:dyDescent="0.3">
      <c r="A923" s="45"/>
      <c r="B923" s="16">
        <f t="shared" si="235"/>
        <v>37</v>
      </c>
      <c r="C923" s="779" t="s">
        <v>634</v>
      </c>
      <c r="D923" s="920"/>
      <c r="E923" s="916"/>
      <c r="F923" s="917">
        <f>+F921+F909+F897</f>
        <v>10910031.59</v>
      </c>
      <c r="G923" s="916"/>
      <c r="H923" s="916"/>
      <c r="I923" s="919"/>
      <c r="J923" s="917">
        <f t="shared" ref="J923:Q923" si="246">+J921+J909+J897</f>
        <v>5699514.8410429731</v>
      </c>
      <c r="K923" s="917">
        <f t="shared" si="246"/>
        <v>798968.11935395247</v>
      </c>
      <c r="L923" s="917">
        <f t="shared" si="246"/>
        <v>3139428.5245779101</v>
      </c>
      <c r="M923" s="917">
        <f t="shared" si="246"/>
        <v>132187.77430510419</v>
      </c>
      <c r="N923" s="917">
        <f t="shared" si="246"/>
        <v>1017864.8569634624</v>
      </c>
      <c r="O923" s="917">
        <f>+O921+O909+O897</f>
        <v>33398.184112121337</v>
      </c>
      <c r="P923" s="917">
        <f t="shared" si="246"/>
        <v>69664.923914854342</v>
      </c>
      <c r="Q923" s="917">
        <f t="shared" si="246"/>
        <v>5953.3271610134079</v>
      </c>
      <c r="R923" s="917">
        <f>+R921+R909+R897</f>
        <v>3688.1430307864066</v>
      </c>
      <c r="S923" s="917">
        <f>+S921+S909+S897</f>
        <v>9362.8955378190858</v>
      </c>
      <c r="T923" s="919"/>
      <c r="U923" s="918">
        <f>SUM(I923:T923)</f>
        <v>10910031.589999996</v>
      </c>
      <c r="V923" s="64"/>
      <c r="W923" s="1099" t="b">
        <f>' WP II-I-1.4'!$L$923=U923</f>
        <v>1</v>
      </c>
      <c r="X923" s="305">
        <f t="shared" si="237"/>
        <v>0</v>
      </c>
    </row>
    <row r="924" spans="1:24" ht="15.75" thickBot="1" x14ac:dyDescent="0.3">
      <c r="A924" s="45"/>
      <c r="B924" s="16">
        <f t="shared" si="235"/>
        <v>38</v>
      </c>
      <c r="C924" s="1"/>
      <c r="D924" s="8"/>
      <c r="E924" s="16"/>
      <c r="F924" s="18"/>
      <c r="G924" s="16"/>
      <c r="H924" s="16"/>
      <c r="I924" s="1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6"/>
      <c r="U924" s="1"/>
      <c r="V924" s="64"/>
      <c r="X924" s="305">
        <f t="shared" si="237"/>
        <v>0</v>
      </c>
    </row>
    <row r="925" spans="1:24" ht="15.75" thickBot="1" x14ac:dyDescent="0.3">
      <c r="A925" s="45"/>
      <c r="B925" s="16">
        <f t="shared" si="235"/>
        <v>39</v>
      </c>
      <c r="C925" s="223" t="s">
        <v>1115</v>
      </c>
      <c r="D925" s="224"/>
      <c r="E925" s="309" t="s">
        <v>262</v>
      </c>
      <c r="F925" s="194">
        <f>+F923+F874+F827</f>
        <v>194374363.24999997</v>
      </c>
      <c r="G925" s="309"/>
      <c r="H925" s="402"/>
      <c r="I925" s="403"/>
      <c r="J925" s="381">
        <f t="shared" ref="J925:Q925" ca="1" si="247">+J923+J874+J827</f>
        <v>103357851.75986056</v>
      </c>
      <c r="K925" s="812">
        <f t="shared" ca="1" si="247"/>
        <v>4858427.7142007845</v>
      </c>
      <c r="L925" s="812">
        <f t="shared" ca="1" si="247"/>
        <v>64212915.10480009</v>
      </c>
      <c r="M925" s="812">
        <f t="shared" ca="1" si="247"/>
        <v>576779.48857755237</v>
      </c>
      <c r="N925" s="812">
        <f t="shared" ca="1" si="247"/>
        <v>17341015.366646167</v>
      </c>
      <c r="O925" s="812">
        <f ca="1">+O923+O874+O827</f>
        <v>2096918.1606038117</v>
      </c>
      <c r="P925" s="812">
        <f t="shared" ca="1" si="247"/>
        <v>303358.46357839444</v>
      </c>
      <c r="Q925" s="812">
        <f t="shared" ca="1" si="247"/>
        <v>942475.69682396145</v>
      </c>
      <c r="R925" s="812">
        <f ca="1">+R923+R874+R827</f>
        <v>148882.00362741578</v>
      </c>
      <c r="S925" s="315">
        <f ca="1">+S923+S874+S827</f>
        <v>535739.49128121126</v>
      </c>
      <c r="T925" s="403"/>
      <c r="U925" s="195">
        <f ca="1">SUM(I925:T925)</f>
        <v>194374363.24999994</v>
      </c>
      <c r="V925" s="64"/>
      <c r="W925" s="1099" t="b">
        <f ca="1">' WP II-I-1.4'!$L$925=U925</f>
        <v>1</v>
      </c>
      <c r="X925" s="305">
        <f t="shared" ca="1" si="237"/>
        <v>0</v>
      </c>
    </row>
    <row r="926" spans="1:24" x14ac:dyDescent="0.2">
      <c r="A926" s="45"/>
      <c r="B926" s="16"/>
      <c r="C926" s="16"/>
      <c r="D926" s="16"/>
      <c r="E926" s="16"/>
      <c r="F926" s="16"/>
      <c r="G926" s="16"/>
      <c r="H926" s="105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05"/>
      <c r="V926" s="105"/>
      <c r="X926" s="305"/>
    </row>
    <row r="927" spans="1:24" ht="15" thickBot="1" x14ac:dyDescent="0.25">
      <c r="A927" s="4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64"/>
      <c r="X927" s="305">
        <f t="shared" si="237"/>
        <v>0</v>
      </c>
    </row>
    <row r="928" spans="1:24" ht="15" x14ac:dyDescent="0.25">
      <c r="A928" s="45"/>
      <c r="B928" s="829" t="str">
        <f>+$B$4</f>
        <v>2025 RATE CASE</v>
      </c>
      <c r="C928" s="844"/>
      <c r="D928" s="547"/>
      <c r="F928" s="11"/>
      <c r="U928" s="105"/>
      <c r="X928" s="305">
        <f t="shared" si="237"/>
        <v>0</v>
      </c>
    </row>
    <row r="929" spans="1:24" ht="15" x14ac:dyDescent="0.25">
      <c r="A929" s="45"/>
      <c r="B929" s="826" t="str">
        <f>+$B$5</f>
        <v>ONCOR ELECTRIC DELIVERY COMPANY LLC</v>
      </c>
      <c r="C929" s="8"/>
      <c r="D929" s="548"/>
      <c r="F929" s="11"/>
      <c r="U929" s="105"/>
      <c r="V929" s="64"/>
      <c r="X929" s="305">
        <f t="shared" si="237"/>
        <v>0</v>
      </c>
    </row>
    <row r="930" spans="1:24" ht="15" x14ac:dyDescent="0.25">
      <c r="A930" s="45"/>
      <c r="B930" s="826" t="str">
        <f>+$B$6</f>
        <v>II-I-1-TOT:  CLASS REVENUE REQUIREMENT</v>
      </c>
      <c r="C930" s="82"/>
      <c r="D930" s="548"/>
      <c r="F930" s="11"/>
      <c r="U930" s="11"/>
      <c r="V930" s="64"/>
      <c r="X930" s="305">
        <f t="shared" si="237"/>
        <v>0</v>
      </c>
    </row>
    <row r="931" spans="1:24" ht="15" x14ac:dyDescent="0.25">
      <c r="A931" s="45"/>
      <c r="B931" s="341" t="str">
        <f>+$B$7</f>
        <v>TEST YEAR ENDING 12/31/2024</v>
      </c>
      <c r="C931" s="82"/>
      <c r="D931" s="548"/>
      <c r="F931" s="11"/>
      <c r="U931" s="11"/>
      <c r="V931" s="64"/>
      <c r="X931" s="305">
        <f t="shared" si="237"/>
        <v>0</v>
      </c>
    </row>
    <row r="932" spans="1:24" ht="15" x14ac:dyDescent="0.25">
      <c r="A932" s="45"/>
      <c r="B932" s="341" t="str">
        <f>+$B$8</f>
        <v>SPONSOR:  MATTHEW A. TROXLE</v>
      </c>
      <c r="C932" s="82"/>
      <c r="D932" s="548"/>
      <c r="F932" s="11"/>
      <c r="U932" s="11"/>
      <c r="V932" s="64"/>
      <c r="X932" s="305">
        <f t="shared" si="237"/>
        <v>0</v>
      </c>
    </row>
    <row r="933" spans="1:24" ht="15.75" thickBot="1" x14ac:dyDescent="0.3">
      <c r="A933" s="45"/>
      <c r="B933" s="345"/>
      <c r="C933" s="843"/>
      <c r="D933" s="549"/>
      <c r="F933" s="11"/>
      <c r="U933" s="11"/>
      <c r="V933" s="64"/>
      <c r="X933" s="305">
        <f t="shared" si="237"/>
        <v>0</v>
      </c>
    </row>
    <row r="934" spans="1:24" ht="15" thickBot="1" x14ac:dyDescent="0.25">
      <c r="A934" s="45"/>
      <c r="B934" s="12"/>
      <c r="C934" s="13"/>
      <c r="D934" s="13"/>
      <c r="E934" s="13"/>
      <c r="F934" s="12"/>
      <c r="G934" s="13"/>
      <c r="H934" s="13"/>
      <c r="I934" s="13"/>
      <c r="J934" s="177"/>
      <c r="K934" s="177"/>
      <c r="L934" s="13"/>
      <c r="M934" s="177"/>
      <c r="N934" s="177"/>
      <c r="O934" s="177"/>
      <c r="P934" s="177"/>
      <c r="Q934" s="13"/>
      <c r="R934" s="328" t="str">
        <f>R$10</f>
        <v xml:space="preserve"> </v>
      </c>
      <c r="S934" s="329"/>
      <c r="T934" s="177"/>
      <c r="U934" s="12"/>
      <c r="V934" s="64"/>
      <c r="X934" s="305">
        <f t="shared" si="237"/>
        <v>0</v>
      </c>
    </row>
    <row r="935" spans="1:24" ht="15" x14ac:dyDescent="0.25">
      <c r="A935" s="45"/>
      <c r="B935" s="14" t="s">
        <v>2</v>
      </c>
      <c r="C935" s="14" t="s">
        <v>349</v>
      </c>
      <c r="D935" s="226" t="s">
        <v>1110</v>
      </c>
      <c r="E935" s="14" t="s">
        <v>350</v>
      </c>
      <c r="F935" s="226" t="str">
        <f>F$11</f>
        <v>TOTAL</v>
      </c>
      <c r="G935" s="181" t="s">
        <v>688</v>
      </c>
      <c r="H935" s="181" t="s">
        <v>355</v>
      </c>
      <c r="I935" s="14"/>
      <c r="J935" s="181" t="s">
        <v>679</v>
      </c>
      <c r="K935" s="181" t="s">
        <v>388</v>
      </c>
      <c r="L935" s="14" t="s">
        <v>388</v>
      </c>
      <c r="M935" s="181" t="s">
        <v>389</v>
      </c>
      <c r="N935" s="181" t="s">
        <v>389</v>
      </c>
      <c r="O935" s="181" t="s">
        <v>389</v>
      </c>
      <c r="P935" s="181" t="s">
        <v>390</v>
      </c>
      <c r="Q935" s="14" t="s">
        <v>391</v>
      </c>
      <c r="R935" s="331" t="str">
        <f>R$11</f>
        <v>Wholesale</v>
      </c>
      <c r="S935" s="12" t="str">
        <f>S$11</f>
        <v>Wholesale</v>
      </c>
      <c r="T935" s="181"/>
      <c r="U935" s="14" t="s">
        <v>10</v>
      </c>
      <c r="V935" s="64"/>
      <c r="X935" s="305"/>
    </row>
    <row r="936" spans="1:24" x14ac:dyDescent="0.2">
      <c r="A936" s="45"/>
      <c r="B936" s="14"/>
      <c r="C936" s="14"/>
      <c r="D936" s="14"/>
      <c r="E936" s="14"/>
      <c r="F936" s="14" t="str">
        <f>F$12</f>
        <v>(Dist+Met+Cust)</v>
      </c>
      <c r="G936" s="181" t="s">
        <v>689</v>
      </c>
      <c r="H936" s="181" t="s">
        <v>690</v>
      </c>
      <c r="I936" s="14"/>
      <c r="J936" s="181"/>
      <c r="K936" s="181" t="s">
        <v>680</v>
      </c>
      <c r="L936" s="14" t="s">
        <v>681</v>
      </c>
      <c r="M936" s="181" t="s">
        <v>680</v>
      </c>
      <c r="N936" s="181" t="s">
        <v>681</v>
      </c>
      <c r="O936" s="181" t="s">
        <v>393</v>
      </c>
      <c r="P936" s="181"/>
      <c r="Q936" s="14"/>
      <c r="R936" s="174" t="str">
        <f>R$12</f>
        <v>XFMR</v>
      </c>
      <c r="S936" s="14" t="str">
        <f>S$12</f>
        <v>DLS</v>
      </c>
      <c r="T936" s="181"/>
      <c r="U936" s="14"/>
      <c r="V936" s="64"/>
      <c r="X936" s="305"/>
    </row>
    <row r="937" spans="1:24" ht="15" thickBot="1" x14ac:dyDescent="0.25">
      <c r="A937" s="45"/>
      <c r="B937" s="15"/>
      <c r="C937" s="15"/>
      <c r="D937" s="15"/>
      <c r="E937" s="15"/>
      <c r="F937" s="15" t="s">
        <v>13</v>
      </c>
      <c r="G937" s="15" t="s">
        <v>14</v>
      </c>
      <c r="H937" s="15" t="s">
        <v>15</v>
      </c>
      <c r="I937" s="15"/>
      <c r="J937" s="182" t="str">
        <f t="shared" ref="J937:Q937" si="248">J$13</f>
        <v>(d)</v>
      </c>
      <c r="K937" s="182" t="str">
        <f t="shared" si="248"/>
        <v>(e)</v>
      </c>
      <c r="L937" s="15" t="str">
        <f t="shared" si="248"/>
        <v>(f)</v>
      </c>
      <c r="M937" s="182" t="str">
        <f t="shared" si="248"/>
        <v>(g)</v>
      </c>
      <c r="N937" s="182" t="str">
        <f t="shared" si="248"/>
        <v>(h)</v>
      </c>
      <c r="O937" s="182" t="str">
        <f>O$13</f>
        <v>(i)</v>
      </c>
      <c r="P937" s="182" t="str">
        <f t="shared" si="248"/>
        <v>(j)</v>
      </c>
      <c r="Q937" s="182" t="str">
        <f t="shared" si="248"/>
        <v>(k)</v>
      </c>
      <c r="R937" s="182" t="str">
        <f>R$13</f>
        <v>(l)</v>
      </c>
      <c r="S937" s="15" t="str">
        <f>S$13</f>
        <v>(m)</v>
      </c>
      <c r="T937" s="15"/>
      <c r="U937" s="15" t="s">
        <v>683</v>
      </c>
      <c r="V937" s="64"/>
      <c r="X937" s="305"/>
    </row>
    <row r="938" spans="1:24" ht="15" x14ac:dyDescent="0.25">
      <c r="A938" s="45"/>
      <c r="B938" s="16"/>
      <c r="C938" s="1"/>
      <c r="D938" s="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"/>
      <c r="V938" s="64"/>
      <c r="X938" s="305">
        <f t="shared" si="237"/>
        <v>0</v>
      </c>
    </row>
    <row r="939" spans="1:24" ht="15" x14ac:dyDescent="0.25">
      <c r="A939" s="45"/>
      <c r="B939" s="16">
        <f t="shared" ref="B939:B957" si="249">B938+1</f>
        <v>1</v>
      </c>
      <c r="C939" s="8" t="s">
        <v>1110</v>
      </c>
      <c r="D939" s="8"/>
      <c r="E939" s="19" t="s">
        <v>262</v>
      </c>
      <c r="F939" s="21"/>
      <c r="G939" s="19"/>
      <c r="H939" s="19"/>
      <c r="I939" s="19"/>
      <c r="J939" s="961"/>
      <c r="K939" s="961"/>
      <c r="L939" s="961"/>
      <c r="M939" s="961"/>
      <c r="N939" s="961"/>
      <c r="O939" s="961"/>
      <c r="P939" s="961"/>
      <c r="Q939" s="961"/>
      <c r="R939" s="961"/>
      <c r="S939" s="961"/>
      <c r="T939" s="19"/>
      <c r="U939" s="8"/>
      <c r="V939" s="64"/>
      <c r="X939" s="305">
        <f t="shared" si="237"/>
        <v>0</v>
      </c>
    </row>
    <row r="940" spans="1:24" ht="15" x14ac:dyDescent="0.25">
      <c r="A940" s="45"/>
      <c r="B940" s="16">
        <f t="shared" si="249"/>
        <v>2</v>
      </c>
      <c r="C940" s="1" t="s">
        <v>237</v>
      </c>
      <c r="D940" s="1" t="s">
        <v>238</v>
      </c>
      <c r="E940" s="18"/>
      <c r="F940" s="97">
        <f>' WP II-I-1.4'!L940</f>
        <v>107027241.87999998</v>
      </c>
      <c r="G940" s="16" t="s">
        <v>751</v>
      </c>
      <c r="H940" s="45" t="s">
        <v>303</v>
      </c>
      <c r="I940" s="18"/>
      <c r="J940" s="369">
        <f ca="1">'II-I-DIST'!J940+'II-I-MET'!J940+'II-I-TBILLTDCS'!J940</f>
        <v>55863111.986431241</v>
      </c>
      <c r="K940" s="369">
        <f ca="1">'II-I-DIST'!K940+'II-I-MET'!K940+'II-I-TBILLTDCS'!K940</f>
        <v>3479303.9136826629</v>
      </c>
      <c r="L940" s="369">
        <f ca="1">'II-I-DIST'!L940+'II-I-MET'!L940+'II-I-TBILLTDCS'!L940</f>
        <v>34058390.243113518</v>
      </c>
      <c r="M940" s="369">
        <f ca="1">'II-I-DIST'!M940+'II-I-MET'!M940+'II-I-TBILLTDCS'!M940</f>
        <v>465982.14077659085</v>
      </c>
      <c r="N940" s="369">
        <f ca="1">'II-I-DIST'!N940+'II-I-MET'!N940+'II-I-TBILLTDCS'!N940</f>
        <v>9288268.3089063428</v>
      </c>
      <c r="O940" s="369">
        <f ca="1">'II-I-DIST'!O940+'II-I-MET'!O940+'II-I-TBILLTDCS'!O940</f>
        <v>721224.29458345065</v>
      </c>
      <c r="P940" s="369">
        <f ca="1">'II-I-DIST'!P940+'II-I-MET'!P940+'II-I-TBILLTDCS'!P940</f>
        <v>380567.13082631351</v>
      </c>
      <c r="Q940" s="369">
        <f ca="1">'II-I-DIST'!Q940+'II-I-MET'!Q940+'II-I-TBILLTDCS'!Q940</f>
        <v>2476829.6717735967</v>
      </c>
      <c r="R940" s="369">
        <f ca="1">'II-I-DIST'!R940+'II-I-MET'!R940+'II-I-TBILLTDCS'!R940</f>
        <v>50563.010393724137</v>
      </c>
      <c r="S940" s="369">
        <f ca="1">'II-I-DIST'!S940+'II-I-MET'!S940+'II-I-TBILLTDCS'!S940</f>
        <v>243001.1795125237</v>
      </c>
      <c r="T940" s="18"/>
      <c r="U940" s="235">
        <f t="shared" ref="U940:U953" ca="1" si="250">SUM(I940:T940)</f>
        <v>107027241.87999998</v>
      </c>
      <c r="V940" s="64"/>
      <c r="W940" s="1099" t="b">
        <f ca="1">' WP II-I-1.4'!$L$940=U940</f>
        <v>1</v>
      </c>
      <c r="X940" s="305">
        <f t="shared" ca="1" si="237"/>
        <v>0</v>
      </c>
    </row>
    <row r="941" spans="1:24" x14ac:dyDescent="0.2">
      <c r="A941" s="45"/>
      <c r="B941" s="16">
        <f t="shared" si="249"/>
        <v>3</v>
      </c>
      <c r="C941" s="1" t="s">
        <v>239</v>
      </c>
      <c r="D941" s="1" t="s">
        <v>240</v>
      </c>
      <c r="E941" s="18"/>
      <c r="F941" s="97">
        <f>' WP II-I-1.4'!L941</f>
        <v>0</v>
      </c>
      <c r="G941" s="16" t="s">
        <v>751</v>
      </c>
      <c r="H941" s="45" t="s">
        <v>303</v>
      </c>
      <c r="I941" s="18"/>
      <c r="J941" s="369">
        <f ca="1">'II-I-DIST'!J941+'II-I-MET'!J941+'II-I-TBILLTDCS'!J941</f>
        <v>0</v>
      </c>
      <c r="K941" s="369">
        <f ca="1">'II-I-DIST'!K941+'II-I-MET'!K941+'II-I-TBILLTDCS'!K941</f>
        <v>0</v>
      </c>
      <c r="L941" s="369">
        <f ca="1">'II-I-DIST'!L941+'II-I-MET'!L941+'II-I-TBILLTDCS'!L941</f>
        <v>0</v>
      </c>
      <c r="M941" s="369">
        <f ca="1">'II-I-DIST'!M941+'II-I-MET'!M941+'II-I-TBILLTDCS'!M941</f>
        <v>0</v>
      </c>
      <c r="N941" s="369">
        <f ca="1">'II-I-DIST'!N941+'II-I-MET'!N941+'II-I-TBILLTDCS'!N941</f>
        <v>0</v>
      </c>
      <c r="O941" s="369">
        <f ca="1">'II-I-DIST'!O941+'II-I-MET'!O941+'II-I-TBILLTDCS'!O941</f>
        <v>0</v>
      </c>
      <c r="P941" s="369">
        <f ca="1">'II-I-DIST'!P941+'II-I-MET'!P941+'II-I-TBILLTDCS'!P941</f>
        <v>0</v>
      </c>
      <c r="Q941" s="369">
        <f ca="1">'II-I-DIST'!Q941+'II-I-MET'!Q941+'II-I-TBILLTDCS'!Q941</f>
        <v>0</v>
      </c>
      <c r="R941" s="369">
        <f ca="1">'II-I-DIST'!R941+'II-I-MET'!R941+'II-I-TBILLTDCS'!R941</f>
        <v>0</v>
      </c>
      <c r="S941" s="369">
        <f ca="1">'II-I-DIST'!S941+'II-I-MET'!S941+'II-I-TBILLTDCS'!S941</f>
        <v>0</v>
      </c>
      <c r="T941" s="18"/>
      <c r="U941" s="97">
        <f t="shared" ca="1" si="250"/>
        <v>0</v>
      </c>
      <c r="V941" s="64"/>
      <c r="X941" s="305">
        <f t="shared" ca="1" si="237"/>
        <v>0</v>
      </c>
    </row>
    <row r="942" spans="1:24" x14ac:dyDescent="0.2">
      <c r="A942" s="45"/>
      <c r="B942" s="16">
        <f t="shared" si="249"/>
        <v>4</v>
      </c>
      <c r="C942" s="1" t="s">
        <v>241</v>
      </c>
      <c r="D942" s="1" t="s">
        <v>242</v>
      </c>
      <c r="E942" s="18"/>
      <c r="F942" s="97">
        <f>' WP II-I-1.4'!L942</f>
        <v>0</v>
      </c>
      <c r="G942" s="16" t="s">
        <v>751</v>
      </c>
      <c r="H942" s="45" t="s">
        <v>303</v>
      </c>
      <c r="I942" s="18"/>
      <c r="J942" s="369">
        <f ca="1">'II-I-DIST'!J942+'II-I-MET'!J942+'II-I-TBILLTDCS'!J942</f>
        <v>0</v>
      </c>
      <c r="K942" s="369">
        <f ca="1">'II-I-DIST'!K942+'II-I-MET'!K942+'II-I-TBILLTDCS'!K942</f>
        <v>0</v>
      </c>
      <c r="L942" s="369">
        <f ca="1">'II-I-DIST'!L942+'II-I-MET'!L942+'II-I-TBILLTDCS'!L942</f>
        <v>0</v>
      </c>
      <c r="M942" s="369">
        <f ca="1">'II-I-DIST'!M942+'II-I-MET'!M942+'II-I-TBILLTDCS'!M942</f>
        <v>0</v>
      </c>
      <c r="N942" s="369">
        <f ca="1">'II-I-DIST'!N942+'II-I-MET'!N942+'II-I-TBILLTDCS'!N942</f>
        <v>0</v>
      </c>
      <c r="O942" s="369">
        <f ca="1">'II-I-DIST'!O942+'II-I-MET'!O942+'II-I-TBILLTDCS'!O942</f>
        <v>0</v>
      </c>
      <c r="P942" s="369">
        <f ca="1">'II-I-DIST'!P942+'II-I-MET'!P942+'II-I-TBILLTDCS'!P942</f>
        <v>0</v>
      </c>
      <c r="Q942" s="369">
        <f ca="1">'II-I-DIST'!Q942+'II-I-MET'!Q942+'II-I-TBILLTDCS'!Q942</f>
        <v>0</v>
      </c>
      <c r="R942" s="369">
        <f ca="1">'II-I-DIST'!R942+'II-I-MET'!R942+'II-I-TBILLTDCS'!R942</f>
        <v>0</v>
      </c>
      <c r="S942" s="369">
        <f ca="1">'II-I-DIST'!S942+'II-I-MET'!S942+'II-I-TBILLTDCS'!S942</f>
        <v>0</v>
      </c>
      <c r="T942" s="18"/>
      <c r="U942" s="97">
        <f t="shared" ca="1" si="250"/>
        <v>0</v>
      </c>
      <c r="V942" s="64"/>
      <c r="X942" s="305">
        <f t="shared" ca="1" si="237"/>
        <v>0</v>
      </c>
    </row>
    <row r="943" spans="1:24" x14ac:dyDescent="0.2">
      <c r="A943" s="45"/>
      <c r="B943" s="16">
        <f t="shared" si="249"/>
        <v>5</v>
      </c>
      <c r="C943" s="1" t="s">
        <v>243</v>
      </c>
      <c r="D943" s="1" t="s">
        <v>244</v>
      </c>
      <c r="E943" s="18"/>
      <c r="F943" s="97">
        <f>' WP II-I-1.4'!L943</f>
        <v>0</v>
      </c>
      <c r="G943" s="16" t="s">
        <v>751</v>
      </c>
      <c r="H943" s="45" t="s">
        <v>303</v>
      </c>
      <c r="I943" s="18"/>
      <c r="J943" s="369">
        <f ca="1">'II-I-DIST'!J943+'II-I-MET'!J943+'II-I-TBILLTDCS'!J943</f>
        <v>0</v>
      </c>
      <c r="K943" s="369">
        <f ca="1">'II-I-DIST'!K943+'II-I-MET'!K943+'II-I-TBILLTDCS'!K943</f>
        <v>0</v>
      </c>
      <c r="L943" s="369">
        <f ca="1">'II-I-DIST'!L943+'II-I-MET'!L943+'II-I-TBILLTDCS'!L943</f>
        <v>0</v>
      </c>
      <c r="M943" s="369">
        <f ca="1">'II-I-DIST'!M943+'II-I-MET'!M943+'II-I-TBILLTDCS'!M943</f>
        <v>0</v>
      </c>
      <c r="N943" s="369">
        <f ca="1">'II-I-DIST'!N943+'II-I-MET'!N943+'II-I-TBILLTDCS'!N943</f>
        <v>0</v>
      </c>
      <c r="O943" s="369">
        <f ca="1">'II-I-DIST'!O943+'II-I-MET'!O943+'II-I-TBILLTDCS'!O943</f>
        <v>0</v>
      </c>
      <c r="P943" s="369">
        <f ca="1">'II-I-DIST'!P943+'II-I-MET'!P943+'II-I-TBILLTDCS'!P943</f>
        <v>0</v>
      </c>
      <c r="Q943" s="369">
        <f ca="1">'II-I-DIST'!Q943+'II-I-MET'!Q943+'II-I-TBILLTDCS'!Q943</f>
        <v>0</v>
      </c>
      <c r="R943" s="369">
        <f ca="1">'II-I-DIST'!R943+'II-I-MET'!R943+'II-I-TBILLTDCS'!R943</f>
        <v>0</v>
      </c>
      <c r="S943" s="369">
        <f ca="1">'II-I-DIST'!S943+'II-I-MET'!S943+'II-I-TBILLTDCS'!S943</f>
        <v>0</v>
      </c>
      <c r="T943" s="18"/>
      <c r="U943" s="97">
        <f t="shared" ca="1" si="250"/>
        <v>0</v>
      </c>
      <c r="V943" s="64"/>
      <c r="X943" s="305">
        <f t="shared" ca="1" si="237"/>
        <v>0</v>
      </c>
    </row>
    <row r="944" spans="1:24" x14ac:dyDescent="0.2">
      <c r="A944" s="45"/>
      <c r="B944" s="16">
        <f t="shared" si="249"/>
        <v>6</v>
      </c>
      <c r="C944" s="29" t="s">
        <v>245</v>
      </c>
      <c r="D944" s="1" t="s">
        <v>246</v>
      </c>
      <c r="E944" s="18"/>
      <c r="F944" s="97">
        <f>' WP II-I-1.4'!L944</f>
        <v>0</v>
      </c>
      <c r="G944" s="16" t="s">
        <v>751</v>
      </c>
      <c r="H944" s="45" t="s">
        <v>303</v>
      </c>
      <c r="I944" s="18"/>
      <c r="J944" s="369">
        <f ca="1">'II-I-DIST'!J944+'II-I-MET'!J944+'II-I-TBILLTDCS'!J944</f>
        <v>0</v>
      </c>
      <c r="K944" s="369">
        <f ca="1">'II-I-DIST'!K944+'II-I-MET'!K944+'II-I-TBILLTDCS'!K944</f>
        <v>0</v>
      </c>
      <c r="L944" s="369">
        <f ca="1">'II-I-DIST'!L944+'II-I-MET'!L944+'II-I-TBILLTDCS'!L944</f>
        <v>0</v>
      </c>
      <c r="M944" s="369">
        <f ca="1">'II-I-DIST'!M944+'II-I-MET'!M944+'II-I-TBILLTDCS'!M944</f>
        <v>0</v>
      </c>
      <c r="N944" s="369">
        <f ca="1">'II-I-DIST'!N944+'II-I-MET'!N944+'II-I-TBILLTDCS'!N944</f>
        <v>0</v>
      </c>
      <c r="O944" s="369">
        <f ca="1">'II-I-DIST'!O944+'II-I-MET'!O944+'II-I-TBILLTDCS'!O944</f>
        <v>0</v>
      </c>
      <c r="P944" s="369">
        <f ca="1">'II-I-DIST'!P944+'II-I-MET'!P944+'II-I-TBILLTDCS'!P944</f>
        <v>0</v>
      </c>
      <c r="Q944" s="369">
        <f ca="1">'II-I-DIST'!Q944+'II-I-MET'!Q944+'II-I-TBILLTDCS'!Q944</f>
        <v>0</v>
      </c>
      <c r="R944" s="369">
        <f ca="1">'II-I-DIST'!R944+'II-I-MET'!R944+'II-I-TBILLTDCS'!R944</f>
        <v>0</v>
      </c>
      <c r="S944" s="369">
        <f ca="1">'II-I-DIST'!S944+'II-I-MET'!S944+'II-I-TBILLTDCS'!S944</f>
        <v>0</v>
      </c>
      <c r="T944" s="18"/>
      <c r="U944" s="97">
        <f t="shared" ca="1" si="250"/>
        <v>0</v>
      </c>
      <c r="V944" s="64"/>
      <c r="X944" s="305">
        <f t="shared" ca="1" si="237"/>
        <v>0</v>
      </c>
    </row>
    <row r="945" spans="1:24" x14ac:dyDescent="0.2">
      <c r="A945" s="45"/>
      <c r="B945" s="16">
        <f t="shared" si="249"/>
        <v>7</v>
      </c>
      <c r="C945" s="29" t="s">
        <v>247</v>
      </c>
      <c r="D945" s="1" t="s">
        <v>248</v>
      </c>
      <c r="E945" s="18"/>
      <c r="F945" s="97">
        <f>' WP II-I-1.4'!L945</f>
        <v>0</v>
      </c>
      <c r="G945" s="16" t="s">
        <v>751</v>
      </c>
      <c r="H945" s="45" t="s">
        <v>303</v>
      </c>
      <c r="I945" s="18"/>
      <c r="J945" s="369">
        <f ca="1">'II-I-DIST'!J945+'II-I-MET'!J945+'II-I-TBILLTDCS'!J945</f>
        <v>0</v>
      </c>
      <c r="K945" s="369">
        <f ca="1">'II-I-DIST'!K945+'II-I-MET'!K945+'II-I-TBILLTDCS'!K945</f>
        <v>0</v>
      </c>
      <c r="L945" s="369">
        <f ca="1">'II-I-DIST'!L945+'II-I-MET'!L945+'II-I-TBILLTDCS'!L945</f>
        <v>0</v>
      </c>
      <c r="M945" s="369">
        <f ca="1">'II-I-DIST'!M945+'II-I-MET'!M945+'II-I-TBILLTDCS'!M945</f>
        <v>0</v>
      </c>
      <c r="N945" s="369">
        <f ca="1">'II-I-DIST'!N945+'II-I-MET'!N945+'II-I-TBILLTDCS'!N945</f>
        <v>0</v>
      </c>
      <c r="O945" s="369">
        <f ca="1">'II-I-DIST'!O945+'II-I-MET'!O945+'II-I-TBILLTDCS'!O945</f>
        <v>0</v>
      </c>
      <c r="P945" s="369">
        <f ca="1">'II-I-DIST'!P945+'II-I-MET'!P945+'II-I-TBILLTDCS'!P945</f>
        <v>0</v>
      </c>
      <c r="Q945" s="369">
        <f ca="1">'II-I-DIST'!Q945+'II-I-MET'!Q945+'II-I-TBILLTDCS'!Q945</f>
        <v>0</v>
      </c>
      <c r="R945" s="369">
        <f ca="1">'II-I-DIST'!R945+'II-I-MET'!R945+'II-I-TBILLTDCS'!R945</f>
        <v>0</v>
      </c>
      <c r="S945" s="369">
        <f ca="1">'II-I-DIST'!S945+'II-I-MET'!S945+'II-I-TBILLTDCS'!S945</f>
        <v>0</v>
      </c>
      <c r="T945" s="18"/>
      <c r="U945" s="97">
        <f t="shared" ca="1" si="250"/>
        <v>0</v>
      </c>
      <c r="V945" s="64"/>
      <c r="X945" s="305">
        <f t="shared" ca="1" si="237"/>
        <v>0</v>
      </c>
    </row>
    <row r="946" spans="1:24" x14ac:dyDescent="0.2">
      <c r="A946" s="45"/>
      <c r="B946" s="16">
        <f t="shared" si="249"/>
        <v>8</v>
      </c>
      <c r="C946" s="1" t="s">
        <v>249</v>
      </c>
      <c r="D946" s="1" t="s">
        <v>250</v>
      </c>
      <c r="E946" s="18"/>
      <c r="F946" s="97">
        <f>' WP II-I-1.4'!L946</f>
        <v>0</v>
      </c>
      <c r="G946" s="16" t="s">
        <v>751</v>
      </c>
      <c r="H946" s="45" t="s">
        <v>303</v>
      </c>
      <c r="I946" s="18"/>
      <c r="J946" s="369">
        <f ca="1">'II-I-DIST'!J946+'II-I-MET'!J946+'II-I-TBILLTDCS'!J946</f>
        <v>0</v>
      </c>
      <c r="K946" s="369">
        <f ca="1">'II-I-DIST'!K946+'II-I-MET'!K946+'II-I-TBILLTDCS'!K946</f>
        <v>0</v>
      </c>
      <c r="L946" s="369">
        <f ca="1">'II-I-DIST'!L946+'II-I-MET'!L946+'II-I-TBILLTDCS'!L946</f>
        <v>0</v>
      </c>
      <c r="M946" s="369">
        <f ca="1">'II-I-DIST'!M946+'II-I-MET'!M946+'II-I-TBILLTDCS'!M946</f>
        <v>0</v>
      </c>
      <c r="N946" s="369">
        <f ca="1">'II-I-DIST'!N946+'II-I-MET'!N946+'II-I-TBILLTDCS'!N946</f>
        <v>0</v>
      </c>
      <c r="O946" s="369">
        <f ca="1">'II-I-DIST'!O946+'II-I-MET'!O946+'II-I-TBILLTDCS'!O946</f>
        <v>0</v>
      </c>
      <c r="P946" s="369">
        <f ca="1">'II-I-DIST'!P946+'II-I-MET'!P946+'II-I-TBILLTDCS'!P946</f>
        <v>0</v>
      </c>
      <c r="Q946" s="369">
        <f ca="1">'II-I-DIST'!Q946+'II-I-MET'!Q946+'II-I-TBILLTDCS'!Q946</f>
        <v>0</v>
      </c>
      <c r="R946" s="369">
        <f ca="1">'II-I-DIST'!R946+'II-I-MET'!R946+'II-I-TBILLTDCS'!R946</f>
        <v>0</v>
      </c>
      <c r="S946" s="369">
        <f ca="1">'II-I-DIST'!S946+'II-I-MET'!S946+'II-I-TBILLTDCS'!S946</f>
        <v>0</v>
      </c>
      <c r="T946" s="18"/>
      <c r="U946" s="97">
        <f t="shared" ca="1" si="250"/>
        <v>0</v>
      </c>
      <c r="V946" s="64"/>
      <c r="X946" s="305">
        <f t="shared" ca="1" si="237"/>
        <v>0</v>
      </c>
    </row>
    <row r="947" spans="1:24" x14ac:dyDescent="0.2">
      <c r="A947" s="45"/>
      <c r="B947" s="16">
        <f t="shared" si="249"/>
        <v>9</v>
      </c>
      <c r="C947" s="1" t="s">
        <v>251</v>
      </c>
      <c r="D947" s="1" t="s">
        <v>252</v>
      </c>
      <c r="E947" s="18"/>
      <c r="F947" s="97">
        <f>' WP II-I-1.4'!L947</f>
        <v>0</v>
      </c>
      <c r="G947" s="16" t="s">
        <v>751</v>
      </c>
      <c r="H947" s="45" t="s">
        <v>303</v>
      </c>
      <c r="I947" s="18"/>
      <c r="J947" s="369">
        <f>'II-I-DIST'!J947+'II-I-MET'!J947+'II-I-TBILLTDCS'!J947</f>
        <v>0</v>
      </c>
      <c r="K947" s="369">
        <f>'II-I-DIST'!K947+'II-I-MET'!K947+'II-I-TBILLTDCS'!K947</f>
        <v>0</v>
      </c>
      <c r="L947" s="369">
        <f>'II-I-DIST'!L947+'II-I-MET'!L947+'II-I-TBILLTDCS'!L947</f>
        <v>0</v>
      </c>
      <c r="M947" s="369">
        <f>'II-I-DIST'!M947+'II-I-MET'!M947+'II-I-TBILLTDCS'!M947</f>
        <v>0</v>
      </c>
      <c r="N947" s="369">
        <f>'II-I-DIST'!N947+'II-I-MET'!N947+'II-I-TBILLTDCS'!N947</f>
        <v>0</v>
      </c>
      <c r="O947" s="369">
        <f>'II-I-DIST'!O947+'II-I-MET'!O947+'II-I-TBILLTDCS'!O947</f>
        <v>0</v>
      </c>
      <c r="P947" s="369">
        <f>'II-I-DIST'!P947+'II-I-MET'!P947+'II-I-TBILLTDCS'!P947</f>
        <v>0</v>
      </c>
      <c r="Q947" s="369">
        <f>'II-I-DIST'!Q947+'II-I-MET'!Q947+'II-I-TBILLTDCS'!Q947</f>
        <v>0</v>
      </c>
      <c r="R947" s="369">
        <f>'II-I-DIST'!R947+'II-I-MET'!R947+'II-I-TBILLTDCS'!R947</f>
        <v>0</v>
      </c>
      <c r="S947" s="369">
        <f>'II-I-DIST'!S947+'II-I-MET'!S947+'II-I-TBILLTDCS'!S947</f>
        <v>0</v>
      </c>
      <c r="T947" s="18"/>
      <c r="U947" s="97">
        <f t="shared" si="250"/>
        <v>0</v>
      </c>
      <c r="V947" s="64"/>
      <c r="X947" s="305">
        <f t="shared" si="237"/>
        <v>0</v>
      </c>
    </row>
    <row r="948" spans="1:24" x14ac:dyDescent="0.2">
      <c r="A948" s="45"/>
      <c r="B948" s="16">
        <f t="shared" si="249"/>
        <v>10</v>
      </c>
      <c r="C948" s="1" t="s">
        <v>253</v>
      </c>
      <c r="D948" s="1" t="s">
        <v>254</v>
      </c>
      <c r="E948" s="18"/>
      <c r="F948" s="97">
        <f>' WP II-I-1.4'!L948</f>
        <v>0</v>
      </c>
      <c r="G948" s="16" t="s">
        <v>751</v>
      </c>
      <c r="H948" s="45" t="s">
        <v>303</v>
      </c>
      <c r="I948" s="18"/>
      <c r="J948" s="369">
        <f ca="1">'II-I-DIST'!J948+'II-I-MET'!J948+'II-I-TBILLTDCS'!J948</f>
        <v>0</v>
      </c>
      <c r="K948" s="369">
        <f ca="1">'II-I-DIST'!K948+'II-I-MET'!K948+'II-I-TBILLTDCS'!K948</f>
        <v>0</v>
      </c>
      <c r="L948" s="369">
        <f ca="1">'II-I-DIST'!L948+'II-I-MET'!L948+'II-I-TBILLTDCS'!L948</f>
        <v>0</v>
      </c>
      <c r="M948" s="369">
        <f ca="1">'II-I-DIST'!M948+'II-I-MET'!M948+'II-I-TBILLTDCS'!M948</f>
        <v>0</v>
      </c>
      <c r="N948" s="369">
        <f ca="1">'II-I-DIST'!N948+'II-I-MET'!N948+'II-I-TBILLTDCS'!N948</f>
        <v>0</v>
      </c>
      <c r="O948" s="369">
        <f ca="1">'II-I-DIST'!O948+'II-I-MET'!O948+'II-I-TBILLTDCS'!O948</f>
        <v>0</v>
      </c>
      <c r="P948" s="369">
        <f ca="1">'II-I-DIST'!P948+'II-I-MET'!P948+'II-I-TBILLTDCS'!P948</f>
        <v>0</v>
      </c>
      <c r="Q948" s="369">
        <f ca="1">'II-I-DIST'!Q948+'II-I-MET'!Q948+'II-I-TBILLTDCS'!Q948</f>
        <v>0</v>
      </c>
      <c r="R948" s="369">
        <f ca="1">'II-I-DIST'!R948+'II-I-MET'!R948+'II-I-TBILLTDCS'!R948</f>
        <v>0</v>
      </c>
      <c r="S948" s="369">
        <f ca="1">'II-I-DIST'!S948+'II-I-MET'!S948+'II-I-TBILLTDCS'!S948</f>
        <v>0</v>
      </c>
      <c r="T948" s="18"/>
      <c r="U948" s="97">
        <f t="shared" ca="1" si="250"/>
        <v>0</v>
      </c>
      <c r="V948" s="64"/>
      <c r="X948" s="305">
        <f t="shared" ca="1" si="237"/>
        <v>0</v>
      </c>
    </row>
    <row r="949" spans="1:24" x14ac:dyDescent="0.2">
      <c r="A949" s="45"/>
      <c r="B949" s="16">
        <f t="shared" si="249"/>
        <v>11</v>
      </c>
      <c r="C949" s="1" t="s">
        <v>255</v>
      </c>
      <c r="D949" s="1" t="s">
        <v>256</v>
      </c>
      <c r="E949" s="18"/>
      <c r="F949" s="97">
        <f>' WP II-I-1.4'!L949</f>
        <v>3042.81</v>
      </c>
      <c r="G949" s="16" t="s">
        <v>751</v>
      </c>
      <c r="H949" s="45" t="s">
        <v>303</v>
      </c>
      <c r="I949" s="18"/>
      <c r="J949" s="369">
        <f ca="1">'II-I-DIST'!J949+'II-I-MET'!J949+'II-I-TBILLTDCS'!J949</f>
        <v>1592.7443920637349</v>
      </c>
      <c r="K949" s="369">
        <f ca="1">'II-I-DIST'!K949+'II-I-MET'!K949+'II-I-TBILLTDCS'!K949</f>
        <v>77.10979573668638</v>
      </c>
      <c r="L949" s="369">
        <f ca="1">'II-I-DIST'!L949+'II-I-MET'!L949+'II-I-TBILLTDCS'!L949</f>
        <v>987.26336873723619</v>
      </c>
      <c r="M949" s="369">
        <f ca="1">'II-I-DIST'!M949+'II-I-MET'!M949+'II-I-TBILLTDCS'!M949</f>
        <v>9.2837014723902875</v>
      </c>
      <c r="N949" s="369">
        <f ca="1">'II-I-DIST'!N949+'II-I-MET'!N949+'II-I-TBILLTDCS'!N949</f>
        <v>262.83425774108855</v>
      </c>
      <c r="O949" s="369">
        <f ca="1">'II-I-DIST'!O949+'II-I-MET'!O949+'II-I-TBILLTDCS'!O949</f>
        <v>21.76909562495657</v>
      </c>
      <c r="P949" s="369">
        <f ca="1">'II-I-DIST'!P949+'II-I-MET'!P949+'II-I-TBILLTDCS'!P949</f>
        <v>5.0827008224128845</v>
      </c>
      <c r="Q949" s="369">
        <f ca="1">'II-I-DIST'!Q949+'II-I-MET'!Q949+'II-I-TBILLTDCS'!Q949</f>
        <v>77.141592985211204</v>
      </c>
      <c r="R949" s="369">
        <f ca="1">'II-I-DIST'!R949+'II-I-MET'!R949+'II-I-TBILLTDCS'!R949</f>
        <v>1.5742185526374977</v>
      </c>
      <c r="S949" s="369">
        <f ca="1">'II-I-DIST'!S949+'II-I-MET'!S949+'II-I-TBILLTDCS'!S949</f>
        <v>8.0068762636453616</v>
      </c>
      <c r="T949" s="18"/>
      <c r="U949" s="97">
        <f t="shared" ca="1" si="250"/>
        <v>3042.8099999999995</v>
      </c>
      <c r="V949" s="64"/>
      <c r="X949" s="305">
        <f t="shared" ca="1" si="237"/>
        <v>0</v>
      </c>
    </row>
    <row r="950" spans="1:24" x14ac:dyDescent="0.2">
      <c r="A950" s="45"/>
      <c r="B950" s="16">
        <f t="shared" si="249"/>
        <v>12</v>
      </c>
      <c r="C950" s="29" t="s">
        <v>257</v>
      </c>
      <c r="D950" s="1" t="s">
        <v>189</v>
      </c>
      <c r="E950" s="18"/>
      <c r="F950" s="97">
        <f>' WP II-I-1.4'!L950</f>
        <v>0</v>
      </c>
      <c r="G950" s="16" t="s">
        <v>751</v>
      </c>
      <c r="H950" s="45" t="s">
        <v>303</v>
      </c>
      <c r="I950" s="18"/>
      <c r="J950" s="369">
        <f ca="1">'II-I-DIST'!J950+'II-I-MET'!J950+'II-I-TBILLTDCS'!J950</f>
        <v>0</v>
      </c>
      <c r="K950" s="369">
        <f ca="1">'II-I-DIST'!K950+'II-I-MET'!K950+'II-I-TBILLTDCS'!K950</f>
        <v>0</v>
      </c>
      <c r="L950" s="369">
        <f ca="1">'II-I-DIST'!L950+'II-I-MET'!L950+'II-I-TBILLTDCS'!L950</f>
        <v>0</v>
      </c>
      <c r="M950" s="369">
        <f ca="1">'II-I-DIST'!M950+'II-I-MET'!M950+'II-I-TBILLTDCS'!M950</f>
        <v>0</v>
      </c>
      <c r="N950" s="369">
        <f ca="1">'II-I-DIST'!N950+'II-I-MET'!N950+'II-I-TBILLTDCS'!N950</f>
        <v>0</v>
      </c>
      <c r="O950" s="369">
        <f ca="1">'II-I-DIST'!O950+'II-I-MET'!O950+'II-I-TBILLTDCS'!O950</f>
        <v>0</v>
      </c>
      <c r="P950" s="369">
        <f ca="1">'II-I-DIST'!P950+'II-I-MET'!P950+'II-I-TBILLTDCS'!P950</f>
        <v>0</v>
      </c>
      <c r="Q950" s="369">
        <f ca="1">'II-I-DIST'!Q950+'II-I-MET'!Q950+'II-I-TBILLTDCS'!Q950</f>
        <v>0</v>
      </c>
      <c r="R950" s="369">
        <f ca="1">'II-I-DIST'!R950+'II-I-MET'!R950+'II-I-TBILLTDCS'!R950</f>
        <v>0</v>
      </c>
      <c r="S950" s="369">
        <f ca="1">'II-I-DIST'!S950+'II-I-MET'!S950+'II-I-TBILLTDCS'!S950</f>
        <v>0</v>
      </c>
      <c r="T950" s="18"/>
      <c r="U950" s="97">
        <f t="shared" ca="1" si="250"/>
        <v>0</v>
      </c>
      <c r="V950" s="64"/>
      <c r="X950" s="305">
        <f t="shared" ca="1" si="237"/>
        <v>0</v>
      </c>
    </row>
    <row r="951" spans="1:24" x14ac:dyDescent="0.2">
      <c r="A951" s="45"/>
      <c r="B951" s="16">
        <f t="shared" si="249"/>
        <v>13</v>
      </c>
      <c r="C951" s="29" t="s">
        <v>258</v>
      </c>
      <c r="D951" s="1" t="s">
        <v>259</v>
      </c>
      <c r="E951" s="18"/>
      <c r="F951" s="97">
        <f>' WP II-I-1.4'!L951</f>
        <v>4100.4599999999991</v>
      </c>
      <c r="G951" s="16" t="s">
        <v>751</v>
      </c>
      <c r="H951" s="45" t="s">
        <v>303</v>
      </c>
      <c r="I951" s="18"/>
      <c r="J951" s="369">
        <f ca="1">'II-I-DIST'!J951+'II-I-MET'!J951+'II-I-TBILLTDCS'!J951</f>
        <v>2237.138185384646</v>
      </c>
      <c r="K951" s="369">
        <f ca="1">'II-I-DIST'!K951+'II-I-MET'!K951+'II-I-TBILLTDCS'!K951</f>
        <v>59.21919093887017</v>
      </c>
      <c r="L951" s="369">
        <f ca="1">'II-I-DIST'!L951+'II-I-MET'!L951+'II-I-TBILLTDCS'!L951</f>
        <v>1424.2689001160652</v>
      </c>
      <c r="M951" s="369">
        <f ca="1">'II-I-DIST'!M951+'II-I-MET'!M951+'II-I-TBILLTDCS'!M951</f>
        <v>0.42911219012724927</v>
      </c>
      <c r="N951" s="369">
        <f ca="1">'II-I-DIST'!N951+'II-I-MET'!N951+'II-I-TBILLTDCS'!N951</f>
        <v>269.73437816715864</v>
      </c>
      <c r="O951" s="369">
        <f ca="1">'II-I-DIST'!O951+'II-I-MET'!O951+'II-I-TBILLTDCS'!O951</f>
        <v>31.517361275555857</v>
      </c>
      <c r="P951" s="369">
        <f ca="1">'II-I-DIST'!P951+'II-I-MET'!P951+'II-I-TBILLTDCS'!P951</f>
        <v>5.3193564955447927</v>
      </c>
      <c r="Q951" s="369">
        <f ca="1">'II-I-DIST'!Q951+'II-I-MET'!Q951+'II-I-TBILLTDCS'!Q951</f>
        <v>60.305136596616869</v>
      </c>
      <c r="R951" s="369">
        <f ca="1">'II-I-DIST'!R951+'II-I-MET'!R951+'II-I-TBILLTDCS'!R951</f>
        <v>2.1786031448736818</v>
      </c>
      <c r="S951" s="369">
        <f ca="1">'II-I-DIST'!S951+'II-I-MET'!S951+'II-I-TBILLTDCS'!S951</f>
        <v>10.349775690540895</v>
      </c>
      <c r="T951" s="18"/>
      <c r="U951" s="97">
        <f t="shared" ca="1" si="250"/>
        <v>4100.4599999999991</v>
      </c>
      <c r="V951" s="64"/>
      <c r="X951" s="305">
        <f t="shared" ca="1" si="237"/>
        <v>0</v>
      </c>
    </row>
    <row r="952" spans="1:24" ht="15" thickBot="1" x14ac:dyDescent="0.25">
      <c r="A952" s="45"/>
      <c r="B952" s="16">
        <f t="shared" si="249"/>
        <v>14</v>
      </c>
      <c r="C952" s="26" t="s">
        <v>260</v>
      </c>
      <c r="D952" s="1" t="s">
        <v>259</v>
      </c>
      <c r="E952" s="18"/>
      <c r="F952" s="97">
        <f>' WP II-I-1.4'!L952</f>
        <v>1348614.54</v>
      </c>
      <c r="G952" s="16" t="s">
        <v>751</v>
      </c>
      <c r="H952" s="45" t="s">
        <v>303</v>
      </c>
      <c r="I952" s="18"/>
      <c r="J952" s="369">
        <f ca="1">'II-I-DIST'!J952+'II-I-MET'!J952+'II-I-TBILLTDCS'!J952</f>
        <v>728279.46734779957</v>
      </c>
      <c r="K952" s="369">
        <f ca="1">'II-I-DIST'!K952+'II-I-MET'!K952+'II-I-TBILLTDCS'!K952</f>
        <v>37285.583871148905</v>
      </c>
      <c r="L952" s="369">
        <f ca="1">'II-I-DIST'!L952+'II-I-MET'!L952+'II-I-TBILLTDCS'!L952</f>
        <v>450175.74563509633</v>
      </c>
      <c r="M952" s="369">
        <f ca="1">'II-I-DIST'!M952+'II-I-MET'!M952+'II-I-TBILLTDCS'!M952</f>
        <v>3784.3755089151755</v>
      </c>
      <c r="N952" s="369">
        <f ca="1">'II-I-DIST'!N952+'II-I-MET'!N952+'II-I-TBILLTDCS'!N952</f>
        <v>97027.736113549763</v>
      </c>
      <c r="O952" s="369">
        <f ca="1">'II-I-DIST'!O952+'II-I-MET'!O952+'II-I-TBILLTDCS'!O952</f>
        <v>8959.1941429170947</v>
      </c>
      <c r="P952" s="369">
        <f ca="1">'II-I-DIST'!P952+'II-I-MET'!P952+'II-I-TBILLTDCS'!P952</f>
        <v>3292.2517390119492</v>
      </c>
      <c r="Q952" s="369">
        <f ca="1">'II-I-DIST'!Q952+'II-I-MET'!Q952+'II-I-TBILLTDCS'!Q952</f>
        <v>16255.096708466939</v>
      </c>
      <c r="R952" s="369">
        <f ca="1">'II-I-DIST'!R952+'II-I-MET'!R952+'II-I-TBILLTDCS'!R952</f>
        <v>657.64926746066146</v>
      </c>
      <c r="S952" s="369">
        <f ca="1">'II-I-DIST'!S952+'II-I-MET'!S952+'II-I-TBILLTDCS'!S952</f>
        <v>2897.4396656336899</v>
      </c>
      <c r="T952" s="18"/>
      <c r="U952" s="97">
        <f t="shared" ca="1" si="250"/>
        <v>1348614.54</v>
      </c>
      <c r="V952" s="64"/>
      <c r="X952" s="305">
        <f t="shared" ca="1" si="237"/>
        <v>0</v>
      </c>
    </row>
    <row r="953" spans="1:24" ht="15.75" thickBot="1" x14ac:dyDescent="0.3">
      <c r="A953" s="45"/>
      <c r="B953" s="16">
        <f t="shared" si="249"/>
        <v>15</v>
      </c>
      <c r="C953" s="779" t="s">
        <v>636</v>
      </c>
      <c r="D953" s="924"/>
      <c r="E953" s="917"/>
      <c r="F953" s="917">
        <f>SUM(F940:F952)</f>
        <v>108382999.68999998</v>
      </c>
      <c r="G953" s="917"/>
      <c r="H953" s="917"/>
      <c r="I953" s="925"/>
      <c r="J953" s="971">
        <f t="shared" ref="J953:Q953" ca="1" si="251">SUM(J940:J952)</f>
        <v>56595221.336356491</v>
      </c>
      <c r="K953" s="917">
        <f t="shared" ca="1" si="251"/>
        <v>3516725.8265404874</v>
      </c>
      <c r="L953" s="917">
        <f t="shared" ca="1" si="251"/>
        <v>34510977.521017477</v>
      </c>
      <c r="M953" s="917">
        <f t="shared" ca="1" si="251"/>
        <v>469776.22909916856</v>
      </c>
      <c r="N953" s="917">
        <f t="shared" ca="1" si="251"/>
        <v>9385828.6136558</v>
      </c>
      <c r="O953" s="917">
        <f ca="1">SUM(O940:O952)</f>
        <v>730236.77518326812</v>
      </c>
      <c r="P953" s="917">
        <f t="shared" ca="1" si="251"/>
        <v>383869.78462264343</v>
      </c>
      <c r="Q953" s="917">
        <f t="shared" ca="1" si="251"/>
        <v>2493222.2152116452</v>
      </c>
      <c r="R953" s="917">
        <f ca="1">SUM(R940:R952)</f>
        <v>51224.412482882311</v>
      </c>
      <c r="S953" s="955">
        <f ca="1">SUM(S940:S952)</f>
        <v>245916.97583011157</v>
      </c>
      <c r="T953" s="925"/>
      <c r="U953" s="918">
        <f t="shared" ca="1" si="250"/>
        <v>108382999.68999998</v>
      </c>
      <c r="V953" s="64"/>
      <c r="W953" s="1099">
        <f ca="1">' WP II-I-1.4'!$L$953-U953</f>
        <v>0</v>
      </c>
      <c r="X953" s="305">
        <f t="shared" ca="1" si="237"/>
        <v>0</v>
      </c>
    </row>
    <row r="954" spans="1:24" x14ac:dyDescent="0.2">
      <c r="A954" s="45"/>
      <c r="B954" s="16">
        <f t="shared" si="249"/>
        <v>16</v>
      </c>
      <c r="C954" s="1"/>
      <c r="D954" s="1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"/>
      <c r="V954" s="64"/>
      <c r="X954" s="305">
        <f t="shared" si="237"/>
        <v>0</v>
      </c>
    </row>
    <row r="955" spans="1:24" ht="15" x14ac:dyDescent="0.25">
      <c r="A955" s="45"/>
      <c r="B955" s="16">
        <f t="shared" si="249"/>
        <v>17</v>
      </c>
      <c r="C955" s="8"/>
      <c r="D955" s="233" t="s">
        <v>637</v>
      </c>
      <c r="E955" s="19"/>
      <c r="F955" s="21">
        <f>SUM(F941:F952)</f>
        <v>1355757.81</v>
      </c>
      <c r="G955" s="19"/>
      <c r="H955" s="19"/>
      <c r="I955" s="19"/>
      <c r="J955" s="21">
        <f t="shared" ref="J955:Q955" ca="1" si="252">SUM(J941:J952)</f>
        <v>732109.34992524795</v>
      </c>
      <c r="K955" s="21">
        <f t="shared" ca="1" si="252"/>
        <v>37421.912857824464</v>
      </c>
      <c r="L955" s="21">
        <f t="shared" ca="1" si="252"/>
        <v>452587.27790394961</v>
      </c>
      <c r="M955" s="21">
        <f t="shared" ca="1" si="252"/>
        <v>3794.0883225776929</v>
      </c>
      <c r="N955" s="21">
        <f t="shared" ca="1" si="252"/>
        <v>97560.30474945801</v>
      </c>
      <c r="O955" s="21">
        <f ca="1">SUM(O941:O952)</f>
        <v>9012.4805998176071</v>
      </c>
      <c r="P955" s="21">
        <f t="shared" ca="1" si="252"/>
        <v>3302.653796329907</v>
      </c>
      <c r="Q955" s="21">
        <f t="shared" ca="1" si="252"/>
        <v>16392.543438048768</v>
      </c>
      <c r="R955" s="21">
        <f ca="1">SUM(R941:R952)</f>
        <v>661.40208915817266</v>
      </c>
      <c r="S955" s="21">
        <f ca="1">SUM(S941:S952)</f>
        <v>2915.7963175878763</v>
      </c>
      <c r="T955" s="19"/>
      <c r="U955" s="235">
        <f ca="1">SUM(I955:T955)</f>
        <v>1355757.81</v>
      </c>
      <c r="V955" s="64"/>
      <c r="W955" s="1099" t="b">
        <f ca="1">' WP II-I-1.4'!$L$957=U957</f>
        <v>1</v>
      </c>
      <c r="X955" s="305">
        <f t="shared" ca="1" si="237"/>
        <v>0</v>
      </c>
    </row>
    <row r="956" spans="1:24" ht="15" thickBot="1" x14ac:dyDescent="0.25">
      <c r="A956" s="45"/>
      <c r="B956" s="16">
        <f t="shared" si="249"/>
        <v>18</v>
      </c>
      <c r="C956" s="1"/>
      <c r="D956" s="49"/>
      <c r="E956" s="16"/>
      <c r="F956" s="18"/>
      <c r="G956" s="16"/>
      <c r="H956" s="16"/>
      <c r="I956" s="1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6"/>
      <c r="U956" s="1"/>
      <c r="V956" s="64"/>
      <c r="W956" s="1099"/>
      <c r="X956" s="305">
        <f t="shared" si="237"/>
        <v>0</v>
      </c>
    </row>
    <row r="957" spans="1:24" ht="15.75" thickBot="1" x14ac:dyDescent="0.3">
      <c r="A957" s="45"/>
      <c r="B957" s="16">
        <f t="shared" si="249"/>
        <v>19</v>
      </c>
      <c r="C957" s="223" t="s">
        <v>638</v>
      </c>
      <c r="D957" s="224"/>
      <c r="E957" s="309" t="s">
        <v>262</v>
      </c>
      <c r="F957" s="194">
        <f>+F925+F953</f>
        <v>302757362.93999994</v>
      </c>
      <c r="G957" s="309"/>
      <c r="H957" s="402"/>
      <c r="I957" s="403"/>
      <c r="J957" s="381">
        <f t="shared" ref="J957:Q957" ca="1" si="253">+J925+J953</f>
        <v>159953073.09621704</v>
      </c>
      <c r="K957" s="812">
        <f t="shared" ca="1" si="253"/>
        <v>8375153.5407412723</v>
      </c>
      <c r="L957" s="812">
        <f t="shared" ca="1" si="253"/>
        <v>98723892.625817567</v>
      </c>
      <c r="M957" s="812">
        <f t="shared" ca="1" si="253"/>
        <v>1046555.7176767209</v>
      </c>
      <c r="N957" s="812">
        <f t="shared" ca="1" si="253"/>
        <v>26726843.980301969</v>
      </c>
      <c r="O957" s="812">
        <f ca="1">+O925+O953</f>
        <v>2827154.9357870799</v>
      </c>
      <c r="P957" s="812">
        <f t="shared" ca="1" si="253"/>
        <v>687228.24820103787</v>
      </c>
      <c r="Q957" s="812">
        <f t="shared" ca="1" si="253"/>
        <v>3435697.9120356068</v>
      </c>
      <c r="R957" s="812">
        <f ca="1">+R925+R953</f>
        <v>200106.41611029807</v>
      </c>
      <c r="S957" s="315">
        <f ca="1">+S925+S953</f>
        <v>781656.4671113228</v>
      </c>
      <c r="T957" s="403"/>
      <c r="U957" s="195">
        <f ca="1">SUM(I957:T957)</f>
        <v>302757362.93999988</v>
      </c>
      <c r="V957" s="64"/>
      <c r="W957" s="1099" t="b">
        <f ca="1">' WP II-I-1.4'!$L$957=U957</f>
        <v>1</v>
      </c>
      <c r="X957" s="305">
        <f t="shared" ref="X957:X1025" ca="1" si="254">U957-F957</f>
        <v>0</v>
      </c>
    </row>
    <row r="958" spans="1:24" x14ac:dyDescent="0.2">
      <c r="A958" s="45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X958" s="305">
        <f t="shared" si="254"/>
        <v>0</v>
      </c>
    </row>
    <row r="959" spans="1:24" x14ac:dyDescent="0.2">
      <c r="A959" s="45"/>
      <c r="B959" s="64"/>
      <c r="C959" s="64"/>
      <c r="D959" s="64"/>
      <c r="E959" s="64"/>
      <c r="F959" s="64"/>
      <c r="G959" s="64"/>
      <c r="H959" s="105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105"/>
      <c r="V959" s="105"/>
      <c r="X959" s="305"/>
    </row>
    <row r="960" spans="1:24" ht="15" thickBot="1" x14ac:dyDescent="0.25">
      <c r="A960" s="45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X960" s="305">
        <f t="shared" si="254"/>
        <v>0</v>
      </c>
    </row>
    <row r="961" spans="1:24" ht="15" x14ac:dyDescent="0.25">
      <c r="A961" s="45"/>
      <c r="B961" s="829" t="str">
        <f>+$B$4</f>
        <v>2025 RATE CASE</v>
      </c>
      <c r="C961" s="844"/>
      <c r="D961" s="872"/>
      <c r="F961" s="267"/>
      <c r="U961" s="105"/>
      <c r="X961" s="305">
        <f t="shared" si="254"/>
        <v>0</v>
      </c>
    </row>
    <row r="962" spans="1:24" ht="15" x14ac:dyDescent="0.25">
      <c r="A962" s="45"/>
      <c r="B962" s="826" t="str">
        <f>+$B$5</f>
        <v>ONCOR ELECTRIC DELIVERY COMPANY LLC</v>
      </c>
      <c r="C962" s="8"/>
      <c r="D962" s="873"/>
      <c r="F962" s="267"/>
      <c r="U962" s="105"/>
      <c r="V962" s="64"/>
      <c r="X962" s="305">
        <f t="shared" si="254"/>
        <v>0</v>
      </c>
    </row>
    <row r="963" spans="1:24" ht="15" x14ac:dyDescent="0.25">
      <c r="A963" s="45"/>
      <c r="B963" s="826" t="str">
        <f>+$B$6</f>
        <v>II-I-1-TOT:  CLASS REVENUE REQUIREMENT</v>
      </c>
      <c r="C963" s="82"/>
      <c r="D963" s="873"/>
      <c r="F963" s="267"/>
      <c r="U963" s="267"/>
      <c r="V963" s="64"/>
      <c r="X963" s="305">
        <f t="shared" si="254"/>
        <v>0</v>
      </c>
    </row>
    <row r="964" spans="1:24" ht="15" x14ac:dyDescent="0.25">
      <c r="A964" s="45"/>
      <c r="B964" s="341" t="str">
        <f>+$B$7</f>
        <v>TEST YEAR ENDING 12/31/2024</v>
      </c>
      <c r="C964" s="82"/>
      <c r="D964" s="873"/>
      <c r="F964" s="267"/>
      <c r="U964" s="267"/>
      <c r="V964" s="64"/>
      <c r="X964" s="305">
        <f t="shared" si="254"/>
        <v>0</v>
      </c>
    </row>
    <row r="965" spans="1:24" ht="15" x14ac:dyDescent="0.25">
      <c r="A965" s="45"/>
      <c r="B965" s="341" t="str">
        <f>+$B$8</f>
        <v>SPONSOR:  MATTHEW A. TROXLE</v>
      </c>
      <c r="C965" s="82"/>
      <c r="D965" s="873"/>
      <c r="F965" s="267"/>
      <c r="U965" s="267"/>
      <c r="V965" s="64"/>
      <c r="X965" s="305">
        <f t="shared" si="254"/>
        <v>0</v>
      </c>
    </row>
    <row r="966" spans="1:24" ht="15.75" thickBot="1" x14ac:dyDescent="0.3">
      <c r="A966" s="45"/>
      <c r="B966" s="345"/>
      <c r="C966" s="843"/>
      <c r="D966" s="845"/>
      <c r="F966" s="267"/>
      <c r="U966" s="267"/>
      <c r="V966" s="64"/>
      <c r="X966" s="305">
        <f t="shared" si="254"/>
        <v>0</v>
      </c>
    </row>
    <row r="967" spans="1:24" ht="15" thickBot="1" x14ac:dyDescent="0.25">
      <c r="A967" s="45"/>
      <c r="B967" s="12"/>
      <c r="C967" s="13"/>
      <c r="D967" s="13"/>
      <c r="E967" s="13"/>
      <c r="F967" s="12"/>
      <c r="G967" s="13"/>
      <c r="H967" s="13"/>
      <c r="I967" s="13"/>
      <c r="J967" s="13"/>
      <c r="K967" s="177"/>
      <c r="L967" s="13"/>
      <c r="M967" s="177"/>
      <c r="N967" s="177"/>
      <c r="O967" s="177"/>
      <c r="P967" s="177"/>
      <c r="Q967" s="13"/>
      <c r="R967" s="328" t="str">
        <f>R$10</f>
        <v xml:space="preserve"> </v>
      </c>
      <c r="S967" s="329"/>
      <c r="T967" s="177"/>
      <c r="U967" s="12"/>
      <c r="V967" s="64"/>
      <c r="X967" s="305">
        <f t="shared" si="254"/>
        <v>0</v>
      </c>
    </row>
    <row r="968" spans="1:24" ht="15" x14ac:dyDescent="0.25">
      <c r="A968" s="45"/>
      <c r="B968" s="14" t="s">
        <v>2</v>
      </c>
      <c r="C968" s="14" t="s">
        <v>349</v>
      </c>
      <c r="D968" s="226" t="s">
        <v>639</v>
      </c>
      <c r="E968" s="14" t="s">
        <v>350</v>
      </c>
      <c r="F968" s="226" t="str">
        <f>F$11</f>
        <v>TOTAL</v>
      </c>
      <c r="G968" s="181" t="s">
        <v>688</v>
      </c>
      <c r="H968" s="181" t="s">
        <v>355</v>
      </c>
      <c r="I968" s="14"/>
      <c r="J968" s="14" t="s">
        <v>679</v>
      </c>
      <c r="K968" s="181" t="s">
        <v>388</v>
      </c>
      <c r="L968" s="14" t="s">
        <v>388</v>
      </c>
      <c r="M968" s="181" t="s">
        <v>389</v>
      </c>
      <c r="N968" s="181" t="s">
        <v>389</v>
      </c>
      <c r="O968" s="181" t="s">
        <v>389</v>
      </c>
      <c r="P968" s="181" t="s">
        <v>390</v>
      </c>
      <c r="Q968" s="14" t="s">
        <v>391</v>
      </c>
      <c r="R968" s="331" t="str">
        <f>R$11</f>
        <v>Wholesale</v>
      </c>
      <c r="S968" s="12" t="str">
        <f>S$11</f>
        <v>Wholesale</v>
      </c>
      <c r="T968" s="181"/>
      <c r="U968" s="14" t="s">
        <v>10</v>
      </c>
      <c r="V968" s="64"/>
      <c r="X968" s="305"/>
    </row>
    <row r="969" spans="1:24" x14ac:dyDescent="0.2">
      <c r="A969" s="45"/>
      <c r="B969" s="14"/>
      <c r="C969" s="14"/>
      <c r="D969" s="14"/>
      <c r="E969" s="14"/>
      <c r="F969" s="14" t="str">
        <f>F$12</f>
        <v>(Dist+Met+Cust)</v>
      </c>
      <c r="G969" s="181" t="s">
        <v>689</v>
      </c>
      <c r="H969" s="181" t="s">
        <v>690</v>
      </c>
      <c r="I969" s="14"/>
      <c r="J969" s="14"/>
      <c r="K969" s="181" t="s">
        <v>680</v>
      </c>
      <c r="L969" s="14" t="s">
        <v>681</v>
      </c>
      <c r="M969" s="181" t="s">
        <v>680</v>
      </c>
      <c r="N969" s="181" t="s">
        <v>681</v>
      </c>
      <c r="O969" s="181" t="s">
        <v>393</v>
      </c>
      <c r="P969" s="181"/>
      <c r="Q969" s="14"/>
      <c r="R969" s="174" t="str">
        <f>R$12</f>
        <v>XFMR</v>
      </c>
      <c r="S969" s="14" t="str">
        <f>S$12</f>
        <v>DLS</v>
      </c>
      <c r="T969" s="181"/>
      <c r="U969" s="14"/>
      <c r="V969" s="64"/>
      <c r="X969" s="305"/>
    </row>
    <row r="970" spans="1:24" ht="15" thickBot="1" x14ac:dyDescent="0.25">
      <c r="A970" s="45"/>
      <c r="B970" s="15"/>
      <c r="C970" s="15"/>
      <c r="D970" s="15"/>
      <c r="E970" s="15"/>
      <c r="F970" s="15" t="s">
        <v>13</v>
      </c>
      <c r="G970" s="15" t="s">
        <v>14</v>
      </c>
      <c r="H970" s="15" t="s">
        <v>15</v>
      </c>
      <c r="I970" s="15"/>
      <c r="J970" s="182" t="str">
        <f t="shared" ref="J970:Q970" si="255">J$13</f>
        <v>(d)</v>
      </c>
      <c r="K970" s="182" t="str">
        <f t="shared" si="255"/>
        <v>(e)</v>
      </c>
      <c r="L970" s="15" t="str">
        <f t="shared" si="255"/>
        <v>(f)</v>
      </c>
      <c r="M970" s="182" t="str">
        <f t="shared" si="255"/>
        <v>(g)</v>
      </c>
      <c r="N970" s="182" t="str">
        <f t="shared" si="255"/>
        <v>(h)</v>
      </c>
      <c r="O970" s="182" t="str">
        <f>O$13</f>
        <v>(i)</v>
      </c>
      <c r="P970" s="182" t="str">
        <f t="shared" si="255"/>
        <v>(j)</v>
      </c>
      <c r="Q970" s="182" t="str">
        <f t="shared" si="255"/>
        <v>(k)</v>
      </c>
      <c r="R970" s="182" t="str">
        <f>R$13</f>
        <v>(l)</v>
      </c>
      <c r="S970" s="15" t="str">
        <f>S$13</f>
        <v>(m)</v>
      </c>
      <c r="T970" s="15"/>
      <c r="U970" s="15" t="s">
        <v>683</v>
      </c>
      <c r="V970" s="64"/>
      <c r="X970" s="305"/>
    </row>
    <row r="971" spans="1:24" ht="15" x14ac:dyDescent="0.25">
      <c r="A971" s="45"/>
      <c r="B971" s="64"/>
      <c r="C971" s="268"/>
      <c r="D971" s="268"/>
      <c r="E971" s="35"/>
      <c r="F971" s="268"/>
      <c r="G971" s="35"/>
      <c r="H971" s="35"/>
      <c r="I971" s="35"/>
      <c r="J971" s="806"/>
      <c r="K971" s="806"/>
      <c r="L971" s="806"/>
      <c r="M971" s="806"/>
      <c r="N971" s="806"/>
      <c r="O971" s="806"/>
      <c r="P971" s="806"/>
      <c r="Q971" s="806"/>
      <c r="R971" s="806"/>
      <c r="S971" s="806"/>
      <c r="T971" s="35"/>
      <c r="U971" s="41"/>
      <c r="V971" s="64"/>
      <c r="X971" s="305">
        <f t="shared" si="254"/>
        <v>0</v>
      </c>
    </row>
    <row r="972" spans="1:24" ht="15" x14ac:dyDescent="0.25">
      <c r="A972" s="45"/>
      <c r="B972" s="16">
        <f t="shared" ref="B972:B978" si="256">B971+1</f>
        <v>1</v>
      </c>
      <c r="C972" s="311"/>
      <c r="D972" s="41" t="s">
        <v>272</v>
      </c>
      <c r="E972" s="35" t="s">
        <v>273</v>
      </c>
      <c r="F972" s="312">
        <v>0</v>
      </c>
      <c r="G972" s="16" t="s">
        <v>751</v>
      </c>
      <c r="H972" s="45" t="s">
        <v>303</v>
      </c>
      <c r="I972" s="806"/>
      <c r="J972" s="369">
        <f>'II-I-DIST'!J972+'II-I-MET'!J972+'II-I-TBILLTDCS'!J972</f>
        <v>0</v>
      </c>
      <c r="K972" s="369">
        <f>'II-I-DIST'!K972+'II-I-MET'!K972+'II-I-TBILLTDCS'!K972</f>
        <v>0</v>
      </c>
      <c r="L972" s="369">
        <f>'II-I-DIST'!L972+'II-I-MET'!L972+'II-I-TBILLTDCS'!L972</f>
        <v>0</v>
      </c>
      <c r="M972" s="369">
        <f>'II-I-DIST'!M972+'II-I-MET'!M972+'II-I-TBILLTDCS'!M972</f>
        <v>0</v>
      </c>
      <c r="N972" s="369">
        <f>'II-I-DIST'!N972+'II-I-MET'!N972+'II-I-TBILLTDCS'!N972</f>
        <v>0</v>
      </c>
      <c r="O972" s="369">
        <f>'II-I-DIST'!O972+'II-I-MET'!O972+'II-I-TBILLTDCS'!O972</f>
        <v>0</v>
      </c>
      <c r="P972" s="369">
        <f>'II-I-DIST'!P972+'II-I-MET'!P972+'II-I-TBILLTDCS'!P972</f>
        <v>0</v>
      </c>
      <c r="Q972" s="369">
        <f>'II-I-DIST'!Q972+'II-I-MET'!Q972+'II-I-TBILLTDCS'!Q972</f>
        <v>0</v>
      </c>
      <c r="R972" s="369">
        <f>'II-I-DIST'!R972+'II-I-MET'!R972+'II-I-TBILLTDCS'!R972</f>
        <v>0</v>
      </c>
      <c r="S972" s="369">
        <f>'II-I-DIST'!S972+'II-I-MET'!S972+'II-I-TBILLTDCS'!S972</f>
        <v>0</v>
      </c>
      <c r="T972" s="806"/>
      <c r="U972" s="97">
        <f>SUM(I972:T972)</f>
        <v>0</v>
      </c>
      <c r="V972" s="64"/>
      <c r="X972" s="305">
        <f t="shared" si="254"/>
        <v>0</v>
      </c>
    </row>
    <row r="973" spans="1:24" ht="15" x14ac:dyDescent="0.25">
      <c r="A973" s="45"/>
      <c r="B973" s="16">
        <f t="shared" si="256"/>
        <v>2</v>
      </c>
      <c r="C973" s="269"/>
      <c r="D973" s="41" t="s">
        <v>274</v>
      </c>
      <c r="E973" s="35" t="s">
        <v>273</v>
      </c>
      <c r="F973" s="312">
        <v>0</v>
      </c>
      <c r="G973" s="16" t="s">
        <v>751</v>
      </c>
      <c r="H973" s="45" t="s">
        <v>303</v>
      </c>
      <c r="I973" s="806"/>
      <c r="J973" s="369">
        <f>'II-I-DIST'!J973+'II-I-MET'!J973+'II-I-TBILLTDCS'!J973</f>
        <v>0</v>
      </c>
      <c r="K973" s="369">
        <f>'II-I-DIST'!K973+'II-I-MET'!K973+'II-I-TBILLTDCS'!K973</f>
        <v>0</v>
      </c>
      <c r="L973" s="369">
        <f>'II-I-DIST'!L973+'II-I-MET'!L973+'II-I-TBILLTDCS'!L973</f>
        <v>0</v>
      </c>
      <c r="M973" s="369">
        <f>'II-I-DIST'!M973+'II-I-MET'!M973+'II-I-TBILLTDCS'!M973</f>
        <v>0</v>
      </c>
      <c r="N973" s="369">
        <f>'II-I-DIST'!N973+'II-I-MET'!N973+'II-I-TBILLTDCS'!N973</f>
        <v>0</v>
      </c>
      <c r="O973" s="369">
        <f>'II-I-DIST'!O973+'II-I-MET'!O973+'II-I-TBILLTDCS'!O973</f>
        <v>0</v>
      </c>
      <c r="P973" s="369">
        <f>'II-I-DIST'!P973+'II-I-MET'!P973+'II-I-TBILLTDCS'!P973</f>
        <v>0</v>
      </c>
      <c r="Q973" s="369">
        <f>'II-I-DIST'!Q973+'II-I-MET'!Q973+'II-I-TBILLTDCS'!Q973</f>
        <v>0</v>
      </c>
      <c r="R973" s="369">
        <f>'II-I-DIST'!R973+'II-I-MET'!R973+'II-I-TBILLTDCS'!R973</f>
        <v>0</v>
      </c>
      <c r="S973" s="369">
        <f>'II-I-DIST'!S973+'II-I-MET'!S973+'II-I-TBILLTDCS'!S973</f>
        <v>0</v>
      </c>
      <c r="T973" s="806"/>
      <c r="U973" s="97">
        <f>SUM(I973:T973)</f>
        <v>0</v>
      </c>
      <c r="V973" s="64"/>
      <c r="X973" s="305">
        <f t="shared" si="254"/>
        <v>0</v>
      </c>
    </row>
    <row r="974" spans="1:24" ht="15" x14ac:dyDescent="0.25">
      <c r="A974" s="45"/>
      <c r="B974" s="16">
        <f t="shared" si="256"/>
        <v>3</v>
      </c>
      <c r="C974" s="41"/>
      <c r="D974" s="41" t="s">
        <v>275</v>
      </c>
      <c r="E974" s="35" t="s">
        <v>276</v>
      </c>
      <c r="F974" s="312">
        <v>0</v>
      </c>
      <c r="G974" s="16" t="s">
        <v>751</v>
      </c>
      <c r="H974" s="45" t="s">
        <v>303</v>
      </c>
      <c r="I974" s="806"/>
      <c r="J974" s="369">
        <f>'II-I-DIST'!J974+'II-I-MET'!J974+'II-I-TBILLTDCS'!J974</f>
        <v>0</v>
      </c>
      <c r="K974" s="369">
        <f>'II-I-DIST'!K974+'II-I-MET'!K974+'II-I-TBILLTDCS'!K974</f>
        <v>0</v>
      </c>
      <c r="L974" s="369">
        <f>'II-I-DIST'!L974+'II-I-MET'!L974+'II-I-TBILLTDCS'!L974</f>
        <v>0</v>
      </c>
      <c r="M974" s="369">
        <f>'II-I-DIST'!M974+'II-I-MET'!M974+'II-I-TBILLTDCS'!M974</f>
        <v>0</v>
      </c>
      <c r="N974" s="369">
        <f>'II-I-DIST'!N974+'II-I-MET'!N974+'II-I-TBILLTDCS'!N974</f>
        <v>0</v>
      </c>
      <c r="O974" s="369">
        <f>'II-I-DIST'!O974+'II-I-MET'!O974+'II-I-TBILLTDCS'!O974</f>
        <v>0</v>
      </c>
      <c r="P974" s="369">
        <f>'II-I-DIST'!P974+'II-I-MET'!P974+'II-I-TBILLTDCS'!P974</f>
        <v>0</v>
      </c>
      <c r="Q974" s="369">
        <f>'II-I-DIST'!Q974+'II-I-MET'!Q974+'II-I-TBILLTDCS'!Q974</f>
        <v>0</v>
      </c>
      <c r="R974" s="369">
        <f>'II-I-DIST'!R974+'II-I-MET'!R974+'II-I-TBILLTDCS'!R974</f>
        <v>0</v>
      </c>
      <c r="S974" s="369">
        <f>'II-I-DIST'!S974+'II-I-MET'!S974+'II-I-TBILLTDCS'!S974</f>
        <v>0</v>
      </c>
      <c r="T974" s="806"/>
      <c r="U974" s="97">
        <f>SUM(I974:T974)</f>
        <v>0</v>
      </c>
      <c r="V974" s="64"/>
      <c r="X974" s="305">
        <f t="shared" si="254"/>
        <v>0</v>
      </c>
    </row>
    <row r="975" spans="1:24" ht="15" x14ac:dyDescent="0.25">
      <c r="A975" s="45"/>
      <c r="B975" s="16">
        <f t="shared" si="256"/>
        <v>4</v>
      </c>
      <c r="C975" s="41"/>
      <c r="D975" s="41" t="s">
        <v>277</v>
      </c>
      <c r="E975" s="35" t="s">
        <v>276</v>
      </c>
      <c r="F975" s="312">
        <v>0</v>
      </c>
      <c r="G975" s="16" t="s">
        <v>751</v>
      </c>
      <c r="H975" s="45" t="s">
        <v>303</v>
      </c>
      <c r="I975" s="806"/>
      <c r="J975" s="369">
        <f>'II-I-DIST'!J975+'II-I-MET'!J975+'II-I-TBILLTDCS'!J975</f>
        <v>0</v>
      </c>
      <c r="K975" s="369">
        <f>'II-I-DIST'!K975+'II-I-MET'!K975+'II-I-TBILLTDCS'!K975</f>
        <v>0</v>
      </c>
      <c r="L975" s="369">
        <f>'II-I-DIST'!L975+'II-I-MET'!L975+'II-I-TBILLTDCS'!L975</f>
        <v>0</v>
      </c>
      <c r="M975" s="369">
        <f>'II-I-DIST'!M975+'II-I-MET'!M975+'II-I-TBILLTDCS'!M975</f>
        <v>0</v>
      </c>
      <c r="N975" s="369">
        <f>'II-I-DIST'!N975+'II-I-MET'!N975+'II-I-TBILLTDCS'!N975</f>
        <v>0</v>
      </c>
      <c r="O975" s="369">
        <f>'II-I-DIST'!O975+'II-I-MET'!O975+'II-I-TBILLTDCS'!O975</f>
        <v>0</v>
      </c>
      <c r="P975" s="369">
        <f>'II-I-DIST'!P975+'II-I-MET'!P975+'II-I-TBILLTDCS'!P975</f>
        <v>0</v>
      </c>
      <c r="Q975" s="369">
        <f>'II-I-DIST'!Q975+'II-I-MET'!Q975+'II-I-TBILLTDCS'!Q975</f>
        <v>0</v>
      </c>
      <c r="R975" s="369">
        <f>'II-I-DIST'!R975+'II-I-MET'!R975+'II-I-TBILLTDCS'!R975</f>
        <v>0</v>
      </c>
      <c r="S975" s="369">
        <f>'II-I-DIST'!S975+'II-I-MET'!S975+'II-I-TBILLTDCS'!S975</f>
        <v>0</v>
      </c>
      <c r="T975" s="806"/>
      <c r="U975" s="97">
        <f>SUM(I975:T975)</f>
        <v>0</v>
      </c>
      <c r="V975" s="64"/>
      <c r="X975" s="305">
        <f t="shared" si="254"/>
        <v>0</v>
      </c>
    </row>
    <row r="976" spans="1:24" ht="15" x14ac:dyDescent="0.25">
      <c r="A976" s="45"/>
      <c r="B976" s="16">
        <f t="shared" si="256"/>
        <v>5</v>
      </c>
      <c r="C976" s="41"/>
      <c r="D976" s="41" t="s">
        <v>278</v>
      </c>
      <c r="E976" s="35" t="s">
        <v>276</v>
      </c>
      <c r="F976" s="312">
        <v>0</v>
      </c>
      <c r="G976" s="16" t="s">
        <v>751</v>
      </c>
      <c r="H976" s="45" t="s">
        <v>303</v>
      </c>
      <c r="I976" s="806"/>
      <c r="J976" s="369">
        <f>'II-I-DIST'!J976+'II-I-MET'!J976+'II-I-TBILLTDCS'!J976</f>
        <v>0</v>
      </c>
      <c r="K976" s="369">
        <f>'II-I-DIST'!K976+'II-I-MET'!K976+'II-I-TBILLTDCS'!K976</f>
        <v>0</v>
      </c>
      <c r="L976" s="369">
        <f>'II-I-DIST'!L976+'II-I-MET'!L976+'II-I-TBILLTDCS'!L976</f>
        <v>0</v>
      </c>
      <c r="M976" s="369">
        <f>'II-I-DIST'!M976+'II-I-MET'!M976+'II-I-TBILLTDCS'!M976</f>
        <v>0</v>
      </c>
      <c r="N976" s="369">
        <f>'II-I-DIST'!N976+'II-I-MET'!N976+'II-I-TBILLTDCS'!N976</f>
        <v>0</v>
      </c>
      <c r="O976" s="369">
        <f>'II-I-DIST'!O976+'II-I-MET'!O976+'II-I-TBILLTDCS'!O976</f>
        <v>0</v>
      </c>
      <c r="P976" s="369">
        <f>'II-I-DIST'!P976+'II-I-MET'!P976+'II-I-TBILLTDCS'!P976</f>
        <v>0</v>
      </c>
      <c r="Q976" s="369">
        <f>'II-I-DIST'!Q976+'II-I-MET'!Q976+'II-I-TBILLTDCS'!Q976</f>
        <v>0</v>
      </c>
      <c r="R976" s="369">
        <f>'II-I-DIST'!R976+'II-I-MET'!R976+'II-I-TBILLTDCS'!R976</f>
        <v>0</v>
      </c>
      <c r="S976" s="369">
        <f>'II-I-DIST'!S976+'II-I-MET'!S976+'II-I-TBILLTDCS'!S976</f>
        <v>0</v>
      </c>
      <c r="T976" s="806"/>
      <c r="U976" s="97">
        <f>SUM(I976:T976)</f>
        <v>0</v>
      </c>
      <c r="V976" s="64"/>
      <c r="X976" s="305">
        <f t="shared" si="254"/>
        <v>0</v>
      </c>
    </row>
    <row r="977" spans="1:24" ht="15.75" thickBot="1" x14ac:dyDescent="0.3">
      <c r="A977" s="45"/>
      <c r="B977" s="16">
        <f t="shared" si="256"/>
        <v>6</v>
      </c>
      <c r="C977" s="41"/>
      <c r="D977" s="41"/>
      <c r="E977" s="35"/>
      <c r="F977" s="312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97"/>
      <c r="V977" s="64"/>
      <c r="X977" s="305">
        <f t="shared" si="254"/>
        <v>0</v>
      </c>
    </row>
    <row r="978" spans="1:24" ht="15.75" thickBot="1" x14ac:dyDescent="0.3">
      <c r="A978" s="45"/>
      <c r="B978" s="16">
        <f t="shared" si="256"/>
        <v>7</v>
      </c>
      <c r="C978" s="276" t="s">
        <v>640</v>
      </c>
      <c r="D978" s="271"/>
      <c r="E978" s="272"/>
      <c r="F978" s="217">
        <f>+F972+F973+F974+F975</f>
        <v>0</v>
      </c>
      <c r="G978" s="272"/>
      <c r="H978" s="392"/>
      <c r="I978" s="568"/>
      <c r="J978" s="291">
        <f t="shared" ref="J978:Q978" si="257">+J972+J973+J974+J975</f>
        <v>0</v>
      </c>
      <c r="K978" s="814">
        <f t="shared" si="257"/>
        <v>0</v>
      </c>
      <c r="L978" s="814">
        <f t="shared" si="257"/>
        <v>0</v>
      </c>
      <c r="M978" s="814">
        <f t="shared" si="257"/>
        <v>0</v>
      </c>
      <c r="N978" s="814">
        <f t="shared" si="257"/>
        <v>0</v>
      </c>
      <c r="O978" s="814">
        <f>+O972+O973+O974+O975</f>
        <v>0</v>
      </c>
      <c r="P978" s="814">
        <f t="shared" si="257"/>
        <v>0</v>
      </c>
      <c r="Q978" s="814">
        <f t="shared" si="257"/>
        <v>0</v>
      </c>
      <c r="R978" s="814">
        <f>+R972+R973+R974+R975</f>
        <v>0</v>
      </c>
      <c r="S978" s="218">
        <f>+S972+S973+S974+S975</f>
        <v>0</v>
      </c>
      <c r="T978" s="393"/>
      <c r="U978" s="195">
        <f>SUM(I978:T978)</f>
        <v>0</v>
      </c>
      <c r="V978" s="64"/>
      <c r="W978" s="1099" t="b">
        <f>' WP II-I-1.4'!$L$978=U978</f>
        <v>1</v>
      </c>
      <c r="X978" s="305">
        <f t="shared" si="254"/>
        <v>0</v>
      </c>
    </row>
    <row r="979" spans="1:24" x14ac:dyDescent="0.2">
      <c r="A979" s="45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X979" s="305">
        <f t="shared" si="254"/>
        <v>0</v>
      </c>
    </row>
    <row r="980" spans="1:24" ht="15" thickBot="1" x14ac:dyDescent="0.25">
      <c r="A980" s="45"/>
      <c r="B980" s="64"/>
      <c r="C980" s="64"/>
      <c r="D980" s="64"/>
      <c r="E980" s="64"/>
      <c r="F980" s="64"/>
      <c r="G980" s="64"/>
      <c r="H980" s="105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105"/>
      <c r="V980" s="105"/>
      <c r="X980" s="305"/>
    </row>
    <row r="981" spans="1:24" ht="15" x14ac:dyDescent="0.25">
      <c r="A981" s="45"/>
      <c r="B981" s="829" t="str">
        <f>+$B$4</f>
        <v>2025 RATE CASE</v>
      </c>
      <c r="C981" s="844"/>
      <c r="D981" s="872"/>
      <c r="F981" s="267"/>
      <c r="U981" s="105"/>
      <c r="X981" s="305">
        <f t="shared" si="254"/>
        <v>0</v>
      </c>
    </row>
    <row r="982" spans="1:24" ht="15" x14ac:dyDescent="0.25">
      <c r="A982" s="45"/>
      <c r="B982" s="826" t="str">
        <f>+$B$5</f>
        <v>ONCOR ELECTRIC DELIVERY COMPANY LLC</v>
      </c>
      <c r="C982" s="8"/>
      <c r="D982" s="873"/>
      <c r="F982" s="267"/>
      <c r="U982" s="105"/>
      <c r="V982" s="64"/>
      <c r="X982" s="305">
        <f t="shared" si="254"/>
        <v>0</v>
      </c>
    </row>
    <row r="983" spans="1:24" ht="15" x14ac:dyDescent="0.25">
      <c r="A983" s="45"/>
      <c r="B983" s="826" t="str">
        <f>+$B$6</f>
        <v>II-I-1-TOT:  CLASS REVENUE REQUIREMENT</v>
      </c>
      <c r="C983" s="82"/>
      <c r="D983" s="873"/>
      <c r="F983" s="267"/>
      <c r="U983" s="267"/>
      <c r="V983" s="64"/>
      <c r="X983" s="305">
        <f t="shared" si="254"/>
        <v>0</v>
      </c>
    </row>
    <row r="984" spans="1:24" ht="15" x14ac:dyDescent="0.25">
      <c r="A984" s="45"/>
      <c r="B984" s="341" t="str">
        <f>+$B$7</f>
        <v>TEST YEAR ENDING 12/31/2024</v>
      </c>
      <c r="C984" s="82"/>
      <c r="D984" s="873"/>
      <c r="F984" s="267"/>
      <c r="U984" s="267"/>
      <c r="V984" s="64"/>
      <c r="X984" s="305">
        <f t="shared" si="254"/>
        <v>0</v>
      </c>
    </row>
    <row r="985" spans="1:24" ht="15" x14ac:dyDescent="0.25">
      <c r="A985" s="45"/>
      <c r="B985" s="341" t="str">
        <f>+$B$8</f>
        <v>SPONSOR:  MATTHEW A. TROXLE</v>
      </c>
      <c r="C985" s="82"/>
      <c r="D985" s="873"/>
      <c r="F985" s="267"/>
      <c r="U985" s="267"/>
      <c r="V985" s="64"/>
      <c r="X985" s="305">
        <f t="shared" si="254"/>
        <v>0</v>
      </c>
    </row>
    <row r="986" spans="1:24" ht="15.75" thickBot="1" x14ac:dyDescent="0.3">
      <c r="A986" s="45"/>
      <c r="B986" s="345"/>
      <c r="C986" s="843"/>
      <c r="D986" s="845"/>
      <c r="F986" s="267"/>
      <c r="U986" s="267"/>
      <c r="V986" s="64"/>
      <c r="X986" s="305">
        <f t="shared" si="254"/>
        <v>0</v>
      </c>
    </row>
    <row r="987" spans="1:24" ht="15" thickBot="1" x14ac:dyDescent="0.25">
      <c r="A987" s="45"/>
      <c r="B987" s="12"/>
      <c r="C987" s="13"/>
      <c r="D987" s="13"/>
      <c r="E987" s="13"/>
      <c r="F987" s="12"/>
      <c r="G987" s="13"/>
      <c r="H987" s="13"/>
      <c r="I987" s="13"/>
      <c r="J987" s="177"/>
      <c r="K987" s="177"/>
      <c r="L987" s="13"/>
      <c r="M987" s="177"/>
      <c r="N987" s="177"/>
      <c r="O987" s="177"/>
      <c r="P987" s="177"/>
      <c r="Q987" s="13"/>
      <c r="R987" s="328" t="str">
        <f>R$10</f>
        <v xml:space="preserve"> </v>
      </c>
      <c r="S987" s="329"/>
      <c r="T987" s="177"/>
      <c r="U987" s="12"/>
      <c r="V987" s="64"/>
      <c r="X987" s="305">
        <f t="shared" si="254"/>
        <v>0</v>
      </c>
    </row>
    <row r="988" spans="1:24" ht="15" x14ac:dyDescent="0.25">
      <c r="A988" s="45"/>
      <c r="B988" s="14" t="s">
        <v>2</v>
      </c>
      <c r="C988" s="14" t="s">
        <v>349</v>
      </c>
      <c r="D988" s="226" t="s">
        <v>641</v>
      </c>
      <c r="E988" s="14" t="s">
        <v>350</v>
      </c>
      <c r="F988" s="226" t="str">
        <f>F$11</f>
        <v>TOTAL</v>
      </c>
      <c r="G988" s="181" t="s">
        <v>688</v>
      </c>
      <c r="H988" s="181" t="s">
        <v>355</v>
      </c>
      <c r="I988" s="14"/>
      <c r="J988" s="181" t="s">
        <v>679</v>
      </c>
      <c r="K988" s="181" t="s">
        <v>388</v>
      </c>
      <c r="L988" s="14" t="s">
        <v>388</v>
      </c>
      <c r="M988" s="181" t="s">
        <v>389</v>
      </c>
      <c r="N988" s="181" t="s">
        <v>389</v>
      </c>
      <c r="O988" s="181" t="s">
        <v>389</v>
      </c>
      <c r="P988" s="181" t="s">
        <v>390</v>
      </c>
      <c r="Q988" s="14" t="s">
        <v>391</v>
      </c>
      <c r="R988" s="331" t="str">
        <f>R$11</f>
        <v>Wholesale</v>
      </c>
      <c r="S988" s="12" t="str">
        <f>S$11</f>
        <v>Wholesale</v>
      </c>
      <c r="T988" s="181"/>
      <c r="U988" s="14" t="s">
        <v>10</v>
      </c>
      <c r="V988" s="64"/>
      <c r="X988" s="305"/>
    </row>
    <row r="989" spans="1:24" x14ac:dyDescent="0.2">
      <c r="A989" s="45"/>
      <c r="B989" s="14"/>
      <c r="C989" s="14"/>
      <c r="D989" s="14"/>
      <c r="E989" s="14"/>
      <c r="F989" s="14" t="str">
        <f>F$12</f>
        <v>(Dist+Met+Cust)</v>
      </c>
      <c r="G989" s="181" t="s">
        <v>689</v>
      </c>
      <c r="H989" s="181" t="s">
        <v>690</v>
      </c>
      <c r="I989" s="14"/>
      <c r="J989" s="181"/>
      <c r="K989" s="181" t="s">
        <v>680</v>
      </c>
      <c r="L989" s="14" t="s">
        <v>681</v>
      </c>
      <c r="M989" s="181" t="s">
        <v>680</v>
      </c>
      <c r="N989" s="181" t="s">
        <v>681</v>
      </c>
      <c r="O989" s="181" t="s">
        <v>393</v>
      </c>
      <c r="P989" s="181"/>
      <c r="Q989" s="14"/>
      <c r="R989" s="174" t="str">
        <f>R$12</f>
        <v>XFMR</v>
      </c>
      <c r="S989" s="14" t="str">
        <f>S$12</f>
        <v>DLS</v>
      </c>
      <c r="T989" s="181"/>
      <c r="U989" s="14"/>
      <c r="V989" s="64"/>
      <c r="X989" s="305"/>
    </row>
    <row r="990" spans="1:24" ht="15" thickBot="1" x14ac:dyDescent="0.25">
      <c r="A990" s="45"/>
      <c r="B990" s="15"/>
      <c r="C990" s="15"/>
      <c r="D990" s="15"/>
      <c r="E990" s="15"/>
      <c r="F990" s="15" t="s">
        <v>13</v>
      </c>
      <c r="G990" s="15" t="s">
        <v>14</v>
      </c>
      <c r="H990" s="15" t="s">
        <v>15</v>
      </c>
      <c r="I990" s="15"/>
      <c r="J990" s="182" t="str">
        <f t="shared" ref="J990:Q990" si="258">J$13</f>
        <v>(d)</v>
      </c>
      <c r="K990" s="182" t="str">
        <f t="shared" si="258"/>
        <v>(e)</v>
      </c>
      <c r="L990" s="15" t="str">
        <f t="shared" si="258"/>
        <v>(f)</v>
      </c>
      <c r="M990" s="182" t="str">
        <f t="shared" si="258"/>
        <v>(g)</v>
      </c>
      <c r="N990" s="182" t="str">
        <f t="shared" si="258"/>
        <v>(h)</v>
      </c>
      <c r="O990" s="182" t="str">
        <f>O$13</f>
        <v>(i)</v>
      </c>
      <c r="P990" s="182" t="str">
        <f t="shared" si="258"/>
        <v>(j)</v>
      </c>
      <c r="Q990" s="182" t="str">
        <f t="shared" si="258"/>
        <v>(k)</v>
      </c>
      <c r="R990" s="182" t="str">
        <f>R$13</f>
        <v>(l)</v>
      </c>
      <c r="S990" s="15" t="str">
        <f>S$13</f>
        <v>(m)</v>
      </c>
      <c r="T990" s="15"/>
      <c r="U990" s="15" t="s">
        <v>683</v>
      </c>
      <c r="V990" s="64"/>
      <c r="X990" s="305"/>
    </row>
    <row r="991" spans="1:24" x14ac:dyDescent="0.2">
      <c r="A991" s="45"/>
      <c r="B991" s="64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41"/>
      <c r="V991" s="64"/>
      <c r="X991" s="305">
        <f t="shared" si="254"/>
        <v>0</v>
      </c>
    </row>
    <row r="992" spans="1:24" ht="15" x14ac:dyDescent="0.25">
      <c r="A992" s="45"/>
      <c r="B992" s="16">
        <f t="shared" ref="B992:B1032" si="259">B991+1</f>
        <v>1</v>
      </c>
      <c r="C992" s="301" t="s">
        <v>279</v>
      </c>
      <c r="D992" s="8"/>
      <c r="E992" s="19"/>
      <c r="F992" s="8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8"/>
      <c r="V992" s="64"/>
      <c r="X992" s="305">
        <f t="shared" si="254"/>
        <v>0</v>
      </c>
    </row>
    <row r="993" spans="1:24" x14ac:dyDescent="0.2">
      <c r="A993" s="45"/>
      <c r="B993" s="16">
        <f t="shared" si="259"/>
        <v>2</v>
      </c>
      <c r="C993" s="1"/>
      <c r="D993" s="1"/>
      <c r="E993" s="16"/>
      <c r="F993" s="1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"/>
      <c r="V993" s="64"/>
      <c r="X993" s="305">
        <f t="shared" si="254"/>
        <v>0</v>
      </c>
    </row>
    <row r="994" spans="1:24" ht="15" x14ac:dyDescent="0.25">
      <c r="A994" s="45"/>
      <c r="B994" s="16">
        <f t="shared" si="259"/>
        <v>3</v>
      </c>
      <c r="C994" s="8" t="s">
        <v>642</v>
      </c>
      <c r="D994" s="8"/>
      <c r="E994" s="19" t="s">
        <v>280</v>
      </c>
      <c r="F994" s="313"/>
      <c r="G994" s="19"/>
      <c r="H994" s="19"/>
      <c r="I994" s="19"/>
      <c r="J994" s="961"/>
      <c r="K994" s="961"/>
      <c r="L994" s="961"/>
      <c r="M994" s="961"/>
      <c r="N994" s="961"/>
      <c r="O994" s="961"/>
      <c r="P994" s="961"/>
      <c r="Q994" s="961"/>
      <c r="R994" s="961"/>
      <c r="S994" s="961"/>
      <c r="T994" s="19"/>
      <c r="U994" s="8"/>
      <c r="V994" s="64"/>
      <c r="X994" s="305">
        <f t="shared" si="254"/>
        <v>0</v>
      </c>
    </row>
    <row r="995" spans="1:24" x14ac:dyDescent="0.2">
      <c r="A995" s="45"/>
      <c r="B995" s="16">
        <f t="shared" si="259"/>
        <v>4</v>
      </c>
      <c r="C995" s="1" t="s">
        <v>25</v>
      </c>
      <c r="D995" s="1" t="s">
        <v>26</v>
      </c>
      <c r="E995" s="16"/>
      <c r="F995" s="97">
        <f>' WP II-I-1.4'!L995</f>
        <v>0</v>
      </c>
      <c r="G995" s="16" t="s">
        <v>751</v>
      </c>
      <c r="H995" s="45" t="s">
        <v>303</v>
      </c>
      <c r="I995" s="16"/>
      <c r="J995" s="369">
        <f ca="1">'II-I-DIST'!J995+'II-I-MET'!J995+'II-I-TBILLTDCS'!J995</f>
        <v>0</v>
      </c>
      <c r="K995" s="369">
        <f ca="1">'II-I-DIST'!K995+'II-I-MET'!K995+'II-I-TBILLTDCS'!K995</f>
        <v>0</v>
      </c>
      <c r="L995" s="369">
        <f ca="1">'II-I-DIST'!L995+'II-I-MET'!L995+'II-I-TBILLTDCS'!L995</f>
        <v>0</v>
      </c>
      <c r="M995" s="369">
        <f ca="1">'II-I-DIST'!M995+'II-I-MET'!M995+'II-I-TBILLTDCS'!M995</f>
        <v>0</v>
      </c>
      <c r="N995" s="369">
        <f ca="1">'II-I-DIST'!N995+'II-I-MET'!N995+'II-I-TBILLTDCS'!N995</f>
        <v>0</v>
      </c>
      <c r="O995" s="369">
        <f ca="1">'II-I-DIST'!O995+'II-I-MET'!O995+'II-I-TBILLTDCS'!O995</f>
        <v>0</v>
      </c>
      <c r="P995" s="369">
        <f ca="1">'II-I-DIST'!P995+'II-I-MET'!P995+'II-I-TBILLTDCS'!P995</f>
        <v>0</v>
      </c>
      <c r="Q995" s="369">
        <f ca="1">'II-I-DIST'!Q995+'II-I-MET'!Q995+'II-I-TBILLTDCS'!Q995</f>
        <v>0</v>
      </c>
      <c r="R995" s="369">
        <f ca="1">'II-I-DIST'!R995+'II-I-MET'!R995+'II-I-TBILLTDCS'!R995</f>
        <v>0</v>
      </c>
      <c r="S995" s="369">
        <f ca="1">'II-I-DIST'!S995+'II-I-MET'!S995+'II-I-TBILLTDCS'!S995</f>
        <v>0</v>
      </c>
      <c r="T995" s="16"/>
      <c r="U995" s="97">
        <f ca="1">SUM(I995:T995)</f>
        <v>0</v>
      </c>
      <c r="V995" s="64"/>
      <c r="X995" s="305">
        <f t="shared" ca="1" si="254"/>
        <v>0</v>
      </c>
    </row>
    <row r="996" spans="1:24" x14ac:dyDescent="0.2">
      <c r="A996" s="45"/>
      <c r="B996" s="16">
        <f t="shared" si="259"/>
        <v>5</v>
      </c>
      <c r="C996" s="1" t="s">
        <v>27</v>
      </c>
      <c r="D996" s="1" t="s">
        <v>35</v>
      </c>
      <c r="E996" s="16"/>
      <c r="F996" s="97">
        <f>' WP II-I-1.4'!L996</f>
        <v>0</v>
      </c>
      <c r="G996" s="16" t="s">
        <v>751</v>
      </c>
      <c r="H996" s="45" t="s">
        <v>303</v>
      </c>
      <c r="I996" s="16"/>
      <c r="J996" s="369">
        <f ca="1">'II-I-DIST'!J996+'II-I-MET'!J996+'II-I-TBILLTDCS'!J996</f>
        <v>0</v>
      </c>
      <c r="K996" s="369">
        <f ca="1">'II-I-DIST'!K996+'II-I-MET'!K996+'II-I-TBILLTDCS'!K996</f>
        <v>0</v>
      </c>
      <c r="L996" s="369">
        <f ca="1">'II-I-DIST'!L996+'II-I-MET'!L996+'II-I-TBILLTDCS'!L996</f>
        <v>0</v>
      </c>
      <c r="M996" s="369">
        <f ca="1">'II-I-DIST'!M996+'II-I-MET'!M996+'II-I-TBILLTDCS'!M996</f>
        <v>0</v>
      </c>
      <c r="N996" s="369">
        <f ca="1">'II-I-DIST'!N996+'II-I-MET'!N996+'II-I-TBILLTDCS'!N996</f>
        <v>0</v>
      </c>
      <c r="O996" s="369">
        <f ca="1">'II-I-DIST'!O996+'II-I-MET'!O996+'II-I-TBILLTDCS'!O996</f>
        <v>0</v>
      </c>
      <c r="P996" s="369">
        <f ca="1">'II-I-DIST'!P996+'II-I-MET'!P996+'II-I-TBILLTDCS'!P996</f>
        <v>0</v>
      </c>
      <c r="Q996" s="369">
        <f ca="1">'II-I-DIST'!Q996+'II-I-MET'!Q996+'II-I-TBILLTDCS'!Q996</f>
        <v>0</v>
      </c>
      <c r="R996" s="369">
        <f ca="1">'II-I-DIST'!R996+'II-I-MET'!R996+'II-I-TBILLTDCS'!R996</f>
        <v>0</v>
      </c>
      <c r="S996" s="369">
        <f ca="1">'II-I-DIST'!S996+'II-I-MET'!S996+'II-I-TBILLTDCS'!S996</f>
        <v>0</v>
      </c>
      <c r="T996" s="16"/>
      <c r="U996" s="97">
        <f ca="1">SUM(I996:T996)</f>
        <v>0</v>
      </c>
      <c r="V996" s="64"/>
      <c r="X996" s="305">
        <f t="shared" ca="1" si="254"/>
        <v>0</v>
      </c>
    </row>
    <row r="997" spans="1:24" x14ac:dyDescent="0.2">
      <c r="A997" s="45"/>
      <c r="B997" s="16">
        <f t="shared" si="259"/>
        <v>6</v>
      </c>
      <c r="C997" s="1" t="s">
        <v>29</v>
      </c>
      <c r="D997" s="1" t="s">
        <v>32</v>
      </c>
      <c r="E997" s="16"/>
      <c r="F997" s="97">
        <f>' WP II-I-1.4'!L997</f>
        <v>654183.54000000597</v>
      </c>
      <c r="G997" s="16" t="s">
        <v>751</v>
      </c>
      <c r="H997" s="45" t="s">
        <v>303</v>
      </c>
      <c r="I997" s="16"/>
      <c r="J997" s="370">
        <f ca="1">'II-I-DIST'!J997+'II-I-MET'!J997+'II-I-TBILLTDCS'!J997</f>
        <v>355813.78759603185</v>
      </c>
      <c r="K997" s="370">
        <f ca="1">'II-I-DIST'!K997+'II-I-MET'!K997+'II-I-TBILLTDCS'!K997</f>
        <v>11383.068461294351</v>
      </c>
      <c r="L997" s="370">
        <f ca="1">'II-I-DIST'!L997+'II-I-MET'!L997+'II-I-TBILLTDCS'!L997</f>
        <v>225026.30310448341</v>
      </c>
      <c r="M997" s="370">
        <f ca="1">'II-I-DIST'!M997+'II-I-MET'!M997+'II-I-TBILLTDCS'!M997</f>
        <v>465.19892895921782</v>
      </c>
      <c r="N997" s="370">
        <f ca="1">'II-I-DIST'!N997+'II-I-MET'!N997+'II-I-TBILLTDCS'!N997</f>
        <v>43897.759291132825</v>
      </c>
      <c r="O997" s="370">
        <f ca="1">'II-I-DIST'!O997+'II-I-MET'!O997+'II-I-TBILLTDCS'!O997</f>
        <v>4870.2868387428334</v>
      </c>
      <c r="P997" s="370">
        <f ca="1">'II-I-DIST'!P997+'II-I-MET'!P997+'II-I-TBILLTDCS'!P997</f>
        <v>1015.8501317642157</v>
      </c>
      <c r="Q997" s="370">
        <f ca="1">'II-I-DIST'!Q997+'II-I-MET'!Q997+'II-I-TBILLTDCS'!Q997</f>
        <v>9775.9925734094522</v>
      </c>
      <c r="R997" s="370">
        <f ca="1">'II-I-DIST'!R997+'II-I-MET'!R997+'II-I-TBILLTDCS'!R997</f>
        <v>340.83021549877492</v>
      </c>
      <c r="S997" s="370">
        <f ca="1">'II-I-DIST'!S997+'II-I-MET'!S997+'II-I-TBILLTDCS'!S997</f>
        <v>1594.4628586891586</v>
      </c>
      <c r="T997" s="16"/>
      <c r="U997" s="97">
        <f ca="1">SUM(I997:T997)</f>
        <v>654183.54000000597</v>
      </c>
      <c r="V997" s="64"/>
      <c r="X997" s="305">
        <f t="shared" ca="1" si="254"/>
        <v>0</v>
      </c>
    </row>
    <row r="998" spans="1:24" ht="15" x14ac:dyDescent="0.25">
      <c r="A998" s="45"/>
      <c r="B998" s="16">
        <f t="shared" si="259"/>
        <v>7</v>
      </c>
      <c r="C998" s="21"/>
      <c r="D998" s="314" t="s">
        <v>444</v>
      </c>
      <c r="E998" s="21"/>
      <c r="F998" s="21">
        <f>+F995+F996+F997</f>
        <v>654183.54000000597</v>
      </c>
      <c r="G998" s="21"/>
      <c r="H998" s="21"/>
      <c r="I998" s="805"/>
      <c r="J998" s="805">
        <f t="shared" ref="J998:Q998" ca="1" si="260">+J995+J996+J997</f>
        <v>355813.78759603185</v>
      </c>
      <c r="K998" s="805">
        <f t="shared" ca="1" si="260"/>
        <v>11383.068461294351</v>
      </c>
      <c r="L998" s="805">
        <f t="shared" ca="1" si="260"/>
        <v>225026.30310448341</v>
      </c>
      <c r="M998" s="805">
        <f t="shared" ca="1" si="260"/>
        <v>465.19892895921782</v>
      </c>
      <c r="N998" s="805">
        <f t="shared" ca="1" si="260"/>
        <v>43897.759291132825</v>
      </c>
      <c r="O998" s="805">
        <f ca="1">+O995+O996+O997</f>
        <v>4870.2868387428334</v>
      </c>
      <c r="P998" s="805">
        <f t="shared" ca="1" si="260"/>
        <v>1015.8501317642157</v>
      </c>
      <c r="Q998" s="805">
        <f t="shared" ca="1" si="260"/>
        <v>9775.9925734094522</v>
      </c>
      <c r="R998" s="805">
        <f ca="1">+R995+R996+R997</f>
        <v>340.83021549877492</v>
      </c>
      <c r="S998" s="805">
        <f ca="1">+S995+S996+S997</f>
        <v>1594.4628586891586</v>
      </c>
      <c r="T998" s="21"/>
      <c r="U998" s="235">
        <f ca="1">SUM(I998:T998)</f>
        <v>654183.54000000597</v>
      </c>
      <c r="V998" s="64"/>
      <c r="W998" s="1099" t="b">
        <f ca="1">' WP II-I-1.4'!$L$998=U998</f>
        <v>1</v>
      </c>
      <c r="X998" s="305">
        <f t="shared" ca="1" si="254"/>
        <v>0</v>
      </c>
    </row>
    <row r="999" spans="1:24" x14ac:dyDescent="0.2">
      <c r="A999" s="45"/>
      <c r="B999" s="16">
        <f t="shared" si="259"/>
        <v>8</v>
      </c>
      <c r="C999" s="1"/>
      <c r="D999" s="1"/>
      <c r="E999" s="16"/>
      <c r="F999" s="1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"/>
      <c r="V999" s="64"/>
      <c r="X999" s="305">
        <f t="shared" si="254"/>
        <v>0</v>
      </c>
    </row>
    <row r="1000" spans="1:24" ht="15" x14ac:dyDescent="0.25">
      <c r="A1000" s="45"/>
      <c r="B1000" s="16">
        <f t="shared" si="259"/>
        <v>9</v>
      </c>
      <c r="C1000" s="8" t="s">
        <v>643</v>
      </c>
      <c r="D1000" s="8"/>
      <c r="E1000" s="19" t="s">
        <v>280</v>
      </c>
      <c r="F1000" s="21"/>
      <c r="G1000" s="19"/>
      <c r="H1000" s="19"/>
      <c r="I1000" s="912"/>
      <c r="J1000" s="961"/>
      <c r="K1000" s="961"/>
      <c r="L1000" s="961"/>
      <c r="M1000" s="961"/>
      <c r="N1000" s="961"/>
      <c r="O1000" s="961"/>
      <c r="P1000" s="961"/>
      <c r="Q1000" s="961"/>
      <c r="R1000" s="961"/>
      <c r="S1000" s="961"/>
      <c r="T1000" s="19"/>
      <c r="U1000" s="8"/>
      <c r="V1000" s="64"/>
      <c r="X1000" s="305">
        <f t="shared" si="254"/>
        <v>0</v>
      </c>
    </row>
    <row r="1001" spans="1:24" x14ac:dyDescent="0.2">
      <c r="A1001" s="45"/>
      <c r="B1001" s="16">
        <f t="shared" si="259"/>
        <v>10</v>
      </c>
      <c r="C1001" s="1" t="s">
        <v>39</v>
      </c>
      <c r="D1001" s="1" t="s">
        <v>40</v>
      </c>
      <c r="E1001" s="16"/>
      <c r="F1001" s="97">
        <f>' WP II-I-1.4'!L1001</f>
        <v>0</v>
      </c>
      <c r="G1001" s="16" t="s">
        <v>751</v>
      </c>
      <c r="H1001" s="45" t="s">
        <v>303</v>
      </c>
      <c r="I1001" s="16"/>
      <c r="J1001" s="369">
        <f ca="1">'II-I-DIST'!J1001+'II-I-MET'!J1001+'II-I-TBILLTDCS'!J1001</f>
        <v>0</v>
      </c>
      <c r="K1001" s="369">
        <f ca="1">'II-I-DIST'!K1001+'II-I-MET'!K1001+'II-I-TBILLTDCS'!K1001</f>
        <v>0</v>
      </c>
      <c r="L1001" s="369">
        <f ca="1">'II-I-DIST'!L1001+'II-I-MET'!L1001+'II-I-TBILLTDCS'!L1001</f>
        <v>0</v>
      </c>
      <c r="M1001" s="369">
        <f ca="1">'II-I-DIST'!M1001+'II-I-MET'!M1001+'II-I-TBILLTDCS'!M1001</f>
        <v>0</v>
      </c>
      <c r="N1001" s="369">
        <f ca="1">'II-I-DIST'!N1001+'II-I-MET'!N1001+'II-I-TBILLTDCS'!N1001</f>
        <v>0</v>
      </c>
      <c r="O1001" s="369">
        <f ca="1">'II-I-DIST'!O1001+'II-I-MET'!O1001+'II-I-TBILLTDCS'!O1001</f>
        <v>0</v>
      </c>
      <c r="P1001" s="369">
        <f ca="1">'II-I-DIST'!P1001+'II-I-MET'!P1001+'II-I-TBILLTDCS'!P1001</f>
        <v>0</v>
      </c>
      <c r="Q1001" s="369">
        <f ca="1">'II-I-DIST'!Q1001+'II-I-MET'!Q1001+'II-I-TBILLTDCS'!Q1001</f>
        <v>0</v>
      </c>
      <c r="R1001" s="369">
        <f ca="1">'II-I-DIST'!R1001+'II-I-MET'!R1001+'II-I-TBILLTDCS'!R1001</f>
        <v>0</v>
      </c>
      <c r="S1001" s="369">
        <f ca="1">'II-I-DIST'!S1001+'II-I-MET'!S1001+'II-I-TBILLTDCS'!S1001</f>
        <v>0</v>
      </c>
      <c r="T1001" s="16"/>
      <c r="U1001" s="97">
        <f t="shared" ref="U1001:U1013" ca="1" si="261">SUM(I1001:T1001)</f>
        <v>0</v>
      </c>
      <c r="V1001" s="64"/>
      <c r="X1001" s="305">
        <f t="shared" ca="1" si="254"/>
        <v>0</v>
      </c>
    </row>
    <row r="1002" spans="1:24" x14ac:dyDescent="0.2">
      <c r="A1002" s="45"/>
      <c r="B1002" s="16">
        <f t="shared" si="259"/>
        <v>11</v>
      </c>
      <c r="C1002" s="1" t="s">
        <v>1229</v>
      </c>
      <c r="D1002" s="1" t="s">
        <v>1230</v>
      </c>
      <c r="E1002" s="16"/>
      <c r="F1002" s="97">
        <f>' WP II-I-1.4'!L1002</f>
        <v>0</v>
      </c>
      <c r="G1002" s="16" t="s">
        <v>751</v>
      </c>
      <c r="H1002" s="45" t="s">
        <v>303</v>
      </c>
      <c r="I1002" s="16"/>
      <c r="J1002" s="369">
        <f ca="1">'II-I-DIST'!J1002+'II-I-MET'!J1002+'II-I-TBILLTDCS'!J1002</f>
        <v>0</v>
      </c>
      <c r="K1002" s="369">
        <f ca="1">'II-I-DIST'!K1002+'II-I-MET'!K1002+'II-I-TBILLTDCS'!K1002</f>
        <v>0</v>
      </c>
      <c r="L1002" s="369">
        <f ca="1">'II-I-DIST'!L1002+'II-I-MET'!L1002+'II-I-TBILLTDCS'!L1002</f>
        <v>0</v>
      </c>
      <c r="M1002" s="369">
        <f ca="1">'II-I-DIST'!M1002+'II-I-MET'!M1002+'II-I-TBILLTDCS'!M1002</f>
        <v>0</v>
      </c>
      <c r="N1002" s="369">
        <f ca="1">'II-I-DIST'!N1002+'II-I-MET'!N1002+'II-I-TBILLTDCS'!N1002</f>
        <v>0</v>
      </c>
      <c r="O1002" s="369">
        <f ca="1">'II-I-DIST'!O1002+'II-I-MET'!O1002+'II-I-TBILLTDCS'!O1002</f>
        <v>0</v>
      </c>
      <c r="P1002" s="369">
        <f ca="1">'II-I-DIST'!P1002+'II-I-MET'!P1002+'II-I-TBILLTDCS'!P1002</f>
        <v>0</v>
      </c>
      <c r="Q1002" s="369">
        <f ca="1">'II-I-DIST'!Q1002+'II-I-MET'!Q1002+'II-I-TBILLTDCS'!Q1002</f>
        <v>0</v>
      </c>
      <c r="R1002" s="369">
        <f ca="1">'II-I-DIST'!R1002+'II-I-MET'!R1002+'II-I-TBILLTDCS'!R1002</f>
        <v>0</v>
      </c>
      <c r="S1002" s="369">
        <f ca="1">'II-I-DIST'!S1002+'II-I-MET'!S1002+'II-I-TBILLTDCS'!S1002</f>
        <v>0</v>
      </c>
      <c r="T1002" s="16"/>
      <c r="U1002" s="97">
        <f t="shared" ref="U1002:U1004" ca="1" si="262">SUM(I1002:T1002)</f>
        <v>0</v>
      </c>
      <c r="V1002" s="64"/>
      <c r="X1002" s="305"/>
    </row>
    <row r="1003" spans="1:24" x14ac:dyDescent="0.2">
      <c r="A1003" s="45"/>
      <c r="B1003" s="16">
        <f t="shared" si="259"/>
        <v>12</v>
      </c>
      <c r="C1003" s="1" t="s">
        <v>1231</v>
      </c>
      <c r="D1003" s="1" t="s">
        <v>1232</v>
      </c>
      <c r="E1003" s="16"/>
      <c r="F1003" s="97">
        <f>' WP II-I-1.4'!L1003</f>
        <v>0</v>
      </c>
      <c r="G1003" s="16" t="s">
        <v>751</v>
      </c>
      <c r="H1003" s="45" t="s">
        <v>303</v>
      </c>
      <c r="I1003" s="16"/>
      <c r="J1003" s="369">
        <f ca="1">'II-I-DIST'!J1003+'II-I-MET'!J1003+'II-I-TBILLTDCS'!J1003</f>
        <v>0</v>
      </c>
      <c r="K1003" s="369">
        <f ca="1">'II-I-DIST'!K1003+'II-I-MET'!K1003+'II-I-TBILLTDCS'!K1003</f>
        <v>0</v>
      </c>
      <c r="L1003" s="369">
        <f ca="1">'II-I-DIST'!L1003+'II-I-MET'!L1003+'II-I-TBILLTDCS'!L1003</f>
        <v>0</v>
      </c>
      <c r="M1003" s="369">
        <f ca="1">'II-I-DIST'!M1003+'II-I-MET'!M1003+'II-I-TBILLTDCS'!M1003</f>
        <v>0</v>
      </c>
      <c r="N1003" s="369">
        <f ca="1">'II-I-DIST'!N1003+'II-I-MET'!N1003+'II-I-TBILLTDCS'!N1003</f>
        <v>0</v>
      </c>
      <c r="O1003" s="369">
        <f ca="1">'II-I-DIST'!O1003+'II-I-MET'!O1003+'II-I-TBILLTDCS'!O1003</f>
        <v>0</v>
      </c>
      <c r="P1003" s="369">
        <f ca="1">'II-I-DIST'!P1003+'II-I-MET'!P1003+'II-I-TBILLTDCS'!P1003</f>
        <v>0</v>
      </c>
      <c r="Q1003" s="369">
        <f ca="1">'II-I-DIST'!Q1003+'II-I-MET'!Q1003+'II-I-TBILLTDCS'!Q1003</f>
        <v>0</v>
      </c>
      <c r="R1003" s="369">
        <f ca="1">'II-I-DIST'!R1003+'II-I-MET'!R1003+'II-I-TBILLTDCS'!R1003</f>
        <v>0</v>
      </c>
      <c r="S1003" s="369">
        <f ca="1">'II-I-DIST'!S1003+'II-I-MET'!S1003+'II-I-TBILLTDCS'!S1003</f>
        <v>0</v>
      </c>
      <c r="T1003" s="16"/>
      <c r="U1003" s="97">
        <f t="shared" ca="1" si="262"/>
        <v>0</v>
      </c>
      <c r="V1003" s="64"/>
      <c r="X1003" s="305"/>
    </row>
    <row r="1004" spans="1:24" x14ac:dyDescent="0.2">
      <c r="A1004" s="45"/>
      <c r="B1004" s="16">
        <f t="shared" si="259"/>
        <v>13</v>
      </c>
      <c r="C1004" s="1" t="s">
        <v>1233</v>
      </c>
      <c r="D1004" s="1" t="s">
        <v>103</v>
      </c>
      <c r="E1004" s="16"/>
      <c r="F1004" s="97">
        <f>' WP II-I-1.4'!L1004</f>
        <v>0</v>
      </c>
      <c r="G1004" s="16" t="s">
        <v>751</v>
      </c>
      <c r="H1004" s="45" t="s">
        <v>303</v>
      </c>
      <c r="I1004" s="16"/>
      <c r="J1004" s="369">
        <f ca="1">'II-I-DIST'!J1004+'II-I-MET'!J1004+'II-I-TBILLTDCS'!J1004</f>
        <v>0</v>
      </c>
      <c r="K1004" s="369">
        <f ca="1">'II-I-DIST'!K1004+'II-I-MET'!K1004+'II-I-TBILLTDCS'!K1004</f>
        <v>0</v>
      </c>
      <c r="L1004" s="369">
        <f ca="1">'II-I-DIST'!L1004+'II-I-MET'!L1004+'II-I-TBILLTDCS'!L1004</f>
        <v>0</v>
      </c>
      <c r="M1004" s="369">
        <f ca="1">'II-I-DIST'!M1004+'II-I-MET'!M1004+'II-I-TBILLTDCS'!M1004</f>
        <v>0</v>
      </c>
      <c r="N1004" s="369">
        <f ca="1">'II-I-DIST'!N1004+'II-I-MET'!N1004+'II-I-TBILLTDCS'!N1004</f>
        <v>0</v>
      </c>
      <c r="O1004" s="369">
        <f ca="1">'II-I-DIST'!O1004+'II-I-MET'!O1004+'II-I-TBILLTDCS'!O1004</f>
        <v>0</v>
      </c>
      <c r="P1004" s="369">
        <f ca="1">'II-I-DIST'!P1004+'II-I-MET'!P1004+'II-I-TBILLTDCS'!P1004</f>
        <v>0</v>
      </c>
      <c r="Q1004" s="369">
        <f ca="1">'II-I-DIST'!Q1004+'II-I-MET'!Q1004+'II-I-TBILLTDCS'!Q1004</f>
        <v>0</v>
      </c>
      <c r="R1004" s="369">
        <f ca="1">'II-I-DIST'!R1004+'II-I-MET'!R1004+'II-I-TBILLTDCS'!R1004</f>
        <v>0</v>
      </c>
      <c r="S1004" s="369">
        <f ca="1">'II-I-DIST'!S1004+'II-I-MET'!S1004+'II-I-TBILLTDCS'!S1004</f>
        <v>0</v>
      </c>
      <c r="T1004" s="16"/>
      <c r="U1004" s="97">
        <f t="shared" ca="1" si="262"/>
        <v>0</v>
      </c>
      <c r="V1004" s="64"/>
      <c r="X1004" s="305"/>
    </row>
    <row r="1005" spans="1:24" x14ac:dyDescent="0.2">
      <c r="A1005" s="45"/>
      <c r="B1005" s="16">
        <f t="shared" si="259"/>
        <v>14</v>
      </c>
      <c r="C1005" s="1" t="s">
        <v>41</v>
      </c>
      <c r="D1005" s="1" t="s">
        <v>42</v>
      </c>
      <c r="E1005" s="16"/>
      <c r="F1005" s="97">
        <f>' WP II-I-1.4'!L1005</f>
        <v>0</v>
      </c>
      <c r="G1005" s="16" t="s">
        <v>751</v>
      </c>
      <c r="H1005" s="45" t="s">
        <v>303</v>
      </c>
      <c r="I1005" s="16"/>
      <c r="J1005" s="369">
        <f ca="1">'II-I-DIST'!J1005+'II-I-MET'!J1005+'II-I-TBILLTDCS'!J1005</f>
        <v>0</v>
      </c>
      <c r="K1005" s="369">
        <f ca="1">'II-I-DIST'!K1005+'II-I-MET'!K1005+'II-I-TBILLTDCS'!K1005</f>
        <v>0</v>
      </c>
      <c r="L1005" s="369">
        <f ca="1">'II-I-DIST'!L1005+'II-I-MET'!L1005+'II-I-TBILLTDCS'!L1005</f>
        <v>0</v>
      </c>
      <c r="M1005" s="369">
        <f ca="1">'II-I-DIST'!M1005+'II-I-MET'!M1005+'II-I-TBILLTDCS'!M1005</f>
        <v>0</v>
      </c>
      <c r="N1005" s="369">
        <f ca="1">'II-I-DIST'!N1005+'II-I-MET'!N1005+'II-I-TBILLTDCS'!N1005</f>
        <v>0</v>
      </c>
      <c r="O1005" s="369">
        <f ca="1">'II-I-DIST'!O1005+'II-I-MET'!O1005+'II-I-TBILLTDCS'!O1005</f>
        <v>0</v>
      </c>
      <c r="P1005" s="369">
        <f ca="1">'II-I-DIST'!P1005+'II-I-MET'!P1005+'II-I-TBILLTDCS'!P1005</f>
        <v>0</v>
      </c>
      <c r="Q1005" s="369">
        <f ca="1">'II-I-DIST'!Q1005+'II-I-MET'!Q1005+'II-I-TBILLTDCS'!Q1005</f>
        <v>0</v>
      </c>
      <c r="R1005" s="369">
        <f ca="1">'II-I-DIST'!R1005+'II-I-MET'!R1005+'II-I-TBILLTDCS'!R1005</f>
        <v>0</v>
      </c>
      <c r="S1005" s="369">
        <f ca="1">'II-I-DIST'!S1005+'II-I-MET'!S1005+'II-I-TBILLTDCS'!S1005</f>
        <v>0</v>
      </c>
      <c r="T1005" s="16"/>
      <c r="U1005" s="97">
        <f t="shared" ca="1" si="261"/>
        <v>0</v>
      </c>
      <c r="V1005" s="64"/>
      <c r="X1005" s="305">
        <f t="shared" ca="1" si="254"/>
        <v>0</v>
      </c>
    </row>
    <row r="1006" spans="1:24" x14ac:dyDescent="0.2">
      <c r="A1006" s="45"/>
      <c r="B1006" s="16">
        <f t="shared" si="259"/>
        <v>15</v>
      </c>
      <c r="C1006" s="1" t="s">
        <v>43</v>
      </c>
      <c r="D1006" s="1" t="s">
        <v>44</v>
      </c>
      <c r="E1006" s="16"/>
      <c r="F1006" s="97">
        <f>' WP II-I-1.4'!L1006</f>
        <v>11435177.9</v>
      </c>
      <c r="G1006" s="16" t="s">
        <v>751</v>
      </c>
      <c r="H1006" s="45" t="s">
        <v>303</v>
      </c>
      <c r="I1006" s="16"/>
      <c r="J1006" s="369">
        <f ca="1">'II-I-DIST'!J1006+'II-I-MET'!J1006+'II-I-TBILLTDCS'!J1006</f>
        <v>5863576.2217134172</v>
      </c>
      <c r="K1006" s="369">
        <f ca="1">'II-I-DIST'!K1006+'II-I-MET'!K1006+'II-I-TBILLTDCS'!K1006</f>
        <v>110778.59418975141</v>
      </c>
      <c r="L1006" s="369">
        <f ca="1">'II-I-DIST'!L1006+'II-I-MET'!L1006+'II-I-TBILLTDCS'!L1006</f>
        <v>3766199.7684538909</v>
      </c>
      <c r="M1006" s="369">
        <f ca="1">'II-I-DIST'!M1006+'II-I-MET'!M1006+'II-I-TBILLTDCS'!M1006</f>
        <v>1762.3582351257496</v>
      </c>
      <c r="N1006" s="369">
        <f ca="1">'II-I-DIST'!N1006+'II-I-MET'!N1006+'II-I-TBILLTDCS'!N1006</f>
        <v>1107795.6152176636</v>
      </c>
      <c r="O1006" s="369">
        <f ca="1">'II-I-DIST'!O1006+'II-I-MET'!O1006+'II-I-TBILLTDCS'!O1006</f>
        <v>476152.36046943429</v>
      </c>
      <c r="P1006" s="369">
        <f ca="1">'II-I-DIST'!P1006+'II-I-MET'!P1006+'II-I-TBILLTDCS'!P1006</f>
        <v>0</v>
      </c>
      <c r="Q1006" s="369">
        <f ca="1">'II-I-DIST'!Q1006+'II-I-MET'!Q1006+'II-I-TBILLTDCS'!Q1006</f>
        <v>33493.074921336083</v>
      </c>
      <c r="R1006" s="369">
        <f ca="1">'II-I-DIST'!R1006+'II-I-MET'!R1006+'II-I-TBILLTDCS'!R1006</f>
        <v>32913.511410051913</v>
      </c>
      <c r="S1006" s="369">
        <f ca="1">'II-I-DIST'!S1006+'II-I-MET'!S1006+'II-I-TBILLTDCS'!S1006</f>
        <v>42506.395389327285</v>
      </c>
      <c r="T1006" s="16"/>
      <c r="U1006" s="97">
        <f t="shared" ca="1" si="261"/>
        <v>11435177.899999999</v>
      </c>
      <c r="V1006" s="64"/>
      <c r="X1006" s="305">
        <f t="shared" ca="1" si="254"/>
        <v>0</v>
      </c>
    </row>
    <row r="1007" spans="1:24" x14ac:dyDescent="0.2">
      <c r="A1007" s="45"/>
      <c r="B1007" s="16">
        <f t="shared" si="259"/>
        <v>16</v>
      </c>
      <c r="C1007" s="1" t="s">
        <v>45</v>
      </c>
      <c r="D1007" s="1" t="s">
        <v>46</v>
      </c>
      <c r="E1007" s="16"/>
      <c r="F1007" s="97">
        <f>' WP II-I-1.4'!L1007</f>
        <v>0</v>
      </c>
      <c r="G1007" s="16" t="s">
        <v>751</v>
      </c>
      <c r="H1007" s="45" t="s">
        <v>303</v>
      </c>
      <c r="I1007" s="16"/>
      <c r="J1007" s="369">
        <f ca="1">'II-I-DIST'!J1007+'II-I-MET'!J1007+'II-I-TBILLTDCS'!J1007</f>
        <v>0</v>
      </c>
      <c r="K1007" s="369">
        <f ca="1">'II-I-DIST'!K1007+'II-I-MET'!K1007+'II-I-TBILLTDCS'!K1007</f>
        <v>0</v>
      </c>
      <c r="L1007" s="369">
        <f ca="1">'II-I-DIST'!L1007+'II-I-MET'!L1007+'II-I-TBILLTDCS'!L1007</f>
        <v>0</v>
      </c>
      <c r="M1007" s="369">
        <f ca="1">'II-I-DIST'!M1007+'II-I-MET'!M1007+'II-I-TBILLTDCS'!M1007</f>
        <v>0</v>
      </c>
      <c r="N1007" s="369">
        <f ca="1">'II-I-DIST'!N1007+'II-I-MET'!N1007+'II-I-TBILLTDCS'!N1007</f>
        <v>0</v>
      </c>
      <c r="O1007" s="369">
        <f ca="1">'II-I-DIST'!O1007+'II-I-MET'!O1007+'II-I-TBILLTDCS'!O1007</f>
        <v>0</v>
      </c>
      <c r="P1007" s="369">
        <f ca="1">'II-I-DIST'!P1007+'II-I-MET'!P1007+'II-I-TBILLTDCS'!P1007</f>
        <v>0</v>
      </c>
      <c r="Q1007" s="369">
        <f ca="1">'II-I-DIST'!Q1007+'II-I-MET'!Q1007+'II-I-TBILLTDCS'!Q1007</f>
        <v>0</v>
      </c>
      <c r="R1007" s="369">
        <f ca="1">'II-I-DIST'!R1007+'II-I-MET'!R1007+'II-I-TBILLTDCS'!R1007</f>
        <v>0</v>
      </c>
      <c r="S1007" s="369">
        <f ca="1">'II-I-DIST'!S1007+'II-I-MET'!S1007+'II-I-TBILLTDCS'!S1007</f>
        <v>0</v>
      </c>
      <c r="T1007" s="16"/>
      <c r="U1007" s="97">
        <f t="shared" ca="1" si="261"/>
        <v>0</v>
      </c>
      <c r="V1007" s="64"/>
      <c r="X1007" s="305">
        <f t="shared" ca="1" si="254"/>
        <v>0</v>
      </c>
    </row>
    <row r="1008" spans="1:24" x14ac:dyDescent="0.2">
      <c r="A1008" s="45"/>
      <c r="B1008" s="16">
        <f t="shared" si="259"/>
        <v>17</v>
      </c>
      <c r="C1008" s="1" t="s">
        <v>47</v>
      </c>
      <c r="D1008" s="1" t="s">
        <v>48</v>
      </c>
      <c r="E1008" s="16"/>
      <c r="F1008" s="97">
        <f>' WP II-I-1.4'!L1008</f>
        <v>0</v>
      </c>
      <c r="G1008" s="16" t="s">
        <v>751</v>
      </c>
      <c r="H1008" s="45" t="s">
        <v>303</v>
      </c>
      <c r="I1008" s="16"/>
      <c r="J1008" s="369">
        <f ca="1">'II-I-DIST'!J1008+'II-I-MET'!J1008+'II-I-TBILLTDCS'!J1008</f>
        <v>0</v>
      </c>
      <c r="K1008" s="369">
        <f ca="1">'II-I-DIST'!K1008+'II-I-MET'!K1008+'II-I-TBILLTDCS'!K1008</f>
        <v>0</v>
      </c>
      <c r="L1008" s="369">
        <f ca="1">'II-I-DIST'!L1008+'II-I-MET'!L1008+'II-I-TBILLTDCS'!L1008</f>
        <v>0</v>
      </c>
      <c r="M1008" s="369">
        <f ca="1">'II-I-DIST'!M1008+'II-I-MET'!M1008+'II-I-TBILLTDCS'!M1008</f>
        <v>0</v>
      </c>
      <c r="N1008" s="369">
        <f ca="1">'II-I-DIST'!N1008+'II-I-MET'!N1008+'II-I-TBILLTDCS'!N1008</f>
        <v>0</v>
      </c>
      <c r="O1008" s="369">
        <f ca="1">'II-I-DIST'!O1008+'II-I-MET'!O1008+'II-I-TBILLTDCS'!O1008</f>
        <v>0</v>
      </c>
      <c r="P1008" s="369">
        <f ca="1">'II-I-DIST'!P1008+'II-I-MET'!P1008+'II-I-TBILLTDCS'!P1008</f>
        <v>0</v>
      </c>
      <c r="Q1008" s="369">
        <f ca="1">'II-I-DIST'!Q1008+'II-I-MET'!Q1008+'II-I-TBILLTDCS'!Q1008</f>
        <v>0</v>
      </c>
      <c r="R1008" s="369">
        <f ca="1">'II-I-DIST'!R1008+'II-I-MET'!R1008+'II-I-TBILLTDCS'!R1008</f>
        <v>0</v>
      </c>
      <c r="S1008" s="369">
        <f ca="1">'II-I-DIST'!S1008+'II-I-MET'!S1008+'II-I-TBILLTDCS'!S1008</f>
        <v>0</v>
      </c>
      <c r="T1008" s="16"/>
      <c r="U1008" s="97">
        <f t="shared" ca="1" si="261"/>
        <v>0</v>
      </c>
      <c r="V1008" s="64"/>
      <c r="X1008" s="305">
        <f t="shared" ca="1" si="254"/>
        <v>0</v>
      </c>
    </row>
    <row r="1009" spans="1:24" x14ac:dyDescent="0.2">
      <c r="A1009" s="45"/>
      <c r="B1009" s="16">
        <f t="shared" si="259"/>
        <v>18</v>
      </c>
      <c r="C1009" s="1" t="s">
        <v>49</v>
      </c>
      <c r="D1009" s="1" t="s">
        <v>486</v>
      </c>
      <c r="E1009" s="16"/>
      <c r="F1009" s="97">
        <f>' WP II-I-1.4'!L1009</f>
        <v>0</v>
      </c>
      <c r="G1009" s="16" t="s">
        <v>751</v>
      </c>
      <c r="H1009" s="45" t="s">
        <v>303</v>
      </c>
      <c r="I1009" s="16"/>
      <c r="J1009" s="369">
        <f ca="1">'II-I-DIST'!J1009+'II-I-MET'!J1009+'II-I-TBILLTDCS'!J1009</f>
        <v>0</v>
      </c>
      <c r="K1009" s="369">
        <f ca="1">'II-I-DIST'!K1009+'II-I-MET'!K1009+'II-I-TBILLTDCS'!K1009</f>
        <v>0</v>
      </c>
      <c r="L1009" s="369">
        <f ca="1">'II-I-DIST'!L1009+'II-I-MET'!L1009+'II-I-TBILLTDCS'!L1009</f>
        <v>0</v>
      </c>
      <c r="M1009" s="369">
        <f ca="1">'II-I-DIST'!M1009+'II-I-MET'!M1009+'II-I-TBILLTDCS'!M1009</f>
        <v>0</v>
      </c>
      <c r="N1009" s="369">
        <f ca="1">'II-I-DIST'!N1009+'II-I-MET'!N1009+'II-I-TBILLTDCS'!N1009</f>
        <v>0</v>
      </c>
      <c r="O1009" s="369">
        <f ca="1">'II-I-DIST'!O1009+'II-I-MET'!O1009+'II-I-TBILLTDCS'!O1009</f>
        <v>0</v>
      </c>
      <c r="P1009" s="369">
        <f ca="1">'II-I-DIST'!P1009+'II-I-MET'!P1009+'II-I-TBILLTDCS'!P1009</f>
        <v>0</v>
      </c>
      <c r="Q1009" s="369">
        <f ca="1">'II-I-DIST'!Q1009+'II-I-MET'!Q1009+'II-I-TBILLTDCS'!Q1009</f>
        <v>0</v>
      </c>
      <c r="R1009" s="369">
        <f ca="1">'II-I-DIST'!R1009+'II-I-MET'!R1009+'II-I-TBILLTDCS'!R1009</f>
        <v>0</v>
      </c>
      <c r="S1009" s="369">
        <f ca="1">'II-I-DIST'!S1009+'II-I-MET'!S1009+'II-I-TBILLTDCS'!S1009</f>
        <v>0</v>
      </c>
      <c r="T1009" s="16"/>
      <c r="U1009" s="97">
        <f t="shared" ca="1" si="261"/>
        <v>0</v>
      </c>
      <c r="V1009" s="64"/>
      <c r="X1009" s="305">
        <f t="shared" ca="1" si="254"/>
        <v>0</v>
      </c>
    </row>
    <row r="1010" spans="1:24" x14ac:dyDescent="0.2">
      <c r="A1010" s="45"/>
      <c r="B1010" s="16">
        <f t="shared" si="259"/>
        <v>19</v>
      </c>
      <c r="C1010" s="1" t="s">
        <v>51</v>
      </c>
      <c r="D1010" s="1" t="s">
        <v>644</v>
      </c>
      <c r="E1010" s="16"/>
      <c r="F1010" s="97">
        <f>' WP II-I-1.4'!L1010</f>
        <v>0</v>
      </c>
      <c r="G1010" s="16" t="s">
        <v>751</v>
      </c>
      <c r="H1010" s="45" t="s">
        <v>303</v>
      </c>
      <c r="I1010" s="16"/>
      <c r="J1010" s="369">
        <f ca="1">'II-I-DIST'!J1010+'II-I-MET'!J1010+'II-I-TBILLTDCS'!J1010</f>
        <v>0</v>
      </c>
      <c r="K1010" s="369">
        <f ca="1">'II-I-DIST'!K1010+'II-I-MET'!K1010+'II-I-TBILLTDCS'!K1010</f>
        <v>0</v>
      </c>
      <c r="L1010" s="369">
        <f ca="1">'II-I-DIST'!L1010+'II-I-MET'!L1010+'II-I-TBILLTDCS'!L1010</f>
        <v>0</v>
      </c>
      <c r="M1010" s="369">
        <f ca="1">'II-I-DIST'!M1010+'II-I-MET'!M1010+'II-I-TBILLTDCS'!M1010</f>
        <v>0</v>
      </c>
      <c r="N1010" s="369">
        <f ca="1">'II-I-DIST'!N1010+'II-I-MET'!N1010+'II-I-TBILLTDCS'!N1010</f>
        <v>0</v>
      </c>
      <c r="O1010" s="369">
        <f ca="1">'II-I-DIST'!O1010+'II-I-MET'!O1010+'II-I-TBILLTDCS'!O1010</f>
        <v>0</v>
      </c>
      <c r="P1010" s="369">
        <f ca="1">'II-I-DIST'!P1010+'II-I-MET'!P1010+'II-I-TBILLTDCS'!P1010</f>
        <v>0</v>
      </c>
      <c r="Q1010" s="369">
        <f ca="1">'II-I-DIST'!Q1010+'II-I-MET'!Q1010+'II-I-TBILLTDCS'!Q1010</f>
        <v>0</v>
      </c>
      <c r="R1010" s="369">
        <f ca="1">'II-I-DIST'!R1010+'II-I-MET'!R1010+'II-I-TBILLTDCS'!R1010</f>
        <v>0</v>
      </c>
      <c r="S1010" s="369">
        <f ca="1">'II-I-DIST'!S1010+'II-I-MET'!S1010+'II-I-TBILLTDCS'!S1010</f>
        <v>0</v>
      </c>
      <c r="T1010" s="16"/>
      <c r="U1010" s="97">
        <f t="shared" ca="1" si="261"/>
        <v>0</v>
      </c>
      <c r="V1010" s="64"/>
      <c r="X1010" s="305">
        <f t="shared" ca="1" si="254"/>
        <v>0</v>
      </c>
    </row>
    <row r="1011" spans="1:24" x14ac:dyDescent="0.2">
      <c r="A1011" s="45"/>
      <c r="B1011" s="16">
        <f t="shared" si="259"/>
        <v>20</v>
      </c>
      <c r="C1011" s="1" t="s">
        <v>53</v>
      </c>
      <c r="D1011" s="29" t="s">
        <v>487</v>
      </c>
      <c r="E1011" s="16"/>
      <c r="F1011" s="97">
        <f>' WP II-I-1.4'!L1011</f>
        <v>0</v>
      </c>
      <c r="G1011" s="16" t="s">
        <v>751</v>
      </c>
      <c r="H1011" s="45" t="s">
        <v>303</v>
      </c>
      <c r="I1011" s="16"/>
      <c r="J1011" s="369">
        <f ca="1">'II-I-DIST'!J1011+'II-I-MET'!J1011+'II-I-TBILLTDCS'!J1011</f>
        <v>0</v>
      </c>
      <c r="K1011" s="369">
        <f ca="1">'II-I-DIST'!K1011+'II-I-MET'!K1011+'II-I-TBILLTDCS'!K1011</f>
        <v>0</v>
      </c>
      <c r="L1011" s="369">
        <f ca="1">'II-I-DIST'!L1011+'II-I-MET'!L1011+'II-I-TBILLTDCS'!L1011</f>
        <v>0</v>
      </c>
      <c r="M1011" s="369">
        <f ca="1">'II-I-DIST'!M1011+'II-I-MET'!M1011+'II-I-TBILLTDCS'!M1011</f>
        <v>0</v>
      </c>
      <c r="N1011" s="369">
        <f ca="1">'II-I-DIST'!N1011+'II-I-MET'!N1011+'II-I-TBILLTDCS'!N1011</f>
        <v>0</v>
      </c>
      <c r="O1011" s="369">
        <f ca="1">'II-I-DIST'!O1011+'II-I-MET'!O1011+'II-I-TBILLTDCS'!O1011</f>
        <v>0</v>
      </c>
      <c r="P1011" s="369">
        <f ca="1">'II-I-DIST'!P1011+'II-I-MET'!P1011+'II-I-TBILLTDCS'!P1011</f>
        <v>0</v>
      </c>
      <c r="Q1011" s="369">
        <f ca="1">'II-I-DIST'!Q1011+'II-I-MET'!Q1011+'II-I-TBILLTDCS'!Q1011</f>
        <v>0</v>
      </c>
      <c r="R1011" s="369">
        <f ca="1">'II-I-DIST'!R1011+'II-I-MET'!R1011+'II-I-TBILLTDCS'!R1011</f>
        <v>0</v>
      </c>
      <c r="S1011" s="369">
        <f ca="1">'II-I-DIST'!S1011+'II-I-MET'!S1011+'II-I-TBILLTDCS'!S1011</f>
        <v>0</v>
      </c>
      <c r="T1011" s="16"/>
      <c r="U1011" s="97">
        <f t="shared" ca="1" si="261"/>
        <v>0</v>
      </c>
      <c r="V1011" s="64"/>
      <c r="X1011" s="305">
        <f t="shared" ca="1" si="254"/>
        <v>0</v>
      </c>
    </row>
    <row r="1012" spans="1:24" x14ac:dyDescent="0.2">
      <c r="A1012" s="45"/>
      <c r="B1012" s="16">
        <f t="shared" si="259"/>
        <v>21</v>
      </c>
      <c r="C1012" s="1" t="s">
        <v>55</v>
      </c>
      <c r="D1012" s="1" t="s">
        <v>56</v>
      </c>
      <c r="E1012" s="16"/>
      <c r="F1012" s="97">
        <f>' WP II-I-1.4'!L1012</f>
        <v>0</v>
      </c>
      <c r="G1012" s="16" t="s">
        <v>751</v>
      </c>
      <c r="H1012" s="45" t="s">
        <v>303</v>
      </c>
      <c r="I1012" s="16"/>
      <c r="J1012" s="370">
        <f ca="1">'II-I-DIST'!J1012+'II-I-MET'!J1012+'II-I-TBILLTDCS'!J1012</f>
        <v>0</v>
      </c>
      <c r="K1012" s="370">
        <f ca="1">'II-I-DIST'!K1012+'II-I-MET'!K1012+'II-I-TBILLTDCS'!K1012</f>
        <v>0</v>
      </c>
      <c r="L1012" s="370">
        <f ca="1">'II-I-DIST'!L1012+'II-I-MET'!L1012+'II-I-TBILLTDCS'!L1012</f>
        <v>0</v>
      </c>
      <c r="M1012" s="370">
        <f ca="1">'II-I-DIST'!M1012+'II-I-MET'!M1012+'II-I-TBILLTDCS'!M1012</f>
        <v>0</v>
      </c>
      <c r="N1012" s="370">
        <f ca="1">'II-I-DIST'!N1012+'II-I-MET'!N1012+'II-I-TBILLTDCS'!N1012</f>
        <v>0</v>
      </c>
      <c r="O1012" s="370">
        <f ca="1">'II-I-DIST'!O1012+'II-I-MET'!O1012+'II-I-TBILLTDCS'!O1012</f>
        <v>0</v>
      </c>
      <c r="P1012" s="370">
        <f ca="1">'II-I-DIST'!P1012+'II-I-MET'!P1012+'II-I-TBILLTDCS'!P1012</f>
        <v>0</v>
      </c>
      <c r="Q1012" s="370">
        <f ca="1">'II-I-DIST'!Q1012+'II-I-MET'!Q1012+'II-I-TBILLTDCS'!Q1012</f>
        <v>0</v>
      </c>
      <c r="R1012" s="370">
        <f ca="1">'II-I-DIST'!R1012+'II-I-MET'!R1012+'II-I-TBILLTDCS'!R1012</f>
        <v>0</v>
      </c>
      <c r="S1012" s="370">
        <f ca="1">'II-I-DIST'!S1012+'II-I-MET'!S1012+'II-I-TBILLTDCS'!S1012</f>
        <v>0</v>
      </c>
      <c r="T1012" s="16"/>
      <c r="U1012" s="97">
        <f t="shared" ca="1" si="261"/>
        <v>0</v>
      </c>
      <c r="V1012" s="64"/>
      <c r="X1012" s="305">
        <f t="shared" ca="1" si="254"/>
        <v>0</v>
      </c>
    </row>
    <row r="1013" spans="1:24" ht="15" x14ac:dyDescent="0.25">
      <c r="A1013" s="45"/>
      <c r="B1013" s="16">
        <f t="shared" si="259"/>
        <v>22</v>
      </c>
      <c r="C1013" s="8"/>
      <c r="D1013" s="233" t="s">
        <v>444</v>
      </c>
      <c r="E1013" s="19"/>
      <c r="F1013" s="21">
        <f>SUM(F1001:F1012)</f>
        <v>11435177.9</v>
      </c>
      <c r="G1013" s="19"/>
      <c r="H1013" s="19"/>
      <c r="I1013" s="912"/>
      <c r="J1013" s="805">
        <f t="shared" ref="J1013:Q1013" ca="1" si="263">SUM(J1001:J1012)</f>
        <v>5863576.2217134172</v>
      </c>
      <c r="K1013" s="805">
        <f t="shared" ca="1" si="263"/>
        <v>110778.59418975141</v>
      </c>
      <c r="L1013" s="805">
        <f t="shared" ca="1" si="263"/>
        <v>3766199.7684538909</v>
      </c>
      <c r="M1013" s="805">
        <f t="shared" ca="1" si="263"/>
        <v>1762.3582351257496</v>
      </c>
      <c r="N1013" s="805">
        <f t="shared" ca="1" si="263"/>
        <v>1107795.6152176636</v>
      </c>
      <c r="O1013" s="805">
        <f ca="1">SUM(O1001:O1012)</f>
        <v>476152.36046943429</v>
      </c>
      <c r="P1013" s="805">
        <f t="shared" ca="1" si="263"/>
        <v>0</v>
      </c>
      <c r="Q1013" s="805">
        <f t="shared" ca="1" si="263"/>
        <v>33493.074921336083</v>
      </c>
      <c r="R1013" s="805">
        <f ca="1">SUM(R1001:R1012)</f>
        <v>32913.511410051913</v>
      </c>
      <c r="S1013" s="805">
        <f ca="1">SUM(S1001:S1012)</f>
        <v>42506.395389327285</v>
      </c>
      <c r="T1013" s="912"/>
      <c r="U1013" s="235">
        <f t="shared" ca="1" si="261"/>
        <v>11435177.899999999</v>
      </c>
      <c r="V1013" s="64"/>
      <c r="W1013" s="1099" t="b">
        <f ca="1">' WP II-I-1.4'!$L$1013=U1013</f>
        <v>1</v>
      </c>
      <c r="X1013" s="305">
        <f t="shared" ca="1" si="254"/>
        <v>0</v>
      </c>
    </row>
    <row r="1014" spans="1:24" x14ac:dyDescent="0.2">
      <c r="A1014" s="45"/>
      <c r="B1014" s="16">
        <f t="shared" si="259"/>
        <v>23</v>
      </c>
      <c r="C1014" s="1"/>
      <c r="D1014" s="1"/>
      <c r="E1014" s="16"/>
      <c r="F1014" s="18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"/>
      <c r="V1014" s="64"/>
      <c r="X1014" s="305">
        <f t="shared" si="254"/>
        <v>0</v>
      </c>
    </row>
    <row r="1015" spans="1:24" ht="15" x14ac:dyDescent="0.25">
      <c r="A1015" s="45"/>
      <c r="B1015" s="16">
        <f t="shared" si="259"/>
        <v>24</v>
      </c>
      <c r="C1015" s="8" t="s">
        <v>645</v>
      </c>
      <c r="D1015" s="8"/>
      <c r="E1015" s="19" t="s">
        <v>280</v>
      </c>
      <c r="F1015" s="21"/>
      <c r="G1015" s="19"/>
      <c r="H1015" s="19"/>
      <c r="I1015" s="912"/>
      <c r="J1015" s="961"/>
      <c r="K1015" s="961"/>
      <c r="L1015" s="961"/>
      <c r="M1015" s="961"/>
      <c r="N1015" s="961"/>
      <c r="O1015" s="961"/>
      <c r="P1015" s="961"/>
      <c r="Q1015" s="961"/>
      <c r="R1015" s="961"/>
      <c r="S1015" s="961"/>
      <c r="T1015" s="19"/>
      <c r="U1015" s="8"/>
      <c r="V1015" s="64"/>
      <c r="X1015" s="305">
        <f t="shared" si="254"/>
        <v>0</v>
      </c>
    </row>
    <row r="1016" spans="1:24" x14ac:dyDescent="0.2">
      <c r="A1016" s="45"/>
      <c r="B1016" s="16">
        <f t="shared" si="259"/>
        <v>25</v>
      </c>
      <c r="C1016" s="1" t="s">
        <v>59</v>
      </c>
      <c r="D1016" s="1" t="s">
        <v>40</v>
      </c>
      <c r="E1016" s="16"/>
      <c r="F1016" s="97">
        <f>' WP II-I-1.4'!L1016</f>
        <v>360797.93</v>
      </c>
      <c r="G1016" s="16" t="s">
        <v>751</v>
      </c>
      <c r="H1016" s="45" t="s">
        <v>303</v>
      </c>
      <c r="I1016" s="16"/>
      <c r="J1016" s="369">
        <f ca="1">'II-I-DIST'!J1016+'II-I-MET'!J1016+'II-I-TBILLTDCS'!J1016</f>
        <v>193948.57358778128</v>
      </c>
      <c r="K1016" s="369">
        <f ca="1">'II-I-DIST'!K1016+'II-I-MET'!K1016+'II-I-TBILLTDCS'!K1016</f>
        <v>6364.6853481776816</v>
      </c>
      <c r="L1016" s="369">
        <f ca="1">'II-I-DIST'!L1016+'II-I-MET'!L1016+'II-I-TBILLTDCS'!L1016</f>
        <v>122558.32222599752</v>
      </c>
      <c r="M1016" s="369">
        <f ca="1">'II-I-DIST'!M1016+'II-I-MET'!M1016+'II-I-TBILLTDCS'!M1016</f>
        <v>34.888821413739294</v>
      </c>
      <c r="N1016" s="369">
        <f ca="1">'II-I-DIST'!N1016+'II-I-MET'!N1016+'II-I-TBILLTDCS'!N1016</f>
        <v>21930.662343172673</v>
      </c>
      <c r="O1016" s="369">
        <f ca="1">'II-I-DIST'!O1016+'II-I-MET'!O1016+'II-I-TBILLTDCS'!O1016</f>
        <v>2108.0181468672367</v>
      </c>
      <c r="P1016" s="369">
        <f ca="1">'II-I-DIST'!P1016+'II-I-MET'!P1016+'II-I-TBILLTDCS'!P1016</f>
        <v>428.40158067011834</v>
      </c>
      <c r="Q1016" s="369">
        <f ca="1">'II-I-DIST'!Q1016+'II-I-MET'!Q1016+'II-I-TBILLTDCS'!Q1016</f>
        <v>12437.178485579627</v>
      </c>
      <c r="R1016" s="369">
        <f ca="1">'II-I-DIST'!R1016+'II-I-MET'!R1016+'II-I-TBILLTDCS'!R1016</f>
        <v>145.71445001576373</v>
      </c>
      <c r="S1016" s="369">
        <f ca="1">'II-I-DIST'!S1016+'II-I-MET'!S1016+'II-I-TBILLTDCS'!S1016</f>
        <v>841.48501032437048</v>
      </c>
      <c r="T1016" s="16"/>
      <c r="U1016" s="97">
        <f t="shared" ref="U1016:U1032" ca="1" si="264">SUM(I1016:T1016)</f>
        <v>360797.92999999993</v>
      </c>
      <c r="V1016" s="64"/>
      <c r="X1016" s="305">
        <f t="shared" ca="1" si="254"/>
        <v>0</v>
      </c>
    </row>
    <row r="1017" spans="1:24" x14ac:dyDescent="0.2">
      <c r="A1017" s="45"/>
      <c r="B1017" s="16">
        <f t="shared" si="259"/>
        <v>26</v>
      </c>
      <c r="C1017" s="1" t="s">
        <v>60</v>
      </c>
      <c r="D1017" s="29" t="s">
        <v>42</v>
      </c>
      <c r="E1017" s="16"/>
      <c r="F1017" s="97">
        <f>' WP II-I-1.4'!L1017</f>
        <v>5614303.75</v>
      </c>
      <c r="G1017" s="16" t="s">
        <v>751</v>
      </c>
      <c r="H1017" s="45" t="s">
        <v>303</v>
      </c>
      <c r="I1017" s="16"/>
      <c r="J1017" s="369">
        <f ca="1">'II-I-DIST'!J1017+'II-I-MET'!J1017+'II-I-TBILLTDCS'!J1017</f>
        <v>3017994.5988077908</v>
      </c>
      <c r="K1017" s="369">
        <f ca="1">'II-I-DIST'!K1017+'II-I-MET'!K1017+'II-I-TBILLTDCS'!K1017</f>
        <v>99039.583785428069</v>
      </c>
      <c r="L1017" s="369">
        <f ca="1">'II-I-DIST'!L1017+'II-I-MET'!L1017+'II-I-TBILLTDCS'!L1017</f>
        <v>1907105.3097979974</v>
      </c>
      <c r="M1017" s="369">
        <f ca="1">'II-I-DIST'!M1017+'II-I-MET'!M1017+'II-I-TBILLTDCS'!M1017</f>
        <v>542.89790658232664</v>
      </c>
      <c r="N1017" s="369">
        <f ca="1">'II-I-DIST'!N1017+'II-I-MET'!N1017+'II-I-TBILLTDCS'!N1017</f>
        <v>341258.60930870118</v>
      </c>
      <c r="O1017" s="369">
        <f ca="1">'II-I-DIST'!O1017+'II-I-MET'!O1017+'II-I-TBILLTDCS'!O1017</f>
        <v>32802.444811767011</v>
      </c>
      <c r="P1017" s="369">
        <f ca="1">'II-I-DIST'!P1017+'II-I-MET'!P1017+'II-I-TBILLTDCS'!P1017</f>
        <v>6666.2705100945923</v>
      </c>
      <c r="Q1017" s="369">
        <f ca="1">'II-I-DIST'!Q1017+'II-I-MET'!Q1017+'II-I-TBILLTDCS'!Q1017</f>
        <v>193532.42356742185</v>
      </c>
      <c r="R1017" s="369">
        <f ca="1">'II-I-DIST'!R1017+'II-I-MET'!R1017+'II-I-TBILLTDCS'!R1017</f>
        <v>2267.4331395213103</v>
      </c>
      <c r="S1017" s="369">
        <f ca="1">'II-I-DIST'!S1017+'II-I-MET'!S1017+'II-I-TBILLTDCS'!S1017</f>
        <v>13094.178364695445</v>
      </c>
      <c r="T1017" s="16"/>
      <c r="U1017" s="97">
        <f t="shared" ca="1" si="264"/>
        <v>5614303.7499999991</v>
      </c>
      <c r="V1017" s="64"/>
      <c r="X1017" s="305">
        <f t="shared" ca="1" si="254"/>
        <v>0</v>
      </c>
    </row>
    <row r="1018" spans="1:24" x14ac:dyDescent="0.2">
      <c r="A1018" s="45"/>
      <c r="B1018" s="16">
        <f t="shared" si="259"/>
        <v>27</v>
      </c>
      <c r="C1018" s="1" t="s">
        <v>61</v>
      </c>
      <c r="D1018" s="1" t="s">
        <v>44</v>
      </c>
      <c r="E1018" s="16"/>
      <c r="F1018" s="97">
        <f>' WP II-I-1.4'!L1018</f>
        <v>58018119.409999996</v>
      </c>
      <c r="G1018" s="16" t="s">
        <v>751</v>
      </c>
      <c r="H1018" s="45" t="s">
        <v>303</v>
      </c>
      <c r="I1018" s="16"/>
      <c r="J1018" s="369">
        <f>'II-I-DIST'!J1018+'II-I-MET'!J1018+'II-I-TBILLTDCS'!J1018</f>
        <v>29749748.39709365</v>
      </c>
      <c r="K1018" s="369">
        <f>'II-I-DIST'!K1018+'II-I-MET'!K1018+'II-I-TBILLTDCS'!K1018</f>
        <v>562052.0959077453</v>
      </c>
      <c r="L1018" s="369">
        <f>'II-I-DIST'!L1018+'II-I-MET'!L1018+'II-I-TBILLTDCS'!L1018</f>
        <v>19108389.025418855</v>
      </c>
      <c r="M1018" s="369">
        <f>'II-I-DIST'!M1018+'II-I-MET'!M1018+'II-I-TBILLTDCS'!M1018</f>
        <v>8941.5933379333437</v>
      </c>
      <c r="N1018" s="369">
        <f>'II-I-DIST'!N1018+'II-I-MET'!N1018+'II-I-TBILLTDCS'!N1018</f>
        <v>5620570.0381428115</v>
      </c>
      <c r="O1018" s="369">
        <f>'II-I-DIST'!O1018+'II-I-MET'!O1018+'II-I-TBILLTDCS'!O1018</f>
        <v>2415831.6336354506</v>
      </c>
      <c r="P1018" s="369">
        <f>'II-I-DIST'!P1018+'II-I-MET'!P1018+'II-I-TBILLTDCS'!P1018</f>
        <v>0</v>
      </c>
      <c r="Q1018" s="369">
        <f>'II-I-DIST'!Q1018+'II-I-MET'!Q1018+'II-I-TBILLTDCS'!Q1018</f>
        <v>169932.22468311171</v>
      </c>
      <c r="R1018" s="369">
        <f>'II-I-DIST'!R1018+'II-I-MET'!R1018+'II-I-TBILLTDCS'!R1018</f>
        <v>166991.72080136937</v>
      </c>
      <c r="S1018" s="369">
        <f>'II-I-DIST'!S1018+'II-I-MET'!S1018+'II-I-TBILLTDCS'!S1018</f>
        <v>215662.68097907456</v>
      </c>
      <c r="T1018" s="16"/>
      <c r="U1018" s="97">
        <f t="shared" si="264"/>
        <v>58018119.409999996</v>
      </c>
      <c r="V1018" s="64"/>
      <c r="X1018" s="305">
        <f t="shared" si="254"/>
        <v>0</v>
      </c>
    </row>
    <row r="1019" spans="1:24" x14ac:dyDescent="0.2">
      <c r="A1019" s="45"/>
      <c r="B1019" s="16">
        <f t="shared" si="259"/>
        <v>28</v>
      </c>
      <c r="C1019" s="1" t="s">
        <v>1234</v>
      </c>
      <c r="D1019" s="1" t="s">
        <v>1230</v>
      </c>
      <c r="E1019" s="16"/>
      <c r="F1019" s="97">
        <f>' WP II-I-1.4'!L1019</f>
        <v>0</v>
      </c>
      <c r="G1019" s="16" t="s">
        <v>751</v>
      </c>
      <c r="H1019" s="45" t="s">
        <v>303</v>
      </c>
      <c r="I1019" s="16"/>
      <c r="J1019" s="369">
        <f ca="1">'II-I-DIST'!J1019+'II-I-MET'!J1019+'II-I-TBILLTDCS'!J1019</f>
        <v>0</v>
      </c>
      <c r="K1019" s="369">
        <f ca="1">'II-I-DIST'!K1019+'II-I-MET'!K1019+'II-I-TBILLTDCS'!K1019</f>
        <v>0</v>
      </c>
      <c r="L1019" s="369">
        <f ca="1">'II-I-DIST'!L1019+'II-I-MET'!L1019+'II-I-TBILLTDCS'!L1019</f>
        <v>0</v>
      </c>
      <c r="M1019" s="369">
        <f ca="1">'II-I-DIST'!M1019+'II-I-MET'!M1019+'II-I-TBILLTDCS'!M1019</f>
        <v>0</v>
      </c>
      <c r="N1019" s="369">
        <f ca="1">'II-I-DIST'!N1019+'II-I-MET'!N1019+'II-I-TBILLTDCS'!N1019</f>
        <v>0</v>
      </c>
      <c r="O1019" s="369">
        <f ca="1">'II-I-DIST'!O1019+'II-I-MET'!O1019+'II-I-TBILLTDCS'!O1019</f>
        <v>0</v>
      </c>
      <c r="P1019" s="369">
        <f ca="1">'II-I-DIST'!P1019+'II-I-MET'!P1019+'II-I-TBILLTDCS'!P1019</f>
        <v>0</v>
      </c>
      <c r="Q1019" s="369">
        <f ca="1">'II-I-DIST'!Q1019+'II-I-MET'!Q1019+'II-I-TBILLTDCS'!Q1019</f>
        <v>0</v>
      </c>
      <c r="R1019" s="369">
        <f ca="1">'II-I-DIST'!R1019+'II-I-MET'!R1019+'II-I-TBILLTDCS'!R1019</f>
        <v>0</v>
      </c>
      <c r="S1019" s="369">
        <f ca="1">'II-I-DIST'!S1019+'II-I-MET'!S1019+'II-I-TBILLTDCS'!S1019</f>
        <v>0</v>
      </c>
      <c r="T1019" s="16"/>
      <c r="U1019" s="97">
        <f t="shared" ref="U1019:U1021" ca="1" si="265">SUM(I1019:T1019)</f>
        <v>0</v>
      </c>
      <c r="V1019" s="64"/>
      <c r="X1019" s="305"/>
    </row>
    <row r="1020" spans="1:24" x14ac:dyDescent="0.2">
      <c r="A1020" s="45"/>
      <c r="B1020" s="16">
        <f t="shared" si="259"/>
        <v>29</v>
      </c>
      <c r="C1020" s="1" t="s">
        <v>1235</v>
      </c>
      <c r="D1020" s="1" t="s">
        <v>1232</v>
      </c>
      <c r="E1020" s="16"/>
      <c r="F1020" s="97">
        <f>' WP II-I-1.4'!L1020</f>
        <v>61123258.920000002</v>
      </c>
      <c r="G1020" s="16" t="s">
        <v>751</v>
      </c>
      <c r="H1020" s="45" t="s">
        <v>303</v>
      </c>
      <c r="I1020" s="16"/>
      <c r="J1020" s="369">
        <f ca="1">'II-I-DIST'!J1020+'II-I-MET'!J1020+'II-I-TBILLTDCS'!J1020</f>
        <v>31684638.386351831</v>
      </c>
      <c r="K1020" s="369">
        <f ca="1">'II-I-DIST'!K1020+'II-I-MET'!K1020+'II-I-TBILLTDCS'!K1020</f>
        <v>2742384.9840102238</v>
      </c>
      <c r="L1020" s="369">
        <f ca="1">'II-I-DIST'!L1020+'II-I-MET'!L1020+'II-I-TBILLTDCS'!L1020</f>
        <v>18647139.591205444</v>
      </c>
      <c r="M1020" s="369">
        <f ca="1">'II-I-DIST'!M1020+'II-I-MET'!M1020+'II-I-TBILLTDCS'!M1020</f>
        <v>388770.23606978817</v>
      </c>
      <c r="N1020" s="369">
        <f ca="1">'II-I-DIST'!N1020+'II-I-MET'!N1020+'II-I-TBILLTDCS'!N1020</f>
        <v>4741304.3477760656</v>
      </c>
      <c r="O1020" s="369">
        <f ca="1">'II-I-DIST'!O1020+'II-I-MET'!O1020+'II-I-TBILLTDCS'!O1020</f>
        <v>283391.49929224572</v>
      </c>
      <c r="P1020" s="369">
        <f ca="1">'II-I-DIST'!P1020+'II-I-MET'!P1020+'II-I-TBILLTDCS'!P1020</f>
        <v>239569.54169058616</v>
      </c>
      <c r="Q1020" s="369">
        <f ca="1">'II-I-DIST'!Q1020+'II-I-MET'!Q1020+'II-I-TBILLTDCS'!Q1020</f>
        <v>2277191.4051222894</v>
      </c>
      <c r="R1020" s="369">
        <f ca="1">'II-I-DIST'!R1020+'II-I-MET'!R1020+'II-I-TBILLTDCS'!R1020</f>
        <v>23615.742170732789</v>
      </c>
      <c r="S1020" s="369">
        <f ca="1">'II-I-DIST'!S1020+'II-I-MET'!S1020+'II-I-TBILLTDCS'!S1020</f>
        <v>95253.186310794234</v>
      </c>
      <c r="T1020" s="16"/>
      <c r="U1020" s="97">
        <f t="shared" ca="1" si="265"/>
        <v>61123258.920000017</v>
      </c>
      <c r="V1020" s="64"/>
      <c r="X1020" s="305"/>
    </row>
    <row r="1021" spans="1:24" x14ac:dyDescent="0.2">
      <c r="A1021" s="45"/>
      <c r="B1021" s="16">
        <f t="shared" si="259"/>
        <v>30</v>
      </c>
      <c r="C1021" s="1" t="s">
        <v>1236</v>
      </c>
      <c r="D1021" s="1" t="s">
        <v>103</v>
      </c>
      <c r="E1021" s="16"/>
      <c r="F1021" s="97">
        <f>' WP II-I-1.4'!L1021</f>
        <v>0</v>
      </c>
      <c r="G1021" s="16" t="s">
        <v>751</v>
      </c>
      <c r="H1021" s="45" t="s">
        <v>303</v>
      </c>
      <c r="I1021" s="16"/>
      <c r="J1021" s="369">
        <f ca="1">'II-I-DIST'!J1021+'II-I-MET'!J1021+'II-I-TBILLTDCS'!J1021</f>
        <v>0</v>
      </c>
      <c r="K1021" s="369">
        <f ca="1">'II-I-DIST'!K1021+'II-I-MET'!K1021+'II-I-TBILLTDCS'!K1021</f>
        <v>0</v>
      </c>
      <c r="L1021" s="369">
        <f ca="1">'II-I-DIST'!L1021+'II-I-MET'!L1021+'II-I-TBILLTDCS'!L1021</f>
        <v>0</v>
      </c>
      <c r="M1021" s="369">
        <f ca="1">'II-I-DIST'!M1021+'II-I-MET'!M1021+'II-I-TBILLTDCS'!M1021</f>
        <v>0</v>
      </c>
      <c r="N1021" s="369">
        <f ca="1">'II-I-DIST'!N1021+'II-I-MET'!N1021+'II-I-TBILLTDCS'!N1021</f>
        <v>0</v>
      </c>
      <c r="O1021" s="369">
        <f ca="1">'II-I-DIST'!O1021+'II-I-MET'!O1021+'II-I-TBILLTDCS'!O1021</f>
        <v>0</v>
      </c>
      <c r="P1021" s="369">
        <f ca="1">'II-I-DIST'!P1021+'II-I-MET'!P1021+'II-I-TBILLTDCS'!P1021</f>
        <v>0</v>
      </c>
      <c r="Q1021" s="369">
        <f ca="1">'II-I-DIST'!Q1021+'II-I-MET'!Q1021+'II-I-TBILLTDCS'!Q1021</f>
        <v>0</v>
      </c>
      <c r="R1021" s="369">
        <f ca="1">'II-I-DIST'!R1021+'II-I-MET'!R1021+'II-I-TBILLTDCS'!R1021</f>
        <v>0</v>
      </c>
      <c r="S1021" s="369">
        <f ca="1">'II-I-DIST'!S1021+'II-I-MET'!S1021+'II-I-TBILLTDCS'!S1021</f>
        <v>0</v>
      </c>
      <c r="T1021" s="16"/>
      <c r="U1021" s="97">
        <f t="shared" ca="1" si="265"/>
        <v>0</v>
      </c>
      <c r="V1021" s="64"/>
      <c r="X1021" s="305">
        <f t="shared" ca="1" si="254"/>
        <v>0</v>
      </c>
    </row>
    <row r="1022" spans="1:24" x14ac:dyDescent="0.2">
      <c r="A1022" s="45"/>
      <c r="B1022" s="16">
        <f t="shared" si="259"/>
        <v>31</v>
      </c>
      <c r="C1022" s="1" t="s">
        <v>62</v>
      </c>
      <c r="D1022" s="29" t="s">
        <v>646</v>
      </c>
      <c r="E1022" s="16"/>
      <c r="F1022" s="97">
        <f>' WP II-I-1.4'!L1022</f>
        <v>132772031.77</v>
      </c>
      <c r="G1022" s="16" t="s">
        <v>751</v>
      </c>
      <c r="H1022" s="45" t="s">
        <v>303</v>
      </c>
      <c r="I1022" s="16"/>
      <c r="J1022" s="369">
        <f>'II-I-DIST'!J1022+'II-I-MET'!J1022+'II-I-TBILLTDCS'!J1022</f>
        <v>72565367.780897066</v>
      </c>
      <c r="K1022" s="369">
        <f>'II-I-DIST'!K1022+'II-I-MET'!K1022+'II-I-TBILLTDCS'!K1022</f>
        <v>1370953.3441148039</v>
      </c>
      <c r="L1022" s="369">
        <f>'II-I-DIST'!L1022+'II-I-MET'!L1022+'II-I-TBILLTDCS'!L1022</f>
        <v>46609042.161359526</v>
      </c>
      <c r="M1022" s="369">
        <f>'II-I-DIST'!M1022+'II-I-MET'!M1022+'II-I-TBILLTDCS'!M1022</f>
        <v>18069.543236028945</v>
      </c>
      <c r="N1022" s="369">
        <f>'II-I-DIST'!N1022+'II-I-MET'!N1022+'II-I-TBILLTDCS'!N1022</f>
        <v>11358281.40209562</v>
      </c>
      <c r="O1022" s="369">
        <f>'II-I-DIST'!O1022+'II-I-MET'!O1022+'II-I-TBILLTDCS'!O1022</f>
        <v>0</v>
      </c>
      <c r="P1022" s="369">
        <f>'II-I-DIST'!P1022+'II-I-MET'!P1022+'II-I-TBILLTDCS'!P1022</f>
        <v>0</v>
      </c>
      <c r="Q1022" s="369">
        <f>'II-I-DIST'!Q1022+'II-I-MET'!Q1022+'II-I-TBILLTDCS'!Q1022</f>
        <v>414497.43430975405</v>
      </c>
      <c r="R1022" s="369">
        <f>'II-I-DIST'!R1022+'II-I-MET'!R1022+'II-I-TBILLTDCS'!R1022</f>
        <v>0</v>
      </c>
      <c r="S1022" s="369">
        <f>'II-I-DIST'!S1022+'II-I-MET'!S1022+'II-I-TBILLTDCS'!S1022</f>
        <v>435820.10398719338</v>
      </c>
      <c r="T1022" s="16"/>
      <c r="U1022" s="97">
        <f t="shared" si="264"/>
        <v>132772031.77</v>
      </c>
      <c r="V1022" s="64"/>
      <c r="X1022" s="305">
        <f t="shared" si="254"/>
        <v>0</v>
      </c>
    </row>
    <row r="1023" spans="1:24" x14ac:dyDescent="0.2">
      <c r="A1023" s="45"/>
      <c r="B1023" s="16">
        <f t="shared" si="259"/>
        <v>32</v>
      </c>
      <c r="C1023" s="1" t="s">
        <v>64</v>
      </c>
      <c r="D1023" s="1" t="s">
        <v>486</v>
      </c>
      <c r="E1023" s="16"/>
      <c r="F1023" s="97">
        <f>' WP II-I-1.4'!L1023</f>
        <v>61699776.700000003</v>
      </c>
      <c r="G1023" s="16" t="s">
        <v>751</v>
      </c>
      <c r="H1023" s="45" t="s">
        <v>303</v>
      </c>
      <c r="I1023" s="16"/>
      <c r="J1023" s="369">
        <f>'II-I-DIST'!J1023+'II-I-MET'!J1023+'II-I-TBILLTDCS'!J1023</f>
        <v>33606393.5318131</v>
      </c>
      <c r="K1023" s="369">
        <f>'II-I-DIST'!K1023+'II-I-MET'!K1023+'II-I-TBILLTDCS'!K1023</f>
        <v>634914.40896694548</v>
      </c>
      <c r="L1023" s="369">
        <f>'II-I-DIST'!L1023+'II-I-MET'!L1023+'II-I-TBILLTDCS'!L1023</f>
        <v>21585528.481643885</v>
      </c>
      <c r="M1023" s="369">
        <f>'II-I-DIST'!M1023+'II-I-MET'!M1023+'II-I-TBILLTDCS'!M1023</f>
        <v>8690.4168133638705</v>
      </c>
      <c r="N1023" s="369">
        <f>'II-I-DIST'!N1023+'II-I-MET'!N1023+'II-I-TBILLTDCS'!N1023</f>
        <v>5462683.7202434205</v>
      </c>
      <c r="O1023" s="369">
        <f>'II-I-DIST'!O1023+'II-I-MET'!O1023+'II-I-TBILLTDCS'!O1023</f>
        <v>0</v>
      </c>
      <c r="P1023" s="369">
        <f>'II-I-DIST'!P1023+'II-I-MET'!P1023+'II-I-TBILLTDCS'!P1023</f>
        <v>0</v>
      </c>
      <c r="Q1023" s="369">
        <f>'II-I-DIST'!Q1023+'II-I-MET'!Q1023+'II-I-TBILLTDCS'!Q1023</f>
        <v>191961.59712715566</v>
      </c>
      <c r="R1023" s="369">
        <f>'II-I-DIST'!R1023+'II-I-MET'!R1023+'II-I-TBILLTDCS'!R1023</f>
        <v>0</v>
      </c>
      <c r="S1023" s="369">
        <f>'II-I-DIST'!S1023+'II-I-MET'!S1023+'II-I-TBILLTDCS'!S1023</f>
        <v>209604.54339213541</v>
      </c>
      <c r="T1023" s="16"/>
      <c r="U1023" s="97">
        <f t="shared" si="264"/>
        <v>61699776.700000003</v>
      </c>
      <c r="V1023" s="64"/>
      <c r="X1023" s="305">
        <f t="shared" si="254"/>
        <v>0</v>
      </c>
    </row>
    <row r="1024" spans="1:24" x14ac:dyDescent="0.2">
      <c r="A1024" s="45"/>
      <c r="B1024" s="16">
        <f t="shared" si="259"/>
        <v>33</v>
      </c>
      <c r="C1024" s="1" t="s">
        <v>66</v>
      </c>
      <c r="D1024" s="1" t="s">
        <v>647</v>
      </c>
      <c r="E1024" s="16"/>
      <c r="F1024" s="97">
        <f>' WP II-I-1.4'!L1024</f>
        <v>40143407.219999999</v>
      </c>
      <c r="G1024" s="16" t="s">
        <v>751</v>
      </c>
      <c r="H1024" s="45" t="s">
        <v>303</v>
      </c>
      <c r="I1024" s="16"/>
      <c r="J1024" s="369">
        <f>'II-I-DIST'!J1024+'II-I-MET'!J1024+'II-I-TBILLTDCS'!J1024</f>
        <v>22407688.80641963</v>
      </c>
      <c r="K1024" s="369">
        <f>'II-I-DIST'!K1024+'II-I-MET'!K1024+'II-I-TBILLTDCS'!K1024</f>
        <v>423341.00745964813</v>
      </c>
      <c r="L1024" s="369">
        <f>'II-I-DIST'!L1024+'II-I-MET'!L1024+'II-I-TBILLTDCS'!L1024</f>
        <v>14392553.145606419</v>
      </c>
      <c r="M1024" s="369">
        <f>'II-I-DIST'!M1024+'II-I-MET'!M1024+'II-I-TBILLTDCS'!M1024</f>
        <v>4270.7727418113691</v>
      </c>
      <c r="N1024" s="369">
        <f>'II-I-DIST'!N1024+'II-I-MET'!N1024+'II-I-TBILLTDCS'!N1024</f>
        <v>2684552.5629652538</v>
      </c>
      <c r="O1024" s="369">
        <f>'II-I-DIST'!O1024+'II-I-MET'!O1024+'II-I-TBILLTDCS'!O1024</f>
        <v>0</v>
      </c>
      <c r="P1024" s="369">
        <f>'II-I-DIST'!P1024+'II-I-MET'!P1024+'II-I-TBILLTDCS'!P1024</f>
        <v>0</v>
      </c>
      <c r="Q1024" s="369">
        <f>'II-I-DIST'!Q1024+'II-I-MET'!Q1024+'II-I-TBILLTDCS'!Q1024</f>
        <v>127993.97016929874</v>
      </c>
      <c r="R1024" s="369">
        <f>'II-I-DIST'!R1024+'II-I-MET'!R1024+'II-I-TBILLTDCS'!R1024</f>
        <v>0</v>
      </c>
      <c r="S1024" s="369">
        <f>'II-I-DIST'!S1024+'II-I-MET'!S1024+'II-I-TBILLTDCS'!S1024</f>
        <v>103006.95463793846</v>
      </c>
      <c r="T1024" s="16"/>
      <c r="U1024" s="97">
        <f t="shared" si="264"/>
        <v>40143407.219999991</v>
      </c>
      <c r="V1024" s="64"/>
      <c r="X1024" s="305">
        <f t="shared" si="254"/>
        <v>0</v>
      </c>
    </row>
    <row r="1025" spans="1:24" x14ac:dyDescent="0.2">
      <c r="A1025" s="45"/>
      <c r="B1025" s="16">
        <f t="shared" si="259"/>
        <v>34</v>
      </c>
      <c r="C1025" s="1" t="s">
        <v>68</v>
      </c>
      <c r="D1025" s="29" t="s">
        <v>648</v>
      </c>
      <c r="E1025" s="16"/>
      <c r="F1025" s="97">
        <f>' WP II-I-1.4'!L1025</f>
        <v>79884161.159999996</v>
      </c>
      <c r="G1025" s="16" t="s">
        <v>751</v>
      </c>
      <c r="H1025" s="45" t="s">
        <v>303</v>
      </c>
      <c r="I1025" s="16"/>
      <c r="J1025" s="369">
        <f>'II-I-DIST'!J1025+'II-I-MET'!J1025+'II-I-TBILLTDCS'!J1025</f>
        <v>43890243.177457757</v>
      </c>
      <c r="K1025" s="369">
        <f>'II-I-DIST'!K1025+'II-I-MET'!K1025+'II-I-TBILLTDCS'!K1025</f>
        <v>829203.75791146897</v>
      </c>
      <c r="L1025" s="369">
        <f>'II-I-DIST'!L1025+'II-I-MET'!L1025+'II-I-TBILLTDCS'!L1025</f>
        <v>28190888.536624771</v>
      </c>
      <c r="M1025" s="369">
        <f>'II-I-DIST'!M1025+'II-I-MET'!M1025+'II-I-TBILLTDCS'!M1025</f>
        <v>10284.624746360163</v>
      </c>
      <c r="N1025" s="369">
        <f>'II-I-DIST'!N1025+'II-I-MET'!N1025+'II-I-TBILLTDCS'!N1025</f>
        <v>6464782.228207943</v>
      </c>
      <c r="O1025" s="369">
        <f>'II-I-DIST'!O1025+'II-I-MET'!O1025+'II-I-TBILLTDCS'!O1025</f>
        <v>0</v>
      </c>
      <c r="P1025" s="369">
        <f>'II-I-DIST'!P1025+'II-I-MET'!P1025+'II-I-TBILLTDCS'!P1025</f>
        <v>0</v>
      </c>
      <c r="Q1025" s="369">
        <f>'II-I-DIST'!Q1025+'II-I-MET'!Q1025+'II-I-TBILLTDCS'!Q1025</f>
        <v>250703.52076513009</v>
      </c>
      <c r="R1025" s="369">
        <f>'II-I-DIST'!R1025+'II-I-MET'!R1025+'II-I-TBILLTDCS'!R1025</f>
        <v>0</v>
      </c>
      <c r="S1025" s="369">
        <f>'II-I-DIST'!S1025+'II-I-MET'!S1025+'II-I-TBILLTDCS'!S1025</f>
        <v>248055.3142865712</v>
      </c>
      <c r="T1025" s="16"/>
      <c r="U1025" s="97">
        <f t="shared" si="264"/>
        <v>79884161.160000011</v>
      </c>
      <c r="V1025" s="64"/>
      <c r="X1025" s="305">
        <f t="shared" si="254"/>
        <v>0</v>
      </c>
    </row>
    <row r="1026" spans="1:24" x14ac:dyDescent="0.2">
      <c r="A1026" s="45"/>
      <c r="B1026" s="16">
        <f t="shared" si="259"/>
        <v>35</v>
      </c>
      <c r="C1026" s="1" t="s">
        <v>70</v>
      </c>
      <c r="D1026" s="1" t="s">
        <v>649</v>
      </c>
      <c r="E1026" s="16"/>
      <c r="F1026" s="97">
        <f>' WP II-I-1.4'!L1026</f>
        <v>74745921.769999996</v>
      </c>
      <c r="G1026" s="16" t="s">
        <v>751</v>
      </c>
      <c r="H1026" s="45" t="s">
        <v>303</v>
      </c>
      <c r="I1026" s="16"/>
      <c r="J1026" s="369">
        <f>'II-I-DIST'!J1026+'II-I-MET'!J1026+'II-I-TBILLTDCS'!J1026</f>
        <v>43900849.596858166</v>
      </c>
      <c r="K1026" s="369">
        <f>'II-I-DIST'!K1026+'II-I-MET'!K1026+'II-I-TBILLTDCS'!K1026</f>
        <v>829404.14146344038</v>
      </c>
      <c r="L1026" s="369">
        <f>'II-I-DIST'!L1026+'II-I-MET'!L1026+'II-I-TBILLTDCS'!L1026</f>
        <v>28197701.084595408</v>
      </c>
      <c r="M1026" s="369">
        <f>'II-I-DIST'!M1026+'II-I-MET'!M1026+'II-I-TBILLTDCS'!M1026</f>
        <v>1361.9678698741218</v>
      </c>
      <c r="N1026" s="369">
        <f>'II-I-DIST'!N1026+'II-I-MET'!N1026+'II-I-TBILLTDCS'!N1026</f>
        <v>856115.40505340975</v>
      </c>
      <c r="O1026" s="369">
        <f>'II-I-DIST'!O1026+'II-I-MET'!O1026+'II-I-TBILLTDCS'!O1026</f>
        <v>143207.42416835565</v>
      </c>
      <c r="P1026" s="369">
        <f>'II-I-DIST'!P1026+'II-I-MET'!P1026+'II-I-TBILLTDCS'!P1026</f>
        <v>523769.62546834064</v>
      </c>
      <c r="Q1026" s="369">
        <f>'II-I-DIST'!Q1026+'II-I-MET'!Q1026+'II-I-TBILLTDCS'!Q1026</f>
        <v>250764.10522522614</v>
      </c>
      <c r="R1026" s="369">
        <f>'II-I-DIST'!R1026+'II-I-MET'!R1026+'II-I-TBILLTDCS'!R1026</f>
        <v>9899.0566480072903</v>
      </c>
      <c r="S1026" s="369">
        <f>'II-I-DIST'!S1026+'II-I-MET'!S1026+'II-I-TBILLTDCS'!S1026</f>
        <v>32849.362649755756</v>
      </c>
      <c r="T1026" s="16"/>
      <c r="U1026" s="97">
        <f t="shared" si="264"/>
        <v>74745921.769999966</v>
      </c>
      <c r="V1026" s="64"/>
      <c r="X1026" s="305">
        <f t="shared" ref="X1026:X1091" si="266">U1026-F1026</f>
        <v>0</v>
      </c>
    </row>
    <row r="1027" spans="1:24" x14ac:dyDescent="0.2">
      <c r="A1027" s="45"/>
      <c r="B1027" s="16">
        <f t="shared" si="259"/>
        <v>36</v>
      </c>
      <c r="C1027" s="1" t="s">
        <v>72</v>
      </c>
      <c r="D1027" s="29" t="s">
        <v>73</v>
      </c>
      <c r="E1027" s="16"/>
      <c r="F1027" s="97">
        <f>' WP II-I-1.4'!L1027</f>
        <v>69028413.349999994</v>
      </c>
      <c r="G1027" s="16" t="s">
        <v>751</v>
      </c>
      <c r="H1027" s="45" t="s">
        <v>303</v>
      </c>
      <c r="I1027" s="16"/>
      <c r="J1027" s="369">
        <f>'II-I-DIST'!J1027+'II-I-MET'!J1027+'II-I-TBILLTDCS'!J1027</f>
        <v>40772825.762364939</v>
      </c>
      <c r="K1027" s="369">
        <f>'II-I-DIST'!K1027+'II-I-MET'!K1027+'II-I-TBILLTDCS'!K1027</f>
        <v>5719819.1064405777</v>
      </c>
      <c r="L1027" s="369">
        <f>'II-I-DIST'!L1027+'II-I-MET'!L1027+'II-I-TBILLTDCS'!L1027</f>
        <v>22494191.843572788</v>
      </c>
      <c r="M1027" s="369">
        <f>'II-I-DIST'!M1027+'II-I-MET'!M1027+'II-I-TBILLTDCS'!M1027</f>
        <v>0</v>
      </c>
      <c r="N1027" s="369">
        <f>'II-I-DIST'!N1027+'II-I-MET'!N1027+'II-I-TBILLTDCS'!N1027</f>
        <v>0</v>
      </c>
      <c r="O1027" s="369">
        <f>'II-I-DIST'!O1027+'II-I-MET'!O1027+'II-I-TBILLTDCS'!O1027</f>
        <v>0</v>
      </c>
      <c r="P1027" s="369">
        <f>'II-I-DIST'!P1027+'II-I-MET'!P1027+'II-I-TBILLTDCS'!P1027</f>
        <v>0</v>
      </c>
      <c r="Q1027" s="369">
        <f>'II-I-DIST'!Q1027+'II-I-MET'!Q1027+'II-I-TBILLTDCS'!Q1027</f>
        <v>41576.63762169148</v>
      </c>
      <c r="R1027" s="369">
        <f>'II-I-DIST'!R1027+'II-I-MET'!R1027+'II-I-TBILLTDCS'!R1027</f>
        <v>0</v>
      </c>
      <c r="S1027" s="369">
        <f>'II-I-DIST'!S1027+'II-I-MET'!S1027+'II-I-TBILLTDCS'!S1027</f>
        <v>0</v>
      </c>
      <c r="T1027" s="16"/>
      <c r="U1027" s="97">
        <f t="shared" si="264"/>
        <v>69028413.349999979</v>
      </c>
      <c r="V1027" s="64"/>
      <c r="X1027" s="305">
        <f t="shared" si="266"/>
        <v>0</v>
      </c>
    </row>
    <row r="1028" spans="1:24" x14ac:dyDescent="0.2">
      <c r="A1028" s="45"/>
      <c r="B1028" s="16">
        <f t="shared" si="259"/>
        <v>37</v>
      </c>
      <c r="C1028" s="1" t="s">
        <v>74</v>
      </c>
      <c r="D1028" s="1" t="s">
        <v>75</v>
      </c>
      <c r="E1028" s="16"/>
      <c r="F1028" s="97">
        <f>' WP II-I-1.4'!L1028</f>
        <v>20313009.949999999</v>
      </c>
      <c r="G1028" s="16" t="s">
        <v>751</v>
      </c>
      <c r="H1028" s="45" t="s">
        <v>303</v>
      </c>
      <c r="I1028" s="16"/>
      <c r="J1028" s="369">
        <f>'II-I-DIST'!J1028+'II-I-MET'!J1028+'II-I-TBILLTDCS'!J1028</f>
        <v>10604274.271433359</v>
      </c>
      <c r="K1028" s="369">
        <f>'II-I-DIST'!K1028+'II-I-MET'!K1028+'II-I-TBILLTDCS'!K1028</f>
        <v>1487621.4599692395</v>
      </c>
      <c r="L1028" s="369">
        <f>'II-I-DIST'!L1028+'II-I-MET'!L1028+'II-I-TBILLTDCS'!L1028</f>
        <v>5850332.3074473441</v>
      </c>
      <c r="M1028" s="369">
        <f>'II-I-DIST'!M1028+'II-I-MET'!M1028+'II-I-TBILLTDCS'!M1028</f>
        <v>246369.5094568333</v>
      </c>
      <c r="N1028" s="369">
        <f>'II-I-DIST'!N1028+'II-I-MET'!N1028+'II-I-TBILLTDCS'!N1028</f>
        <v>1897175.2811694357</v>
      </c>
      <c r="O1028" s="369">
        <f>'II-I-DIST'!O1028+'II-I-MET'!O1028+'II-I-TBILLTDCS'!O1028</f>
        <v>62250.491764079925</v>
      </c>
      <c r="P1028" s="369">
        <f>'II-I-DIST'!P1028+'II-I-MET'!P1028+'II-I-TBILLTDCS'!P1028</f>
        <v>129847.65153243668</v>
      </c>
      <c r="Q1028" s="369">
        <f>'II-I-DIST'!Q1028+'II-I-MET'!Q1028+'II-I-TBILLTDCS'!Q1028</f>
        <v>10813.331192545687</v>
      </c>
      <c r="R1028" s="369">
        <f>'II-I-DIST'!R1028+'II-I-MET'!R1028+'II-I-TBILLTDCS'!R1028</f>
        <v>6874.2874340701783</v>
      </c>
      <c r="S1028" s="369">
        <f>'II-I-DIST'!S1028+'II-I-MET'!S1028+'II-I-TBILLTDCS'!S1028</f>
        <v>17451.358600651372</v>
      </c>
      <c r="T1028" s="16"/>
      <c r="U1028" s="97">
        <f t="shared" si="264"/>
        <v>20313009.949999996</v>
      </c>
      <c r="V1028" s="64"/>
      <c r="X1028" s="305">
        <f t="shared" si="266"/>
        <v>0</v>
      </c>
    </row>
    <row r="1029" spans="1:24" x14ac:dyDescent="0.2">
      <c r="A1029" s="45"/>
      <c r="B1029" s="16">
        <f t="shared" si="259"/>
        <v>38</v>
      </c>
      <c r="C1029" s="1" t="s">
        <v>76</v>
      </c>
      <c r="D1029" s="1" t="s">
        <v>495</v>
      </c>
      <c r="E1029" s="16"/>
      <c r="F1029" s="97">
        <f>' WP II-I-1.4'!L1029</f>
        <v>2687947.96</v>
      </c>
      <c r="G1029" s="16" t="s">
        <v>751</v>
      </c>
      <c r="H1029" s="45" t="s">
        <v>303</v>
      </c>
      <c r="I1029" s="16"/>
      <c r="J1029" s="369">
        <f>'II-I-DIST'!J1029+'II-I-MET'!J1029+'II-I-TBILLTDCS'!J1029</f>
        <v>0</v>
      </c>
      <c r="K1029" s="369">
        <f>'II-I-DIST'!K1029+'II-I-MET'!K1029+'II-I-TBILLTDCS'!K1029</f>
        <v>0</v>
      </c>
      <c r="L1029" s="369">
        <f>'II-I-DIST'!L1029+'II-I-MET'!L1029+'II-I-TBILLTDCS'!L1029</f>
        <v>0</v>
      </c>
      <c r="M1029" s="369">
        <f>'II-I-DIST'!M1029+'II-I-MET'!M1029+'II-I-TBILLTDCS'!M1029</f>
        <v>0</v>
      </c>
      <c r="N1029" s="369">
        <f>'II-I-DIST'!N1029+'II-I-MET'!N1029+'II-I-TBILLTDCS'!N1029</f>
        <v>0</v>
      </c>
      <c r="O1029" s="369">
        <f>'II-I-DIST'!O1029+'II-I-MET'!O1029+'II-I-TBILLTDCS'!O1029</f>
        <v>0</v>
      </c>
      <c r="P1029" s="369">
        <f>'II-I-DIST'!P1029+'II-I-MET'!P1029+'II-I-TBILLTDCS'!P1029</f>
        <v>0</v>
      </c>
      <c r="Q1029" s="369">
        <f>'II-I-DIST'!Q1029+'II-I-MET'!Q1029+'II-I-TBILLTDCS'!Q1029</f>
        <v>2687947.96</v>
      </c>
      <c r="R1029" s="369">
        <f>'II-I-DIST'!R1029+'II-I-MET'!R1029+'II-I-TBILLTDCS'!R1029</f>
        <v>0</v>
      </c>
      <c r="S1029" s="369">
        <f>'II-I-DIST'!S1029+'II-I-MET'!S1029+'II-I-TBILLTDCS'!S1029</f>
        <v>0</v>
      </c>
      <c r="T1029" s="16"/>
      <c r="U1029" s="97">
        <f t="shared" si="264"/>
        <v>2687947.96</v>
      </c>
      <c r="V1029" s="64"/>
      <c r="X1029" s="305">
        <f t="shared" si="266"/>
        <v>0</v>
      </c>
    </row>
    <row r="1030" spans="1:24" x14ac:dyDescent="0.2">
      <c r="A1030" s="45"/>
      <c r="B1030" s="16">
        <f t="shared" si="259"/>
        <v>39</v>
      </c>
      <c r="C1030" s="1" t="s">
        <v>78</v>
      </c>
      <c r="D1030" s="1" t="s">
        <v>496</v>
      </c>
      <c r="E1030" s="16"/>
      <c r="F1030" s="97">
        <f>' WP II-I-1.4'!L1030</f>
        <v>0</v>
      </c>
      <c r="G1030" s="16" t="s">
        <v>751</v>
      </c>
      <c r="H1030" s="45" t="s">
        <v>303</v>
      </c>
      <c r="I1030" s="16"/>
      <c r="J1030" s="369">
        <f>'II-I-DIST'!J1030+'II-I-MET'!J1030+'II-I-TBILLTDCS'!J1030</f>
        <v>0</v>
      </c>
      <c r="K1030" s="369">
        <f>'II-I-DIST'!K1030+'II-I-MET'!K1030+'II-I-TBILLTDCS'!K1030</f>
        <v>0</v>
      </c>
      <c r="L1030" s="369">
        <f>'II-I-DIST'!L1030+'II-I-MET'!L1030+'II-I-TBILLTDCS'!L1030</f>
        <v>0</v>
      </c>
      <c r="M1030" s="369">
        <f>'II-I-DIST'!M1030+'II-I-MET'!M1030+'II-I-TBILLTDCS'!M1030</f>
        <v>0</v>
      </c>
      <c r="N1030" s="369">
        <f>'II-I-DIST'!N1030+'II-I-MET'!N1030+'II-I-TBILLTDCS'!N1030</f>
        <v>0</v>
      </c>
      <c r="O1030" s="369">
        <f>'II-I-DIST'!O1030+'II-I-MET'!O1030+'II-I-TBILLTDCS'!O1030</f>
        <v>0</v>
      </c>
      <c r="P1030" s="369">
        <f>'II-I-DIST'!P1030+'II-I-MET'!P1030+'II-I-TBILLTDCS'!P1030</f>
        <v>0</v>
      </c>
      <c r="Q1030" s="369">
        <f>'II-I-DIST'!Q1030+'II-I-MET'!Q1030+'II-I-TBILLTDCS'!Q1030</f>
        <v>0</v>
      </c>
      <c r="R1030" s="369">
        <f>'II-I-DIST'!R1030+'II-I-MET'!R1030+'II-I-TBILLTDCS'!R1030</f>
        <v>0</v>
      </c>
      <c r="S1030" s="369">
        <f>'II-I-DIST'!S1030+'II-I-MET'!S1030+'II-I-TBILLTDCS'!S1030</f>
        <v>0</v>
      </c>
      <c r="T1030" s="16"/>
      <c r="U1030" s="97">
        <f t="shared" si="264"/>
        <v>0</v>
      </c>
      <c r="V1030" s="64"/>
      <c r="X1030" s="305">
        <f t="shared" si="266"/>
        <v>0</v>
      </c>
    </row>
    <row r="1031" spans="1:24" x14ac:dyDescent="0.2">
      <c r="A1031" s="45"/>
      <c r="B1031" s="16">
        <f t="shared" si="259"/>
        <v>40</v>
      </c>
      <c r="C1031" s="1" t="s">
        <v>80</v>
      </c>
      <c r="D1031" s="1" t="s">
        <v>84</v>
      </c>
      <c r="E1031" s="16"/>
      <c r="F1031" s="97">
        <f>' WP II-I-1.4'!L1031</f>
        <v>25905960.890000001</v>
      </c>
      <c r="G1031" s="16" t="s">
        <v>751</v>
      </c>
      <c r="H1031" s="45" t="s">
        <v>303</v>
      </c>
      <c r="I1031" s="16"/>
      <c r="J1031" s="370">
        <f>'II-I-DIST'!J1031+'II-I-MET'!J1031+'II-I-TBILLTDCS'!J1031</f>
        <v>0</v>
      </c>
      <c r="K1031" s="370">
        <f>'II-I-DIST'!K1031+'II-I-MET'!K1031+'II-I-TBILLTDCS'!K1031</f>
        <v>0</v>
      </c>
      <c r="L1031" s="370">
        <f>'II-I-DIST'!L1031+'II-I-MET'!L1031+'II-I-TBILLTDCS'!L1031</f>
        <v>0</v>
      </c>
      <c r="M1031" s="370">
        <f>'II-I-DIST'!M1031+'II-I-MET'!M1031+'II-I-TBILLTDCS'!M1031</f>
        <v>0</v>
      </c>
      <c r="N1031" s="370">
        <f>'II-I-DIST'!N1031+'II-I-MET'!N1031+'II-I-TBILLTDCS'!N1031</f>
        <v>0</v>
      </c>
      <c r="O1031" s="370">
        <f>'II-I-DIST'!O1031+'II-I-MET'!O1031+'II-I-TBILLTDCS'!O1031</f>
        <v>0</v>
      </c>
      <c r="P1031" s="370">
        <f>'II-I-DIST'!P1031+'II-I-MET'!P1031+'II-I-TBILLTDCS'!P1031</f>
        <v>0</v>
      </c>
      <c r="Q1031" s="370">
        <f>'II-I-DIST'!Q1031+'II-I-MET'!Q1031+'II-I-TBILLTDCS'!Q1031</f>
        <v>25905960.890000001</v>
      </c>
      <c r="R1031" s="370">
        <f>'II-I-DIST'!R1031+'II-I-MET'!R1031+'II-I-TBILLTDCS'!R1031</f>
        <v>0</v>
      </c>
      <c r="S1031" s="370">
        <f>'II-I-DIST'!S1031+'II-I-MET'!S1031+'II-I-TBILLTDCS'!S1031</f>
        <v>0</v>
      </c>
      <c r="T1031" s="16"/>
      <c r="U1031" s="97">
        <f t="shared" si="264"/>
        <v>25905960.890000001</v>
      </c>
      <c r="V1031" s="64"/>
      <c r="X1031" s="305">
        <f t="shared" si="266"/>
        <v>0</v>
      </c>
    </row>
    <row r="1032" spans="1:24" ht="15" x14ac:dyDescent="0.25">
      <c r="A1032" s="45"/>
      <c r="B1032" s="16">
        <f t="shared" si="259"/>
        <v>41</v>
      </c>
      <c r="C1032" s="8"/>
      <c r="D1032" s="233" t="s">
        <v>444</v>
      </c>
      <c r="E1032" s="19"/>
      <c r="F1032" s="21">
        <f>SUM(F1016:F1031)</f>
        <v>632297110.77999997</v>
      </c>
      <c r="G1032" s="19"/>
      <c r="H1032" s="19"/>
      <c r="I1032" s="19"/>
      <c r="J1032" s="21">
        <f t="shared" ref="J1032:Q1032" ca="1" si="267">SUM(J1016:J1031)</f>
        <v>332393972.88308507</v>
      </c>
      <c r="K1032" s="21">
        <f t="shared" ca="1" si="267"/>
        <v>14705098.575377699</v>
      </c>
      <c r="L1032" s="21">
        <f t="shared" ca="1" si="267"/>
        <v>207105429.80949843</v>
      </c>
      <c r="M1032" s="21">
        <f t="shared" ca="1" si="267"/>
        <v>687336.45099998941</v>
      </c>
      <c r="N1032" s="21">
        <f t="shared" ca="1" si="267"/>
        <v>39448654.257305831</v>
      </c>
      <c r="O1032" s="21">
        <f ca="1">SUM(O1016:O1031)</f>
        <v>2939591.5118187661</v>
      </c>
      <c r="P1032" s="21">
        <f t="shared" ca="1" si="267"/>
        <v>900281.49078212818</v>
      </c>
      <c r="Q1032" s="21">
        <f t="shared" ca="1" si="267"/>
        <v>32535312.678269204</v>
      </c>
      <c r="R1032" s="21">
        <f ca="1">SUM(R1016:R1031)</f>
        <v>209793.95464371672</v>
      </c>
      <c r="S1032" s="21">
        <f ca="1">SUM(S1016:S1031)</f>
        <v>1371639.1682191342</v>
      </c>
      <c r="T1032" s="19"/>
      <c r="U1032" s="235">
        <f t="shared" ca="1" si="264"/>
        <v>632297110.77999997</v>
      </c>
      <c r="V1032" s="64"/>
      <c r="W1032" s="1099" t="b">
        <f ca="1">' WP II-I-1.4'!$L$1032=U1032</f>
        <v>1</v>
      </c>
      <c r="X1032" s="305">
        <f t="shared" ca="1" si="266"/>
        <v>0</v>
      </c>
    </row>
    <row r="1033" spans="1:24" x14ac:dyDescent="0.2">
      <c r="A1033" s="45"/>
      <c r="B1033" s="16"/>
      <c r="C1033" s="1"/>
      <c r="D1033" s="1"/>
      <c r="E1033" s="16"/>
      <c r="F1033" s="18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"/>
      <c r="V1033" s="64"/>
      <c r="X1033" s="305">
        <f t="shared" si="266"/>
        <v>0</v>
      </c>
    </row>
    <row r="1034" spans="1:24" x14ac:dyDescent="0.2">
      <c r="A1034" s="45"/>
      <c r="B1034" s="16"/>
      <c r="C1034" s="1"/>
      <c r="D1034" s="1"/>
      <c r="E1034" s="16"/>
      <c r="F1034" s="18"/>
      <c r="G1034" s="16"/>
      <c r="H1034" s="105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05"/>
      <c r="V1034" s="105"/>
      <c r="X1034" s="305"/>
    </row>
    <row r="1035" spans="1:24" ht="15" thickBot="1" x14ac:dyDescent="0.25">
      <c r="A1035" s="45"/>
      <c r="B1035" s="16"/>
      <c r="C1035" s="1"/>
      <c r="D1035" s="1"/>
      <c r="E1035" s="16"/>
      <c r="F1035" s="18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"/>
      <c r="V1035" s="64"/>
      <c r="X1035" s="305">
        <f t="shared" si="266"/>
        <v>0</v>
      </c>
    </row>
    <row r="1036" spans="1:24" ht="15" x14ac:dyDescent="0.25">
      <c r="A1036" s="45"/>
      <c r="B1036" s="829" t="str">
        <f>+$B$4</f>
        <v>2025 RATE CASE</v>
      </c>
      <c r="C1036" s="844"/>
      <c r="D1036" s="872"/>
      <c r="F1036" s="267"/>
      <c r="U1036" s="105"/>
      <c r="X1036" s="305">
        <f t="shared" si="266"/>
        <v>0</v>
      </c>
    </row>
    <row r="1037" spans="1:24" ht="15" x14ac:dyDescent="0.25">
      <c r="A1037" s="45"/>
      <c r="B1037" s="826" t="str">
        <f>+$B$5</f>
        <v>ONCOR ELECTRIC DELIVERY COMPANY LLC</v>
      </c>
      <c r="C1037" s="8"/>
      <c r="D1037" s="873"/>
      <c r="F1037" s="267"/>
      <c r="U1037" s="105"/>
      <c r="V1037" s="64"/>
      <c r="X1037" s="305">
        <f t="shared" si="266"/>
        <v>0</v>
      </c>
    </row>
    <row r="1038" spans="1:24" ht="15" x14ac:dyDescent="0.25">
      <c r="A1038" s="45"/>
      <c r="B1038" s="826" t="str">
        <f>+$B$6</f>
        <v>II-I-1-TOT:  CLASS REVENUE REQUIREMENT</v>
      </c>
      <c r="C1038" s="82"/>
      <c r="D1038" s="873"/>
      <c r="F1038" s="267"/>
      <c r="U1038" s="267"/>
      <c r="V1038" s="64"/>
      <c r="X1038" s="305">
        <f t="shared" si="266"/>
        <v>0</v>
      </c>
    </row>
    <row r="1039" spans="1:24" ht="15" x14ac:dyDescent="0.25">
      <c r="A1039" s="45"/>
      <c r="B1039" s="341" t="str">
        <f>+$B$7</f>
        <v>TEST YEAR ENDING 12/31/2024</v>
      </c>
      <c r="C1039" s="82"/>
      <c r="D1039" s="873"/>
      <c r="F1039" s="267"/>
      <c r="U1039" s="267"/>
      <c r="V1039" s="64"/>
      <c r="X1039" s="305">
        <f t="shared" si="266"/>
        <v>0</v>
      </c>
    </row>
    <row r="1040" spans="1:24" ht="15" x14ac:dyDescent="0.25">
      <c r="A1040" s="45"/>
      <c r="B1040" s="341" t="str">
        <f>+$B$8</f>
        <v>SPONSOR:  MATTHEW A. TROXLE</v>
      </c>
      <c r="C1040" s="82"/>
      <c r="D1040" s="873"/>
      <c r="F1040" s="267"/>
      <c r="U1040" s="267"/>
      <c r="V1040" s="64"/>
      <c r="X1040" s="305">
        <f t="shared" si="266"/>
        <v>0</v>
      </c>
    </row>
    <row r="1041" spans="1:24" ht="15.75" thickBot="1" x14ac:dyDescent="0.3">
      <c r="A1041" s="45"/>
      <c r="B1041" s="345"/>
      <c r="C1041" s="843"/>
      <c r="D1041" s="845"/>
      <c r="F1041" s="267"/>
      <c r="U1041" s="267"/>
      <c r="V1041" s="64"/>
      <c r="X1041" s="305">
        <f t="shared" si="266"/>
        <v>0</v>
      </c>
    </row>
    <row r="1042" spans="1:24" ht="15" thickBot="1" x14ac:dyDescent="0.25">
      <c r="A1042" s="45"/>
      <c r="B1042" s="12"/>
      <c r="C1042" s="13"/>
      <c r="D1042" s="13"/>
      <c r="E1042" s="13"/>
      <c r="F1042" s="12"/>
      <c r="G1042" s="13"/>
      <c r="H1042" s="13"/>
      <c r="I1042" s="13"/>
      <c r="J1042" s="177"/>
      <c r="K1042" s="177"/>
      <c r="L1042" s="13"/>
      <c r="M1042" s="177"/>
      <c r="N1042" s="177"/>
      <c r="O1042" s="177"/>
      <c r="P1042" s="177"/>
      <c r="Q1042" s="13"/>
      <c r="R1042" s="328" t="str">
        <f>R$10</f>
        <v xml:space="preserve"> </v>
      </c>
      <c r="S1042" s="329"/>
      <c r="T1042" s="177"/>
      <c r="U1042" s="12"/>
      <c r="V1042" s="64"/>
      <c r="X1042" s="305">
        <f t="shared" si="266"/>
        <v>0</v>
      </c>
    </row>
    <row r="1043" spans="1:24" ht="15" x14ac:dyDescent="0.25">
      <c r="A1043" s="45"/>
      <c r="B1043" s="14" t="s">
        <v>2</v>
      </c>
      <c r="C1043" s="14" t="s">
        <v>349</v>
      </c>
      <c r="D1043" s="226" t="s">
        <v>650</v>
      </c>
      <c r="E1043" s="14" t="s">
        <v>350</v>
      </c>
      <c r="F1043" s="226" t="str">
        <f>F$11</f>
        <v>TOTAL</v>
      </c>
      <c r="G1043" s="181" t="s">
        <v>688</v>
      </c>
      <c r="H1043" s="181" t="s">
        <v>355</v>
      </c>
      <c r="I1043" s="14"/>
      <c r="J1043" s="181" t="s">
        <v>679</v>
      </c>
      <c r="K1043" s="181" t="s">
        <v>388</v>
      </c>
      <c r="L1043" s="14" t="s">
        <v>388</v>
      </c>
      <c r="M1043" s="181" t="s">
        <v>389</v>
      </c>
      <c r="N1043" s="181" t="s">
        <v>389</v>
      </c>
      <c r="O1043" s="181" t="s">
        <v>389</v>
      </c>
      <c r="P1043" s="181" t="s">
        <v>390</v>
      </c>
      <c r="Q1043" s="14" t="s">
        <v>391</v>
      </c>
      <c r="R1043" s="331" t="str">
        <f>R$11</f>
        <v>Wholesale</v>
      </c>
      <c r="S1043" s="12" t="str">
        <f>S$11</f>
        <v>Wholesale</v>
      </c>
      <c r="T1043" s="181"/>
      <c r="U1043" s="14" t="s">
        <v>10</v>
      </c>
      <c r="V1043" s="64"/>
      <c r="X1043" s="305"/>
    </row>
    <row r="1044" spans="1:24" x14ac:dyDescent="0.2">
      <c r="A1044" s="45"/>
      <c r="B1044" s="14"/>
      <c r="C1044" s="14"/>
      <c r="D1044" s="14"/>
      <c r="E1044" s="14"/>
      <c r="F1044" s="14" t="str">
        <f>F$12</f>
        <v>(Dist+Met+Cust)</v>
      </c>
      <c r="G1044" s="181" t="s">
        <v>689</v>
      </c>
      <c r="H1044" s="181" t="s">
        <v>690</v>
      </c>
      <c r="I1044" s="14"/>
      <c r="J1044" s="181"/>
      <c r="K1044" s="181" t="s">
        <v>680</v>
      </c>
      <c r="L1044" s="14" t="s">
        <v>681</v>
      </c>
      <c r="M1044" s="181" t="s">
        <v>680</v>
      </c>
      <c r="N1044" s="181" t="s">
        <v>681</v>
      </c>
      <c r="O1044" s="181" t="s">
        <v>393</v>
      </c>
      <c r="P1044" s="181"/>
      <c r="Q1044" s="14"/>
      <c r="R1044" s="174" t="str">
        <f>R$12</f>
        <v>XFMR</v>
      </c>
      <c r="S1044" s="14" t="str">
        <f>S$12</f>
        <v>DLS</v>
      </c>
      <c r="T1044" s="181"/>
      <c r="U1044" s="14"/>
      <c r="V1044" s="64"/>
      <c r="X1044" s="305"/>
    </row>
    <row r="1045" spans="1:24" ht="15" thickBot="1" x14ac:dyDescent="0.25">
      <c r="A1045" s="45"/>
      <c r="B1045" s="15"/>
      <c r="C1045" s="15"/>
      <c r="D1045" s="15"/>
      <c r="E1045" s="15"/>
      <c r="F1045" s="15" t="s">
        <v>13</v>
      </c>
      <c r="G1045" s="15" t="s">
        <v>14</v>
      </c>
      <c r="H1045" s="15" t="s">
        <v>15</v>
      </c>
      <c r="I1045" s="15"/>
      <c r="J1045" s="182" t="str">
        <f t="shared" ref="J1045:Q1045" si="268">J$13</f>
        <v>(d)</v>
      </c>
      <c r="K1045" s="182" t="str">
        <f t="shared" si="268"/>
        <v>(e)</v>
      </c>
      <c r="L1045" s="15" t="str">
        <f t="shared" si="268"/>
        <v>(f)</v>
      </c>
      <c r="M1045" s="182" t="str">
        <f t="shared" si="268"/>
        <v>(g)</v>
      </c>
      <c r="N1045" s="182" t="str">
        <f t="shared" si="268"/>
        <v>(h)</v>
      </c>
      <c r="O1045" s="182" t="str">
        <f>O$13</f>
        <v>(i)</v>
      </c>
      <c r="P1045" s="182" t="str">
        <f t="shared" si="268"/>
        <v>(j)</v>
      </c>
      <c r="Q1045" s="182" t="str">
        <f t="shared" si="268"/>
        <v>(k)</v>
      </c>
      <c r="R1045" s="182" t="str">
        <f>R$13</f>
        <v>(l)</v>
      </c>
      <c r="S1045" s="15" t="str">
        <f>S$13</f>
        <v>(m)</v>
      </c>
      <c r="T1045" s="15"/>
      <c r="U1045" s="15" t="s">
        <v>683</v>
      </c>
      <c r="V1045" s="64"/>
      <c r="X1045" s="305"/>
    </row>
    <row r="1046" spans="1:24" x14ac:dyDescent="0.2">
      <c r="A1046" s="45"/>
      <c r="B1046" s="64"/>
      <c r="C1046" s="268"/>
      <c r="D1046" s="268"/>
      <c r="E1046" s="268"/>
      <c r="F1046" s="268"/>
      <c r="G1046" s="268"/>
      <c r="H1046" s="268"/>
      <c r="I1046" s="268"/>
      <c r="J1046" s="268"/>
      <c r="K1046" s="268"/>
      <c r="L1046" s="268"/>
      <c r="M1046" s="268"/>
      <c r="N1046" s="268"/>
      <c r="O1046" s="268"/>
      <c r="P1046" s="268"/>
      <c r="Q1046" s="268"/>
      <c r="R1046" s="268"/>
      <c r="S1046" s="268"/>
      <c r="T1046" s="268"/>
      <c r="U1046" s="41"/>
      <c r="V1046" s="64"/>
      <c r="X1046" s="305">
        <f t="shared" si="266"/>
        <v>0</v>
      </c>
    </row>
    <row r="1047" spans="1:24" ht="15" x14ac:dyDescent="0.25">
      <c r="A1047" s="45"/>
      <c r="B1047" s="16">
        <f>B1033+1</f>
        <v>1</v>
      </c>
      <c r="C1047" s="32" t="s">
        <v>651</v>
      </c>
      <c r="D1047" s="8"/>
      <c r="E1047" s="19" t="s">
        <v>280</v>
      </c>
      <c r="F1047" s="21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8"/>
      <c r="V1047" s="64"/>
      <c r="X1047" s="305">
        <f t="shared" si="266"/>
        <v>0</v>
      </c>
    </row>
    <row r="1048" spans="1:24" x14ac:dyDescent="0.2">
      <c r="A1048" s="45"/>
      <c r="B1048" s="16">
        <f t="shared" ref="B1048:B1070" si="269">B1047+1</f>
        <v>2</v>
      </c>
      <c r="C1048" s="1"/>
      <c r="D1048" s="1"/>
      <c r="E1048" s="16"/>
      <c r="F1048" s="18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"/>
      <c r="V1048" s="64"/>
      <c r="X1048" s="305">
        <f t="shared" si="266"/>
        <v>0</v>
      </c>
    </row>
    <row r="1049" spans="1:24" x14ac:dyDescent="0.2">
      <c r="A1049" s="45"/>
      <c r="B1049" s="16">
        <f t="shared" si="269"/>
        <v>3</v>
      </c>
      <c r="C1049" s="1" t="s">
        <v>652</v>
      </c>
      <c r="D1049" s="1" t="s">
        <v>40</v>
      </c>
      <c r="E1049" s="16"/>
      <c r="F1049" s="97">
        <f>' WP II-I-1.4'!L1049</f>
        <v>1629.8700000000001</v>
      </c>
      <c r="G1049" s="16" t="s">
        <v>751</v>
      </c>
      <c r="H1049" s="45" t="s">
        <v>303</v>
      </c>
      <c r="I1049" s="16"/>
      <c r="J1049" s="369">
        <f ca="1">'II-I-DIST'!J1049+'II-I-MET'!J1049+'II-I-TBILLTDCS'!J1049</f>
        <v>886.33651528079383</v>
      </c>
      <c r="K1049" s="369">
        <f ca="1">'II-I-DIST'!K1049+'II-I-MET'!K1049+'II-I-TBILLTDCS'!K1049</f>
        <v>28.744215519111528</v>
      </c>
      <c r="L1049" s="369">
        <f ca="1">'II-I-DIST'!L1049+'II-I-MET'!L1049+'II-I-TBILLTDCS'!L1049</f>
        <v>560.25253087829822</v>
      </c>
      <c r="M1049" s="369">
        <f ca="1">'II-I-DIST'!M1049+'II-I-MET'!M1049+'II-I-TBILLTDCS'!M1049</f>
        <v>1.2375274542912433</v>
      </c>
      <c r="N1049" s="369">
        <f ca="1">'II-I-DIST'!N1049+'II-I-MET'!N1049+'II-I-TBILLTDCS'!N1049</f>
        <v>109.54902090351106</v>
      </c>
      <c r="O1049" s="369">
        <f ca="1">'II-I-DIST'!O1049+'II-I-MET'!O1049+'II-I-TBILLTDCS'!O1049</f>
        <v>12.10385766969368</v>
      </c>
      <c r="P1049" s="369">
        <f ca="1">'II-I-DIST'!P1049+'II-I-MET'!P1049+'II-I-TBILLTDCS'!P1049</f>
        <v>2.5641996496402788</v>
      </c>
      <c r="Q1049" s="369">
        <f ca="1">'II-I-DIST'!Q1049+'II-I-MET'!Q1049+'II-I-TBILLTDCS'!Q1049</f>
        <v>24.272593575113028</v>
      </c>
      <c r="R1049" s="369">
        <f ca="1">'II-I-DIST'!R1049+'II-I-MET'!R1049+'II-I-TBILLTDCS'!R1049</f>
        <v>0.84789911339351187</v>
      </c>
      <c r="S1049" s="369">
        <f ca="1">'II-I-DIST'!S1049+'II-I-MET'!S1049+'II-I-TBILLTDCS'!S1049</f>
        <v>3.9616399561533169</v>
      </c>
      <c r="T1049" s="16"/>
      <c r="U1049" s="97">
        <f t="shared" ref="U1049:U1059" ca="1" si="270">SUM(I1049:T1049)</f>
        <v>1629.87</v>
      </c>
      <c r="V1049" s="64"/>
      <c r="X1049" s="305">
        <f t="shared" ref="X1049:X1055" ca="1" si="271">U1049-F1049</f>
        <v>0</v>
      </c>
    </row>
    <row r="1050" spans="1:24" x14ac:dyDescent="0.2">
      <c r="A1050" s="45"/>
      <c r="B1050" s="16">
        <f t="shared" si="269"/>
        <v>4</v>
      </c>
      <c r="C1050" s="1" t="s">
        <v>89</v>
      </c>
      <c r="D1050" s="1" t="s">
        <v>42</v>
      </c>
      <c r="E1050" s="16"/>
      <c r="F1050" s="97">
        <f>' WP II-I-1.4'!L1050</f>
        <v>5528863.0999999996</v>
      </c>
      <c r="G1050" s="16" t="s">
        <v>751</v>
      </c>
      <c r="H1050" s="45" t="s">
        <v>303</v>
      </c>
      <c r="I1050" s="16"/>
      <c r="J1050" s="369">
        <f ca="1">'II-I-DIST'!J1050+'II-I-MET'!J1050+'II-I-TBILLTDCS'!J1050</f>
        <v>2980838.1821776945</v>
      </c>
      <c r="K1050" s="369">
        <f ca="1">'II-I-DIST'!K1050+'II-I-MET'!K1050+'II-I-TBILLTDCS'!K1050</f>
        <v>139578.39379459529</v>
      </c>
      <c r="L1050" s="369">
        <f ca="1">'II-I-DIST'!L1050+'II-I-MET'!L1050+'II-I-TBILLTDCS'!L1050</f>
        <v>1851167.6195125389</v>
      </c>
      <c r="M1050" s="369">
        <f ca="1">'II-I-DIST'!M1050+'II-I-MET'!M1050+'II-I-TBILLTDCS'!M1050</f>
        <v>12828.483381263843</v>
      </c>
      <c r="N1050" s="369">
        <f ca="1">'II-I-DIST'!N1050+'II-I-MET'!N1050+'II-I-TBILLTDCS'!N1050</f>
        <v>390139.94893281226</v>
      </c>
      <c r="O1050" s="369">
        <f ca="1">'II-I-DIST'!O1050+'II-I-MET'!O1050+'II-I-TBILLTDCS'!O1050</f>
        <v>37589.536814059131</v>
      </c>
      <c r="P1050" s="369">
        <f ca="1">'II-I-DIST'!P1050+'II-I-MET'!P1050+'II-I-TBILLTDCS'!P1050</f>
        <v>12330.134095901281</v>
      </c>
      <c r="Q1050" s="369">
        <f ca="1">'II-I-DIST'!Q1050+'II-I-MET'!Q1050+'II-I-TBILLTDCS'!Q1050</f>
        <v>89469.719399464113</v>
      </c>
      <c r="R1050" s="369">
        <f ca="1">'II-I-DIST'!R1050+'II-I-MET'!R1050+'II-I-TBILLTDCS'!R1050</f>
        <v>2727.3069063120042</v>
      </c>
      <c r="S1050" s="369">
        <f ca="1">'II-I-DIST'!S1050+'II-I-MET'!S1050+'II-I-TBILLTDCS'!S1050</f>
        <v>12193.774985358395</v>
      </c>
      <c r="T1050" s="16"/>
      <c r="U1050" s="97">
        <f t="shared" ca="1" si="270"/>
        <v>5528863.0999999996</v>
      </c>
      <c r="V1050" s="64"/>
      <c r="X1050" s="305">
        <f t="shared" ca="1" si="271"/>
        <v>0</v>
      </c>
    </row>
    <row r="1051" spans="1:24" x14ac:dyDescent="0.2">
      <c r="A1051" s="45"/>
      <c r="B1051" s="16">
        <f t="shared" si="269"/>
        <v>5</v>
      </c>
      <c r="C1051" s="1" t="s">
        <v>90</v>
      </c>
      <c r="D1051" s="1" t="s">
        <v>91</v>
      </c>
      <c r="E1051" s="16"/>
      <c r="F1051" s="97">
        <f>' WP II-I-1.4'!L1051</f>
        <v>1047535.19</v>
      </c>
      <c r="G1051" s="16" t="s">
        <v>751</v>
      </c>
      <c r="H1051" s="45" t="s">
        <v>303</v>
      </c>
      <c r="I1051" s="16"/>
      <c r="J1051" s="369">
        <f ca="1">'II-I-DIST'!J1051+'II-I-MET'!J1051+'II-I-TBILLTDCS'!J1051</f>
        <v>565337.14072672208</v>
      </c>
      <c r="K1051" s="369">
        <f ca="1">'II-I-DIST'!K1051+'II-I-MET'!K1051+'II-I-TBILLTDCS'!K1051</f>
        <v>25073.47813761975</v>
      </c>
      <c r="L1051" s="369">
        <f ca="1">'II-I-DIST'!L1051+'II-I-MET'!L1051+'II-I-TBILLTDCS'!L1051</f>
        <v>352133.26355053886</v>
      </c>
      <c r="M1051" s="369">
        <f ca="1">'II-I-DIST'!M1051+'II-I-MET'!M1051+'II-I-TBILLTDCS'!M1051</f>
        <v>2149.9271180143633</v>
      </c>
      <c r="N1051" s="369">
        <f ca="1">'II-I-DIST'!N1051+'II-I-MET'!N1051+'II-I-TBILLTDCS'!N1051</f>
        <v>73276.619830651427</v>
      </c>
      <c r="O1051" s="369">
        <f ca="1">'II-I-DIST'!O1051+'II-I-MET'!O1051+'II-I-TBILLTDCS'!O1051</f>
        <v>7230.148263643855</v>
      </c>
      <c r="P1051" s="369">
        <f ca="1">'II-I-DIST'!P1051+'II-I-MET'!P1051+'II-I-TBILLTDCS'!P1051</f>
        <v>2217.2810285810547</v>
      </c>
      <c r="Q1051" s="369">
        <f ca="1">'II-I-DIST'!Q1051+'II-I-MET'!Q1051+'II-I-TBILLTDCS'!Q1051</f>
        <v>17246.797896600656</v>
      </c>
      <c r="R1051" s="369">
        <f ca="1">'II-I-DIST'!R1051+'II-I-MET'!R1051+'II-I-TBILLTDCS'!R1051</f>
        <v>521.2573513868341</v>
      </c>
      <c r="S1051" s="369">
        <f ca="1">'II-I-DIST'!S1051+'II-I-MET'!S1051+'II-I-TBILLTDCS'!S1051</f>
        <v>2349.2760962410466</v>
      </c>
      <c r="T1051" s="16"/>
      <c r="U1051" s="97">
        <f t="shared" ca="1" si="270"/>
        <v>1047535.19</v>
      </c>
      <c r="V1051" s="64"/>
      <c r="X1051" s="305">
        <f t="shared" ca="1" si="271"/>
        <v>0</v>
      </c>
    </row>
    <row r="1052" spans="1:24" x14ac:dyDescent="0.2">
      <c r="A1052" s="45"/>
      <c r="B1052" s="16">
        <f t="shared" si="269"/>
        <v>6</v>
      </c>
      <c r="C1052" s="1" t="s">
        <v>92</v>
      </c>
      <c r="D1052" s="1" t="s">
        <v>653</v>
      </c>
      <c r="E1052" s="16"/>
      <c r="F1052" s="97">
        <f>' WP II-I-1.4'!L1052</f>
        <v>1019555.56</v>
      </c>
      <c r="G1052" s="16" t="s">
        <v>751</v>
      </c>
      <c r="H1052" s="45" t="s">
        <v>303</v>
      </c>
      <c r="I1052" s="16"/>
      <c r="J1052" s="369">
        <f ca="1">'II-I-DIST'!J1052+'II-I-MET'!J1052+'II-I-TBILLTDCS'!J1052</f>
        <v>556251.41457232274</v>
      </c>
      <c r="K1052" s="369">
        <f ca="1">'II-I-DIST'!K1052+'II-I-MET'!K1052+'II-I-TBILLTDCS'!K1052</f>
        <v>14724.507830932802</v>
      </c>
      <c r="L1052" s="369">
        <f ca="1">'II-I-DIST'!L1052+'II-I-MET'!L1052+'II-I-TBILLTDCS'!L1052</f>
        <v>354136.1886345481</v>
      </c>
      <c r="M1052" s="369">
        <f ca="1">'II-I-DIST'!M1052+'II-I-MET'!M1052+'II-I-TBILLTDCS'!M1052</f>
        <v>106.69625342230241</v>
      </c>
      <c r="N1052" s="369">
        <f ca="1">'II-I-DIST'!N1052+'II-I-MET'!N1052+'II-I-TBILLTDCS'!N1052</f>
        <v>67067.886281897459</v>
      </c>
      <c r="O1052" s="369">
        <f ca="1">'II-I-DIST'!O1052+'II-I-MET'!O1052+'II-I-TBILLTDCS'!O1052</f>
        <v>7836.6088012129549</v>
      </c>
      <c r="P1052" s="369">
        <f ca="1">'II-I-DIST'!P1052+'II-I-MET'!P1052+'II-I-TBILLTDCS'!P1052</f>
        <v>1322.6270932175439</v>
      </c>
      <c r="Q1052" s="369">
        <f ca="1">'II-I-DIST'!Q1052+'II-I-MET'!Q1052+'II-I-TBILLTDCS'!Q1052</f>
        <v>14994.521910624713</v>
      </c>
      <c r="R1052" s="369">
        <f ca="1">'II-I-DIST'!R1052+'II-I-MET'!R1052+'II-I-TBILLTDCS'!R1052</f>
        <v>541.69701677115438</v>
      </c>
      <c r="S1052" s="369">
        <f ca="1">'II-I-DIST'!S1052+'II-I-MET'!S1052+'II-I-TBILLTDCS'!S1052</f>
        <v>2573.4116050501189</v>
      </c>
      <c r="T1052" s="16"/>
      <c r="U1052" s="97">
        <f t="shared" ca="1" si="270"/>
        <v>1019555.5599999999</v>
      </c>
      <c r="V1052" s="64"/>
      <c r="X1052" s="305">
        <f t="shared" ca="1" si="271"/>
        <v>0</v>
      </c>
    </row>
    <row r="1053" spans="1:24" x14ac:dyDescent="0.2">
      <c r="A1053" s="45"/>
      <c r="B1053" s="16">
        <f t="shared" si="269"/>
        <v>7</v>
      </c>
      <c r="C1053" s="1" t="s">
        <v>95</v>
      </c>
      <c r="D1053" s="1" t="s">
        <v>654</v>
      </c>
      <c r="E1053" s="16"/>
      <c r="F1053" s="97">
        <f>' WP II-I-1.4'!L1053</f>
        <v>260676.88</v>
      </c>
      <c r="G1053" s="16" t="s">
        <v>751</v>
      </c>
      <c r="H1053" s="45" t="s">
        <v>303</v>
      </c>
      <c r="I1053" s="16"/>
      <c r="J1053" s="369">
        <f ca="1">'II-I-DIST'!J1053+'II-I-MET'!J1053+'II-I-TBILLTDCS'!J1053</f>
        <v>141775.7869241758</v>
      </c>
      <c r="K1053" s="369">
        <f ca="1">'II-I-DIST'!K1053+'II-I-MET'!K1053+'II-I-TBILLTDCS'!K1053</f>
        <v>4875.9231662943257</v>
      </c>
      <c r="L1053" s="369">
        <f ca="1">'II-I-DIST'!L1053+'II-I-MET'!L1053+'II-I-TBILLTDCS'!L1053</f>
        <v>89423.02442597787</v>
      </c>
      <c r="M1053" s="369">
        <f ca="1">'II-I-DIST'!M1053+'II-I-MET'!M1053+'II-I-TBILLTDCS'!M1053</f>
        <v>254.53782107256751</v>
      </c>
      <c r="N1053" s="369">
        <f ca="1">'II-I-DIST'!N1053+'II-I-MET'!N1053+'II-I-TBILLTDCS'!N1053</f>
        <v>17669.658241408692</v>
      </c>
      <c r="O1053" s="369">
        <f ca="1">'II-I-DIST'!O1053+'II-I-MET'!O1053+'II-I-TBILLTDCS'!O1053</f>
        <v>1916.2879423927463</v>
      </c>
      <c r="P1053" s="369">
        <f ca="1">'II-I-DIST'!P1053+'II-I-MET'!P1053+'II-I-TBILLTDCS'!P1053</f>
        <v>434.4641539241436</v>
      </c>
      <c r="Q1053" s="369">
        <f ca="1">'II-I-DIST'!Q1053+'II-I-MET'!Q1053+'II-I-TBILLTDCS'!Q1053</f>
        <v>3565.849230762396</v>
      </c>
      <c r="R1053" s="369">
        <f ca="1">'II-I-DIST'!R1053+'II-I-MET'!R1053+'II-I-TBILLTDCS'!R1053</f>
        <v>134.85378140224825</v>
      </c>
      <c r="S1053" s="369">
        <f ca="1">'II-I-DIST'!S1053+'II-I-MET'!S1053+'II-I-TBILLTDCS'!S1053</f>
        <v>626.49431258914842</v>
      </c>
      <c r="T1053" s="16"/>
      <c r="U1053" s="97">
        <f t="shared" ca="1" si="270"/>
        <v>260676.87999999995</v>
      </c>
      <c r="V1053" s="64"/>
      <c r="X1053" s="305">
        <f t="shared" ca="1" si="271"/>
        <v>0</v>
      </c>
    </row>
    <row r="1054" spans="1:24" x14ac:dyDescent="0.2">
      <c r="A1054" s="45"/>
      <c r="B1054" s="16">
        <f t="shared" si="269"/>
        <v>8</v>
      </c>
      <c r="C1054" s="1" t="s">
        <v>97</v>
      </c>
      <c r="D1054" s="1" t="s">
        <v>655</v>
      </c>
      <c r="E1054" s="16"/>
      <c r="F1054" s="97">
        <f>' WP II-I-1.4'!L1054</f>
        <v>2011749.44</v>
      </c>
      <c r="G1054" s="16" t="s">
        <v>751</v>
      </c>
      <c r="H1054" s="45" t="s">
        <v>303</v>
      </c>
      <c r="I1054" s="16"/>
      <c r="J1054" s="369">
        <f ca="1">'II-I-DIST'!J1054+'II-I-MET'!J1054+'II-I-TBILLTDCS'!J1054</f>
        <v>1094066.8410341926</v>
      </c>
      <c r="K1054" s="369">
        <f ca="1">'II-I-DIST'!K1054+'II-I-MET'!K1054+'II-I-TBILLTDCS'!K1054</f>
        <v>37815.644908475064</v>
      </c>
      <c r="L1054" s="369">
        <f ca="1">'II-I-DIST'!L1054+'II-I-MET'!L1054+'II-I-TBILLTDCS'!L1054</f>
        <v>689925.94788212411</v>
      </c>
      <c r="M1054" s="369">
        <f ca="1">'II-I-DIST'!M1054+'II-I-MET'!M1054+'II-I-TBILLTDCS'!M1054</f>
        <v>2002.4451147749385</v>
      </c>
      <c r="N1054" s="369">
        <f ca="1">'II-I-DIST'!N1054+'II-I-MET'!N1054+'II-I-TBILLTDCS'!N1054</f>
        <v>136451.37781865188</v>
      </c>
      <c r="O1054" s="369">
        <f ca="1">'II-I-DIST'!O1054+'II-I-MET'!O1054+'II-I-TBILLTDCS'!O1054</f>
        <v>14774.138514729566</v>
      </c>
      <c r="P1054" s="369">
        <f ca="1">'II-I-DIST'!P1054+'II-I-MET'!P1054+'II-I-TBILLTDCS'!P1054</f>
        <v>3369.0697369783593</v>
      </c>
      <c r="Q1054" s="369">
        <f ca="1">'II-I-DIST'!Q1054+'II-I-MET'!Q1054+'II-I-TBILLTDCS'!Q1054</f>
        <v>27474.224956342299</v>
      </c>
      <c r="R1054" s="369">
        <f ca="1">'II-I-DIST'!R1054+'II-I-MET'!R1054+'II-I-TBILLTDCS'!R1054</f>
        <v>1040.1106734503446</v>
      </c>
      <c r="S1054" s="369">
        <f ca="1">'II-I-DIST'!S1054+'II-I-MET'!S1054+'II-I-TBILLTDCS'!S1054</f>
        <v>4829.6393602804737</v>
      </c>
      <c r="T1054" s="16"/>
      <c r="U1054" s="97">
        <f t="shared" ca="1" si="270"/>
        <v>2011749.4399999992</v>
      </c>
      <c r="V1054" s="64"/>
      <c r="X1054" s="305">
        <f t="shared" ca="1" si="271"/>
        <v>0</v>
      </c>
    </row>
    <row r="1055" spans="1:24" x14ac:dyDescent="0.2">
      <c r="A1055" s="45"/>
      <c r="B1055" s="16">
        <f t="shared" si="269"/>
        <v>9</v>
      </c>
      <c r="C1055" s="1" t="s">
        <v>99</v>
      </c>
      <c r="D1055" s="1" t="s">
        <v>656</v>
      </c>
      <c r="E1055" s="16"/>
      <c r="F1055" s="97">
        <f>' WP II-I-1.4'!L1055</f>
        <v>1525500.56</v>
      </c>
      <c r="G1055" s="16" t="s">
        <v>751</v>
      </c>
      <c r="H1055" s="45" t="s">
        <v>303</v>
      </c>
      <c r="I1055" s="16"/>
      <c r="J1055" s="369">
        <f ca="1">'II-I-DIST'!J1055+'II-I-MET'!J1055+'II-I-TBILLTDCS'!J1055</f>
        <v>828154.35227867868</v>
      </c>
      <c r="K1055" s="369">
        <f ca="1">'II-I-DIST'!K1055+'II-I-MET'!K1055+'II-I-TBILLTDCS'!K1055</f>
        <v>32351.092589730179</v>
      </c>
      <c r="L1055" s="369">
        <f ca="1">'II-I-DIST'!L1055+'II-I-MET'!L1055+'II-I-TBILLTDCS'!L1055</f>
        <v>519458.21835915325</v>
      </c>
      <c r="M1055" s="369">
        <f ca="1">'II-I-DIST'!M1055+'II-I-MET'!M1055+'II-I-TBILLTDCS'!M1055</f>
        <v>2270.1719996050119</v>
      </c>
      <c r="N1055" s="369">
        <f ca="1">'II-I-DIST'!N1055+'II-I-MET'!N1055+'II-I-TBILLTDCS'!N1055</f>
        <v>105196.95935853348</v>
      </c>
      <c r="O1055" s="369">
        <f ca="1">'II-I-DIST'!O1055+'II-I-MET'!O1055+'II-I-TBILLTDCS'!O1055</f>
        <v>10914.217274219853</v>
      </c>
      <c r="P1055" s="369">
        <f ca="1">'II-I-DIST'!P1055+'II-I-MET'!P1055+'II-I-TBILLTDCS'!P1055</f>
        <v>2873.2889613951502</v>
      </c>
      <c r="Q1055" s="369">
        <f ca="1">'II-I-DIST'!Q1055+'II-I-MET'!Q1055+'II-I-TBILLTDCS'!Q1055</f>
        <v>19947.402795959108</v>
      </c>
      <c r="R1055" s="369">
        <f ca="1">'II-I-DIST'!R1055+'II-I-MET'!R1055+'II-I-TBILLTDCS'!R1055</f>
        <v>776.65205093821999</v>
      </c>
      <c r="S1055" s="369">
        <f ca="1">'II-I-DIST'!S1055+'II-I-MET'!S1055+'II-I-TBILLTDCS'!S1055</f>
        <v>3558.2043317868329</v>
      </c>
      <c r="T1055" s="16"/>
      <c r="U1055" s="97">
        <f t="shared" ca="1" si="270"/>
        <v>1525500.5599999996</v>
      </c>
      <c r="V1055" s="64"/>
      <c r="X1055" s="305">
        <f t="shared" ca="1" si="271"/>
        <v>0</v>
      </c>
    </row>
    <row r="1056" spans="1:24" x14ac:dyDescent="0.2">
      <c r="A1056" s="45"/>
      <c r="B1056" s="16">
        <f t="shared" si="269"/>
        <v>10</v>
      </c>
      <c r="C1056" s="1" t="s">
        <v>101</v>
      </c>
      <c r="D1056" s="1" t="s">
        <v>102</v>
      </c>
      <c r="E1056" s="16"/>
      <c r="F1056" s="97">
        <f>' WP II-I-1.4'!L1056</f>
        <v>745814.1100000001</v>
      </c>
      <c r="G1056" s="16" t="s">
        <v>751</v>
      </c>
      <c r="H1056" s="45" t="s">
        <v>303</v>
      </c>
      <c r="I1056" s="16"/>
      <c r="J1056" s="369">
        <f ca="1">'II-I-DIST'!J1056+'II-I-MET'!J1056+'II-I-TBILLTDCS'!J1056</f>
        <v>405141.00720045518</v>
      </c>
      <c r="K1056" s="369">
        <f ca="1">'II-I-DIST'!K1056+'II-I-MET'!K1056+'II-I-TBILLTDCS'!K1056</f>
        <v>15171.88939932205</v>
      </c>
      <c r="L1056" s="369">
        <f ca="1">'II-I-DIST'!L1056+'II-I-MET'!L1056+'II-I-TBILLTDCS'!L1056</f>
        <v>254612.49494155645</v>
      </c>
      <c r="M1056" s="369">
        <f ca="1">'II-I-DIST'!M1056+'II-I-MET'!M1056+'II-I-TBILLTDCS'!M1056</f>
        <v>978.0739138690077</v>
      </c>
      <c r="N1056" s="369">
        <f ca="1">'II-I-DIST'!N1056+'II-I-MET'!N1056+'II-I-TBILLTDCS'!N1056</f>
        <v>51127.853738179052</v>
      </c>
      <c r="O1056" s="369">
        <f ca="1">'II-I-DIST'!O1056+'II-I-MET'!O1056+'II-I-TBILLTDCS'!O1056</f>
        <v>5386.602553781694</v>
      </c>
      <c r="P1056" s="369">
        <f ca="1">'II-I-DIST'!P1056+'II-I-MET'!P1056+'II-I-TBILLTDCS'!P1056</f>
        <v>1348.892244853467</v>
      </c>
      <c r="Q1056" s="369">
        <f ca="1">'II-I-DIST'!Q1056+'II-I-MET'!Q1056+'II-I-TBILLTDCS'!Q1056</f>
        <v>9907.6279426918627</v>
      </c>
      <c r="R1056" s="369">
        <f ca="1">'II-I-DIST'!R1056+'II-I-MET'!R1056+'II-I-TBILLTDCS'!R1056</f>
        <v>381.8180744342211</v>
      </c>
      <c r="S1056" s="369">
        <f ca="1">'II-I-DIST'!S1056+'II-I-MET'!S1056+'II-I-TBILLTDCS'!S1056</f>
        <v>1757.8499908569922</v>
      </c>
      <c r="T1056" s="16"/>
      <c r="U1056" s="97">
        <f t="shared" ca="1" si="270"/>
        <v>745814.10999999987</v>
      </c>
      <c r="V1056" s="64"/>
      <c r="X1056" s="305">
        <f t="shared" ca="1" si="266"/>
        <v>0</v>
      </c>
    </row>
    <row r="1057" spans="1:24" x14ac:dyDescent="0.2">
      <c r="A1057" s="45"/>
      <c r="B1057" s="16">
        <f t="shared" si="269"/>
        <v>11</v>
      </c>
      <c r="C1057" s="1" t="s">
        <v>1237</v>
      </c>
      <c r="D1057" s="1" t="s">
        <v>1230</v>
      </c>
      <c r="E1057" s="16"/>
      <c r="F1057" s="97">
        <f>' WP II-I-1.4'!L1057</f>
        <v>24844618.770000003</v>
      </c>
      <c r="G1057" s="16" t="s">
        <v>751</v>
      </c>
      <c r="H1057" s="45" t="s">
        <v>303</v>
      </c>
      <c r="I1057" s="16"/>
      <c r="J1057" s="369">
        <f ca="1">'II-I-DIST'!J1057+'II-I-MET'!J1057+'II-I-TBILLTDCS'!J1057</f>
        <v>13035005.663779343</v>
      </c>
      <c r="K1057" s="369">
        <f ca="1">'II-I-DIST'!K1057+'II-I-MET'!K1057+'II-I-TBILLTDCS'!K1057</f>
        <v>1005138.1977934961</v>
      </c>
      <c r="L1057" s="369">
        <f ca="1">'II-I-DIST'!L1057+'II-I-MET'!L1057+'II-I-TBILLTDCS'!L1057</f>
        <v>7777238.015884053</v>
      </c>
      <c r="M1057" s="369">
        <f ca="1">'II-I-DIST'!M1057+'II-I-MET'!M1057+'II-I-TBILLTDCS'!M1057</f>
        <v>135547.20011778385</v>
      </c>
      <c r="N1057" s="369">
        <f ca="1">'II-I-DIST'!N1057+'II-I-MET'!N1057+'II-I-TBILLTDCS'!N1057</f>
        <v>1901918.4759215629</v>
      </c>
      <c r="O1057" s="369">
        <f ca="1">'II-I-DIST'!O1057+'II-I-MET'!O1057+'II-I-TBILLTDCS'!O1057</f>
        <v>135434.56694602172</v>
      </c>
      <c r="P1057" s="369">
        <f ca="1">'II-I-DIST'!P1057+'II-I-MET'!P1057+'II-I-TBILLTDCS'!P1057</f>
        <v>87828.307569340977</v>
      </c>
      <c r="Q1057" s="369">
        <f ca="1">'II-I-DIST'!Q1057+'II-I-MET'!Q1057+'II-I-TBILLTDCS'!Q1057</f>
        <v>712900.33399083442</v>
      </c>
      <c r="R1057" s="369">
        <f ca="1">'II-I-DIST'!R1057+'II-I-MET'!R1057+'II-I-TBILLTDCS'!R1057</f>
        <v>10761.59568549406</v>
      </c>
      <c r="S1057" s="369">
        <f ca="1">'II-I-DIST'!S1057+'II-I-MET'!S1057+'II-I-TBILLTDCS'!S1057</f>
        <v>42846.412312071654</v>
      </c>
      <c r="T1057" s="16"/>
      <c r="U1057" s="97">
        <f t="shared" ref="U1057:U1058" ca="1" si="272">SUM(I1057:T1057)</f>
        <v>24844618.770000003</v>
      </c>
      <c r="V1057" s="64"/>
      <c r="X1057" s="305"/>
    </row>
    <row r="1058" spans="1:24" x14ac:dyDescent="0.2">
      <c r="A1058" s="45"/>
      <c r="B1058" s="16">
        <f t="shared" si="269"/>
        <v>12</v>
      </c>
      <c r="C1058" s="1" t="s">
        <v>1238</v>
      </c>
      <c r="D1058" s="1" t="s">
        <v>1232</v>
      </c>
      <c r="E1058" s="16"/>
      <c r="F1058" s="97">
        <f>' WP II-I-1.4'!L1058</f>
        <v>32191275.329999998</v>
      </c>
      <c r="G1058" s="16" t="s">
        <v>751</v>
      </c>
      <c r="H1058" s="45" t="s">
        <v>303</v>
      </c>
      <c r="I1058" s="16"/>
      <c r="J1058" s="369">
        <f ca="1">'II-I-DIST'!J1058+'II-I-MET'!J1058+'II-I-TBILLTDCS'!J1058</f>
        <v>17539542.309235714</v>
      </c>
      <c r="K1058" s="369">
        <f ca="1">'II-I-DIST'!K1058+'II-I-MET'!K1058+'II-I-TBILLTDCS'!K1058</f>
        <v>518809.20103268849</v>
      </c>
      <c r="L1058" s="369">
        <f ca="1">'II-I-DIST'!L1058+'II-I-MET'!L1058+'II-I-TBILLTDCS'!L1058</f>
        <v>11125608.893468121</v>
      </c>
      <c r="M1058" s="369">
        <f ca="1">'II-I-DIST'!M1058+'II-I-MET'!M1058+'II-I-TBILLTDCS'!M1058</f>
        <v>14397.631468457284</v>
      </c>
      <c r="N1058" s="369">
        <f ca="1">'II-I-DIST'!N1058+'II-I-MET'!N1058+'II-I-TBILLTDCS'!N1058</f>
        <v>2142650.229115041</v>
      </c>
      <c r="O1058" s="369">
        <f ca="1">'II-I-DIST'!O1058+'II-I-MET'!O1058+'II-I-TBILLTDCS'!O1058</f>
        <v>243160.90112726745</v>
      </c>
      <c r="P1058" s="369">
        <f ca="1">'II-I-DIST'!P1058+'II-I-MET'!P1058+'II-I-TBILLTDCS'!P1058</f>
        <v>46428.514737668571</v>
      </c>
      <c r="Q1058" s="369">
        <f ca="1">'II-I-DIST'!Q1058+'II-I-MET'!Q1058+'II-I-TBILLTDCS'!Q1058</f>
        <v>464038.37104039517</v>
      </c>
      <c r="R1058" s="369">
        <f ca="1">'II-I-DIST'!R1058+'II-I-MET'!R1058+'II-I-TBILLTDCS'!R1058</f>
        <v>16924.339608936818</v>
      </c>
      <c r="S1058" s="369">
        <f ca="1">'II-I-DIST'!S1058+'II-I-MET'!S1058+'II-I-TBILLTDCS'!S1058</f>
        <v>79714.939165705393</v>
      </c>
      <c r="T1058" s="16"/>
      <c r="U1058" s="97">
        <f t="shared" ca="1" si="272"/>
        <v>32191275.329999998</v>
      </c>
      <c r="V1058" s="64"/>
      <c r="X1058" s="305"/>
    </row>
    <row r="1059" spans="1:24" x14ac:dyDescent="0.2">
      <c r="A1059" s="45"/>
      <c r="B1059" s="16">
        <f t="shared" si="269"/>
        <v>13</v>
      </c>
      <c r="C1059" s="1" t="s">
        <v>1239</v>
      </c>
      <c r="D1059" s="1" t="s">
        <v>103</v>
      </c>
      <c r="E1059" s="16"/>
      <c r="F1059" s="97">
        <f>' WP II-I-1.4'!L1059</f>
        <v>7031778.4199999999</v>
      </c>
      <c r="G1059" s="16" t="s">
        <v>751</v>
      </c>
      <c r="H1059" s="45" t="s">
        <v>303</v>
      </c>
      <c r="I1059" s="16"/>
      <c r="J1059" s="369">
        <f ca="1">'II-I-DIST'!J1059+'II-I-MET'!J1059+'II-I-TBILLTDCS'!J1059</f>
        <v>3790061.695030374</v>
      </c>
      <c r="K1059" s="369">
        <f ca="1">'II-I-DIST'!K1059+'II-I-MET'!K1059+'II-I-TBILLTDCS'!K1059</f>
        <v>176640.08889043654</v>
      </c>
      <c r="L1059" s="369">
        <f ca="1">'II-I-DIST'!L1059+'II-I-MET'!L1059+'II-I-TBILLTDCS'!L1059</f>
        <v>2354177.2803062033</v>
      </c>
      <c r="M1059" s="369">
        <f ca="1">'II-I-DIST'!M1059+'II-I-MET'!M1059+'II-I-TBILLTDCS'!M1059</f>
        <v>16139.814402564505</v>
      </c>
      <c r="N1059" s="369">
        <f ca="1">'II-I-DIST'!N1059+'II-I-MET'!N1059+'II-I-TBILLTDCS'!N1059</f>
        <v>495583.91880499478</v>
      </c>
      <c r="O1059" s="369">
        <f ca="1">'II-I-DIST'!O1059+'II-I-MET'!O1059+'II-I-TBILLTDCS'!O1059</f>
        <v>47851.165211739797</v>
      </c>
      <c r="P1059" s="369">
        <f ca="1">'II-I-DIST'!P1059+'II-I-MET'!P1059+'II-I-TBILLTDCS'!P1059</f>
        <v>15603.34292552917</v>
      </c>
      <c r="Q1059" s="369">
        <f ca="1">'II-I-DIST'!Q1059+'II-I-MET'!Q1059+'II-I-TBILLTDCS'!Q1059</f>
        <v>116726.37558931179</v>
      </c>
      <c r="R1059" s="369">
        <f ca="1">'II-I-DIST'!R1059+'II-I-MET'!R1059+'II-I-TBILLTDCS'!R1059</f>
        <v>3469.8390758014843</v>
      </c>
      <c r="S1059" s="369">
        <f ca="1">'II-I-DIST'!S1059+'II-I-MET'!S1059+'II-I-TBILLTDCS'!S1059</f>
        <v>15524.899763044181</v>
      </c>
      <c r="T1059" s="16"/>
      <c r="U1059" s="97">
        <f t="shared" ca="1" si="270"/>
        <v>7031778.4199999999</v>
      </c>
      <c r="V1059" s="64"/>
      <c r="X1059" s="305">
        <f t="shared" ca="1" si="266"/>
        <v>0</v>
      </c>
    </row>
    <row r="1060" spans="1:24" x14ac:dyDescent="0.2">
      <c r="A1060" s="45"/>
      <c r="B1060" s="16">
        <f t="shared" si="269"/>
        <v>14</v>
      </c>
      <c r="C1060" s="1" t="s">
        <v>105</v>
      </c>
      <c r="D1060" s="1" t="s">
        <v>657</v>
      </c>
      <c r="E1060" s="16"/>
      <c r="F1060" s="97">
        <f>' WP II-I-1.4'!L1060</f>
        <v>652851.67000000004</v>
      </c>
      <c r="G1060" s="16" t="s">
        <v>751</v>
      </c>
      <c r="H1060" s="45" t="s">
        <v>303</v>
      </c>
      <c r="I1060" s="16"/>
      <c r="J1060" s="369">
        <f ca="1">'II-I-DIST'!J1060+'II-I-MET'!J1060+'II-I-TBILLTDCS'!J1060</f>
        <v>354089.486492706</v>
      </c>
      <c r="K1060" s="369">
        <f ca="1">'II-I-DIST'!K1060+'II-I-MET'!K1060+'II-I-TBILLTDCS'!K1060</f>
        <v>14660.71200792116</v>
      </c>
      <c r="L1060" s="369">
        <f ca="1">'II-I-DIST'!L1060+'II-I-MET'!L1060+'II-I-TBILLTDCS'!L1060</f>
        <v>221483.52341208741</v>
      </c>
      <c r="M1060" s="369">
        <f ca="1">'II-I-DIST'!M1060+'II-I-MET'!M1060+'II-I-TBILLTDCS'!M1060</f>
        <v>1138.3778496901414</v>
      </c>
      <c r="N1060" s="369">
        <f ca="1">'II-I-DIST'!N1060+'II-I-MET'!N1060+'II-I-TBILLTDCS'!N1060</f>
        <v>45403.159563626097</v>
      </c>
      <c r="O1060" s="369">
        <f ca="1">'II-I-DIST'!O1060+'II-I-MET'!O1060+'II-I-TBILLTDCS'!O1060</f>
        <v>4606.709109231002</v>
      </c>
      <c r="P1060" s="369">
        <f ca="1">'II-I-DIST'!P1060+'II-I-MET'!P1060+'II-I-TBILLTDCS'!P1060</f>
        <v>1300.3458768311571</v>
      </c>
      <c r="Q1060" s="369">
        <f ca="1">'II-I-DIST'!Q1060+'II-I-MET'!Q1060+'II-I-TBILLTDCS'!Q1060</f>
        <v>8339.992852985948</v>
      </c>
      <c r="R1060" s="369">
        <f ca="1">'II-I-DIST'!R1060+'II-I-MET'!R1060+'II-I-TBILLTDCS'!R1060</f>
        <v>329.69881887070687</v>
      </c>
      <c r="S1060" s="369">
        <f ca="1">'II-I-DIST'!S1060+'II-I-MET'!S1060+'II-I-TBILLTDCS'!S1060</f>
        <v>1499.664016050325</v>
      </c>
      <c r="T1060" s="16"/>
      <c r="U1060" s="97">
        <f ca="1">SUM(I1060:T1060)</f>
        <v>652851.67000000004</v>
      </c>
      <c r="V1060" s="64"/>
      <c r="X1060" s="305">
        <f t="shared" ca="1" si="266"/>
        <v>0</v>
      </c>
    </row>
    <row r="1061" spans="1:24" x14ac:dyDescent="0.2">
      <c r="A1061" s="45"/>
      <c r="B1061" s="16">
        <f t="shared" si="269"/>
        <v>15</v>
      </c>
      <c r="C1061" s="1" t="s">
        <v>107</v>
      </c>
      <c r="D1061" s="1" t="s">
        <v>285</v>
      </c>
      <c r="E1061" s="16"/>
      <c r="F1061" s="97">
        <f>' WP II-I-1.4'!L1061</f>
        <v>0</v>
      </c>
      <c r="G1061" s="16" t="s">
        <v>751</v>
      </c>
      <c r="H1061" s="45" t="s">
        <v>303</v>
      </c>
      <c r="I1061" s="16"/>
      <c r="J1061" s="369">
        <f ca="1">'II-I-DIST'!J1061+'II-I-MET'!J1061+'II-I-TBILLTDCS'!J1061</f>
        <v>0</v>
      </c>
      <c r="K1061" s="369">
        <f ca="1">'II-I-DIST'!K1061+'II-I-MET'!K1061+'II-I-TBILLTDCS'!K1061</f>
        <v>0</v>
      </c>
      <c r="L1061" s="369">
        <f ca="1">'II-I-DIST'!L1061+'II-I-MET'!L1061+'II-I-TBILLTDCS'!L1061</f>
        <v>0</v>
      </c>
      <c r="M1061" s="369">
        <f ca="1">'II-I-DIST'!M1061+'II-I-MET'!M1061+'II-I-TBILLTDCS'!M1061</f>
        <v>0</v>
      </c>
      <c r="N1061" s="369">
        <f ca="1">'II-I-DIST'!N1061+'II-I-MET'!N1061+'II-I-TBILLTDCS'!N1061</f>
        <v>0</v>
      </c>
      <c r="O1061" s="369">
        <f ca="1">'II-I-DIST'!O1061+'II-I-MET'!O1061+'II-I-TBILLTDCS'!O1061</f>
        <v>0</v>
      </c>
      <c r="P1061" s="369">
        <f ca="1">'II-I-DIST'!P1061+'II-I-MET'!P1061+'II-I-TBILLTDCS'!P1061</f>
        <v>0</v>
      </c>
      <c r="Q1061" s="369">
        <f ca="1">'II-I-DIST'!Q1061+'II-I-MET'!Q1061+'II-I-TBILLTDCS'!Q1061</f>
        <v>0</v>
      </c>
      <c r="R1061" s="369">
        <f ca="1">'II-I-DIST'!R1061+'II-I-MET'!R1061+'II-I-TBILLTDCS'!R1061</f>
        <v>0</v>
      </c>
      <c r="S1061" s="369">
        <f ca="1">'II-I-DIST'!S1061+'II-I-MET'!S1061+'II-I-TBILLTDCS'!S1061</f>
        <v>0</v>
      </c>
      <c r="T1061" s="16"/>
      <c r="U1061" s="97">
        <f ca="1">SUM(I1061:T1061)</f>
        <v>0</v>
      </c>
      <c r="V1061" s="64"/>
      <c r="X1061" s="305">
        <f t="shared" ca="1" si="266"/>
        <v>0</v>
      </c>
    </row>
    <row r="1062" spans="1:24" ht="16.5" x14ac:dyDescent="0.35">
      <c r="A1062" s="45"/>
      <c r="B1062" s="16">
        <f t="shared" si="269"/>
        <v>16</v>
      </c>
      <c r="C1062" s="1" t="s">
        <v>107</v>
      </c>
      <c r="D1062" s="1" t="s">
        <v>286</v>
      </c>
      <c r="E1062" s="16"/>
      <c r="F1062" s="97">
        <f>' WP II-I-1.4'!L1062</f>
        <v>0</v>
      </c>
      <c r="G1062" s="16" t="s">
        <v>751</v>
      </c>
      <c r="H1062" s="45" t="s">
        <v>303</v>
      </c>
      <c r="I1062" s="16"/>
      <c r="J1062" s="976">
        <f ca="1">'II-I-DIST'!J1062+'II-I-MET'!J1062+'II-I-TBILLTDCS'!J1062</f>
        <v>0</v>
      </c>
      <c r="K1062" s="976">
        <f ca="1">'II-I-DIST'!K1062+'II-I-MET'!K1062+'II-I-TBILLTDCS'!K1062</f>
        <v>0</v>
      </c>
      <c r="L1062" s="976">
        <f ca="1">'II-I-DIST'!L1062+'II-I-MET'!L1062+'II-I-TBILLTDCS'!L1062</f>
        <v>0</v>
      </c>
      <c r="M1062" s="976">
        <f ca="1">'II-I-DIST'!M1062+'II-I-MET'!M1062+'II-I-TBILLTDCS'!M1062</f>
        <v>0</v>
      </c>
      <c r="N1062" s="976">
        <f ca="1">'II-I-DIST'!N1062+'II-I-MET'!N1062+'II-I-TBILLTDCS'!N1062</f>
        <v>0</v>
      </c>
      <c r="O1062" s="976">
        <f ca="1">'II-I-DIST'!O1062+'II-I-MET'!O1062+'II-I-TBILLTDCS'!O1062</f>
        <v>0</v>
      </c>
      <c r="P1062" s="976">
        <f ca="1">'II-I-DIST'!P1062+'II-I-MET'!P1062+'II-I-TBILLTDCS'!P1062</f>
        <v>0</v>
      </c>
      <c r="Q1062" s="976">
        <f ca="1">'II-I-DIST'!Q1062+'II-I-MET'!Q1062+'II-I-TBILLTDCS'!Q1062</f>
        <v>0</v>
      </c>
      <c r="R1062" s="976">
        <f ca="1">'II-I-DIST'!R1062+'II-I-MET'!R1062+'II-I-TBILLTDCS'!R1062</f>
        <v>0</v>
      </c>
      <c r="S1062" s="976">
        <f ca="1">'II-I-DIST'!S1062+'II-I-MET'!S1062+'II-I-TBILLTDCS'!S1062</f>
        <v>0</v>
      </c>
      <c r="T1062" s="16"/>
      <c r="U1062" s="97">
        <f ca="1">SUM(I1062:T1062)</f>
        <v>0</v>
      </c>
      <c r="V1062" s="64"/>
      <c r="X1062" s="305">
        <f t="shared" ca="1" si="266"/>
        <v>0</v>
      </c>
    </row>
    <row r="1063" spans="1:24" ht="15" x14ac:dyDescent="0.25">
      <c r="A1063" s="45"/>
      <c r="B1063" s="16">
        <f t="shared" si="269"/>
        <v>17</v>
      </c>
      <c r="C1063" s="8"/>
      <c r="D1063" s="233" t="s">
        <v>444</v>
      </c>
      <c r="E1063" s="19"/>
      <c r="F1063" s="21">
        <f>SUM(F1049:F1062)</f>
        <v>76861848.900000006</v>
      </c>
      <c r="G1063" s="19"/>
      <c r="H1063" s="19"/>
      <c r="I1063" s="19"/>
      <c r="J1063" s="805">
        <f t="shared" ref="J1063:Q1063" ca="1" si="273">SUM(J1049:J1062)</f>
        <v>41291150.215967663</v>
      </c>
      <c r="K1063" s="805">
        <f t="shared" ca="1" si="273"/>
        <v>1984867.8737670309</v>
      </c>
      <c r="L1063" s="805">
        <f t="shared" ca="1" si="273"/>
        <v>25589924.722907782</v>
      </c>
      <c r="M1063" s="805">
        <f t="shared" ca="1" si="273"/>
        <v>187814.59696797215</v>
      </c>
      <c r="N1063" s="805">
        <f t="shared" ca="1" si="273"/>
        <v>5426595.6366282627</v>
      </c>
      <c r="O1063" s="805">
        <f ca="1">SUM(O1049:O1062)</f>
        <v>516712.98641596944</v>
      </c>
      <c r="P1063" s="805">
        <f t="shared" ca="1" si="273"/>
        <v>175058.83262387052</v>
      </c>
      <c r="Q1063" s="805">
        <f t="shared" ca="1" si="273"/>
        <v>1484635.4901995475</v>
      </c>
      <c r="R1063" s="805">
        <f ca="1">SUM(R1049:R1062)</f>
        <v>37610.01694291149</v>
      </c>
      <c r="S1063" s="805">
        <f ca="1">SUM(S1049:S1062)</f>
        <v>167478.5275789907</v>
      </c>
      <c r="T1063" s="19"/>
      <c r="U1063" s="235">
        <f ca="1">SUM(I1063:T1063)</f>
        <v>76861848.900000021</v>
      </c>
      <c r="V1063" s="64"/>
      <c r="W1063" s="1099" t="b">
        <f ca="1">' WP II-I-1.4'!$L$1063=U1063</f>
        <v>1</v>
      </c>
      <c r="X1063" s="305">
        <f t="shared" ca="1" si="266"/>
        <v>0</v>
      </c>
    </row>
    <row r="1064" spans="1:24" ht="15.75" thickBot="1" x14ac:dyDescent="0.3">
      <c r="A1064" s="45"/>
      <c r="B1064" s="16">
        <f t="shared" si="269"/>
        <v>18</v>
      </c>
      <c r="C1064" s="8"/>
      <c r="D1064" s="233"/>
      <c r="E1064" s="19"/>
      <c r="F1064" s="21"/>
      <c r="G1064" s="19"/>
      <c r="H1064" s="19"/>
      <c r="I1064" s="19"/>
      <c r="J1064" s="805"/>
      <c r="K1064" s="805"/>
      <c r="L1064" s="805"/>
      <c r="M1064" s="805"/>
      <c r="N1064" s="805"/>
      <c r="O1064" s="805"/>
      <c r="P1064" s="805"/>
      <c r="Q1064" s="805"/>
      <c r="R1064" s="805"/>
      <c r="S1064" s="805"/>
      <c r="T1064" s="19"/>
      <c r="U1064" s="235"/>
      <c r="V1064" s="64"/>
      <c r="X1064" s="305">
        <f t="shared" si="266"/>
        <v>0</v>
      </c>
    </row>
    <row r="1065" spans="1:24" ht="15.75" thickBot="1" x14ac:dyDescent="0.3">
      <c r="A1065" s="45"/>
      <c r="B1065" s="16">
        <f t="shared" si="269"/>
        <v>19</v>
      </c>
      <c r="C1065" s="223" t="s">
        <v>658</v>
      </c>
      <c r="D1065" s="224"/>
      <c r="E1065" s="309" t="s">
        <v>280</v>
      </c>
      <c r="F1065" s="194">
        <f>F998+F1013+F1032+F1063</f>
        <v>721248321.12</v>
      </c>
      <c r="G1065" s="309"/>
      <c r="H1065" s="402"/>
      <c r="I1065" s="968"/>
      <c r="J1065" s="381">
        <f t="shared" ref="J1065:Q1065" ca="1" si="274">J998+J1013+J1032+J1063</f>
        <v>379904513.1083622</v>
      </c>
      <c r="K1065" s="812">
        <f t="shared" ca="1" si="274"/>
        <v>16812128.111795776</v>
      </c>
      <c r="L1065" s="812">
        <f t="shared" ca="1" si="274"/>
        <v>236686580.6039646</v>
      </c>
      <c r="M1065" s="812">
        <f t="shared" ca="1" si="274"/>
        <v>877378.6051320465</v>
      </c>
      <c r="N1065" s="812">
        <f t="shared" ca="1" si="274"/>
        <v>46026943.268442892</v>
      </c>
      <c r="O1065" s="812">
        <f ca="1">O998+O1013+O1032+O1063</f>
        <v>3937327.1455429131</v>
      </c>
      <c r="P1065" s="812">
        <f t="shared" ca="1" si="274"/>
        <v>1076356.1735377628</v>
      </c>
      <c r="Q1065" s="812">
        <f t="shared" ca="1" si="274"/>
        <v>34063217.235963501</v>
      </c>
      <c r="R1065" s="812">
        <f ca="1">R998+R1013+R1032+R1063</f>
        <v>280658.31321217888</v>
      </c>
      <c r="S1065" s="315">
        <f ca="1">S998+S1013+S1032+S1063</f>
        <v>1583218.5540461412</v>
      </c>
      <c r="T1065" s="402"/>
      <c r="U1065" s="315">
        <f ca="1">SUM(I1065:T1065)</f>
        <v>721248321.11999989</v>
      </c>
      <c r="V1065" s="64"/>
      <c r="W1065" s="1099" t="b">
        <f ca="1">' WP II-I-1.4'!$L$1065=U1065</f>
        <v>1</v>
      </c>
      <c r="X1065" s="305">
        <f t="shared" ca="1" si="266"/>
        <v>0</v>
      </c>
    </row>
    <row r="1066" spans="1:24" ht="15" x14ac:dyDescent="0.25">
      <c r="A1066" s="45"/>
      <c r="B1066" s="16">
        <f t="shared" si="269"/>
        <v>20</v>
      </c>
      <c r="C1066" s="8"/>
      <c r="D1066" s="233"/>
      <c r="E1066" s="19"/>
      <c r="F1066" s="21"/>
      <c r="G1066" s="19"/>
      <c r="H1066" s="19"/>
      <c r="I1066" s="19"/>
      <c r="J1066" s="961"/>
      <c r="K1066" s="961"/>
      <c r="L1066" s="961"/>
      <c r="M1066" s="961"/>
      <c r="N1066" s="961"/>
      <c r="O1066" s="961"/>
      <c r="P1066" s="961"/>
      <c r="Q1066" s="961"/>
      <c r="R1066" s="961"/>
      <c r="S1066" s="961"/>
      <c r="T1066" s="19"/>
      <c r="U1066" s="235"/>
      <c r="V1066" s="64"/>
      <c r="X1066" s="305">
        <f t="shared" si="266"/>
        <v>0</v>
      </c>
    </row>
    <row r="1067" spans="1:24" ht="15" x14ac:dyDescent="0.25">
      <c r="A1067" s="45"/>
      <c r="B1067" s="16">
        <f t="shared" si="269"/>
        <v>21</v>
      </c>
      <c r="C1067" s="8" t="s">
        <v>659</v>
      </c>
      <c r="D1067" s="233"/>
      <c r="E1067" s="19" t="s">
        <v>313</v>
      </c>
      <c r="F1067" s="97">
        <f>' WP II-I-1.4'!L1067</f>
        <v>7439</v>
      </c>
      <c r="G1067" s="16" t="s">
        <v>751</v>
      </c>
      <c r="H1067" s="45" t="s">
        <v>303</v>
      </c>
      <c r="I1067" s="912"/>
      <c r="J1067" s="369">
        <f ca="1">'II-I-DIST'!J1067+'II-I-MET'!J1067+'II-I-TBILLTDCS'!J1067</f>
        <v>4058.5863442336668</v>
      </c>
      <c r="K1067" s="369">
        <f ca="1">'II-I-DIST'!K1067+'II-I-MET'!K1067+'II-I-TBILLTDCS'!K1067</f>
        <v>107.43466864553126</v>
      </c>
      <c r="L1067" s="369">
        <f ca="1">'II-I-DIST'!L1067+'II-I-MET'!L1067+'II-I-TBILLTDCS'!L1067</f>
        <v>2583.8896972445546</v>
      </c>
      <c r="M1067" s="369">
        <f ca="1">'II-I-DIST'!M1067+'II-I-MET'!M1067+'II-I-TBILLTDCS'!M1067</f>
        <v>0.77848962856767467</v>
      </c>
      <c r="N1067" s="369">
        <f ca="1">'II-I-DIST'!N1067+'II-I-MET'!N1067+'II-I-TBILLTDCS'!N1067</f>
        <v>489.34852167451783</v>
      </c>
      <c r="O1067" s="369">
        <f ca="1">'II-I-DIST'!O1067+'II-I-MET'!O1067+'II-I-TBILLTDCS'!O1067</f>
        <v>57.178377676860642</v>
      </c>
      <c r="P1067" s="369">
        <f ca="1">'II-I-DIST'!P1067+'II-I-MET'!P1067+'II-I-TBILLTDCS'!P1067</f>
        <v>9.6503058121180842</v>
      </c>
      <c r="Q1067" s="369">
        <f ca="1">'II-I-DIST'!Q1067+'II-I-MET'!Q1067+'II-I-TBILLTDCS'!Q1067</f>
        <v>109.40477681582867</v>
      </c>
      <c r="R1067" s="369">
        <f ca="1">'II-I-DIST'!R1067+'II-I-MET'!R1067+'II-I-TBILLTDCS'!R1067</f>
        <v>3.9523928521959268</v>
      </c>
      <c r="S1067" s="369">
        <f ca="1">'II-I-DIST'!S1067+'II-I-MET'!S1067+'II-I-TBILLTDCS'!S1067</f>
        <v>18.776425416156659</v>
      </c>
      <c r="T1067" s="912"/>
      <c r="U1067" s="97">
        <f ca="1">SUM(I1067:T1067)</f>
        <v>7438.9999999999973</v>
      </c>
      <c r="V1067" s="64"/>
      <c r="X1067" s="305">
        <f t="shared" ca="1" si="266"/>
        <v>0</v>
      </c>
    </row>
    <row r="1068" spans="1:24" ht="15" x14ac:dyDescent="0.25">
      <c r="A1068" s="45"/>
      <c r="B1068" s="16">
        <f t="shared" si="269"/>
        <v>22</v>
      </c>
      <c r="C1068" s="8" t="s">
        <v>660</v>
      </c>
      <c r="D1068" s="233"/>
      <c r="E1068" s="19" t="s">
        <v>316</v>
      </c>
      <c r="F1068" s="97">
        <f>' WP II-I-1.4'!L1068</f>
        <v>40881145.039999999</v>
      </c>
      <c r="G1068" s="16" t="s">
        <v>751</v>
      </c>
      <c r="H1068" s="45" t="s">
        <v>303</v>
      </c>
      <c r="I1068" s="912"/>
      <c r="J1068" s="369">
        <f ca="1">'II-I-DIST'!J1068+'II-I-MET'!J1068+'II-I-TBILLTDCS'!J1068</f>
        <v>21704730.797696456</v>
      </c>
      <c r="K1068" s="369">
        <f ca="1">'II-I-DIST'!K1068+'II-I-MET'!K1068+'II-I-TBILLTDCS'!K1068</f>
        <v>2087271.8453474222</v>
      </c>
      <c r="L1068" s="369">
        <f ca="1">'II-I-DIST'!L1068+'II-I-MET'!L1068+'II-I-TBILLTDCS'!L1068</f>
        <v>12689152.301230179</v>
      </c>
      <c r="M1068" s="369">
        <f ca="1">'II-I-DIST'!M1068+'II-I-MET'!M1068+'II-I-TBILLTDCS'!M1068</f>
        <v>310408.89868736255</v>
      </c>
      <c r="N1068" s="369">
        <f ca="1">'II-I-DIST'!N1068+'II-I-MET'!N1068+'II-I-TBILLTDCS'!N1068</f>
        <v>3392313.7698055874</v>
      </c>
      <c r="O1068" s="369">
        <f ca="1">'II-I-DIST'!O1068+'II-I-MET'!O1068+'II-I-TBILLTDCS'!O1068</f>
        <v>196555.48858005373</v>
      </c>
      <c r="P1068" s="369">
        <f ca="1">'II-I-DIST'!P1068+'II-I-MET'!P1068+'II-I-TBILLTDCS'!P1068</f>
        <v>182753.95680175017</v>
      </c>
      <c r="Q1068" s="369">
        <f ca="1">'II-I-DIST'!Q1068+'II-I-MET'!Q1068+'II-I-TBILLTDCS'!Q1068</f>
        <v>240351.39098737869</v>
      </c>
      <c r="R1068" s="369">
        <f ca="1">'II-I-DIST'!R1068+'II-I-MET'!R1068+'II-I-TBILLTDCS'!R1068</f>
        <v>16809.491837690326</v>
      </c>
      <c r="S1068" s="369">
        <f ca="1">'II-I-DIST'!S1068+'II-I-MET'!S1068+'II-I-TBILLTDCS'!S1068</f>
        <v>60797.099026120864</v>
      </c>
      <c r="T1068" s="912"/>
      <c r="U1068" s="97">
        <f ca="1">SUM(I1068:T1068)</f>
        <v>40881145.040000007</v>
      </c>
      <c r="V1068" s="64"/>
      <c r="W1068" t="b">
        <f ca="1">IF('II-I-DIST'!$U$1068+'II-I-MET'!$U$1068+'II-I-TBILLTDCS'!$U$1068=U1068,TRUE)</f>
        <v>1</v>
      </c>
      <c r="X1068" s="305">
        <f t="shared" ca="1" si="266"/>
        <v>0</v>
      </c>
    </row>
    <row r="1069" spans="1:24" ht="15.75" thickBot="1" x14ac:dyDescent="0.3">
      <c r="A1069" s="45"/>
      <c r="B1069" s="16">
        <f t="shared" si="269"/>
        <v>23</v>
      </c>
      <c r="C1069" s="8"/>
      <c r="D1069" s="233"/>
      <c r="E1069" s="19"/>
      <c r="F1069" s="21"/>
      <c r="G1069" s="19"/>
      <c r="H1069" s="19"/>
      <c r="I1069" s="19"/>
      <c r="J1069" s="961"/>
      <c r="K1069" s="961"/>
      <c r="L1069" s="961"/>
      <c r="M1069" s="961"/>
      <c r="N1069" s="961"/>
      <c r="O1069" s="961"/>
      <c r="P1069" s="961"/>
      <c r="Q1069" s="961"/>
      <c r="R1069" s="961"/>
      <c r="S1069" s="961"/>
      <c r="T1069" s="19"/>
      <c r="U1069" s="235"/>
      <c r="V1069" s="64"/>
      <c r="X1069" s="305">
        <f t="shared" si="266"/>
        <v>0</v>
      </c>
    </row>
    <row r="1070" spans="1:24" ht="15.75" thickBot="1" x14ac:dyDescent="0.3">
      <c r="A1070" s="45"/>
      <c r="B1070" s="16">
        <f t="shared" si="269"/>
        <v>24</v>
      </c>
      <c r="C1070" s="223" t="s">
        <v>661</v>
      </c>
      <c r="D1070" s="224"/>
      <c r="E1070" s="309"/>
      <c r="F1070" s="194">
        <f>SUM(F1065:F1068)</f>
        <v>762136905.15999997</v>
      </c>
      <c r="G1070" s="309"/>
      <c r="H1070" s="402"/>
      <c r="I1070" s="968"/>
      <c r="J1070" s="381">
        <f t="shared" ref="J1070:Q1070" ca="1" si="275">SUM(J1065:J1068)</f>
        <v>401613302.49240291</v>
      </c>
      <c r="K1070" s="812">
        <f t="shared" ca="1" si="275"/>
        <v>18899507.391811844</v>
      </c>
      <c r="L1070" s="812">
        <f t="shared" ca="1" si="275"/>
        <v>249378316.79489204</v>
      </c>
      <c r="M1070" s="812">
        <f t="shared" ca="1" si="275"/>
        <v>1187788.2823090376</v>
      </c>
      <c r="N1070" s="812">
        <f t="shared" ca="1" si="275"/>
        <v>49419746.386770152</v>
      </c>
      <c r="O1070" s="812">
        <f ca="1">SUM(O1065:O1068)</f>
        <v>4133939.8125006435</v>
      </c>
      <c r="P1070" s="812">
        <f t="shared" ca="1" si="275"/>
        <v>1259119.7806453251</v>
      </c>
      <c r="Q1070" s="812">
        <f t="shared" ca="1" si="275"/>
        <v>34303678.031727701</v>
      </c>
      <c r="R1070" s="812">
        <f ca="1">SUM(R1065:R1068)</f>
        <v>297471.75744272146</v>
      </c>
      <c r="S1070" s="315">
        <f ca="1">SUM(S1065:S1068)</f>
        <v>1644034.4294976783</v>
      </c>
      <c r="T1070" s="402"/>
      <c r="U1070" s="315">
        <f ca="1">SUM(I1070:T1070)</f>
        <v>762136905.16000009</v>
      </c>
      <c r="V1070" s="64"/>
      <c r="W1070" s="1099" t="b">
        <f ca="1">' WP II-I-1.4'!$L$1070=U1070</f>
        <v>1</v>
      </c>
      <c r="X1070" s="305">
        <f t="shared" ca="1" si="266"/>
        <v>0</v>
      </c>
    </row>
    <row r="1071" spans="1:24" x14ac:dyDescent="0.2">
      <c r="A1071" s="45"/>
      <c r="B1071" s="64"/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X1071" s="305">
        <f t="shared" si="266"/>
        <v>0</v>
      </c>
    </row>
    <row r="1072" spans="1:24" x14ac:dyDescent="0.2">
      <c r="A1072" s="45"/>
      <c r="B1072" s="64"/>
      <c r="C1072" s="64"/>
      <c r="D1072" s="64"/>
      <c r="E1072" s="64"/>
      <c r="F1072" s="64"/>
      <c r="G1072" s="64"/>
      <c r="H1072" s="105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105"/>
      <c r="V1072" s="105"/>
      <c r="X1072" s="305"/>
    </row>
    <row r="1073" spans="1:24" ht="15" thickBot="1" x14ac:dyDescent="0.25">
      <c r="A1073" s="45"/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X1073" s="305">
        <f t="shared" si="266"/>
        <v>0</v>
      </c>
    </row>
    <row r="1074" spans="1:24" ht="15" x14ac:dyDescent="0.25">
      <c r="A1074" s="45"/>
      <c r="B1074" s="829" t="str">
        <f>+$B$4</f>
        <v>2025 RATE CASE</v>
      </c>
      <c r="C1074" s="844"/>
      <c r="D1074" s="872"/>
      <c r="F1074" s="267"/>
      <c r="U1074" s="105"/>
      <c r="X1074" s="305">
        <f t="shared" si="266"/>
        <v>0</v>
      </c>
    </row>
    <row r="1075" spans="1:24" ht="15" x14ac:dyDescent="0.25">
      <c r="A1075" s="45"/>
      <c r="B1075" s="826" t="str">
        <f>+$B$5</f>
        <v>ONCOR ELECTRIC DELIVERY COMPANY LLC</v>
      </c>
      <c r="C1075" s="8"/>
      <c r="D1075" s="873"/>
      <c r="F1075" s="267"/>
      <c r="U1075" s="105"/>
      <c r="V1075" s="64"/>
      <c r="X1075" s="305">
        <f t="shared" si="266"/>
        <v>0</v>
      </c>
    </row>
    <row r="1076" spans="1:24" ht="15" x14ac:dyDescent="0.25">
      <c r="A1076" s="45"/>
      <c r="B1076" s="826" t="str">
        <f>+$B$6</f>
        <v>II-I-1-TOT:  CLASS REVENUE REQUIREMENT</v>
      </c>
      <c r="C1076" s="82"/>
      <c r="D1076" s="873"/>
      <c r="F1076" s="267"/>
      <c r="U1076" s="267"/>
      <c r="V1076" s="64"/>
      <c r="X1076" s="305">
        <f t="shared" si="266"/>
        <v>0</v>
      </c>
    </row>
    <row r="1077" spans="1:24" ht="15" x14ac:dyDescent="0.25">
      <c r="A1077" s="45"/>
      <c r="B1077" s="341" t="str">
        <f>+$B$7</f>
        <v>TEST YEAR ENDING 12/31/2024</v>
      </c>
      <c r="C1077" s="82"/>
      <c r="D1077" s="873"/>
      <c r="F1077" s="267"/>
      <c r="U1077" s="267"/>
      <c r="V1077" s="64"/>
      <c r="X1077" s="305">
        <f t="shared" si="266"/>
        <v>0</v>
      </c>
    </row>
    <row r="1078" spans="1:24" ht="15" x14ac:dyDescent="0.25">
      <c r="A1078" s="45"/>
      <c r="B1078" s="341" t="str">
        <f>+$B$8</f>
        <v>SPONSOR:  MATTHEW A. TROXLE</v>
      </c>
      <c r="C1078" s="82"/>
      <c r="D1078" s="873"/>
      <c r="F1078" s="267"/>
      <c r="U1078" s="267"/>
      <c r="V1078" s="64"/>
      <c r="X1078" s="305">
        <f t="shared" si="266"/>
        <v>0</v>
      </c>
    </row>
    <row r="1079" spans="1:24" ht="15.75" thickBot="1" x14ac:dyDescent="0.3">
      <c r="A1079" s="45"/>
      <c r="B1079" s="345"/>
      <c r="C1079" s="843"/>
      <c r="D1079" s="845"/>
      <c r="F1079" s="267"/>
      <c r="U1079" s="267"/>
      <c r="V1079" s="64"/>
      <c r="X1079" s="305">
        <f t="shared" si="266"/>
        <v>0</v>
      </c>
    </row>
    <row r="1080" spans="1:24" ht="15" thickBot="1" x14ac:dyDescent="0.25">
      <c r="A1080" s="45"/>
      <c r="B1080" s="12"/>
      <c r="C1080" s="13"/>
      <c r="D1080" s="13"/>
      <c r="E1080" s="13"/>
      <c r="F1080" s="12"/>
      <c r="G1080" s="13"/>
      <c r="H1080" s="13"/>
      <c r="I1080" s="13"/>
      <c r="J1080" s="177"/>
      <c r="K1080" s="177"/>
      <c r="L1080" s="13"/>
      <c r="M1080" s="177"/>
      <c r="N1080" s="177"/>
      <c r="O1080" s="177"/>
      <c r="P1080" s="177"/>
      <c r="Q1080" s="13"/>
      <c r="R1080" s="328" t="str">
        <f>R$10</f>
        <v xml:space="preserve"> </v>
      </c>
      <c r="S1080" s="329"/>
      <c r="T1080" s="177"/>
      <c r="U1080" s="12"/>
      <c r="V1080" s="64"/>
      <c r="X1080" s="305">
        <f t="shared" si="266"/>
        <v>0</v>
      </c>
    </row>
    <row r="1081" spans="1:24" ht="15" x14ac:dyDescent="0.25">
      <c r="A1081" s="45"/>
      <c r="B1081" s="14" t="s">
        <v>2</v>
      </c>
      <c r="C1081" s="14" t="s">
        <v>349</v>
      </c>
      <c r="D1081" s="226" t="s">
        <v>287</v>
      </c>
      <c r="E1081" s="14" t="s">
        <v>350</v>
      </c>
      <c r="F1081" s="226" t="str">
        <f>F$11</f>
        <v>TOTAL</v>
      </c>
      <c r="G1081" s="181" t="s">
        <v>688</v>
      </c>
      <c r="H1081" s="181" t="s">
        <v>355</v>
      </c>
      <c r="I1081" s="14"/>
      <c r="J1081" s="181" t="s">
        <v>679</v>
      </c>
      <c r="K1081" s="181" t="s">
        <v>388</v>
      </c>
      <c r="L1081" s="14" t="s">
        <v>388</v>
      </c>
      <c r="M1081" s="181" t="s">
        <v>389</v>
      </c>
      <c r="N1081" s="181" t="s">
        <v>389</v>
      </c>
      <c r="O1081" s="181" t="s">
        <v>389</v>
      </c>
      <c r="P1081" s="181" t="s">
        <v>390</v>
      </c>
      <c r="Q1081" s="14" t="s">
        <v>391</v>
      </c>
      <c r="R1081" s="331" t="str">
        <f>R$11</f>
        <v>Wholesale</v>
      </c>
      <c r="S1081" s="12" t="str">
        <f>S$11</f>
        <v>Wholesale</v>
      </c>
      <c r="T1081" s="181"/>
      <c r="U1081" s="14" t="s">
        <v>10</v>
      </c>
      <c r="V1081" s="64"/>
      <c r="X1081" s="305"/>
    </row>
    <row r="1082" spans="1:24" x14ac:dyDescent="0.2">
      <c r="A1082" s="45"/>
      <c r="B1082" s="14"/>
      <c r="C1082" s="14"/>
      <c r="D1082" s="14"/>
      <c r="E1082" s="14"/>
      <c r="F1082" s="14" t="str">
        <f>F$12</f>
        <v>(Dist+Met+Cust)</v>
      </c>
      <c r="G1082" s="181" t="s">
        <v>689</v>
      </c>
      <c r="H1082" s="181" t="s">
        <v>690</v>
      </c>
      <c r="I1082" s="14"/>
      <c r="J1082" s="181"/>
      <c r="K1082" s="181" t="s">
        <v>680</v>
      </c>
      <c r="L1082" s="14" t="s">
        <v>681</v>
      </c>
      <c r="M1082" s="181" t="s">
        <v>680</v>
      </c>
      <c r="N1082" s="181" t="s">
        <v>681</v>
      </c>
      <c r="O1082" s="181" t="s">
        <v>393</v>
      </c>
      <c r="P1082" s="181"/>
      <c r="Q1082" s="14"/>
      <c r="R1082" s="174" t="str">
        <f>R$12</f>
        <v>XFMR</v>
      </c>
      <c r="S1082" s="14" t="str">
        <f>S$12</f>
        <v>DLS</v>
      </c>
      <c r="T1082" s="181"/>
      <c r="U1082" s="14"/>
      <c r="V1082" s="64"/>
      <c r="X1082" s="305"/>
    </row>
    <row r="1083" spans="1:24" ht="15" thickBot="1" x14ac:dyDescent="0.25">
      <c r="A1083" s="45"/>
      <c r="B1083" s="15"/>
      <c r="C1083" s="15"/>
      <c r="D1083" s="15"/>
      <c r="E1083" s="15"/>
      <c r="F1083" s="15" t="s">
        <v>13</v>
      </c>
      <c r="G1083" s="15" t="s">
        <v>14</v>
      </c>
      <c r="H1083" s="15" t="s">
        <v>15</v>
      </c>
      <c r="I1083" s="15"/>
      <c r="J1083" s="182" t="str">
        <f t="shared" ref="J1083:Q1083" si="276">J$13</f>
        <v>(d)</v>
      </c>
      <c r="K1083" s="182" t="str">
        <f t="shared" si="276"/>
        <v>(e)</v>
      </c>
      <c r="L1083" s="15" t="str">
        <f t="shared" si="276"/>
        <v>(f)</v>
      </c>
      <c r="M1083" s="182" t="str">
        <f t="shared" si="276"/>
        <v>(g)</v>
      </c>
      <c r="N1083" s="182" t="str">
        <f t="shared" si="276"/>
        <v>(h)</v>
      </c>
      <c r="O1083" s="182" t="str">
        <f>O$13</f>
        <v>(i)</v>
      </c>
      <c r="P1083" s="182" t="str">
        <f t="shared" si="276"/>
        <v>(j)</v>
      </c>
      <c r="Q1083" s="182" t="str">
        <f t="shared" si="276"/>
        <v>(k)</v>
      </c>
      <c r="R1083" s="182" t="str">
        <f>R$13</f>
        <v>(l)</v>
      </c>
      <c r="S1083" s="15" t="str">
        <f>S$13</f>
        <v>(m)</v>
      </c>
      <c r="T1083" s="15"/>
      <c r="U1083" s="15" t="s">
        <v>683</v>
      </c>
      <c r="V1083" s="64"/>
      <c r="X1083" s="305"/>
    </row>
    <row r="1084" spans="1:24" x14ac:dyDescent="0.2">
      <c r="A1084" s="45"/>
      <c r="B1084" s="64"/>
      <c r="C1084" s="268"/>
      <c r="D1084" s="268"/>
      <c r="E1084" s="268"/>
      <c r="F1084" s="268"/>
      <c r="G1084" s="268"/>
      <c r="H1084" s="268"/>
      <c r="I1084" s="268"/>
      <c r="J1084" s="268"/>
      <c r="K1084" s="268"/>
      <c r="L1084" s="268"/>
      <c r="M1084" s="268"/>
      <c r="N1084" s="268"/>
      <c r="O1084" s="268"/>
      <c r="P1084" s="268"/>
      <c r="Q1084" s="268"/>
      <c r="R1084" s="268"/>
      <c r="S1084" s="268"/>
      <c r="T1084" s="268"/>
      <c r="U1084" s="41"/>
      <c r="V1084" s="64"/>
      <c r="X1084" s="305">
        <f t="shared" si="266"/>
        <v>0</v>
      </c>
    </row>
    <row r="1085" spans="1:24" ht="15" x14ac:dyDescent="0.25">
      <c r="A1085" s="45"/>
      <c r="B1085" s="16">
        <f t="shared" ref="B1085:B1103" si="277">B1084+1</f>
        <v>1</v>
      </c>
      <c r="C1085" s="301" t="s">
        <v>287</v>
      </c>
      <c r="D1085" s="301"/>
      <c r="E1085" s="19"/>
      <c r="F1085" s="21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8"/>
      <c r="V1085" s="64"/>
      <c r="X1085" s="305">
        <f t="shared" si="266"/>
        <v>0</v>
      </c>
    </row>
    <row r="1086" spans="1:24" x14ac:dyDescent="0.2">
      <c r="A1086" s="45"/>
      <c r="B1086" s="16">
        <f t="shared" si="277"/>
        <v>2</v>
      </c>
      <c r="C1086" s="1"/>
      <c r="D1086" s="1"/>
      <c r="E1086" s="16"/>
      <c r="F1086" s="18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"/>
      <c r="V1086" s="64"/>
      <c r="X1086" s="305">
        <f t="shared" si="266"/>
        <v>0</v>
      </c>
    </row>
    <row r="1087" spans="1:24" ht="15" x14ac:dyDescent="0.25">
      <c r="A1087" s="45"/>
      <c r="B1087" s="16">
        <f t="shared" si="277"/>
        <v>3</v>
      </c>
      <c r="C1087" s="8" t="s">
        <v>289</v>
      </c>
      <c r="D1087" s="8"/>
      <c r="E1087" s="19" t="s">
        <v>288</v>
      </c>
      <c r="F1087" s="21"/>
      <c r="G1087" s="19"/>
      <c r="H1087" s="19"/>
      <c r="I1087" s="19"/>
      <c r="J1087" s="961"/>
      <c r="K1087" s="961"/>
      <c r="L1087" s="961"/>
      <c r="M1087" s="961"/>
      <c r="N1087" s="961"/>
      <c r="O1087" s="961"/>
      <c r="P1087" s="961"/>
      <c r="Q1087" s="961"/>
      <c r="R1087" s="961"/>
      <c r="S1087" s="961"/>
      <c r="T1087" s="19"/>
      <c r="U1087" s="8"/>
      <c r="V1087" s="64"/>
      <c r="X1087" s="305">
        <f t="shared" si="266"/>
        <v>0</v>
      </c>
    </row>
    <row r="1088" spans="1:24" x14ac:dyDescent="0.2">
      <c r="A1088" s="45"/>
      <c r="B1088" s="16">
        <f t="shared" si="277"/>
        <v>4</v>
      </c>
      <c r="C1088" s="1"/>
      <c r="D1088" s="1" t="s">
        <v>290</v>
      </c>
      <c r="E1088" s="16"/>
      <c r="F1088" s="97">
        <f>' WP II-I-1.4'!L1088</f>
        <v>15788430.180000002</v>
      </c>
      <c r="G1088" s="16" t="s">
        <v>751</v>
      </c>
      <c r="H1088" s="45" t="s">
        <v>303</v>
      </c>
      <c r="I1088" s="16"/>
      <c r="J1088" s="369">
        <f ca="1">'II-I-DIST'!J1088+'II-I-MET'!J1088+'II-I-TBILLTDCS'!J1088</f>
        <v>8355641.5980934845</v>
      </c>
      <c r="K1088" s="369">
        <f ca="1">'II-I-DIST'!K1088+'II-I-MET'!K1088+'II-I-TBILLTDCS'!K1088</f>
        <v>407971.98591601889</v>
      </c>
      <c r="L1088" s="369">
        <f ca="1">'II-I-DIST'!L1088+'II-I-MET'!L1088+'II-I-TBILLTDCS'!L1088</f>
        <v>5179118.7785206549</v>
      </c>
      <c r="M1088" s="369">
        <f ca="1">'II-I-DIST'!M1088+'II-I-MET'!M1088+'II-I-TBILLTDCS'!M1088</f>
        <v>49391.311949529925</v>
      </c>
      <c r="N1088" s="369">
        <f ca="1">'II-I-DIST'!N1088+'II-I-MET'!N1088+'II-I-TBILLTDCS'!N1088</f>
        <v>1394821.9477198198</v>
      </c>
      <c r="O1088" s="369">
        <f ca="1">'II-I-DIST'!O1088+'II-I-MET'!O1088+'II-I-TBILLTDCS'!O1088</f>
        <v>150905.84188950513</v>
      </c>
      <c r="P1088" s="369">
        <f ca="1">'II-I-DIST'!P1088+'II-I-MET'!P1088+'II-I-TBILLTDCS'!P1088</f>
        <v>26930.769248436613</v>
      </c>
      <c r="Q1088" s="369">
        <f ca="1">'II-I-DIST'!Q1088+'II-I-MET'!Q1088+'II-I-TBILLTDCS'!Q1088</f>
        <v>170479.26058705663</v>
      </c>
      <c r="R1088" s="369">
        <f ca="1">'II-I-DIST'!R1088+'II-I-MET'!R1088+'II-I-TBILLTDCS'!R1088</f>
        <v>10774.240238901981</v>
      </c>
      <c r="S1088" s="369">
        <f ca="1">'II-I-DIST'!S1088+'II-I-MET'!S1088+'II-I-TBILLTDCS'!S1088</f>
        <v>42394.445836593623</v>
      </c>
      <c r="T1088" s="16"/>
      <c r="U1088" s="97">
        <f ca="1">SUM(I1088:T1088)</f>
        <v>15788430.180000003</v>
      </c>
      <c r="V1088" s="64"/>
      <c r="X1088" s="305">
        <f t="shared" ca="1" si="266"/>
        <v>0</v>
      </c>
    </row>
    <row r="1089" spans="1:24" x14ac:dyDescent="0.2">
      <c r="A1089" s="45"/>
      <c r="B1089" s="16">
        <f t="shared" si="277"/>
        <v>5</v>
      </c>
      <c r="C1089" s="1"/>
      <c r="D1089" s="1" t="s">
        <v>291</v>
      </c>
      <c r="E1089" s="16"/>
      <c r="F1089" s="97">
        <f>' WP II-I-1.4'!L1089</f>
        <v>342726.37</v>
      </c>
      <c r="G1089" s="16" t="s">
        <v>751</v>
      </c>
      <c r="H1089" s="45" t="s">
        <v>303</v>
      </c>
      <c r="I1089" s="16"/>
      <c r="J1089" s="369">
        <f ca="1">'II-I-DIST'!J1089+'II-I-MET'!J1089+'II-I-TBILLTDCS'!J1089</f>
        <v>181379.572442312</v>
      </c>
      <c r="K1089" s="369">
        <f ca="1">'II-I-DIST'!K1089+'II-I-MET'!K1089+'II-I-TBILLTDCS'!K1089</f>
        <v>8856.0264285468129</v>
      </c>
      <c r="L1089" s="369">
        <f ca="1">'II-I-DIST'!L1089+'II-I-MET'!L1089+'II-I-TBILLTDCS'!L1089</f>
        <v>112425.40022851963</v>
      </c>
      <c r="M1089" s="369">
        <f ca="1">'II-I-DIST'!M1089+'II-I-MET'!M1089+'II-I-TBILLTDCS'!M1089</f>
        <v>1072.158812064434</v>
      </c>
      <c r="N1089" s="369">
        <f ca="1">'II-I-DIST'!N1089+'II-I-MET'!N1089+'II-I-TBILLTDCS'!N1089</f>
        <v>30278.011030139183</v>
      </c>
      <c r="O1089" s="369">
        <f ca="1">'II-I-DIST'!O1089+'II-I-MET'!O1089+'II-I-TBILLTDCS'!O1089</f>
        <v>3275.7792349523693</v>
      </c>
      <c r="P1089" s="369">
        <f ca="1">'II-I-DIST'!P1089+'II-I-MET'!P1089+'II-I-TBILLTDCS'!P1089</f>
        <v>584.59794008607082</v>
      </c>
      <c r="Q1089" s="369">
        <f ca="1">'II-I-DIST'!Q1089+'II-I-MET'!Q1089+'II-I-TBILLTDCS'!Q1089</f>
        <v>3700.6679109761058</v>
      </c>
      <c r="R1089" s="369">
        <f ca="1">'II-I-DIST'!R1089+'II-I-MET'!R1089+'II-I-TBILLTDCS'!R1089</f>
        <v>233.88115481735397</v>
      </c>
      <c r="S1089" s="369">
        <f ca="1">'II-I-DIST'!S1089+'II-I-MET'!S1089+'II-I-TBILLTDCS'!S1089</f>
        <v>920.27481758600516</v>
      </c>
      <c r="T1089" s="16"/>
      <c r="U1089" s="97">
        <f ca="1">SUM(I1089:T1089)</f>
        <v>342726.37</v>
      </c>
      <c r="V1089" s="64"/>
      <c r="X1089" s="305">
        <f t="shared" ca="1" si="266"/>
        <v>0</v>
      </c>
    </row>
    <row r="1090" spans="1:24" x14ac:dyDescent="0.2">
      <c r="A1090" s="45"/>
      <c r="B1090" s="16">
        <f t="shared" si="277"/>
        <v>6</v>
      </c>
      <c r="C1090" s="1"/>
      <c r="D1090" s="1" t="s">
        <v>292</v>
      </c>
      <c r="E1090" s="16"/>
      <c r="F1090" s="97">
        <f>' WP II-I-1.4'!L1090</f>
        <v>325791.48000000004</v>
      </c>
      <c r="G1090" s="16" t="s">
        <v>751</v>
      </c>
      <c r="H1090" s="45" t="s">
        <v>303</v>
      </c>
      <c r="I1090" s="16"/>
      <c r="J1090" s="370">
        <f ca="1">'II-I-DIST'!J1090+'II-I-MET'!J1090+'II-I-TBILLTDCS'!J1090</f>
        <v>172417.19491988915</v>
      </c>
      <c r="K1090" s="370">
        <f ca="1">'II-I-DIST'!K1090+'II-I-MET'!K1090+'II-I-TBILLTDCS'!K1090</f>
        <v>8418.4299417148104</v>
      </c>
      <c r="L1090" s="370">
        <f ca="1">'II-I-DIST'!L1090+'II-I-MET'!L1090+'II-I-TBILLTDCS'!L1090</f>
        <v>106870.20535283106</v>
      </c>
      <c r="M1090" s="370">
        <f ca="1">'II-I-DIST'!M1090+'II-I-MET'!M1090+'II-I-TBILLTDCS'!M1090</f>
        <v>1019.1809917860963</v>
      </c>
      <c r="N1090" s="370">
        <f ca="1">'II-I-DIST'!N1090+'II-I-MET'!N1090+'II-I-TBILLTDCS'!N1090</f>
        <v>28781.905571471747</v>
      </c>
      <c r="O1090" s="370">
        <f ca="1">'II-I-DIST'!O1090+'II-I-MET'!O1090+'II-I-TBILLTDCS'!O1090</f>
        <v>3113.9155374469183</v>
      </c>
      <c r="P1090" s="370">
        <f ca="1">'II-I-DIST'!P1090+'II-I-MET'!P1090+'II-I-TBILLTDCS'!P1090</f>
        <v>555.71163796602843</v>
      </c>
      <c r="Q1090" s="370">
        <f ca="1">'II-I-DIST'!Q1090+'II-I-MET'!Q1090+'II-I-TBILLTDCS'!Q1090</f>
        <v>3517.8095470936255</v>
      </c>
      <c r="R1090" s="370">
        <f ca="1">'II-I-DIST'!R1090+'II-I-MET'!R1090+'II-I-TBILLTDCS'!R1090</f>
        <v>222.32455469417658</v>
      </c>
      <c r="S1090" s="370">
        <f ca="1">'II-I-DIST'!S1090+'II-I-MET'!S1090+'II-I-TBILLTDCS'!S1090</f>
        <v>874.80194510640706</v>
      </c>
      <c r="T1090" s="16"/>
      <c r="U1090" s="97">
        <f ca="1">SUM(I1090:T1090)</f>
        <v>325791.48000000004</v>
      </c>
      <c r="V1090" s="64"/>
      <c r="X1090" s="305">
        <f t="shared" ca="1" si="266"/>
        <v>0</v>
      </c>
    </row>
    <row r="1091" spans="1:24" ht="15" x14ac:dyDescent="0.25">
      <c r="A1091" s="45"/>
      <c r="B1091" s="16">
        <f t="shared" si="277"/>
        <v>7</v>
      </c>
      <c r="C1091" s="8"/>
      <c r="D1091" s="233" t="s">
        <v>662</v>
      </c>
      <c r="E1091" s="19"/>
      <c r="F1091" s="191">
        <f>SUM(F1088:F1090)</f>
        <v>16456948.030000001</v>
      </c>
      <c r="G1091" s="19"/>
      <c r="H1091" s="19"/>
      <c r="I1091" s="912"/>
      <c r="J1091" s="191">
        <f t="shared" ref="J1091:Q1091" ca="1" si="278">SUM(J1088:J1090)</f>
        <v>8709438.365455687</v>
      </c>
      <c r="K1091" s="191">
        <f t="shared" ca="1" si="278"/>
        <v>425246.44228628051</v>
      </c>
      <c r="L1091" s="191">
        <f t="shared" ca="1" si="278"/>
        <v>5398414.3841020055</v>
      </c>
      <c r="M1091" s="191">
        <f t="shared" ca="1" si="278"/>
        <v>51482.651753380458</v>
      </c>
      <c r="N1091" s="191">
        <f t="shared" ca="1" si="278"/>
        <v>1453881.8643214307</v>
      </c>
      <c r="O1091" s="191">
        <f ca="1">SUM(O1088:O1090)</f>
        <v>157295.53666190442</v>
      </c>
      <c r="P1091" s="191">
        <f t="shared" ca="1" si="278"/>
        <v>28071.078826488712</v>
      </c>
      <c r="Q1091" s="191">
        <f t="shared" ca="1" si="278"/>
        <v>177697.73804512637</v>
      </c>
      <c r="R1091" s="191">
        <f ca="1">SUM(R1088:R1090)</f>
        <v>11230.445948413511</v>
      </c>
      <c r="S1091" s="191">
        <f ca="1">SUM(S1088:S1090)</f>
        <v>44189.522599286036</v>
      </c>
      <c r="T1091" s="912"/>
      <c r="U1091" s="235">
        <f ca="1">SUM(I1091:T1091)</f>
        <v>16456948.030000003</v>
      </c>
      <c r="V1091" s="64"/>
      <c r="W1091" s="1099" t="b">
        <f ca="1">' WP II-I-1.4'!$L$1091=U1091</f>
        <v>1</v>
      </c>
      <c r="X1091" s="305">
        <f t="shared" ca="1" si="266"/>
        <v>0</v>
      </c>
    </row>
    <row r="1092" spans="1:24" x14ac:dyDescent="0.2">
      <c r="A1092" s="45"/>
      <c r="B1092" s="16">
        <f t="shared" si="277"/>
        <v>8</v>
      </c>
      <c r="C1092" s="1"/>
      <c r="D1092" s="1"/>
      <c r="E1092" s="16"/>
      <c r="F1092" s="18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"/>
      <c r="V1092" s="64"/>
      <c r="X1092" s="305">
        <f t="shared" ref="X1092:X1160" si="279">U1092-F1092</f>
        <v>0</v>
      </c>
    </row>
    <row r="1093" spans="1:24" ht="15" x14ac:dyDescent="0.25">
      <c r="A1093" s="45"/>
      <c r="B1093" s="16">
        <f t="shared" si="277"/>
        <v>9</v>
      </c>
      <c r="C1093" s="8" t="s">
        <v>293</v>
      </c>
      <c r="D1093" s="8"/>
      <c r="E1093" s="19" t="s">
        <v>288</v>
      </c>
      <c r="F1093" s="21"/>
      <c r="G1093" s="19"/>
      <c r="H1093" s="19"/>
      <c r="I1093" s="912"/>
      <c r="J1093" s="961"/>
      <c r="K1093" s="961"/>
      <c r="L1093" s="961"/>
      <c r="M1093" s="961"/>
      <c r="N1093" s="961"/>
      <c r="O1093" s="961"/>
      <c r="P1093" s="961"/>
      <c r="Q1093" s="961"/>
      <c r="R1093" s="961"/>
      <c r="S1093" s="961"/>
      <c r="T1093" s="912"/>
      <c r="U1093" s="316"/>
      <c r="V1093" s="64"/>
      <c r="X1093" s="305">
        <f t="shared" si="279"/>
        <v>0</v>
      </c>
    </row>
    <row r="1094" spans="1:24" x14ac:dyDescent="0.2">
      <c r="A1094" s="540"/>
      <c r="B1094" s="16">
        <f t="shared" si="277"/>
        <v>10</v>
      </c>
      <c r="C1094" s="318"/>
      <c r="D1094" s="1" t="s">
        <v>294</v>
      </c>
      <c r="E1094" s="18"/>
      <c r="F1094" s="97">
        <f>' WP II-I-1.4'!L1094</f>
        <v>146864343.97999999</v>
      </c>
      <c r="G1094" s="16" t="s">
        <v>751</v>
      </c>
      <c r="H1094" s="45" t="s">
        <v>303</v>
      </c>
      <c r="I1094" s="18"/>
      <c r="J1094" s="370">
        <f ca="1">'II-I-DIST'!J1094+'II-I-MET'!J1094+'II-I-TBILLTDCS'!J1094</f>
        <v>78715400.754174113</v>
      </c>
      <c r="K1094" s="370">
        <f ca="1">'II-I-DIST'!K1094+'II-I-MET'!K1094+'II-I-TBILLTDCS'!K1094</f>
        <v>2926048.350265238</v>
      </c>
      <c r="L1094" s="370">
        <f ca="1">'II-I-DIST'!L1094+'II-I-MET'!L1094+'II-I-TBILLTDCS'!L1094</f>
        <v>49475778.584136866</v>
      </c>
      <c r="M1094" s="370">
        <f ca="1">'II-I-DIST'!M1094+'II-I-MET'!M1094+'II-I-TBILLTDCS'!M1094</f>
        <v>95946.85454963232</v>
      </c>
      <c r="N1094" s="370">
        <f ca="1">'II-I-DIST'!N1094+'II-I-MET'!N1094+'II-I-TBILLTDCS'!N1094</f>
        <v>9273882.174931569</v>
      </c>
      <c r="O1094" s="370">
        <f ca="1">'II-I-DIST'!O1094+'II-I-MET'!O1094+'II-I-TBILLTDCS'!O1094</f>
        <v>960570.71891696902</v>
      </c>
      <c r="P1094" s="370">
        <f ca="1">'II-I-DIST'!P1094+'II-I-MET'!P1094+'II-I-TBILLTDCS'!P1094</f>
        <v>206128.02921652418</v>
      </c>
      <c r="Q1094" s="370">
        <f ca="1">'II-I-DIST'!Q1094+'II-I-MET'!Q1094+'II-I-TBILLTDCS'!Q1094</f>
        <v>4805953.8509665392</v>
      </c>
      <c r="R1094" s="370">
        <f ca="1">'II-I-DIST'!R1094+'II-I-MET'!R1094+'II-I-TBILLTDCS'!R1094</f>
        <v>67256.166745961804</v>
      </c>
      <c r="S1094" s="370">
        <f ca="1">'II-I-DIST'!S1094+'II-I-MET'!S1094+'II-I-TBILLTDCS'!S1094</f>
        <v>337378.49609653506</v>
      </c>
      <c r="T1094" s="18"/>
      <c r="U1094" s="97">
        <f ca="1">SUM(I1094:T1094)</f>
        <v>146864343.97999996</v>
      </c>
      <c r="V1094" s="317"/>
      <c r="W1094" s="319"/>
      <c r="X1094" s="305">
        <f t="shared" ca="1" si="279"/>
        <v>0</v>
      </c>
    </row>
    <row r="1095" spans="1:24" ht="15" x14ac:dyDescent="0.25">
      <c r="A1095" s="45"/>
      <c r="B1095" s="16">
        <f t="shared" si="277"/>
        <v>11</v>
      </c>
      <c r="C1095" s="8"/>
      <c r="D1095" s="233" t="s">
        <v>663</v>
      </c>
      <c r="E1095" s="19"/>
      <c r="F1095" s="21">
        <f>+F1094</f>
        <v>146864343.97999999</v>
      </c>
      <c r="G1095" s="19"/>
      <c r="H1095" s="19"/>
      <c r="I1095" s="912"/>
      <c r="J1095" s="805">
        <f t="shared" ref="J1095:Q1095" ca="1" si="280">+J1094</f>
        <v>78715400.754174113</v>
      </c>
      <c r="K1095" s="805">
        <f t="shared" ca="1" si="280"/>
        <v>2926048.350265238</v>
      </c>
      <c r="L1095" s="805">
        <f t="shared" ca="1" si="280"/>
        <v>49475778.584136866</v>
      </c>
      <c r="M1095" s="805">
        <f t="shared" ca="1" si="280"/>
        <v>95946.85454963232</v>
      </c>
      <c r="N1095" s="805">
        <f t="shared" ca="1" si="280"/>
        <v>9273882.174931569</v>
      </c>
      <c r="O1095" s="805">
        <f ca="1">+O1094</f>
        <v>960570.71891696902</v>
      </c>
      <c r="P1095" s="805">
        <f t="shared" ca="1" si="280"/>
        <v>206128.02921652418</v>
      </c>
      <c r="Q1095" s="805">
        <f t="shared" ca="1" si="280"/>
        <v>4805953.8509665392</v>
      </c>
      <c r="R1095" s="805">
        <f ca="1">+R1094</f>
        <v>67256.166745961804</v>
      </c>
      <c r="S1095" s="805">
        <f ca="1">+S1094</f>
        <v>337378.49609653506</v>
      </c>
      <c r="T1095" s="912"/>
      <c r="U1095" s="235">
        <f ca="1">SUM(I1095:T1095)</f>
        <v>146864343.97999996</v>
      </c>
      <c r="V1095" s="64"/>
      <c r="W1095" s="1099" t="b">
        <f ca="1">' WP II-I-1.4'!$L$1095=U1095</f>
        <v>1</v>
      </c>
      <c r="X1095" s="305">
        <f t="shared" ca="1" si="279"/>
        <v>0</v>
      </c>
    </row>
    <row r="1096" spans="1:24" x14ac:dyDescent="0.2">
      <c r="A1096" s="45"/>
      <c r="B1096" s="16">
        <f t="shared" si="277"/>
        <v>12</v>
      </c>
      <c r="C1096" s="1"/>
      <c r="D1096" s="1"/>
      <c r="E1096" s="16"/>
      <c r="F1096" s="18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"/>
      <c r="V1096" s="64"/>
      <c r="X1096" s="305">
        <f t="shared" si="279"/>
        <v>0</v>
      </c>
    </row>
    <row r="1097" spans="1:24" ht="15" x14ac:dyDescent="0.25">
      <c r="A1097" s="45"/>
      <c r="B1097" s="16">
        <f t="shared" si="277"/>
        <v>13</v>
      </c>
      <c r="C1097" s="8" t="s">
        <v>295</v>
      </c>
      <c r="D1097" s="8"/>
      <c r="E1097" s="19" t="s">
        <v>288</v>
      </c>
      <c r="F1097" s="21"/>
      <c r="G1097" s="19"/>
      <c r="H1097" s="19"/>
      <c r="I1097" s="912"/>
      <c r="J1097" s="961"/>
      <c r="K1097" s="961"/>
      <c r="L1097" s="961"/>
      <c r="M1097" s="961"/>
      <c r="N1097" s="961"/>
      <c r="O1097" s="961"/>
      <c r="P1097" s="961"/>
      <c r="Q1097" s="961"/>
      <c r="R1097" s="961"/>
      <c r="S1097" s="961"/>
      <c r="T1097" s="912"/>
      <c r="U1097" s="8"/>
      <c r="V1097" s="64"/>
      <c r="X1097" s="305">
        <f t="shared" si="279"/>
        <v>0</v>
      </c>
    </row>
    <row r="1098" spans="1:24" x14ac:dyDescent="0.2">
      <c r="A1098" s="45"/>
      <c r="B1098" s="16">
        <f t="shared" si="277"/>
        <v>14</v>
      </c>
      <c r="C1098" s="1"/>
      <c r="D1098" s="1" t="s">
        <v>296</v>
      </c>
      <c r="E1098" s="16"/>
      <c r="F1098" s="97">
        <f>' WP II-I-1.4'!L1098</f>
        <v>31623118.949999999</v>
      </c>
      <c r="G1098" s="16" t="s">
        <v>751</v>
      </c>
      <c r="H1098" s="45" t="s">
        <v>303</v>
      </c>
      <c r="I1098" s="16"/>
      <c r="J1098" s="369">
        <f ca="1">'II-I-DIST'!J1098+'II-I-MET'!J1098+'II-I-TBILLTDCS'!J1098</f>
        <v>17168869.390941117</v>
      </c>
      <c r="K1098" s="369">
        <f ca="1">'II-I-DIST'!K1098+'II-I-MET'!K1098+'II-I-TBILLTDCS'!K1098</f>
        <v>555239.37635281007</v>
      </c>
      <c r="L1098" s="369">
        <f ca="1">'II-I-DIST'!L1098+'II-I-MET'!L1098+'II-I-TBILLTDCS'!L1098</f>
        <v>10900545.684760444</v>
      </c>
      <c r="M1098" s="369">
        <f ca="1">'II-I-DIST'!M1098+'II-I-MET'!M1098+'II-I-TBILLTDCS'!M1098</f>
        <v>24202.50735961202</v>
      </c>
      <c r="N1098" s="369">
        <f ca="1">'II-I-DIST'!N1098+'II-I-MET'!N1098+'II-I-TBILLTDCS'!N1098</f>
        <v>2124726.4754766016</v>
      </c>
      <c r="O1098" s="369">
        <f ca="1">'II-I-DIST'!O1098+'II-I-MET'!O1098+'II-I-TBILLTDCS'!O1098</f>
        <v>235479.66141644082</v>
      </c>
      <c r="P1098" s="369">
        <f ca="1">'II-I-DIST'!P1098+'II-I-MET'!P1098+'II-I-TBILLTDCS'!P1098</f>
        <v>69539.314549401708</v>
      </c>
      <c r="Q1098" s="369">
        <f ca="1">'II-I-DIST'!Q1098+'II-I-MET'!Q1098+'II-I-TBILLTDCS'!Q1098</f>
        <v>451469.67418038286</v>
      </c>
      <c r="R1098" s="369">
        <f ca="1">'II-I-DIST'!R1098+'II-I-MET'!R1098+'II-I-TBILLTDCS'!R1098</f>
        <v>16617.713377008622</v>
      </c>
      <c r="S1098" s="369">
        <f ca="1">'II-I-DIST'!S1098+'II-I-MET'!S1098+'II-I-TBILLTDCS'!S1098</f>
        <v>76429.151586192005</v>
      </c>
      <c r="T1098" s="16"/>
      <c r="U1098" s="97">
        <f ca="1">SUM(I1098:T1098)</f>
        <v>31623118.95000001</v>
      </c>
      <c r="V1098" s="64"/>
      <c r="X1098" s="305">
        <f t="shared" ca="1" si="279"/>
        <v>0</v>
      </c>
    </row>
    <row r="1099" spans="1:24" x14ac:dyDescent="0.2">
      <c r="A1099" s="45"/>
      <c r="B1099" s="16">
        <f t="shared" si="277"/>
        <v>15</v>
      </c>
      <c r="C1099" s="1"/>
      <c r="D1099" s="1" t="s">
        <v>297</v>
      </c>
      <c r="E1099" s="16"/>
      <c r="F1099" s="97">
        <f>' WP II-I-1.4'!L1099</f>
        <v>300041884.94999999</v>
      </c>
      <c r="G1099" s="16" t="s">
        <v>751</v>
      </c>
      <c r="H1099" s="45" t="s">
        <v>303</v>
      </c>
      <c r="I1099" s="16"/>
      <c r="J1099" s="369">
        <f>'II-I-DIST'!J1099+'II-I-MET'!J1099+'II-I-TBILLTDCS'!J1099</f>
        <v>117640034.45749922</v>
      </c>
      <c r="K1099" s="369">
        <f>'II-I-DIST'!K1099+'II-I-MET'!K1099+'II-I-TBILLTDCS'!K1099</f>
        <v>3564020.5886736489</v>
      </c>
      <c r="L1099" s="369">
        <f>'II-I-DIST'!L1099+'II-I-MET'!L1099+'II-I-TBILLTDCS'!L1099</f>
        <v>125258931.26763177</v>
      </c>
      <c r="M1099" s="369">
        <f>'II-I-DIST'!M1099+'II-I-MET'!M1099+'II-I-TBILLTDCS'!M1099</f>
        <v>2411.7146786294561</v>
      </c>
      <c r="N1099" s="369">
        <f>'II-I-DIST'!N1099+'II-I-MET'!N1099+'II-I-TBILLTDCS'!N1099</f>
        <v>20740887.578433596</v>
      </c>
      <c r="O1099" s="369">
        <f>'II-I-DIST'!O1099+'II-I-MET'!O1099+'II-I-TBILLTDCS'!O1099</f>
        <v>3953591.9778851434</v>
      </c>
      <c r="P1099" s="369">
        <f>'II-I-DIST'!P1099+'II-I-MET'!P1099+'II-I-TBILLTDCS'!P1099</f>
        <v>27267683.246531911</v>
      </c>
      <c r="Q1099" s="369">
        <f>'II-I-DIST'!Q1099+'II-I-MET'!Q1099+'II-I-TBILLTDCS'!Q1099</f>
        <v>962571.6867293173</v>
      </c>
      <c r="R1099" s="369">
        <f>'II-I-DIST'!R1099+'II-I-MET'!R1099+'II-I-TBILLTDCS'!R1099</f>
        <v>299006.72615071159</v>
      </c>
      <c r="S1099" s="369">
        <f>'II-I-DIST'!S1099+'II-I-MET'!S1099+'II-I-TBILLTDCS'!S1099</f>
        <v>352745.70578592329</v>
      </c>
      <c r="T1099" s="16"/>
      <c r="U1099" s="97">
        <f>SUM(I1099:T1099)</f>
        <v>300041884.94999981</v>
      </c>
      <c r="V1099" s="64"/>
      <c r="X1099" s="305">
        <f t="shared" si="279"/>
        <v>0</v>
      </c>
    </row>
    <row r="1100" spans="1:24" x14ac:dyDescent="0.2">
      <c r="A1100" s="45"/>
      <c r="B1100" s="16">
        <f t="shared" si="277"/>
        <v>16</v>
      </c>
      <c r="C1100" s="1"/>
      <c r="D1100" s="647" t="s">
        <v>1313</v>
      </c>
      <c r="E1100" s="16"/>
      <c r="F1100" s="97">
        <f>' WP II-I-1.4'!L1100</f>
        <v>463.51</v>
      </c>
      <c r="G1100" s="16" t="s">
        <v>751</v>
      </c>
      <c r="H1100" s="45" t="s">
        <v>303</v>
      </c>
      <c r="I1100" s="16"/>
      <c r="J1100" s="370">
        <f>'II-I-DIST'!J1100+'II-I-MET'!J1100+'II-I-TBILLTDCS'!J1100</f>
        <v>181.73240172945216</v>
      </c>
      <c r="K1100" s="370">
        <f>'II-I-DIST'!K1100+'II-I-MET'!K1100+'II-I-TBILLTDCS'!K1100</f>
        <v>5.5057619149786738</v>
      </c>
      <c r="L1100" s="370">
        <f>'II-I-DIST'!L1100+'II-I-MET'!L1100+'II-I-TBILLTDCS'!L1100</f>
        <v>193.50220800517604</v>
      </c>
      <c r="M1100" s="370">
        <f>'II-I-DIST'!M1100+'II-I-MET'!M1100+'II-I-TBILLTDCS'!M1100</f>
        <v>3.7256594054454173E-3</v>
      </c>
      <c r="N1100" s="370">
        <f>'II-I-DIST'!N1100+'II-I-MET'!N1100+'II-I-TBILLTDCS'!N1100</f>
        <v>32.040889234787336</v>
      </c>
      <c r="O1100" s="370">
        <f>'II-I-DIST'!O1100+'II-I-MET'!O1100+'II-I-TBILLTDCS'!O1100</f>
        <v>6.1075786734739443</v>
      </c>
      <c r="P1100" s="370">
        <f>'II-I-DIST'!P1100+'II-I-MET'!P1100+'II-I-TBILLTDCS'!P1100</f>
        <v>42.123598389292169</v>
      </c>
      <c r="Q1100" s="370">
        <f>'II-I-DIST'!Q1100+'II-I-MET'!Q1100+'II-I-TBILLTDCS'!Q1100</f>
        <v>1.4869977323007944</v>
      </c>
      <c r="R1100" s="370">
        <f>'II-I-DIST'!R1100+'II-I-MET'!R1100+'II-I-TBILLTDCS'!R1100</f>
        <v>0.4619108684149611</v>
      </c>
      <c r="S1100" s="370">
        <f>'II-I-DIST'!S1100+'II-I-MET'!S1100+'II-I-TBILLTDCS'!S1100</f>
        <v>0.5449277927182723</v>
      </c>
      <c r="T1100" s="16"/>
      <c r="U1100" s="97">
        <f>SUM(I1100:T1100)</f>
        <v>463.50999999999988</v>
      </c>
      <c r="V1100" s="64"/>
      <c r="X1100" s="305"/>
    </row>
    <row r="1101" spans="1:24" ht="15" x14ac:dyDescent="0.25">
      <c r="A1101" s="45"/>
      <c r="B1101" s="16">
        <f t="shared" si="277"/>
        <v>17</v>
      </c>
      <c r="C1101" s="8"/>
      <c r="D1101" s="233" t="s">
        <v>664</v>
      </c>
      <c r="E1101" s="19"/>
      <c r="F1101" s="21">
        <f>SUM(F1098:F1100)</f>
        <v>331665467.40999997</v>
      </c>
      <c r="G1101" s="19"/>
      <c r="H1101" s="19"/>
      <c r="I1101" s="19"/>
      <c r="J1101" s="805">
        <f ca="1">SUM(J1098:J1100)</f>
        <v>134809085.58084208</v>
      </c>
      <c r="K1101" s="805">
        <f t="shared" ref="K1101:S1101" ca="1" si="281">SUM(K1098:K1100)</f>
        <v>4119265.4707883736</v>
      </c>
      <c r="L1101" s="805">
        <f t="shared" ca="1" si="281"/>
        <v>136159670.45460021</v>
      </c>
      <c r="M1101" s="805">
        <f t="shared" ca="1" si="281"/>
        <v>26614.225763900879</v>
      </c>
      <c r="N1101" s="805">
        <f t="shared" ca="1" si="281"/>
        <v>22865646.094799429</v>
      </c>
      <c r="O1101" s="805">
        <f t="shared" ca="1" si="281"/>
        <v>4189077.7468802575</v>
      </c>
      <c r="P1101" s="805">
        <f t="shared" ca="1" si="281"/>
        <v>27337264.684679702</v>
      </c>
      <c r="Q1101" s="805">
        <f t="shared" ca="1" si="281"/>
        <v>1414042.8479074324</v>
      </c>
      <c r="R1101" s="805">
        <f t="shared" ca="1" si="281"/>
        <v>315624.90143858863</v>
      </c>
      <c r="S1101" s="805">
        <f t="shared" ca="1" si="281"/>
        <v>429175.40229990805</v>
      </c>
      <c r="T1101" s="19"/>
      <c r="U1101" s="235">
        <f ca="1">SUM(I1101:T1101)</f>
        <v>331665467.40999985</v>
      </c>
      <c r="V1101" s="64"/>
      <c r="W1101" s="1099" t="b">
        <f ca="1">' WP II-I-1.4'!$L$1101=U1101</f>
        <v>1</v>
      </c>
      <c r="X1101" s="305">
        <f t="shared" ca="1" si="279"/>
        <v>0</v>
      </c>
    </row>
    <row r="1102" spans="1:24" ht="15" thickBot="1" x14ac:dyDescent="0.25">
      <c r="A1102" s="45"/>
      <c r="B1102" s="16">
        <f t="shared" si="277"/>
        <v>18</v>
      </c>
      <c r="C1102" s="1"/>
      <c r="D1102" s="1"/>
      <c r="E1102" s="16"/>
      <c r="F1102" s="320"/>
      <c r="G1102" s="16"/>
      <c r="H1102" s="16"/>
      <c r="I1102" s="16"/>
      <c r="J1102" s="320"/>
      <c r="K1102" s="320"/>
      <c r="L1102" s="320"/>
      <c r="M1102" s="320"/>
      <c r="N1102" s="320"/>
      <c r="O1102" s="320"/>
      <c r="P1102" s="320"/>
      <c r="Q1102" s="320"/>
      <c r="R1102" s="320"/>
      <c r="S1102" s="320"/>
      <c r="T1102" s="16"/>
      <c r="U1102" s="320"/>
      <c r="V1102" s="64"/>
      <c r="X1102" s="305">
        <f t="shared" si="279"/>
        <v>0</v>
      </c>
    </row>
    <row r="1103" spans="1:24" ht="15.75" thickBot="1" x14ac:dyDescent="0.3">
      <c r="A1103" s="45"/>
      <c r="B1103" s="16">
        <f t="shared" si="277"/>
        <v>19</v>
      </c>
      <c r="C1103" s="223" t="s">
        <v>665</v>
      </c>
      <c r="D1103" s="224"/>
      <c r="E1103" s="309" t="s">
        <v>288</v>
      </c>
      <c r="F1103" s="194">
        <f>+F1101+F1095+F1091</f>
        <v>494986759.41999996</v>
      </c>
      <c r="G1103" s="309"/>
      <c r="H1103" s="402"/>
      <c r="I1103" s="968"/>
      <c r="J1103" s="381">
        <f t="shared" ref="J1103:Q1103" ca="1" si="282">+J1101+J1095+J1091</f>
        <v>222233924.70047188</v>
      </c>
      <c r="K1103" s="812">
        <f t="shared" ca="1" si="282"/>
        <v>7470560.263339892</v>
      </c>
      <c r="L1103" s="812">
        <f t="shared" ca="1" si="282"/>
        <v>191033863.42283911</v>
      </c>
      <c r="M1103" s="812">
        <f t="shared" ca="1" si="282"/>
        <v>174043.73206691365</v>
      </c>
      <c r="N1103" s="812">
        <f t="shared" ca="1" si="282"/>
        <v>33593410.134052433</v>
      </c>
      <c r="O1103" s="812">
        <f ca="1">+O1101+O1095+O1091</f>
        <v>5306944.0024591312</v>
      </c>
      <c r="P1103" s="812">
        <f t="shared" ca="1" si="282"/>
        <v>27571463.792722713</v>
      </c>
      <c r="Q1103" s="812">
        <f t="shared" ca="1" si="282"/>
        <v>6397694.4369190978</v>
      </c>
      <c r="R1103" s="812">
        <f ca="1">+R1101+R1095+R1091</f>
        <v>394111.51413296396</v>
      </c>
      <c r="S1103" s="315">
        <f ca="1">+S1101+S1095+S1091</f>
        <v>810743.42099572916</v>
      </c>
      <c r="T1103" s="402"/>
      <c r="U1103" s="195">
        <f ca="1">SUM(I1103:T1103)</f>
        <v>494986759.41999984</v>
      </c>
      <c r="V1103" s="64"/>
      <c r="W1103" s="1099" t="b">
        <f ca="1">' WP II-I-1.4'!$L$1103=U1103</f>
        <v>1</v>
      </c>
      <c r="X1103" s="305">
        <f t="shared" ca="1" si="279"/>
        <v>0</v>
      </c>
    </row>
    <row r="1104" spans="1:24" ht="15" thickBot="1" x14ac:dyDescent="0.25">
      <c r="A1104" s="45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X1104" s="305">
        <f t="shared" si="279"/>
        <v>0</v>
      </c>
    </row>
    <row r="1105" spans="1:24" ht="15" x14ac:dyDescent="0.25">
      <c r="A1105" s="45"/>
      <c r="B1105" s="829" t="str">
        <f>+$B$4</f>
        <v>2025 RATE CASE</v>
      </c>
      <c r="C1105" s="844"/>
      <c r="D1105" s="872"/>
      <c r="F1105" s="267"/>
      <c r="H1105" s="105"/>
      <c r="U1105" s="105"/>
      <c r="V1105" s="105"/>
      <c r="X1105" s="305"/>
    </row>
    <row r="1106" spans="1:24" ht="15" x14ac:dyDescent="0.25">
      <c r="A1106" s="45"/>
      <c r="B1106" s="826" t="str">
        <f>+$B$5</f>
        <v>ONCOR ELECTRIC DELIVERY COMPANY LLC</v>
      </c>
      <c r="C1106" s="8"/>
      <c r="D1106" s="873"/>
      <c r="F1106" s="1193"/>
      <c r="J1106" s="1193"/>
      <c r="K1106" s="1193"/>
      <c r="L1106" s="1193"/>
      <c r="M1106" s="1193"/>
      <c r="N1106" s="1193"/>
      <c r="O1106" s="1193"/>
      <c r="P1106" s="1193"/>
      <c r="Q1106" s="1193"/>
      <c r="R1106" s="1193"/>
      <c r="S1106" s="1193"/>
      <c r="U1106" s="105"/>
      <c r="V1106" s="64"/>
      <c r="X1106" s="305">
        <f t="shared" si="279"/>
        <v>0</v>
      </c>
    </row>
    <row r="1107" spans="1:24" ht="15" x14ac:dyDescent="0.25">
      <c r="A1107" s="45"/>
      <c r="B1107" s="826" t="str">
        <f>+$B$6</f>
        <v>II-I-1-TOT:  CLASS REVENUE REQUIREMENT</v>
      </c>
      <c r="C1107" s="82"/>
      <c r="D1107" s="873"/>
      <c r="F1107" s="267"/>
      <c r="U1107" s="267"/>
      <c r="V1107" s="64"/>
      <c r="X1107" s="305">
        <f t="shared" si="279"/>
        <v>0</v>
      </c>
    </row>
    <row r="1108" spans="1:24" ht="15" x14ac:dyDescent="0.25">
      <c r="A1108" s="45"/>
      <c r="B1108" s="341" t="str">
        <f>+$B$7</f>
        <v>TEST YEAR ENDING 12/31/2024</v>
      </c>
      <c r="C1108" s="82"/>
      <c r="D1108" s="873"/>
      <c r="F1108" s="18"/>
      <c r="U1108" s="267"/>
      <c r="V1108" s="64"/>
      <c r="X1108" s="305">
        <f t="shared" si="279"/>
        <v>0</v>
      </c>
    </row>
    <row r="1109" spans="1:24" ht="15" x14ac:dyDescent="0.25">
      <c r="A1109" s="45"/>
      <c r="B1109" s="341" t="str">
        <f>+$B$8</f>
        <v>SPONSOR:  MATTHEW A. TROXLE</v>
      </c>
      <c r="C1109" s="82"/>
      <c r="D1109" s="873"/>
      <c r="F1109" s="267"/>
      <c r="U1109" s="267"/>
      <c r="V1109" s="64"/>
      <c r="X1109" s="305">
        <f t="shared" si="279"/>
        <v>0</v>
      </c>
    </row>
    <row r="1110" spans="1:24" ht="5.45" customHeight="1" thickBot="1" x14ac:dyDescent="0.3">
      <c r="A1110" s="45"/>
      <c r="B1110" s="345"/>
      <c r="C1110" s="843"/>
      <c r="D1110" s="845"/>
      <c r="F1110" s="267"/>
      <c r="U1110" s="267"/>
      <c r="V1110" s="64"/>
      <c r="X1110" s="305">
        <f t="shared" si="279"/>
        <v>0</v>
      </c>
    </row>
    <row r="1111" spans="1:24" ht="9" customHeight="1" thickBot="1" x14ac:dyDescent="0.25">
      <c r="A1111" s="45"/>
      <c r="B1111" s="12"/>
      <c r="C1111" s="13"/>
      <c r="D1111" s="13"/>
      <c r="E1111" s="13"/>
      <c r="F1111" s="12"/>
      <c r="G1111" s="13"/>
      <c r="H1111" s="13"/>
      <c r="I1111" s="13"/>
      <c r="J1111" s="177"/>
      <c r="K1111" s="177"/>
      <c r="L1111" s="13"/>
      <c r="M1111" s="177"/>
      <c r="N1111" s="177"/>
      <c r="O1111" s="177"/>
      <c r="P1111" s="177"/>
      <c r="Q1111" s="13"/>
      <c r="R1111" s="328" t="str">
        <f>R$10</f>
        <v xml:space="preserve"> </v>
      </c>
      <c r="S1111" s="329"/>
      <c r="T1111" s="177"/>
      <c r="U1111" s="12"/>
      <c r="V1111" s="64"/>
      <c r="X1111" s="305">
        <f t="shared" si="279"/>
        <v>0</v>
      </c>
    </row>
    <row r="1112" spans="1:24" ht="15" x14ac:dyDescent="0.25">
      <c r="A1112" s="45"/>
      <c r="B1112" s="14" t="s">
        <v>2</v>
      </c>
      <c r="C1112" s="14" t="s">
        <v>349</v>
      </c>
      <c r="D1112" s="226" t="s">
        <v>298</v>
      </c>
      <c r="E1112" s="14" t="s">
        <v>350</v>
      </c>
      <c r="F1112" s="226" t="str">
        <f>F$11</f>
        <v>TOTAL</v>
      </c>
      <c r="G1112" s="181" t="s">
        <v>688</v>
      </c>
      <c r="H1112" s="181" t="s">
        <v>355</v>
      </c>
      <c r="I1112" s="14"/>
      <c r="J1112" s="181" t="s">
        <v>679</v>
      </c>
      <c r="K1112" s="181" t="s">
        <v>388</v>
      </c>
      <c r="L1112" s="14" t="s">
        <v>388</v>
      </c>
      <c r="M1112" s="181" t="s">
        <v>389</v>
      </c>
      <c r="N1112" s="181" t="s">
        <v>389</v>
      </c>
      <c r="O1112" s="181" t="s">
        <v>389</v>
      </c>
      <c r="P1112" s="181" t="s">
        <v>390</v>
      </c>
      <c r="Q1112" s="14" t="s">
        <v>391</v>
      </c>
      <c r="R1112" s="331" t="str">
        <f>R$11</f>
        <v>Wholesale</v>
      </c>
      <c r="S1112" s="12" t="str">
        <f>S$11</f>
        <v>Wholesale</v>
      </c>
      <c r="T1112" s="181"/>
      <c r="U1112" s="14" t="s">
        <v>10</v>
      </c>
      <c r="V1112" s="64"/>
      <c r="X1112" s="305"/>
    </row>
    <row r="1113" spans="1:24" x14ac:dyDescent="0.2">
      <c r="A1113" s="45"/>
      <c r="B1113" s="14"/>
      <c r="C1113" s="14"/>
      <c r="D1113" s="14"/>
      <c r="E1113" s="14"/>
      <c r="F1113" s="14" t="str">
        <f>F$12</f>
        <v>(Dist+Met+Cust)</v>
      </c>
      <c r="G1113" s="181" t="s">
        <v>689</v>
      </c>
      <c r="H1113" s="181" t="s">
        <v>690</v>
      </c>
      <c r="I1113" s="14"/>
      <c r="J1113" s="181"/>
      <c r="K1113" s="181" t="s">
        <v>680</v>
      </c>
      <c r="L1113" s="14" t="s">
        <v>681</v>
      </c>
      <c r="M1113" s="181" t="s">
        <v>680</v>
      </c>
      <c r="N1113" s="181" t="s">
        <v>681</v>
      </c>
      <c r="O1113" s="181" t="s">
        <v>393</v>
      </c>
      <c r="P1113" s="181"/>
      <c r="Q1113" s="14"/>
      <c r="R1113" s="174" t="str">
        <f>R$12</f>
        <v>XFMR</v>
      </c>
      <c r="S1113" s="14" t="str">
        <f>S$12</f>
        <v>DLS</v>
      </c>
      <c r="T1113" s="181"/>
      <c r="U1113" s="14"/>
      <c r="V1113" s="64"/>
      <c r="X1113" s="305"/>
    </row>
    <row r="1114" spans="1:24" ht="15" thickBot="1" x14ac:dyDescent="0.25">
      <c r="A1114" s="45"/>
      <c r="B1114" s="15"/>
      <c r="C1114" s="15"/>
      <c r="D1114" s="15"/>
      <c r="E1114" s="15"/>
      <c r="F1114" s="15" t="s">
        <v>13</v>
      </c>
      <c r="G1114" s="15" t="s">
        <v>14</v>
      </c>
      <c r="H1114" s="15" t="s">
        <v>15</v>
      </c>
      <c r="I1114" s="15"/>
      <c r="J1114" s="182" t="str">
        <f t="shared" ref="J1114:Q1114" si="283">J$13</f>
        <v>(d)</v>
      </c>
      <c r="K1114" s="182" t="str">
        <f t="shared" si="283"/>
        <v>(e)</v>
      </c>
      <c r="L1114" s="15" t="str">
        <f t="shared" si="283"/>
        <v>(f)</v>
      </c>
      <c r="M1114" s="182" t="str">
        <f t="shared" si="283"/>
        <v>(g)</v>
      </c>
      <c r="N1114" s="182" t="str">
        <f t="shared" si="283"/>
        <v>(h)</v>
      </c>
      <c r="O1114" s="182" t="str">
        <f>O$13</f>
        <v>(i)</v>
      </c>
      <c r="P1114" s="182" t="str">
        <f t="shared" si="283"/>
        <v>(j)</v>
      </c>
      <c r="Q1114" s="182" t="str">
        <f t="shared" si="283"/>
        <v>(k)</v>
      </c>
      <c r="R1114" s="182" t="str">
        <f>R$13</f>
        <v>(l)</v>
      </c>
      <c r="S1114" s="15" t="str">
        <f>S$13</f>
        <v>(m)</v>
      </c>
      <c r="T1114" s="15"/>
      <c r="U1114" s="15" t="s">
        <v>683</v>
      </c>
      <c r="V1114" s="64"/>
      <c r="X1114" s="305"/>
    </row>
    <row r="1115" spans="1:24" ht="9.9499999999999993" customHeight="1" x14ac:dyDescent="0.2">
      <c r="A1115" s="45"/>
      <c r="B1115" s="64"/>
      <c r="C1115" s="268"/>
      <c r="D1115" s="268"/>
      <c r="E1115" s="268"/>
      <c r="F1115" s="268"/>
      <c r="G1115" s="268"/>
      <c r="H1115" s="268"/>
      <c r="I1115" s="268"/>
      <c r="J1115" s="268"/>
      <c r="K1115" s="268"/>
      <c r="L1115" s="268"/>
      <c r="M1115" s="268"/>
      <c r="N1115" s="268"/>
      <c r="O1115" s="268"/>
      <c r="P1115" s="268"/>
      <c r="Q1115" s="268"/>
      <c r="R1115" s="268"/>
      <c r="S1115" s="268"/>
      <c r="T1115" s="268"/>
      <c r="U1115" s="41"/>
      <c r="V1115" s="64"/>
      <c r="X1115" s="305">
        <f t="shared" si="279"/>
        <v>0</v>
      </c>
    </row>
    <row r="1116" spans="1:24" ht="15" x14ac:dyDescent="0.25">
      <c r="A1116" s="45"/>
      <c r="B1116" s="16">
        <f t="shared" ref="B1116:B1162" si="284">B1115+1</f>
        <v>1</v>
      </c>
      <c r="C1116" s="301" t="s">
        <v>298</v>
      </c>
      <c r="D1116" s="8"/>
      <c r="E1116" s="19"/>
      <c r="F1116" s="21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8"/>
      <c r="V1116" s="64"/>
      <c r="X1116" s="305">
        <f t="shared" si="279"/>
        <v>0</v>
      </c>
    </row>
    <row r="1117" spans="1:24" ht="8.1" customHeight="1" x14ac:dyDescent="0.2">
      <c r="A1117" s="45"/>
      <c r="B1117" s="16">
        <f t="shared" si="284"/>
        <v>2</v>
      </c>
      <c r="C1117" s="1"/>
      <c r="D1117" s="1"/>
      <c r="E1117" s="16"/>
      <c r="F1117" s="18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"/>
      <c r="V1117" s="64"/>
      <c r="X1117" s="305">
        <f t="shared" si="279"/>
        <v>0</v>
      </c>
    </row>
    <row r="1118" spans="1:24" ht="15" x14ac:dyDescent="0.25">
      <c r="A1118" s="45"/>
      <c r="B1118" s="16">
        <f t="shared" si="284"/>
        <v>3</v>
      </c>
      <c r="C1118" s="8"/>
      <c r="D1118" s="32" t="s">
        <v>340</v>
      </c>
      <c r="E1118" s="19" t="s">
        <v>462</v>
      </c>
      <c r="F1118" s="21">
        <f>+F622</f>
        <v>1059157322.9243677</v>
      </c>
      <c r="G1118" s="19"/>
      <c r="H1118" s="19"/>
      <c r="I1118" s="19"/>
      <c r="J1118" s="21">
        <f t="shared" ref="J1118:Q1118" ca="1" si="285">+J622</f>
        <v>575281985.23256445</v>
      </c>
      <c r="K1118" s="21">
        <f t="shared" ca="1" si="285"/>
        <v>18004271.595711995</v>
      </c>
      <c r="L1118" s="21">
        <f t="shared" ca="1" si="285"/>
        <v>365709439.32302272</v>
      </c>
      <c r="M1118" s="21">
        <f t="shared" ca="1" si="285"/>
        <v>698376.14431185985</v>
      </c>
      <c r="N1118" s="21">
        <f t="shared" ca="1" si="285"/>
        <v>71151671.419516072</v>
      </c>
      <c r="O1118" s="21">
        <f ca="1">+O622</f>
        <v>7977532.6448662793</v>
      </c>
      <c r="P1118" s="21">
        <f t="shared" ca="1" si="285"/>
        <v>2278161.2512788735</v>
      </c>
      <c r="Q1118" s="21">
        <f t="shared" ca="1" si="285"/>
        <v>14910475.501088105</v>
      </c>
      <c r="R1118" s="21">
        <f ca="1">+R622</f>
        <v>561325.44376306981</v>
      </c>
      <c r="S1118" s="21">
        <f ca="1">+S622</f>
        <v>2584084.3682442931</v>
      </c>
      <c r="T1118" s="19"/>
      <c r="U1118" s="20">
        <f ca="1">SUM(I1118:T1118)</f>
        <v>1059157322.9243677</v>
      </c>
      <c r="V1118" s="45"/>
      <c r="W1118" s="1099" t="b">
        <f ca="1">' WP II-I-1.4'!$L$1118=U1118</f>
        <v>1</v>
      </c>
      <c r="X1118" s="305">
        <f t="shared" ca="1" si="279"/>
        <v>0</v>
      </c>
    </row>
    <row r="1119" spans="1:24" ht="9.9499999999999993" customHeight="1" x14ac:dyDescent="0.2">
      <c r="A1119" s="45"/>
      <c r="B1119" s="16">
        <f t="shared" si="284"/>
        <v>4</v>
      </c>
      <c r="C1119" s="1"/>
      <c r="D1119" s="1"/>
      <c r="E1119" s="16"/>
      <c r="F1119" s="18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7"/>
      <c r="V1119" s="64"/>
      <c r="X1119" s="305">
        <f t="shared" si="279"/>
        <v>0</v>
      </c>
    </row>
    <row r="1120" spans="1:24" ht="15" x14ac:dyDescent="0.25">
      <c r="A1120" s="45"/>
      <c r="B1120" s="16">
        <f t="shared" si="284"/>
        <v>5</v>
      </c>
      <c r="C1120" s="1"/>
      <c r="D1120" s="8" t="s">
        <v>300</v>
      </c>
      <c r="E1120" s="19" t="s">
        <v>299</v>
      </c>
      <c r="F1120" s="18"/>
      <c r="G1120" s="19"/>
      <c r="H1120" s="19"/>
      <c r="I1120" s="19"/>
      <c r="J1120" s="961"/>
      <c r="K1120" s="961"/>
      <c r="L1120" s="961"/>
      <c r="M1120" s="961"/>
      <c r="N1120" s="961"/>
      <c r="O1120" s="961"/>
      <c r="P1120" s="961"/>
      <c r="Q1120" s="961"/>
      <c r="R1120" s="961"/>
      <c r="S1120" s="961"/>
      <c r="T1120" s="19"/>
      <c r="U1120" s="17"/>
      <c r="V1120" s="64"/>
      <c r="X1120" s="305">
        <f t="shared" si="279"/>
        <v>0</v>
      </c>
    </row>
    <row r="1121" spans="1:24" x14ac:dyDescent="0.2">
      <c r="A1121" s="45"/>
      <c r="B1121" s="16">
        <f t="shared" si="284"/>
        <v>6</v>
      </c>
      <c r="C1121" s="1"/>
      <c r="D1121" s="803" t="s">
        <v>301</v>
      </c>
      <c r="E1121" s="16"/>
      <c r="F1121" s="97">
        <f>' WP II-I-1.4'!L1121</f>
        <v>385663710.63000005</v>
      </c>
      <c r="G1121" s="16" t="s">
        <v>751</v>
      </c>
      <c r="H1121" s="45" t="s">
        <v>303</v>
      </c>
      <c r="I1121" s="16"/>
      <c r="J1121" s="369">
        <f ca="1">'II-I-DIST'!J1121+'II-I-MET'!J1121+'II-I-TBILLTDCS'!J1121</f>
        <v>209473493.95697358</v>
      </c>
      <c r="K1121" s="369">
        <f ca="1">'II-I-DIST'!K1121+'II-I-MET'!K1121+'II-I-TBILLTDCS'!K1121</f>
        <v>6555772.2549619097</v>
      </c>
      <c r="L1121" s="369">
        <f ca="1">'II-I-DIST'!L1121+'II-I-MET'!L1121+'II-I-TBILLTDCS'!L1121</f>
        <v>133163276.43540199</v>
      </c>
      <c r="M1121" s="369">
        <f ca="1">'II-I-DIST'!M1121+'II-I-MET'!M1121+'II-I-TBILLTDCS'!M1121</f>
        <v>254294.92814560176</v>
      </c>
      <c r="N1121" s="369">
        <f ca="1">'II-I-DIST'!N1121+'II-I-MET'!N1121+'II-I-TBILLTDCS'!N1121</f>
        <v>25907971.387685016</v>
      </c>
      <c r="O1121" s="369">
        <f ca="1">'II-I-DIST'!O1121+'II-I-MET'!O1121+'II-I-TBILLTDCS'!O1121</f>
        <v>2904804.3901131512</v>
      </c>
      <c r="P1121" s="369">
        <f ca="1">'II-I-DIST'!P1121+'II-I-MET'!P1121+'II-I-TBILLTDCS'!P1121</f>
        <v>829531.27226882835</v>
      </c>
      <c r="Q1121" s="369">
        <f ca="1">'II-I-DIST'!Q1121+'II-I-MET'!Q1121+'II-I-TBILLTDCS'!Q1121</f>
        <v>5429249.446391006</v>
      </c>
      <c r="R1121" s="369">
        <f ca="1">'II-I-DIST'!R1121+'II-I-MET'!R1121+'II-I-TBILLTDCS'!R1121</f>
        <v>204391.59398261798</v>
      </c>
      <c r="S1121" s="369">
        <f ca="1">'II-I-DIST'!S1121+'II-I-MET'!S1121+'II-I-TBILLTDCS'!S1121</f>
        <v>940924.9640763693</v>
      </c>
      <c r="T1121" s="16"/>
      <c r="U1121" s="17">
        <f t="shared" ref="U1121:U1130" ca="1" si="286">SUM(I1121:T1121)</f>
        <v>385663710.63000005</v>
      </c>
      <c r="V1121" s="64"/>
      <c r="X1121" s="305">
        <f t="shared" ca="1" si="279"/>
        <v>0</v>
      </c>
    </row>
    <row r="1122" spans="1:24" x14ac:dyDescent="0.2">
      <c r="A1122" s="45"/>
      <c r="B1122" s="16">
        <f t="shared" si="284"/>
        <v>7</v>
      </c>
      <c r="C1122" s="1"/>
      <c r="D1122" s="18" t="s">
        <v>302</v>
      </c>
      <c r="E1122" s="16"/>
      <c r="F1122" s="97">
        <f>' WP II-I-1.4'!L1122</f>
        <v>0</v>
      </c>
      <c r="G1122" s="16" t="s">
        <v>751</v>
      </c>
      <c r="H1122" s="45" t="s">
        <v>303</v>
      </c>
      <c r="I1122" s="16"/>
      <c r="J1122" s="369">
        <f ca="1">'II-I-DIST'!J1122+'II-I-MET'!J1122+'II-I-TBILLTDCS'!J1122</f>
        <v>0</v>
      </c>
      <c r="K1122" s="369">
        <f ca="1">'II-I-DIST'!K1122+'II-I-MET'!K1122+'II-I-TBILLTDCS'!K1122</f>
        <v>0</v>
      </c>
      <c r="L1122" s="369">
        <f ca="1">'II-I-DIST'!L1122+'II-I-MET'!L1122+'II-I-TBILLTDCS'!L1122</f>
        <v>0</v>
      </c>
      <c r="M1122" s="369">
        <f ca="1">'II-I-DIST'!M1122+'II-I-MET'!M1122+'II-I-TBILLTDCS'!M1122</f>
        <v>0</v>
      </c>
      <c r="N1122" s="369">
        <f ca="1">'II-I-DIST'!N1122+'II-I-MET'!N1122+'II-I-TBILLTDCS'!N1122</f>
        <v>0</v>
      </c>
      <c r="O1122" s="369">
        <f ca="1">'II-I-DIST'!O1122+'II-I-MET'!O1122+'II-I-TBILLTDCS'!O1122</f>
        <v>0</v>
      </c>
      <c r="P1122" s="369">
        <f ca="1">'II-I-DIST'!P1122+'II-I-MET'!P1122+'II-I-TBILLTDCS'!P1122</f>
        <v>0</v>
      </c>
      <c r="Q1122" s="369">
        <f ca="1">'II-I-DIST'!Q1122+'II-I-MET'!Q1122+'II-I-TBILLTDCS'!Q1122</f>
        <v>0</v>
      </c>
      <c r="R1122" s="369">
        <f ca="1">'II-I-DIST'!R1122+'II-I-MET'!R1122+'II-I-TBILLTDCS'!R1122</f>
        <v>0</v>
      </c>
      <c r="S1122" s="369">
        <f ca="1">'II-I-DIST'!S1122+'II-I-MET'!S1122+'II-I-TBILLTDCS'!S1122</f>
        <v>0</v>
      </c>
      <c r="T1122" s="16"/>
      <c r="U1122" s="17">
        <f t="shared" ca="1" si="286"/>
        <v>0</v>
      </c>
      <c r="V1122" s="64"/>
      <c r="X1122" s="305">
        <f t="shared" ca="1" si="279"/>
        <v>0</v>
      </c>
    </row>
    <row r="1123" spans="1:24" x14ac:dyDescent="0.2">
      <c r="A1123" s="45"/>
      <c r="B1123" s="16">
        <f t="shared" si="284"/>
        <v>8</v>
      </c>
      <c r="C1123" s="1"/>
      <c r="D1123" s="18" t="s">
        <v>1128</v>
      </c>
      <c r="E1123" s="16"/>
      <c r="F1123" s="229">
        <f>' WP II-I-1.4'!L1123</f>
        <v>8331346.4299999988</v>
      </c>
      <c r="G1123" s="16" t="s">
        <v>751</v>
      </c>
      <c r="H1123" s="45" t="s">
        <v>303</v>
      </c>
      <c r="I1123" s="16"/>
      <c r="J1123" s="369">
        <f ca="1">'II-I-DIST'!J1123+'II-I-MET'!J1123+'II-I-TBILLTDCS'!J1123</f>
        <v>4524520.3030983079</v>
      </c>
      <c r="K1123" s="369">
        <f ca="1">'II-I-DIST'!K1123+'II-I-MET'!K1123+'II-I-TBILLTDCS'!K1123</f>
        <v>141562.63810931478</v>
      </c>
      <c r="L1123" s="369">
        <f ca="1">'II-I-DIST'!L1123+'II-I-MET'!L1123+'II-I-TBILLTDCS'!L1123</f>
        <v>2876217.7590244664</v>
      </c>
      <c r="M1123" s="369">
        <f ca="1">'II-I-DIST'!M1123+'II-I-MET'!M1123+'II-I-TBILLTDCS'!M1123</f>
        <v>5483.2653415431578</v>
      </c>
      <c r="N1123" s="369">
        <f ca="1">'II-I-DIST'!N1123+'II-I-MET'!N1123+'II-I-TBILLTDCS'!N1123</f>
        <v>559559.56688553165</v>
      </c>
      <c r="O1123" s="369">
        <f ca="1">'II-I-DIST'!O1123+'II-I-MET'!O1123+'II-I-TBILLTDCS'!O1123</f>
        <v>62744.591324171379</v>
      </c>
      <c r="P1123" s="369">
        <f ca="1">'II-I-DIST'!P1123+'II-I-MET'!P1123+'II-I-TBILLTDCS'!P1123</f>
        <v>17918.643610113402</v>
      </c>
      <c r="Q1123" s="369">
        <f ca="1">'II-I-DIST'!Q1123+'II-I-MET'!Q1123+'II-I-TBILLTDCS'!Q1123</f>
        <v>118601.77267098134</v>
      </c>
      <c r="R1123" s="369">
        <f ca="1">'II-I-DIST'!R1123+'II-I-MET'!R1123+'II-I-TBILLTDCS'!R1123</f>
        <v>4414.5321511354068</v>
      </c>
      <c r="S1123" s="369">
        <f ca="1">'II-I-DIST'!S1123+'II-I-MET'!S1123+'II-I-TBILLTDCS'!S1123</f>
        <v>20323.357784435288</v>
      </c>
      <c r="T1123" s="16"/>
      <c r="U1123" s="17">
        <f t="shared" ca="1" si="286"/>
        <v>8331346.4300000016</v>
      </c>
      <c r="V1123" s="64"/>
      <c r="X1123" s="305">
        <f t="shared" ca="1" si="279"/>
        <v>0</v>
      </c>
    </row>
    <row r="1124" spans="1:24" x14ac:dyDescent="0.2">
      <c r="A1124" s="45"/>
      <c r="B1124" s="16">
        <f t="shared" si="284"/>
        <v>9</v>
      </c>
      <c r="C1124" s="1"/>
      <c r="D1124" s="18" t="s">
        <v>1129</v>
      </c>
      <c r="E1124" s="16"/>
      <c r="F1124" s="229">
        <f>' WP II-I-1.4'!L1124</f>
        <v>21107915.699999999</v>
      </c>
      <c r="G1124" s="16" t="s">
        <v>751</v>
      </c>
      <c r="H1124" s="45" t="s">
        <v>303</v>
      </c>
      <c r="I1124" s="16"/>
      <c r="J1124" s="369">
        <f ca="1">'II-I-DIST'!J1124+'II-I-MET'!J1124+'II-I-TBILLTDCS'!J1124</f>
        <v>11453640.572351085</v>
      </c>
      <c r="K1124" s="369">
        <f ca="1">'II-I-DIST'!K1124+'II-I-MET'!K1124+'II-I-TBILLTDCS'!K1124</f>
        <v>434947.76229786692</v>
      </c>
      <c r="L1124" s="369">
        <f ca="1">'II-I-DIST'!L1124+'II-I-MET'!L1124+'II-I-TBILLTDCS'!L1124</f>
        <v>7224307.5601586392</v>
      </c>
      <c r="M1124" s="369">
        <f ca="1">'II-I-DIST'!M1124+'II-I-MET'!M1124+'II-I-TBILLTDCS'!M1124</f>
        <v>29396.838237148757</v>
      </c>
      <c r="N1124" s="369">
        <f ca="1">'II-I-DIST'!N1124+'II-I-MET'!N1124+'II-I-TBILLTDCS'!N1124</f>
        <v>1455880.8613588004</v>
      </c>
      <c r="O1124" s="369">
        <f ca="1">'II-I-DIST'!O1124+'II-I-MET'!O1124+'II-I-TBILLTDCS'!O1124</f>
        <v>153217.86608766814</v>
      </c>
      <c r="P1124" s="369">
        <f ca="1">'II-I-DIST'!P1124+'II-I-MET'!P1124+'II-I-TBILLTDCS'!P1124</f>
        <v>51102.480033696629</v>
      </c>
      <c r="Q1124" s="369">
        <f ca="1">'II-I-DIST'!Q1124+'II-I-MET'!Q1124+'II-I-TBILLTDCS'!Q1124</f>
        <v>244993.47206840187</v>
      </c>
      <c r="R1124" s="369">
        <f ca="1">'II-I-DIST'!R1124+'II-I-MET'!R1124+'II-I-TBILLTDCS'!R1124</f>
        <v>10952.765746032355</v>
      </c>
      <c r="S1124" s="369">
        <f ca="1">'II-I-DIST'!S1124+'II-I-MET'!S1124+'II-I-TBILLTDCS'!S1124</f>
        <v>49475.521660661594</v>
      </c>
      <c r="T1124" s="16"/>
      <c r="U1124" s="17">
        <f t="shared" ca="1" si="286"/>
        <v>21107915.699999999</v>
      </c>
      <c r="V1124" s="64"/>
      <c r="X1124" s="305">
        <f t="shared" ca="1" si="279"/>
        <v>0</v>
      </c>
    </row>
    <row r="1125" spans="1:24" x14ac:dyDescent="0.2">
      <c r="A1125" s="45"/>
      <c r="B1125" s="16">
        <f t="shared" si="284"/>
        <v>10</v>
      </c>
      <c r="C1125" s="1"/>
      <c r="D1125" s="18" t="s">
        <v>1130</v>
      </c>
      <c r="E1125" s="16"/>
      <c r="F1125" s="229">
        <f>' WP II-I-1.4'!L1125</f>
        <v>-3323671.09</v>
      </c>
      <c r="G1125" s="16" t="s">
        <v>751</v>
      </c>
      <c r="H1125" s="45" t="s">
        <v>303</v>
      </c>
      <c r="I1125" s="16"/>
      <c r="J1125" s="369">
        <f ca="1">'II-I-DIST'!J1125+'II-I-MET'!J1125+'II-I-TBILLTDCS'!J1125</f>
        <v>-1804992.4405930091</v>
      </c>
      <c r="K1125" s="369">
        <f ca="1">'II-I-DIST'!K1125+'II-I-MET'!K1125+'II-I-TBILLTDCS'!K1125</f>
        <v>-56474.383177747557</v>
      </c>
      <c r="L1125" s="369">
        <f ca="1">'II-I-DIST'!L1125+'II-I-MET'!L1125+'II-I-TBILLTDCS'!L1125</f>
        <v>-1147425.796213805</v>
      </c>
      <c r="M1125" s="369">
        <f ca="1">'II-I-DIST'!M1125+'II-I-MET'!M1125+'II-I-TBILLTDCS'!M1125</f>
        <v>-2187.47008702531</v>
      </c>
      <c r="N1125" s="369">
        <f ca="1">'II-I-DIST'!N1125+'II-I-MET'!N1125+'II-I-TBILLTDCS'!N1125</f>
        <v>-223228.25878849719</v>
      </c>
      <c r="O1125" s="369">
        <f ca="1">'II-I-DIST'!O1125+'II-I-MET'!O1125+'II-I-TBILLTDCS'!O1125</f>
        <v>-25031.054193810221</v>
      </c>
      <c r="P1125" s="369">
        <f ca="1">'II-I-DIST'!P1125+'II-I-MET'!P1125+'II-I-TBILLTDCS'!P1125</f>
        <v>-7148.3857340353989</v>
      </c>
      <c r="Q1125" s="369">
        <f ca="1">'II-I-DIST'!Q1125+'II-I-MET'!Q1125+'II-I-TBILLTDCS'!Q1125</f>
        <v>-47314.475062424783</v>
      </c>
      <c r="R1125" s="369">
        <f ca="1">'II-I-DIST'!R1125+'II-I-MET'!R1125+'II-I-TBILLTDCS'!R1125</f>
        <v>-1761.1142447660056</v>
      </c>
      <c r="S1125" s="369">
        <f ca="1">'II-I-DIST'!S1125+'II-I-MET'!S1125+'II-I-TBILLTDCS'!S1125</f>
        <v>-8107.7119048790537</v>
      </c>
      <c r="T1125" s="16"/>
      <c r="U1125" s="17">
        <f t="shared" ca="1" si="286"/>
        <v>-3323671.0899999994</v>
      </c>
      <c r="V1125" s="64"/>
      <c r="X1125" s="305">
        <f t="shared" ca="1" si="279"/>
        <v>0</v>
      </c>
    </row>
    <row r="1126" spans="1:24" x14ac:dyDescent="0.2">
      <c r="A1126" s="45"/>
      <c r="B1126" s="16">
        <f t="shared" si="284"/>
        <v>11</v>
      </c>
      <c r="C1126" s="1"/>
      <c r="D1126" s="695" t="s">
        <v>1303</v>
      </c>
      <c r="E1126" s="16"/>
      <c r="F1126" s="229">
        <f>' WP II-I-1.4'!L1126</f>
        <v>43257.380000000005</v>
      </c>
      <c r="G1126" s="16" t="s">
        <v>751</v>
      </c>
      <c r="H1126" s="45" t="s">
        <v>303</v>
      </c>
      <c r="I1126" s="16"/>
      <c r="J1126" s="369">
        <f ca="1">'II-I-DIST'!J1126+'II-I-MET'!J1126+'II-I-TBILLTDCS'!J1126</f>
        <v>23491.868971422304</v>
      </c>
      <c r="K1126" s="369">
        <f ca="1">'II-I-DIST'!K1126+'II-I-MET'!K1126+'II-I-TBILLTDCS'!K1126</f>
        <v>735.01012509649502</v>
      </c>
      <c r="L1126" s="369">
        <f ca="1">'II-I-DIST'!L1126+'II-I-MET'!L1126+'II-I-TBILLTDCS'!L1126</f>
        <v>14933.678807709295</v>
      </c>
      <c r="M1126" s="369">
        <f ca="1">'II-I-DIST'!M1126+'II-I-MET'!M1126+'II-I-TBILLTDCS'!M1126</f>
        <v>28.469671476223191</v>
      </c>
      <c r="N1126" s="369">
        <f ca="1">'II-I-DIST'!N1126+'II-I-MET'!N1126+'II-I-TBILLTDCS'!N1126</f>
        <v>2905.3021792766622</v>
      </c>
      <c r="O1126" s="369">
        <f ca="1">'II-I-DIST'!O1126+'II-I-MET'!O1126+'II-I-TBILLTDCS'!O1126</f>
        <v>325.77772227119766</v>
      </c>
      <c r="P1126" s="369">
        <f ca="1">'II-I-DIST'!P1126+'II-I-MET'!P1126+'II-I-TBILLTDCS'!P1126</f>
        <v>93.035765750881268</v>
      </c>
      <c r="Q1126" s="369">
        <f ca="1">'II-I-DIST'!Q1126+'II-I-MET'!Q1126+'II-I-TBILLTDCS'!Q1126</f>
        <v>615.79455481627622</v>
      </c>
      <c r="R1126" s="369">
        <f ca="1">'II-I-DIST'!R1126+'II-I-MET'!R1126+'II-I-TBILLTDCS'!R1126</f>
        <v>22.92079886765308</v>
      </c>
      <c r="S1126" s="369">
        <f ca="1">'II-I-DIST'!S1126+'II-I-MET'!S1126+'II-I-TBILLTDCS'!S1126</f>
        <v>105.52140331302073</v>
      </c>
      <c r="T1126" s="16"/>
      <c r="U1126" s="17">
        <f t="shared" ca="1" si="286"/>
        <v>43257.38</v>
      </c>
      <c r="V1126" s="64"/>
      <c r="X1126" s="305">
        <f t="shared" ca="1" si="279"/>
        <v>0</v>
      </c>
    </row>
    <row r="1127" spans="1:24" ht="11.1" customHeight="1" x14ac:dyDescent="0.2">
      <c r="A1127" s="45"/>
      <c r="B1127" s="16">
        <f t="shared" si="284"/>
        <v>12</v>
      </c>
      <c r="C1127" s="1"/>
      <c r="D1127" s="321"/>
      <c r="E1127" s="16"/>
      <c r="F1127" s="229"/>
      <c r="G1127" s="16"/>
      <c r="H1127" s="45"/>
      <c r="I1127" s="16"/>
      <c r="J1127" s="369">
        <f>'II-I-DIST'!J1127+'II-I-MET'!J1127+'II-I-TBILLTDCS'!J1127</f>
        <v>0</v>
      </c>
      <c r="K1127" s="369">
        <f>'II-I-DIST'!K1127+'II-I-MET'!K1127+'II-I-TBILLTDCS'!K1127</f>
        <v>0</v>
      </c>
      <c r="L1127" s="369">
        <f>'II-I-DIST'!L1127+'II-I-MET'!L1127+'II-I-TBILLTDCS'!L1127</f>
        <v>0</v>
      </c>
      <c r="M1127" s="369">
        <f>'II-I-DIST'!M1127+'II-I-MET'!M1127+'II-I-TBILLTDCS'!M1127</f>
        <v>0</v>
      </c>
      <c r="N1127" s="369">
        <f>'II-I-DIST'!N1127+'II-I-MET'!N1127+'II-I-TBILLTDCS'!N1127</f>
        <v>0</v>
      </c>
      <c r="O1127" s="369">
        <f>'II-I-DIST'!O1127+'II-I-MET'!O1127+'II-I-TBILLTDCS'!O1127</f>
        <v>0</v>
      </c>
      <c r="P1127" s="369">
        <f>'II-I-DIST'!P1127+'II-I-MET'!P1127+'II-I-TBILLTDCS'!P1127</f>
        <v>0</v>
      </c>
      <c r="Q1127" s="369">
        <f>'II-I-DIST'!Q1127+'II-I-MET'!Q1127+'II-I-TBILLTDCS'!Q1127</f>
        <v>0</v>
      </c>
      <c r="R1127" s="369">
        <f>'II-I-DIST'!R1127+'II-I-MET'!R1127+'II-I-TBILLTDCS'!R1127</f>
        <v>0</v>
      </c>
      <c r="S1127" s="369">
        <f>'II-I-DIST'!S1127+'II-I-MET'!S1127+'II-I-TBILLTDCS'!S1127</f>
        <v>0</v>
      </c>
      <c r="T1127" s="16"/>
      <c r="U1127" s="17">
        <f t="shared" si="286"/>
        <v>0</v>
      </c>
      <c r="V1127" s="97"/>
      <c r="X1127" s="305">
        <f t="shared" si="279"/>
        <v>0</v>
      </c>
    </row>
    <row r="1128" spans="1:24" ht="11.45" customHeight="1" x14ac:dyDescent="0.2">
      <c r="A1128" s="45"/>
      <c r="B1128" s="16">
        <f t="shared" si="284"/>
        <v>13</v>
      </c>
      <c r="C1128" s="1"/>
      <c r="D1128" s="1"/>
      <c r="E1128" s="16"/>
      <c r="F1128" s="229"/>
      <c r="G1128" s="16"/>
      <c r="H1128" s="45"/>
      <c r="I1128" s="16"/>
      <c r="J1128" s="369">
        <f>'II-I-DIST'!J1128+'II-I-MET'!J1128+'II-I-TBILLTDCS'!J1128</f>
        <v>0</v>
      </c>
      <c r="K1128" s="369">
        <f>'II-I-DIST'!K1128+'II-I-MET'!K1128+'II-I-TBILLTDCS'!K1128</f>
        <v>0</v>
      </c>
      <c r="L1128" s="369">
        <f>'II-I-DIST'!L1128+'II-I-MET'!L1128+'II-I-TBILLTDCS'!L1128</f>
        <v>0</v>
      </c>
      <c r="M1128" s="369">
        <f>'II-I-DIST'!M1128+'II-I-MET'!M1128+'II-I-TBILLTDCS'!M1128</f>
        <v>0</v>
      </c>
      <c r="N1128" s="369">
        <f>'II-I-DIST'!N1128+'II-I-MET'!N1128+'II-I-TBILLTDCS'!N1128</f>
        <v>0</v>
      </c>
      <c r="O1128" s="369">
        <f>'II-I-DIST'!O1128+'II-I-MET'!O1128+'II-I-TBILLTDCS'!O1128</f>
        <v>0</v>
      </c>
      <c r="P1128" s="369">
        <f>'II-I-DIST'!P1128+'II-I-MET'!P1128+'II-I-TBILLTDCS'!P1128</f>
        <v>0</v>
      </c>
      <c r="Q1128" s="369">
        <f>'II-I-DIST'!Q1128+'II-I-MET'!Q1128+'II-I-TBILLTDCS'!Q1128</f>
        <v>0</v>
      </c>
      <c r="R1128" s="369">
        <f>'II-I-DIST'!R1128+'II-I-MET'!R1128+'II-I-TBILLTDCS'!R1128</f>
        <v>0</v>
      </c>
      <c r="S1128" s="369">
        <f>'II-I-DIST'!S1128+'II-I-MET'!S1128+'II-I-TBILLTDCS'!S1128</f>
        <v>0</v>
      </c>
      <c r="T1128" s="16"/>
      <c r="U1128" s="17">
        <f t="shared" si="286"/>
        <v>0</v>
      </c>
      <c r="V1128" s="64"/>
      <c r="X1128" s="305">
        <f t="shared" si="279"/>
        <v>0</v>
      </c>
    </row>
    <row r="1129" spans="1:24" ht="6.95" customHeight="1" x14ac:dyDescent="0.2">
      <c r="A1129" s="45"/>
      <c r="B1129" s="16">
        <f t="shared" si="284"/>
        <v>14</v>
      </c>
      <c r="C1129" s="1"/>
      <c r="D1129" s="1"/>
      <c r="E1129" s="16"/>
      <c r="F1129" s="229"/>
      <c r="G1129" s="16"/>
      <c r="H1129" s="45"/>
      <c r="I1129" s="16"/>
      <c r="J1129" s="370">
        <f>'II-I-DIST'!J1129+'II-I-MET'!J1129+'II-I-TBILLTDCS'!J1129</f>
        <v>0</v>
      </c>
      <c r="K1129" s="370">
        <f>'II-I-DIST'!K1129+'II-I-MET'!K1129+'II-I-TBILLTDCS'!K1129</f>
        <v>0</v>
      </c>
      <c r="L1129" s="370">
        <f>'II-I-DIST'!L1129+'II-I-MET'!L1129+'II-I-TBILLTDCS'!L1129</f>
        <v>0</v>
      </c>
      <c r="M1129" s="370">
        <f>'II-I-DIST'!M1129+'II-I-MET'!M1129+'II-I-TBILLTDCS'!M1129</f>
        <v>0</v>
      </c>
      <c r="N1129" s="370">
        <f>'II-I-DIST'!N1129+'II-I-MET'!N1129+'II-I-TBILLTDCS'!N1129</f>
        <v>0</v>
      </c>
      <c r="O1129" s="370">
        <f>'II-I-DIST'!O1129+'II-I-MET'!O1129+'II-I-TBILLTDCS'!O1129</f>
        <v>0</v>
      </c>
      <c r="P1129" s="370">
        <f>'II-I-DIST'!P1129+'II-I-MET'!P1129+'II-I-TBILLTDCS'!P1129</f>
        <v>0</v>
      </c>
      <c r="Q1129" s="370">
        <f>'II-I-DIST'!Q1129+'II-I-MET'!Q1129+'II-I-TBILLTDCS'!Q1129</f>
        <v>0</v>
      </c>
      <c r="R1129" s="370">
        <f>'II-I-DIST'!R1129+'II-I-MET'!R1129+'II-I-TBILLTDCS'!R1129</f>
        <v>0</v>
      </c>
      <c r="S1129" s="370">
        <f>'II-I-DIST'!S1129+'II-I-MET'!S1129+'II-I-TBILLTDCS'!S1129</f>
        <v>0</v>
      </c>
      <c r="T1129" s="16"/>
      <c r="U1129" s="17">
        <f t="shared" si="286"/>
        <v>0</v>
      </c>
      <c r="V1129" s="97"/>
      <c r="X1129" s="305">
        <f t="shared" si="279"/>
        <v>0</v>
      </c>
    </row>
    <row r="1130" spans="1:24" ht="15" x14ac:dyDescent="0.25">
      <c r="A1130" s="45"/>
      <c r="B1130" s="16">
        <f t="shared" si="284"/>
        <v>15</v>
      </c>
      <c r="C1130" s="8"/>
      <c r="D1130" s="233" t="s">
        <v>444</v>
      </c>
      <c r="E1130" s="1005"/>
      <c r="F1130" s="805">
        <f>SUM(F1121:F1129)</f>
        <v>411822559.05000007</v>
      </c>
      <c r="G1130" s="1005"/>
      <c r="H1130" s="1005"/>
      <c r="I1130" s="1005"/>
      <c r="J1130" s="805">
        <f t="shared" ref="J1130:Q1130" ca="1" si="287">SUM(J1121:J1129)</f>
        <v>223670154.2608014</v>
      </c>
      <c r="K1130" s="805">
        <f t="shared" ca="1" si="287"/>
        <v>7076543.2823164407</v>
      </c>
      <c r="L1130" s="805">
        <f t="shared" ca="1" si="287"/>
        <v>142131309.63717899</v>
      </c>
      <c r="M1130" s="805">
        <f t="shared" ca="1" si="287"/>
        <v>287016.03130874457</v>
      </c>
      <c r="N1130" s="805">
        <f t="shared" ca="1" si="287"/>
        <v>27703088.859320126</v>
      </c>
      <c r="O1130" s="805">
        <f ca="1">SUM(O1121:O1129)</f>
        <v>3096061.5710534519</v>
      </c>
      <c r="P1130" s="805">
        <f t="shared" ca="1" si="287"/>
        <v>891497.04594435391</v>
      </c>
      <c r="Q1130" s="805">
        <f t="shared" ca="1" si="287"/>
        <v>5746146.0106227808</v>
      </c>
      <c r="R1130" s="805">
        <f ca="1">SUM(R1121:R1129)</f>
        <v>218020.69843388739</v>
      </c>
      <c r="S1130" s="805">
        <f ca="1">SUM(S1121:S1129)</f>
        <v>1002721.6530199001</v>
      </c>
      <c r="T1130" s="912"/>
      <c r="U1130" s="190">
        <f t="shared" ca="1" si="286"/>
        <v>411822559.05000007</v>
      </c>
      <c r="V1130" s="64"/>
      <c r="W1130" s="1099" t="b">
        <f ca="1">' WP II-I-1.4'!$L$1130=U1130</f>
        <v>1</v>
      </c>
      <c r="X1130" s="305">
        <f t="shared" ca="1" si="279"/>
        <v>0</v>
      </c>
    </row>
    <row r="1131" spans="1:24" ht="8.1" customHeight="1" x14ac:dyDescent="0.2">
      <c r="A1131" s="45"/>
      <c r="B1131" s="16">
        <f t="shared" si="284"/>
        <v>16</v>
      </c>
      <c r="C1131" s="1"/>
      <c r="D1131" s="1"/>
      <c r="E1131" s="16"/>
      <c r="F1131" s="100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00"/>
      <c r="V1131" s="64"/>
      <c r="X1131" s="305">
        <f t="shared" si="279"/>
        <v>0</v>
      </c>
    </row>
    <row r="1132" spans="1:24" ht="15" x14ac:dyDescent="0.25">
      <c r="A1132" s="45"/>
      <c r="B1132" s="16">
        <f t="shared" si="284"/>
        <v>17</v>
      </c>
      <c r="C1132" s="8"/>
      <c r="D1132" s="8" t="s">
        <v>304</v>
      </c>
      <c r="E1132" s="1005" t="s">
        <v>299</v>
      </c>
      <c r="F1132" s="805"/>
      <c r="G1132" s="1005"/>
      <c r="H1132" s="1005"/>
      <c r="I1132" s="1005"/>
      <c r="J1132" s="1005"/>
      <c r="K1132" s="961"/>
      <c r="L1132" s="961"/>
      <c r="M1132" s="961"/>
      <c r="N1132" s="961"/>
      <c r="O1132" s="961"/>
      <c r="P1132" s="961"/>
      <c r="Q1132" s="961"/>
      <c r="R1132" s="961"/>
      <c r="S1132" s="961"/>
      <c r="T1132" s="912"/>
      <c r="U1132" s="8"/>
      <c r="V1132" s="64"/>
      <c r="X1132" s="305">
        <f t="shared" si="279"/>
        <v>0</v>
      </c>
    </row>
    <row r="1133" spans="1:24" x14ac:dyDescent="0.2">
      <c r="A1133" s="45"/>
      <c r="B1133" s="16">
        <f t="shared" si="284"/>
        <v>18</v>
      </c>
      <c r="C1133" s="1"/>
      <c r="D1133" s="695" t="s">
        <v>306</v>
      </c>
      <c r="E1133" s="16"/>
      <c r="F1133" s="229">
        <f>' WP II-I-1.4'!L1133</f>
        <v>482164.92</v>
      </c>
      <c r="G1133" s="16" t="s">
        <v>751</v>
      </c>
      <c r="H1133" s="45" t="s">
        <v>303</v>
      </c>
      <c r="I1133" s="16"/>
      <c r="J1133" s="369">
        <f ca="1">'II-I-DIST'!J1133+'II-I-MET'!J1133+'II-I-TBILLTDCS'!J1133</f>
        <v>262257.3738639541</v>
      </c>
      <c r="K1133" s="369">
        <f ca="1">'II-I-DIST'!K1133+'II-I-MET'!K1133+'II-I-TBILLTDCS'!K1133</f>
        <v>8267.2991563327978</v>
      </c>
      <c r="L1133" s="369">
        <f ca="1">'II-I-DIST'!L1133+'II-I-MET'!L1133+'II-I-TBILLTDCS'!L1133</f>
        <v>165945.49069843598</v>
      </c>
      <c r="M1133" s="369">
        <f ca="1">'II-I-DIST'!M1133+'II-I-MET'!M1133+'II-I-TBILLTDCS'!M1133</f>
        <v>317.93380925741224</v>
      </c>
      <c r="N1133" s="369">
        <f ca="1">'II-I-DIST'!N1133+'II-I-MET'!N1133+'II-I-TBILLTDCS'!N1133</f>
        <v>32291.17695873569</v>
      </c>
      <c r="O1133" s="369">
        <f ca="1">'II-I-DIST'!O1133+'II-I-MET'!O1133+'II-I-TBILLTDCS'!O1133</f>
        <v>3598.4826842610928</v>
      </c>
      <c r="P1133" s="369">
        <f ca="1">'II-I-DIST'!P1133+'II-I-MET'!P1133+'II-I-TBILLTDCS'!P1133</f>
        <v>738.03910904441125</v>
      </c>
      <c r="Q1133" s="369">
        <f ca="1">'II-I-DIST'!Q1133+'II-I-MET'!Q1133+'II-I-TBILLTDCS'!Q1133</f>
        <v>7319.160047265138</v>
      </c>
      <c r="R1133" s="369">
        <f ca="1">'II-I-DIST'!R1133+'II-I-MET'!R1133+'II-I-TBILLTDCS'!R1133</f>
        <v>251.55728099464719</v>
      </c>
      <c r="S1133" s="369">
        <f ca="1">'II-I-DIST'!S1133+'II-I-MET'!S1133+'II-I-TBILLTDCS'!S1133</f>
        <v>1178.4063917187314</v>
      </c>
      <c r="T1133" s="16"/>
      <c r="U1133" s="17">
        <f t="shared" ref="U1133:U1136" ca="1" si="288">SUM(I1133:T1133)</f>
        <v>482164.92</v>
      </c>
      <c r="V1133" s="64"/>
      <c r="X1133" s="305">
        <f t="shared" ca="1" si="279"/>
        <v>0</v>
      </c>
    </row>
    <row r="1134" spans="1:24" x14ac:dyDescent="0.2">
      <c r="A1134" s="45"/>
      <c r="B1134" s="16">
        <f t="shared" si="284"/>
        <v>19</v>
      </c>
      <c r="C1134" s="1"/>
      <c r="D1134" s="695" t="s">
        <v>1131</v>
      </c>
      <c r="E1134" s="16"/>
      <c r="F1134" s="229">
        <f>' WP II-I-1.4'!L1134</f>
        <v>3341432.6999999997</v>
      </c>
      <c r="G1134" s="16" t="s">
        <v>751</v>
      </c>
      <c r="H1134" s="45" t="s">
        <v>303</v>
      </c>
      <c r="I1134" s="16"/>
      <c r="J1134" s="369">
        <f ca="1">'II-I-DIST'!J1134+'II-I-MET'!J1134+'II-I-TBILLTDCS'!J1134</f>
        <v>1802058.7975827146</v>
      </c>
      <c r="K1134" s="369">
        <f ca="1">'II-I-DIST'!K1134+'II-I-MET'!K1134+'II-I-TBILLTDCS'!K1134</f>
        <v>91977.20288444242</v>
      </c>
      <c r="L1134" s="369">
        <f ca="1">'II-I-DIST'!L1134+'II-I-MET'!L1134+'II-I-TBILLTDCS'!L1134</f>
        <v>1118338.5236219915</v>
      </c>
      <c r="M1134" s="369">
        <f ca="1">'II-I-DIST'!M1134+'II-I-MET'!M1134+'II-I-TBILLTDCS'!M1134</f>
        <v>9376.1351920393554</v>
      </c>
      <c r="N1134" s="369">
        <f ca="1">'II-I-DIST'!N1134+'II-I-MET'!N1134+'II-I-TBILLTDCS'!N1134</f>
        <v>240925.8684498746</v>
      </c>
      <c r="O1134" s="369">
        <f ca="1">'II-I-DIST'!O1134+'II-I-MET'!O1134+'II-I-TBILLTDCS'!O1134</f>
        <v>22372.962869587358</v>
      </c>
      <c r="P1134" s="369">
        <f ca="1">'II-I-DIST'!P1134+'II-I-MET'!P1134+'II-I-TBILLTDCS'!P1134</f>
        <v>9856.129775626423</v>
      </c>
      <c r="Q1134" s="369">
        <f ca="1">'II-I-DIST'!Q1134+'II-I-MET'!Q1134+'II-I-TBILLTDCS'!Q1134</f>
        <v>37712.484396963147</v>
      </c>
      <c r="R1134" s="369">
        <f ca="1">'II-I-DIST'!R1134+'II-I-MET'!R1134+'II-I-TBILLTDCS'!R1134</f>
        <v>1650.734886059535</v>
      </c>
      <c r="S1134" s="369">
        <f ca="1">'II-I-DIST'!S1134+'II-I-MET'!S1134+'II-I-TBILLTDCS'!S1134</f>
        <v>7163.8603407012297</v>
      </c>
      <c r="T1134" s="16"/>
      <c r="U1134" s="17">
        <f t="shared" ca="1" si="288"/>
        <v>3341432.7</v>
      </c>
      <c r="V1134" s="64"/>
      <c r="X1134" s="305">
        <f t="shared" ca="1" si="279"/>
        <v>0</v>
      </c>
    </row>
    <row r="1135" spans="1:24" x14ac:dyDescent="0.2">
      <c r="A1135" s="45"/>
      <c r="B1135" s="16">
        <f t="shared" si="284"/>
        <v>20</v>
      </c>
      <c r="C1135" s="1"/>
      <c r="D1135" s="695" t="s">
        <v>1132</v>
      </c>
      <c r="E1135" s="16"/>
      <c r="F1135" s="229">
        <f>' WP II-I-1.4'!L1135</f>
        <v>0</v>
      </c>
      <c r="G1135" s="16" t="s">
        <v>751</v>
      </c>
      <c r="H1135" s="45" t="s">
        <v>303</v>
      </c>
      <c r="I1135" s="16"/>
      <c r="J1135" s="369">
        <f ca="1">'II-I-DIST'!J1135+'II-I-MET'!J1135+'II-I-TBILLTDCS'!J1135</f>
        <v>0</v>
      </c>
      <c r="K1135" s="369">
        <f ca="1">'II-I-DIST'!K1135+'II-I-MET'!K1135+'II-I-TBILLTDCS'!K1135</f>
        <v>0</v>
      </c>
      <c r="L1135" s="369">
        <f ca="1">'II-I-DIST'!L1135+'II-I-MET'!L1135+'II-I-TBILLTDCS'!L1135</f>
        <v>0</v>
      </c>
      <c r="M1135" s="369">
        <f ca="1">'II-I-DIST'!M1135+'II-I-MET'!M1135+'II-I-TBILLTDCS'!M1135</f>
        <v>0</v>
      </c>
      <c r="N1135" s="369">
        <f ca="1">'II-I-DIST'!N1135+'II-I-MET'!N1135+'II-I-TBILLTDCS'!N1135</f>
        <v>0</v>
      </c>
      <c r="O1135" s="369">
        <f ca="1">'II-I-DIST'!O1135+'II-I-MET'!O1135+'II-I-TBILLTDCS'!O1135</f>
        <v>0</v>
      </c>
      <c r="P1135" s="369">
        <f ca="1">'II-I-DIST'!P1135+'II-I-MET'!P1135+'II-I-TBILLTDCS'!P1135</f>
        <v>0</v>
      </c>
      <c r="Q1135" s="369">
        <f ca="1">'II-I-DIST'!Q1135+'II-I-MET'!Q1135+'II-I-TBILLTDCS'!Q1135</f>
        <v>0</v>
      </c>
      <c r="R1135" s="369">
        <f ca="1">'II-I-DIST'!R1135+'II-I-MET'!R1135+'II-I-TBILLTDCS'!R1135</f>
        <v>0</v>
      </c>
      <c r="S1135" s="369">
        <f ca="1">'II-I-DIST'!S1135+'II-I-MET'!S1135+'II-I-TBILLTDCS'!S1135</f>
        <v>0</v>
      </c>
      <c r="T1135" s="16"/>
      <c r="U1135" s="17">
        <f t="shared" ca="1" si="288"/>
        <v>0</v>
      </c>
      <c r="V1135" s="64"/>
      <c r="X1135" s="305">
        <f t="shared" ca="1" si="279"/>
        <v>0</v>
      </c>
    </row>
    <row r="1136" spans="1:24" x14ac:dyDescent="0.2">
      <c r="A1136" s="45"/>
      <c r="B1136" s="16">
        <f t="shared" si="284"/>
        <v>21</v>
      </c>
      <c r="C1136" s="1"/>
      <c r="D1136" s="695" t="s">
        <v>1133</v>
      </c>
      <c r="E1136" s="16"/>
      <c r="F1136" s="229">
        <f>' WP II-I-1.4'!L1136</f>
        <v>1182074.28</v>
      </c>
      <c r="G1136" s="16" t="s">
        <v>751</v>
      </c>
      <c r="H1136" s="45" t="s">
        <v>303</v>
      </c>
      <c r="I1136" s="16"/>
      <c r="J1136" s="369">
        <f ca="1">'II-I-DIST'!J1136+'II-I-MET'!J1136+'II-I-TBILLTDCS'!J1136</f>
        <v>625583.9823510159</v>
      </c>
      <c r="K1136" s="369">
        <f ca="1">'II-I-DIST'!K1136+'II-I-MET'!K1136+'II-I-TBILLTDCS'!K1136</f>
        <v>30544.720747880099</v>
      </c>
      <c r="L1136" s="369">
        <f ca="1">'II-I-DIST'!L1136+'II-I-MET'!L1136+'II-I-TBILLTDCS'!L1136</f>
        <v>387758.82291759411</v>
      </c>
      <c r="M1136" s="369">
        <f ca="1">'II-I-DIST'!M1136+'II-I-MET'!M1136+'II-I-TBILLTDCS'!M1136</f>
        <v>3697.9103530903403</v>
      </c>
      <c r="N1136" s="369">
        <f ca="1">'II-I-DIST'!N1136+'II-I-MET'!N1136+'II-I-TBILLTDCS'!N1136</f>
        <v>104429.83444981166</v>
      </c>
      <c r="O1136" s="369">
        <f ca="1">'II-I-DIST'!O1136+'II-I-MET'!O1136+'II-I-TBILLTDCS'!O1136</f>
        <v>11298.267934406729</v>
      </c>
      <c r="P1136" s="369">
        <f ca="1">'II-I-DIST'!P1136+'II-I-MET'!P1136+'II-I-TBILLTDCS'!P1136</f>
        <v>2016.2972915286869</v>
      </c>
      <c r="Q1136" s="369">
        <f ca="1">'II-I-DIST'!Q1136+'II-I-MET'!Q1136+'II-I-TBILLTDCS'!Q1136</f>
        <v>12763.722902140014</v>
      </c>
      <c r="R1136" s="369">
        <f ca="1">'II-I-DIST'!R1136+'II-I-MET'!R1136+'II-I-TBILLTDCS'!R1136</f>
        <v>806.6636229864107</v>
      </c>
      <c r="S1136" s="369">
        <f ca="1">'II-I-DIST'!S1136+'II-I-MET'!S1136+'II-I-TBILLTDCS'!S1136</f>
        <v>3174.0574295460929</v>
      </c>
      <c r="T1136" s="16"/>
      <c r="U1136" s="17">
        <f t="shared" ca="1" si="288"/>
        <v>1182074.28</v>
      </c>
      <c r="V1136" s="64"/>
      <c r="X1136" s="305">
        <f t="shared" ca="1" si="279"/>
        <v>0</v>
      </c>
    </row>
    <row r="1137" spans="1:24" x14ac:dyDescent="0.2">
      <c r="A1137" s="45"/>
      <c r="B1137" s="16">
        <f t="shared" si="284"/>
        <v>22</v>
      </c>
      <c r="C1137" s="1"/>
      <c r="D1137" s="695" t="s">
        <v>1134</v>
      </c>
      <c r="E1137" s="16"/>
      <c r="F1137" s="229">
        <f>' WP II-I-1.4'!L1137</f>
        <v>-11252798.220000003</v>
      </c>
      <c r="G1137" s="16" t="s">
        <v>751</v>
      </c>
      <c r="H1137" s="45" t="s">
        <v>303</v>
      </c>
      <c r="I1137" s="16"/>
      <c r="J1137" s="369">
        <f ca="1">'II-I-DIST'!J1137+'II-I-MET'!J1137+'II-I-TBILLTDCS'!J1137</f>
        <v>-5937928.7396927997</v>
      </c>
      <c r="K1137" s="369">
        <f ca="1">'II-I-DIST'!K1137+'II-I-MET'!K1137+'II-I-TBILLTDCS'!K1137</f>
        <v>-351486.83772856492</v>
      </c>
      <c r="L1137" s="369">
        <f ca="1">'II-I-DIST'!L1137+'II-I-MET'!L1137+'II-I-TBILLTDCS'!L1137</f>
        <v>-3634693.4554427378</v>
      </c>
      <c r="M1137" s="369">
        <f ca="1">'II-I-DIST'!M1137+'II-I-MET'!M1137+'II-I-TBILLTDCS'!M1137</f>
        <v>-46503.510774464477</v>
      </c>
      <c r="N1137" s="369">
        <f ca="1">'II-I-DIST'!N1137+'II-I-MET'!N1137+'II-I-TBILLTDCS'!N1137</f>
        <v>-997228.8449074931</v>
      </c>
      <c r="O1137" s="369">
        <f ca="1">'II-I-DIST'!O1137+'II-I-MET'!O1137+'II-I-TBILLTDCS'!O1137</f>
        <v>-99619.527418508209</v>
      </c>
      <c r="P1137" s="369">
        <f ca="1">'II-I-DIST'!P1137+'II-I-MET'!P1137+'II-I-TBILLTDCS'!P1137</f>
        <v>-30144.871111100903</v>
      </c>
      <c r="Q1137" s="369">
        <f ca="1">'II-I-DIST'!Q1137+'II-I-MET'!Q1137+'II-I-TBILLTDCS'!Q1137</f>
        <v>-120611.05274927377</v>
      </c>
      <c r="R1137" s="369">
        <f ca="1">'II-I-DIST'!R1137+'II-I-MET'!R1137+'II-I-TBILLTDCS'!R1137</f>
        <v>-7132.2623376064676</v>
      </c>
      <c r="S1137" s="369">
        <f ca="1">'II-I-DIST'!S1137+'II-I-MET'!S1137+'II-I-TBILLTDCS'!S1137</f>
        <v>-27449.117837452806</v>
      </c>
      <c r="T1137" s="369">
        <f>'II-I-DIST'!T1137+'II-I-MET'!T1137+'II-I-TBILLTDCS'!T1137</f>
        <v>0</v>
      </c>
      <c r="U1137" s="369">
        <f ca="1">'II-I-DIST'!U1137+'II-I-MET'!U1137+'II-I-TBILLTDCS'!U1137</f>
        <v>-11252798.220000003</v>
      </c>
      <c r="V1137" s="64"/>
      <c r="X1137" s="305">
        <f t="shared" ca="1" si="279"/>
        <v>0</v>
      </c>
    </row>
    <row r="1138" spans="1:24" x14ac:dyDescent="0.2">
      <c r="A1138" s="45"/>
      <c r="B1138" s="16">
        <f t="shared" si="284"/>
        <v>23</v>
      </c>
      <c r="C1138" s="1"/>
      <c r="D1138" t="s">
        <v>1296</v>
      </c>
      <c r="E1138" s="16"/>
      <c r="F1138" s="229">
        <f>' WP II-I-1.4'!L1138</f>
        <v>0</v>
      </c>
      <c r="G1138" s="16" t="s">
        <v>751</v>
      </c>
      <c r="H1138" s="45" t="s">
        <v>303</v>
      </c>
      <c r="I1138" s="16"/>
      <c r="J1138" s="369">
        <f ca="1">'II-I-DIST'!J1138+'II-I-MET'!J1138+'II-I-TBILLTDCS'!J1138</f>
        <v>0</v>
      </c>
      <c r="K1138" s="369">
        <f ca="1">'II-I-DIST'!K1138+'II-I-MET'!K1138+'II-I-TBILLTDCS'!K1138</f>
        <v>0</v>
      </c>
      <c r="L1138" s="369">
        <f ca="1">'II-I-DIST'!L1138+'II-I-MET'!L1138+'II-I-TBILLTDCS'!L1138</f>
        <v>0</v>
      </c>
      <c r="M1138" s="369">
        <f ca="1">'II-I-DIST'!M1138+'II-I-MET'!M1138+'II-I-TBILLTDCS'!M1138</f>
        <v>0</v>
      </c>
      <c r="N1138" s="369">
        <f ca="1">'II-I-DIST'!N1138+'II-I-MET'!N1138+'II-I-TBILLTDCS'!N1138</f>
        <v>0</v>
      </c>
      <c r="O1138" s="369">
        <f ca="1">'II-I-DIST'!O1138+'II-I-MET'!O1138+'II-I-TBILLTDCS'!O1138</f>
        <v>0</v>
      </c>
      <c r="P1138" s="369">
        <f ca="1">'II-I-DIST'!P1138+'II-I-MET'!P1138+'II-I-TBILLTDCS'!P1138</f>
        <v>0</v>
      </c>
      <c r="Q1138" s="369">
        <f ca="1">'II-I-DIST'!Q1138+'II-I-MET'!Q1138+'II-I-TBILLTDCS'!Q1138</f>
        <v>0</v>
      </c>
      <c r="R1138" s="369">
        <f ca="1">'II-I-DIST'!R1138+'II-I-MET'!R1138+'II-I-TBILLTDCS'!R1138</f>
        <v>0</v>
      </c>
      <c r="S1138" s="369">
        <f ca="1">'II-I-DIST'!S1138+'II-I-MET'!S1138+'II-I-TBILLTDCS'!S1138</f>
        <v>0</v>
      </c>
      <c r="T1138" s="369">
        <f>'II-I-DIST'!T1138+'II-I-MET'!T1138+'II-I-TBILLTDCS'!T1138</f>
        <v>0</v>
      </c>
      <c r="U1138" s="369">
        <f ca="1">'II-I-DIST'!U1138+'II-I-MET'!U1138+'II-I-TBILLTDCS'!U1138</f>
        <v>0</v>
      </c>
      <c r="V1138" s="97">
        <f>' WP II-I-1.4'!AB1139</f>
        <v>0</v>
      </c>
      <c r="W1138" s="97">
        <f>' WP II-I-1.4'!AC1139</f>
        <v>0</v>
      </c>
      <c r="X1138" s="97">
        <f>' WP II-I-1.4'!AD1139</f>
        <v>0</v>
      </c>
    </row>
    <row r="1139" spans="1:24" x14ac:dyDescent="0.2">
      <c r="A1139" s="45"/>
      <c r="B1139" s="16">
        <f t="shared" si="284"/>
        <v>24</v>
      </c>
      <c r="C1139" s="1"/>
      <c r="D1139" t="s">
        <v>305</v>
      </c>
      <c r="F1139" s="229">
        <f>' WP II-I-1.4'!L1139</f>
        <v>0</v>
      </c>
      <c r="G1139" s="16" t="s">
        <v>751</v>
      </c>
      <c r="H1139" s="45" t="s">
        <v>303</v>
      </c>
      <c r="I1139" s="16"/>
      <c r="J1139" s="369">
        <f ca="1">'II-I-DIST'!J1139+'II-I-MET'!J1139+'II-I-TBILLTDCS'!J1139</f>
        <v>0</v>
      </c>
      <c r="K1139" s="369">
        <f ca="1">'II-I-DIST'!K1139+'II-I-MET'!K1139+'II-I-TBILLTDCS'!K1139</f>
        <v>0</v>
      </c>
      <c r="L1139" s="369">
        <f ca="1">'II-I-DIST'!L1139+'II-I-MET'!L1139+'II-I-TBILLTDCS'!L1139</f>
        <v>0</v>
      </c>
      <c r="M1139" s="369">
        <f ca="1">'II-I-DIST'!M1139+'II-I-MET'!M1139+'II-I-TBILLTDCS'!M1139</f>
        <v>0</v>
      </c>
      <c r="N1139" s="369">
        <f ca="1">'II-I-DIST'!N1139+'II-I-MET'!N1139+'II-I-TBILLTDCS'!N1139</f>
        <v>0</v>
      </c>
      <c r="O1139" s="369">
        <f ca="1">'II-I-DIST'!O1139+'II-I-MET'!O1139+'II-I-TBILLTDCS'!O1139</f>
        <v>0</v>
      </c>
      <c r="P1139" s="369">
        <f ca="1">'II-I-DIST'!P1139+'II-I-MET'!P1139+'II-I-TBILLTDCS'!P1139</f>
        <v>0</v>
      </c>
      <c r="Q1139" s="369">
        <f ca="1">'II-I-DIST'!Q1139+'II-I-MET'!Q1139+'II-I-TBILLTDCS'!Q1139</f>
        <v>0</v>
      </c>
      <c r="R1139" s="369">
        <f ca="1">'II-I-DIST'!R1139+'II-I-MET'!R1139+'II-I-TBILLTDCS'!R1139</f>
        <v>0</v>
      </c>
      <c r="S1139" s="369">
        <f ca="1">'II-I-DIST'!S1139+'II-I-MET'!S1139+'II-I-TBILLTDCS'!S1139</f>
        <v>0</v>
      </c>
      <c r="T1139" s="369">
        <f>'II-I-DIST'!T1139+'II-I-MET'!T1139+'II-I-TBILLTDCS'!T1139</f>
        <v>0</v>
      </c>
      <c r="U1139" s="369">
        <f ca="1">'II-I-DIST'!U1139+'II-I-MET'!U1139+'II-I-TBILLTDCS'!U1139</f>
        <v>0</v>
      </c>
    </row>
    <row r="1140" spans="1:24" ht="15" x14ac:dyDescent="0.25">
      <c r="A1140" s="45"/>
      <c r="B1140" s="16">
        <f t="shared" si="284"/>
        <v>25</v>
      </c>
      <c r="C1140" s="1"/>
      <c r="D1140" s="233" t="s">
        <v>444</v>
      </c>
      <c r="E1140" s="16"/>
      <c r="F1140" s="805">
        <f>SUM(F1133:F1139)</f>
        <v>-6247126.3200000031</v>
      </c>
      <c r="G1140" s="16"/>
      <c r="H1140" s="16"/>
      <c r="I1140" s="16"/>
      <c r="J1140" s="805">
        <f ca="1">SUM(J1133:J1139)</f>
        <v>-3248028.585895115</v>
      </c>
      <c r="K1140" s="805">
        <f ca="1">SUM(K1133:K1139)</f>
        <v>-220697.6149399096</v>
      </c>
      <c r="L1140" s="805">
        <f t="shared" ref="L1140:R1140" ca="1" si="289">SUM(L1133:L1139)</f>
        <v>-1962650.6182047161</v>
      </c>
      <c r="M1140" s="805">
        <f t="shared" ca="1" si="289"/>
        <v>-33111.531420077372</v>
      </c>
      <c r="N1140" s="805">
        <f t="shared" ca="1" si="289"/>
        <v>-619581.96504907112</v>
      </c>
      <c r="O1140" s="805">
        <f t="shared" ca="1" si="289"/>
        <v>-62349.813930253033</v>
      </c>
      <c r="P1140" s="805">
        <f t="shared" ca="1" si="289"/>
        <v>-17534.40493490138</v>
      </c>
      <c r="Q1140" s="805">
        <f t="shared" ca="1" si="289"/>
        <v>-62815.685402905474</v>
      </c>
      <c r="R1140" s="805">
        <f t="shared" ca="1" si="289"/>
        <v>-4423.306547565875</v>
      </c>
      <c r="S1140" s="805">
        <f ca="1">SUM(S1133:S1139)</f>
        <v>-15932.793675486751</v>
      </c>
      <c r="T1140" s="16"/>
      <c r="U1140" s="190">
        <f ca="1">SUM(I1140:T1140)</f>
        <v>-6247126.3200000022</v>
      </c>
      <c r="V1140" s="64"/>
      <c r="W1140" s="1099">
        <f ca="1">' WP II-I-1.4'!$L$1140-U1140</f>
        <v>0</v>
      </c>
      <c r="X1140" s="305">
        <f ca="1">U1140-F1140</f>
        <v>0</v>
      </c>
    </row>
    <row r="1141" spans="1:24" ht="8.4499999999999993" customHeight="1" x14ac:dyDescent="0.25">
      <c r="A1141" s="45"/>
      <c r="B1141" s="16">
        <f t="shared" si="284"/>
        <v>26</v>
      </c>
      <c r="C1141" s="1"/>
      <c r="D1141" s="233"/>
      <c r="E1141" s="16"/>
      <c r="F1141" s="805"/>
      <c r="G1141" s="16"/>
      <c r="H1141" s="16"/>
      <c r="I1141" s="16"/>
      <c r="J1141" s="805"/>
      <c r="K1141" s="805"/>
      <c r="L1141" s="805"/>
      <c r="M1141" s="805"/>
      <c r="N1141" s="805"/>
      <c r="O1141" s="805"/>
      <c r="P1141" s="805"/>
      <c r="Q1141" s="805"/>
      <c r="R1141" s="805"/>
      <c r="S1141" s="805"/>
      <c r="T1141" s="16"/>
      <c r="U1141" s="190"/>
      <c r="V1141" s="64"/>
      <c r="W1141" s="1099"/>
      <c r="X1141" s="305"/>
    </row>
    <row r="1142" spans="1:24" ht="15.6" customHeight="1" x14ac:dyDescent="0.25">
      <c r="A1142" s="45"/>
      <c r="B1142" s="16">
        <f t="shared" si="284"/>
        <v>27</v>
      </c>
      <c r="C1142" s="8"/>
      <c r="D1142" s="8" t="s">
        <v>402</v>
      </c>
      <c r="E1142" s="1005"/>
      <c r="F1142" s="805">
        <f>+F1118-F1130+F1140</f>
        <v>641087637.55436754</v>
      </c>
      <c r="G1142" s="1005"/>
      <c r="H1142" s="1005"/>
      <c r="I1142" s="1005"/>
      <c r="J1142" s="805">
        <f t="shared" ref="J1142:S1142" ca="1" si="290">+J1118-J1130+J1140</f>
        <v>348363802.38586789</v>
      </c>
      <c r="K1142" s="805">
        <f t="shared" ca="1" si="290"/>
        <v>10707030.698455645</v>
      </c>
      <c r="L1142" s="805">
        <f t="shared" ca="1" si="290"/>
        <v>221615479.06763902</v>
      </c>
      <c r="M1142" s="805">
        <f t="shared" ca="1" si="290"/>
        <v>378248.58158303791</v>
      </c>
      <c r="N1142" s="805">
        <f t="shared" ca="1" si="290"/>
        <v>42829000.595146872</v>
      </c>
      <c r="O1142" s="805">
        <f t="shared" ca="1" si="290"/>
        <v>4819121.2598825749</v>
      </c>
      <c r="P1142" s="805">
        <f t="shared" ca="1" si="290"/>
        <v>1369129.8003996182</v>
      </c>
      <c r="Q1142" s="805">
        <f t="shared" ca="1" si="290"/>
        <v>9101513.8050624188</v>
      </c>
      <c r="R1142" s="805">
        <f t="shared" ca="1" si="290"/>
        <v>338881.43878161657</v>
      </c>
      <c r="S1142" s="805">
        <f t="shared" ca="1" si="290"/>
        <v>1565429.9215489065</v>
      </c>
      <c r="T1142" s="912"/>
      <c r="U1142" s="190">
        <f ca="1">SUM(I1142:T1142)</f>
        <v>641087637.55436766</v>
      </c>
      <c r="V1142" s="64"/>
      <c r="W1142" s="1099" t="b">
        <f ca="1">' WP II-I-1.4'!$L$1142=U1142</f>
        <v>1</v>
      </c>
      <c r="X1142" s="305">
        <f t="shared" ca="1" si="279"/>
        <v>0</v>
      </c>
    </row>
    <row r="1143" spans="1:24" ht="15" x14ac:dyDescent="0.25">
      <c r="A1143" s="45"/>
      <c r="B1143" s="16">
        <f t="shared" si="284"/>
        <v>28</v>
      </c>
      <c r="C1143" s="8"/>
      <c r="D1143" s="8" t="s">
        <v>403</v>
      </c>
      <c r="E1143" s="1005" t="s">
        <v>299</v>
      </c>
      <c r="F1143" s="99">
        <f>0.21/(1-0.21)</f>
        <v>0.26582278481012656</v>
      </c>
      <c r="G1143" s="1005"/>
      <c r="H1143" s="1005"/>
      <c r="I1143" s="1005"/>
      <c r="J1143" s="99">
        <f t="shared" ref="J1143:S1143" si="291">0.21/(1-0.21)</f>
        <v>0.26582278481012656</v>
      </c>
      <c r="K1143" s="99">
        <f t="shared" si="291"/>
        <v>0.26582278481012656</v>
      </c>
      <c r="L1143" s="99">
        <f t="shared" si="291"/>
        <v>0.26582278481012656</v>
      </c>
      <c r="M1143" s="99">
        <f t="shared" si="291"/>
        <v>0.26582278481012656</v>
      </c>
      <c r="N1143" s="99">
        <f t="shared" si="291"/>
        <v>0.26582278481012656</v>
      </c>
      <c r="O1143" s="99">
        <f t="shared" si="291"/>
        <v>0.26582278481012656</v>
      </c>
      <c r="P1143" s="99">
        <f t="shared" si="291"/>
        <v>0.26582278481012656</v>
      </c>
      <c r="Q1143" s="99">
        <f t="shared" si="291"/>
        <v>0.26582278481012656</v>
      </c>
      <c r="R1143" s="99">
        <f t="shared" si="291"/>
        <v>0.26582278481012656</v>
      </c>
      <c r="S1143" s="99">
        <f t="shared" si="291"/>
        <v>0.26582278481012656</v>
      </c>
      <c r="T1143" s="912"/>
      <c r="U1143" s="99">
        <f ca="1">U1145/U1142</f>
        <v>0.26582278481012656</v>
      </c>
      <c r="V1143" s="64"/>
      <c r="X1143" s="305">
        <f t="shared" ca="1" si="279"/>
        <v>0</v>
      </c>
    </row>
    <row r="1144" spans="1:24" ht="11.1" customHeight="1" x14ac:dyDescent="0.25">
      <c r="A1144" s="45"/>
      <c r="B1144" s="16">
        <f t="shared" si="284"/>
        <v>29</v>
      </c>
      <c r="C1144" s="1"/>
      <c r="D1144" s="1"/>
      <c r="E1144" s="16"/>
      <c r="F1144" s="18"/>
      <c r="G1144" s="16"/>
      <c r="H1144" s="16"/>
      <c r="I1144" s="16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6"/>
      <c r="U1144" s="8"/>
      <c r="V1144" s="64"/>
      <c r="X1144" s="305">
        <f t="shared" si="279"/>
        <v>0</v>
      </c>
    </row>
    <row r="1145" spans="1:24" ht="15" x14ac:dyDescent="0.25">
      <c r="A1145" s="45"/>
      <c r="B1145" s="16">
        <f t="shared" si="284"/>
        <v>30</v>
      </c>
      <c r="C1145" s="8"/>
      <c r="D1145" s="8" t="s">
        <v>666</v>
      </c>
      <c r="E1145" s="1005"/>
      <c r="F1145" s="805">
        <f>+F1142*F1143</f>
        <v>170415701.12204704</v>
      </c>
      <c r="G1145" s="1005"/>
      <c r="H1145" s="1005"/>
      <c r="I1145" s="1005"/>
      <c r="J1145" s="805">
        <f t="shared" ref="J1145:Q1145" ca="1" si="292">+J1142*J1143</f>
        <v>92603036.077256009</v>
      </c>
      <c r="K1145" s="805">
        <f t="shared" ca="1" si="292"/>
        <v>2846172.7173109939</v>
      </c>
      <c r="L1145" s="805">
        <f t="shared" ca="1" si="292"/>
        <v>58910443.802790113</v>
      </c>
      <c r="M1145" s="805">
        <f t="shared" ca="1" si="292"/>
        <v>100547.09130688349</v>
      </c>
      <c r="N1145" s="805">
        <f t="shared" ca="1" si="292"/>
        <v>11384924.208836509</v>
      </c>
      <c r="O1145" s="805">
        <f ca="1">+O1142*O1143</f>
        <v>1281032.2336396717</v>
      </c>
      <c r="P1145" s="805">
        <f t="shared" ca="1" si="292"/>
        <v>363945.89630875923</v>
      </c>
      <c r="Q1145" s="805">
        <f t="shared" ca="1" si="292"/>
        <v>2419389.7456495035</v>
      </c>
      <c r="R1145" s="805">
        <f ca="1">+R1142*R1143</f>
        <v>90082.407777391738</v>
      </c>
      <c r="S1145" s="805">
        <f ca="1">+S1142*S1143</f>
        <v>416126.94117122825</v>
      </c>
      <c r="T1145" s="912"/>
      <c r="U1145" s="190">
        <f ca="1">SUM(I1145:T1145)</f>
        <v>170415701.12204707</v>
      </c>
      <c r="V1145" s="64"/>
      <c r="W1145" s="1099" t="b">
        <f ca="1">' WP II-I-1.4'!$L$1145=U1145</f>
        <v>1</v>
      </c>
      <c r="X1145" s="305">
        <f t="shared" ca="1" si="279"/>
        <v>0</v>
      </c>
    </row>
    <row r="1146" spans="1:24" ht="11.45" customHeight="1" x14ac:dyDescent="0.2">
      <c r="A1146" s="45"/>
      <c r="B1146" s="16">
        <f t="shared" si="284"/>
        <v>31</v>
      </c>
      <c r="C1146" s="1"/>
      <c r="D1146" s="1"/>
      <c r="E1146" s="16"/>
      <c r="F1146" s="18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"/>
      <c r="V1146" s="64"/>
      <c r="X1146" s="305">
        <f t="shared" si="279"/>
        <v>0</v>
      </c>
    </row>
    <row r="1147" spans="1:24" ht="15" x14ac:dyDescent="0.25">
      <c r="A1147" s="45"/>
      <c r="B1147" s="16">
        <f t="shared" si="284"/>
        <v>32</v>
      </c>
      <c r="C1147" s="8"/>
      <c r="D1147" s="8" t="s">
        <v>307</v>
      </c>
      <c r="E1147" s="1005" t="s">
        <v>299</v>
      </c>
      <c r="F1147" s="805"/>
      <c r="G1147" s="1005"/>
      <c r="H1147" s="1005"/>
      <c r="I1147" s="1005"/>
      <c r="J1147" s="1005"/>
      <c r="K1147" s="961"/>
      <c r="L1147" s="961"/>
      <c r="M1147" s="961"/>
      <c r="N1147" s="961"/>
      <c r="O1147" s="961"/>
      <c r="P1147" s="961"/>
      <c r="Q1147" s="961"/>
      <c r="R1147" s="961"/>
      <c r="S1147" s="961"/>
      <c r="T1147" s="912"/>
      <c r="U1147" s="8"/>
      <c r="V1147" s="64"/>
      <c r="X1147" s="305">
        <f t="shared" si="279"/>
        <v>0</v>
      </c>
    </row>
    <row r="1148" spans="1:24" x14ac:dyDescent="0.2">
      <c r="A1148" s="45"/>
      <c r="B1148" s="16">
        <f t="shared" si="284"/>
        <v>33</v>
      </c>
      <c r="C1148" s="1"/>
      <c r="D1148" s="695" t="s">
        <v>302</v>
      </c>
      <c r="E1148" s="16"/>
      <c r="F1148" s="229">
        <f>' WP II-I-1.4'!L1148</f>
        <v>0</v>
      </c>
      <c r="G1148" s="16" t="s">
        <v>751</v>
      </c>
      <c r="H1148" s="45" t="s">
        <v>303</v>
      </c>
      <c r="I1148" s="16"/>
      <c r="J1148" s="369">
        <f ca="1">'II-I-DIST'!J1148+'II-I-MET'!J1148+'II-I-TBILLTDCS'!J1148</f>
        <v>0</v>
      </c>
      <c r="K1148" s="369">
        <f ca="1">'II-I-DIST'!K1148+'II-I-MET'!K1148+'II-I-TBILLTDCS'!K1148</f>
        <v>0</v>
      </c>
      <c r="L1148" s="369">
        <f ca="1">'II-I-DIST'!L1148+'II-I-MET'!L1148+'II-I-TBILLTDCS'!L1148</f>
        <v>0</v>
      </c>
      <c r="M1148" s="369">
        <f ca="1">'II-I-DIST'!M1148+'II-I-MET'!M1148+'II-I-TBILLTDCS'!M1148</f>
        <v>0</v>
      </c>
      <c r="N1148" s="369">
        <f ca="1">'II-I-DIST'!N1148+'II-I-MET'!N1148+'II-I-TBILLTDCS'!N1148</f>
        <v>0</v>
      </c>
      <c r="O1148" s="369">
        <f ca="1">'II-I-DIST'!O1148+'II-I-MET'!O1148+'II-I-TBILLTDCS'!O1148</f>
        <v>0</v>
      </c>
      <c r="P1148" s="369">
        <f ca="1">'II-I-DIST'!P1148+'II-I-MET'!P1148+'II-I-TBILLTDCS'!P1148</f>
        <v>0</v>
      </c>
      <c r="Q1148" s="369">
        <f ca="1">'II-I-DIST'!Q1148+'II-I-MET'!Q1148+'II-I-TBILLTDCS'!Q1148</f>
        <v>0</v>
      </c>
      <c r="R1148" s="369">
        <f ca="1">'II-I-DIST'!R1148+'II-I-MET'!R1148+'II-I-TBILLTDCS'!R1148</f>
        <v>0</v>
      </c>
      <c r="S1148" s="369">
        <f ca="1">'II-I-DIST'!S1148+'II-I-MET'!S1148+'II-I-TBILLTDCS'!S1148</f>
        <v>0</v>
      </c>
      <c r="T1148" s="16"/>
      <c r="U1148" s="17">
        <f ca="1">SUM(I1148:T1148)</f>
        <v>0</v>
      </c>
      <c r="V1148" s="64"/>
      <c r="X1148" s="305">
        <f t="shared" ca="1" si="279"/>
        <v>0</v>
      </c>
    </row>
    <row r="1149" spans="1:24" x14ac:dyDescent="0.2">
      <c r="A1149" s="45"/>
      <c r="B1149" s="16">
        <f t="shared" si="284"/>
        <v>34</v>
      </c>
      <c r="C1149" s="1"/>
      <c r="D1149" s="695" t="s">
        <v>1128</v>
      </c>
      <c r="E1149" s="16"/>
      <c r="F1149" s="229">
        <f>' WP II-I-1.4'!L1149</f>
        <v>8331346.4299999988</v>
      </c>
      <c r="G1149" s="16"/>
      <c r="H1149" s="45"/>
      <c r="I1149" s="16"/>
      <c r="J1149" s="369">
        <f ca="1">'II-I-DIST'!J1149+'II-I-MET'!J1149+'II-I-TBILLTDCS'!J1149</f>
        <v>4524520.3030983079</v>
      </c>
      <c r="K1149" s="369">
        <f ca="1">'II-I-DIST'!K1149+'II-I-MET'!K1149+'II-I-TBILLTDCS'!K1149</f>
        <v>141562.63810931478</v>
      </c>
      <c r="L1149" s="369">
        <f ca="1">'II-I-DIST'!L1149+'II-I-MET'!L1149+'II-I-TBILLTDCS'!L1149</f>
        <v>2876217.7590244664</v>
      </c>
      <c r="M1149" s="369">
        <f ca="1">'II-I-DIST'!M1149+'II-I-MET'!M1149+'II-I-TBILLTDCS'!M1149</f>
        <v>5483.2653415431578</v>
      </c>
      <c r="N1149" s="369">
        <f ca="1">'II-I-DIST'!N1149+'II-I-MET'!N1149+'II-I-TBILLTDCS'!N1149</f>
        <v>559559.56688553165</v>
      </c>
      <c r="O1149" s="369">
        <f ca="1">'II-I-DIST'!O1149+'II-I-MET'!O1149+'II-I-TBILLTDCS'!O1149</f>
        <v>62744.591324171379</v>
      </c>
      <c r="P1149" s="369">
        <f ca="1">'II-I-DIST'!P1149+'II-I-MET'!P1149+'II-I-TBILLTDCS'!P1149</f>
        <v>17918.643610113402</v>
      </c>
      <c r="Q1149" s="369">
        <f ca="1">'II-I-DIST'!Q1149+'II-I-MET'!Q1149+'II-I-TBILLTDCS'!Q1149</f>
        <v>118601.77267098134</v>
      </c>
      <c r="R1149" s="369">
        <f ca="1">'II-I-DIST'!R1149+'II-I-MET'!R1149+'II-I-TBILLTDCS'!R1149</f>
        <v>4414.5321511354068</v>
      </c>
      <c r="S1149" s="369">
        <f ca="1">'II-I-DIST'!S1149+'II-I-MET'!S1149+'II-I-TBILLTDCS'!S1149</f>
        <v>20323.357784435288</v>
      </c>
      <c r="T1149" s="16"/>
      <c r="U1149" s="17">
        <f t="shared" ref="U1149:U1152" ca="1" si="293">SUM(I1149:T1149)</f>
        <v>8331346.4300000016</v>
      </c>
      <c r="V1149" s="64"/>
      <c r="X1149" s="305">
        <f t="shared" ref="X1149:X1152" ca="1" si="294">U1149-F1149</f>
        <v>0</v>
      </c>
    </row>
    <row r="1150" spans="1:24" x14ac:dyDescent="0.2">
      <c r="A1150" s="45"/>
      <c r="B1150" s="16">
        <f t="shared" si="284"/>
        <v>35</v>
      </c>
      <c r="C1150" s="1"/>
      <c r="D1150" s="695" t="s">
        <v>1129</v>
      </c>
      <c r="E1150" s="16"/>
      <c r="F1150" s="229">
        <f>' WP II-I-1.4'!L1150</f>
        <v>21107915.699999999</v>
      </c>
      <c r="G1150" s="16" t="s">
        <v>751</v>
      </c>
      <c r="H1150" s="45" t="s">
        <v>303</v>
      </c>
      <c r="I1150" s="16"/>
      <c r="J1150" s="369">
        <f ca="1">'II-I-DIST'!J1150+'II-I-MET'!J1150+'II-I-TBILLTDCS'!J1150</f>
        <v>11453640.572351085</v>
      </c>
      <c r="K1150" s="369">
        <f ca="1">'II-I-DIST'!K1150+'II-I-MET'!K1150+'II-I-TBILLTDCS'!K1150</f>
        <v>434947.76229786692</v>
      </c>
      <c r="L1150" s="369">
        <f ca="1">'II-I-DIST'!L1150+'II-I-MET'!L1150+'II-I-TBILLTDCS'!L1150</f>
        <v>7224307.5601586392</v>
      </c>
      <c r="M1150" s="369">
        <f ca="1">'II-I-DIST'!M1150+'II-I-MET'!M1150+'II-I-TBILLTDCS'!M1150</f>
        <v>29396.838237148757</v>
      </c>
      <c r="N1150" s="369">
        <f ca="1">'II-I-DIST'!N1150+'II-I-MET'!N1150+'II-I-TBILLTDCS'!N1150</f>
        <v>1455880.8613588004</v>
      </c>
      <c r="O1150" s="369">
        <f ca="1">'II-I-DIST'!O1150+'II-I-MET'!O1150+'II-I-TBILLTDCS'!O1150</f>
        <v>153217.86608766814</v>
      </c>
      <c r="P1150" s="369">
        <f ca="1">'II-I-DIST'!P1150+'II-I-MET'!P1150+'II-I-TBILLTDCS'!P1150</f>
        <v>51102.480033696629</v>
      </c>
      <c r="Q1150" s="369">
        <f ca="1">'II-I-DIST'!Q1150+'II-I-MET'!Q1150+'II-I-TBILLTDCS'!Q1150</f>
        <v>244993.47206840187</v>
      </c>
      <c r="R1150" s="369">
        <f ca="1">'II-I-DIST'!R1150+'II-I-MET'!R1150+'II-I-TBILLTDCS'!R1150</f>
        <v>10952.765746032355</v>
      </c>
      <c r="S1150" s="369">
        <f ca="1">'II-I-DIST'!S1150+'II-I-MET'!S1150+'II-I-TBILLTDCS'!S1150</f>
        <v>49475.521660661594</v>
      </c>
      <c r="T1150" s="16"/>
      <c r="U1150" s="17">
        <f t="shared" ca="1" si="293"/>
        <v>21107915.699999999</v>
      </c>
      <c r="V1150" s="64"/>
      <c r="X1150" s="305">
        <f t="shared" ca="1" si="294"/>
        <v>0</v>
      </c>
    </row>
    <row r="1151" spans="1:24" x14ac:dyDescent="0.2">
      <c r="A1151" s="45"/>
      <c r="B1151" s="16">
        <f t="shared" si="284"/>
        <v>36</v>
      </c>
      <c r="C1151" s="1"/>
      <c r="D1151" s="695" t="s">
        <v>1130</v>
      </c>
      <c r="E1151" s="16"/>
      <c r="F1151" s="229">
        <f>' WP II-I-1.4'!L1151</f>
        <v>-3323671.09</v>
      </c>
      <c r="G1151" s="16"/>
      <c r="H1151" s="45"/>
      <c r="I1151" s="16"/>
      <c r="J1151" s="369">
        <f ca="1">'II-I-DIST'!J1151+'II-I-MET'!J1151+'II-I-TBILLTDCS'!J1151</f>
        <v>-1804992.4405930091</v>
      </c>
      <c r="K1151" s="369">
        <f ca="1">'II-I-DIST'!K1151+'II-I-MET'!K1151+'II-I-TBILLTDCS'!K1151</f>
        <v>-56474.383177747557</v>
      </c>
      <c r="L1151" s="369">
        <f ca="1">'II-I-DIST'!L1151+'II-I-MET'!L1151+'II-I-TBILLTDCS'!L1151</f>
        <v>-1147425.796213805</v>
      </c>
      <c r="M1151" s="369">
        <f ca="1">'II-I-DIST'!M1151+'II-I-MET'!M1151+'II-I-TBILLTDCS'!M1151</f>
        <v>-2187.47008702531</v>
      </c>
      <c r="N1151" s="369">
        <f ca="1">'II-I-DIST'!N1151+'II-I-MET'!N1151+'II-I-TBILLTDCS'!N1151</f>
        <v>-223228.25878849719</v>
      </c>
      <c r="O1151" s="369">
        <f ca="1">'II-I-DIST'!O1151+'II-I-MET'!O1151+'II-I-TBILLTDCS'!O1151</f>
        <v>-25031.054193810221</v>
      </c>
      <c r="P1151" s="369">
        <f ca="1">'II-I-DIST'!P1151+'II-I-MET'!P1151+'II-I-TBILLTDCS'!P1151</f>
        <v>-7148.3857340353989</v>
      </c>
      <c r="Q1151" s="369">
        <f ca="1">'II-I-DIST'!Q1151+'II-I-MET'!Q1151+'II-I-TBILLTDCS'!Q1151</f>
        <v>-47314.475062424783</v>
      </c>
      <c r="R1151" s="369">
        <f ca="1">'II-I-DIST'!R1151+'II-I-MET'!R1151+'II-I-TBILLTDCS'!R1151</f>
        <v>-1761.1142447660056</v>
      </c>
      <c r="S1151" s="369">
        <f ca="1">'II-I-DIST'!S1151+'II-I-MET'!S1151+'II-I-TBILLTDCS'!S1151</f>
        <v>-8107.7119048790537</v>
      </c>
      <c r="T1151" s="16"/>
      <c r="U1151" s="17">
        <f t="shared" ca="1" si="293"/>
        <v>-3323671.0899999994</v>
      </c>
      <c r="V1151" s="64"/>
      <c r="X1151" s="305">
        <f t="shared" ca="1" si="294"/>
        <v>0</v>
      </c>
    </row>
    <row r="1152" spans="1:24" x14ac:dyDescent="0.2">
      <c r="A1152" s="45"/>
      <c r="B1152" s="16">
        <f t="shared" si="284"/>
        <v>37</v>
      </c>
      <c r="C1152" s="1"/>
      <c r="D1152" s="695" t="s">
        <v>1303</v>
      </c>
      <c r="E1152" s="16"/>
      <c r="F1152" s="229">
        <f>' WP II-I-1.4'!L1152</f>
        <v>43257.38</v>
      </c>
      <c r="G1152" s="16"/>
      <c r="H1152" s="45"/>
      <c r="I1152" s="16"/>
      <c r="J1152" s="369">
        <f ca="1">'II-I-DIST'!J1152+'II-I-MET'!J1152+'II-I-TBILLTDCS'!J1152</f>
        <v>23491.868971422304</v>
      </c>
      <c r="K1152" s="369">
        <f ca="1">'II-I-DIST'!K1152+'II-I-MET'!K1152+'II-I-TBILLTDCS'!K1152</f>
        <v>735.01012509649468</v>
      </c>
      <c r="L1152" s="369">
        <f ca="1">'II-I-DIST'!L1152+'II-I-MET'!L1152+'II-I-TBILLTDCS'!L1152</f>
        <v>14933.678807709293</v>
      </c>
      <c r="M1152" s="369">
        <f ca="1">'II-I-DIST'!M1152+'II-I-MET'!M1152+'II-I-TBILLTDCS'!M1152</f>
        <v>28.469671476223141</v>
      </c>
      <c r="N1152" s="369">
        <f ca="1">'II-I-DIST'!N1152+'II-I-MET'!N1152+'II-I-TBILLTDCS'!N1152</f>
        <v>2905.3021792766617</v>
      </c>
      <c r="O1152" s="369">
        <f ca="1">'II-I-DIST'!O1152+'II-I-MET'!O1152+'II-I-TBILLTDCS'!O1152</f>
        <v>325.77772227119766</v>
      </c>
      <c r="P1152" s="369">
        <f ca="1">'II-I-DIST'!P1152+'II-I-MET'!P1152+'II-I-TBILLTDCS'!P1152</f>
        <v>93.035765750881239</v>
      </c>
      <c r="Q1152" s="369">
        <f ca="1">'II-I-DIST'!Q1152+'II-I-MET'!Q1152+'II-I-TBILLTDCS'!Q1152</f>
        <v>615.79455481627599</v>
      </c>
      <c r="R1152" s="369">
        <f ca="1">'II-I-DIST'!R1152+'II-I-MET'!R1152+'II-I-TBILLTDCS'!R1152</f>
        <v>22.920798867653076</v>
      </c>
      <c r="S1152" s="369">
        <f ca="1">'II-I-DIST'!S1152+'II-I-MET'!S1152+'II-I-TBILLTDCS'!S1152</f>
        <v>105.52140331302073</v>
      </c>
      <c r="T1152" s="16"/>
      <c r="U1152" s="17">
        <f t="shared" ca="1" si="293"/>
        <v>43257.37999999999</v>
      </c>
      <c r="V1152" s="64"/>
      <c r="X1152" s="305">
        <f t="shared" ca="1" si="294"/>
        <v>0</v>
      </c>
    </row>
    <row r="1153" spans="1:24" ht="15" x14ac:dyDescent="0.25">
      <c r="A1153" s="45"/>
      <c r="B1153" s="16">
        <f t="shared" si="284"/>
        <v>38</v>
      </c>
      <c r="C1153" s="1"/>
      <c r="D1153" s="233" t="s">
        <v>444</v>
      </c>
      <c r="E1153" s="16"/>
      <c r="F1153" s="805">
        <f>SUM(F1148:F1152)</f>
        <v>26158848.419999998</v>
      </c>
      <c r="G1153" s="16"/>
      <c r="H1153" s="16"/>
      <c r="I1153" s="16"/>
      <c r="J1153" s="805">
        <f ca="1">SUM(J1148:J1152)</f>
        <v>14196660.303827805</v>
      </c>
      <c r="K1153" s="805">
        <f t="shared" ref="K1153:U1153" ca="1" si="295">SUM(K1148:K1152)</f>
        <v>520771.02735453064</v>
      </c>
      <c r="L1153" s="805">
        <f t="shared" ca="1" si="295"/>
        <v>8968033.2017770093</v>
      </c>
      <c r="M1153" s="805">
        <f t="shared" ca="1" si="295"/>
        <v>32721.10316314283</v>
      </c>
      <c r="N1153" s="805">
        <f t="shared" ca="1" si="295"/>
        <v>1795117.4716351116</v>
      </c>
      <c r="O1153" s="805">
        <f t="shared" ca="1" si="295"/>
        <v>191257.18094030049</v>
      </c>
      <c r="P1153" s="805">
        <f t="shared" ca="1" si="295"/>
        <v>61965.77367552551</v>
      </c>
      <c r="Q1153" s="805">
        <f t="shared" ca="1" si="295"/>
        <v>316896.56423177471</v>
      </c>
      <c r="R1153" s="805">
        <f t="shared" ca="1" si="295"/>
        <v>13629.10445126941</v>
      </c>
      <c r="S1153" s="805">
        <f t="shared" ca="1" si="295"/>
        <v>61796.688943530848</v>
      </c>
      <c r="T1153" s="805">
        <f t="shared" si="295"/>
        <v>0</v>
      </c>
      <c r="U1153" s="805">
        <f t="shared" ca="1" si="295"/>
        <v>26158848.420000002</v>
      </c>
      <c r="V1153" s="64"/>
      <c r="W1153" s="1099" t="b">
        <f ca="1">' WP II-I-1.4'!$L$1153=U1153</f>
        <v>1</v>
      </c>
      <c r="X1153" s="305">
        <f t="shared" ca="1" si="279"/>
        <v>0</v>
      </c>
    </row>
    <row r="1154" spans="1:24" x14ac:dyDescent="0.2">
      <c r="A1154" s="45"/>
      <c r="B1154" s="16">
        <f t="shared" si="284"/>
        <v>39</v>
      </c>
      <c r="C1154" s="1"/>
      <c r="D1154" s="1"/>
      <c r="E1154" s="16"/>
      <c r="F1154" s="230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7"/>
      <c r="V1154" s="64"/>
      <c r="X1154" s="305">
        <f t="shared" si="279"/>
        <v>0</v>
      </c>
    </row>
    <row r="1155" spans="1:24" ht="15" x14ac:dyDescent="0.25">
      <c r="A1155" s="45"/>
      <c r="B1155" s="16">
        <f t="shared" si="284"/>
        <v>40</v>
      </c>
      <c r="C1155" s="8"/>
      <c r="D1155" s="8" t="s">
        <v>308</v>
      </c>
      <c r="E1155" s="1005" t="s">
        <v>299</v>
      </c>
      <c r="F1155" s="805"/>
      <c r="G1155" s="1005"/>
      <c r="H1155" s="1005"/>
      <c r="I1155" s="1005"/>
      <c r="J1155" s="1005"/>
      <c r="K1155" s="961"/>
      <c r="L1155" s="961"/>
      <c r="M1155" s="961"/>
      <c r="N1155" s="961"/>
      <c r="O1155" s="961"/>
      <c r="P1155" s="961"/>
      <c r="Q1155" s="961"/>
      <c r="R1155" s="961"/>
      <c r="S1155" s="961"/>
      <c r="T1155" s="912"/>
      <c r="U1155" s="17"/>
      <c r="V1155" s="64"/>
      <c r="X1155" s="305">
        <f t="shared" si="279"/>
        <v>0</v>
      </c>
    </row>
    <row r="1156" spans="1:24" x14ac:dyDescent="0.2">
      <c r="A1156" s="45"/>
      <c r="B1156" s="16">
        <f t="shared" si="284"/>
        <v>41</v>
      </c>
      <c r="C1156" s="1"/>
      <c r="D1156" s="695" t="s">
        <v>306</v>
      </c>
      <c r="E1156" s="16"/>
      <c r="F1156" s="229">
        <f>' WP II-I-1.4'!L1156</f>
        <v>482164.92</v>
      </c>
      <c r="G1156" s="16" t="s">
        <v>751</v>
      </c>
      <c r="H1156" s="45" t="s">
        <v>303</v>
      </c>
      <c r="I1156" s="16"/>
      <c r="J1156" s="369">
        <f ca="1">'II-I-DIST'!J1156+'II-I-MET'!J1156+'II-I-TBILLTDCS'!J1156</f>
        <v>261850.2290134253</v>
      </c>
      <c r="K1156" s="369">
        <f ca="1">'II-I-DIST'!K1156+'II-I-MET'!K1156+'II-I-TBILLTDCS'!K1156</f>
        <v>8192.7378096375214</v>
      </c>
      <c r="L1156" s="369">
        <f ca="1">'II-I-DIST'!L1156+'II-I-MET'!L1156+'II-I-TBILLTDCS'!L1156</f>
        <v>166457.04493605744</v>
      </c>
      <c r="M1156" s="369">
        <f ca="1">'II-I-DIST'!M1156+'II-I-MET'!M1156+'II-I-TBILLTDCS'!M1156</f>
        <v>317.33621645022902</v>
      </c>
      <c r="N1156" s="369">
        <f ca="1">'II-I-DIST'!N1156+'II-I-MET'!N1156+'II-I-TBILLTDCS'!N1156</f>
        <v>32383.72039340101</v>
      </c>
      <c r="O1156" s="369">
        <f ca="1">'II-I-DIST'!O1156+'II-I-MET'!O1156+'II-I-TBILLTDCS'!O1156</f>
        <v>3631.2547087768257</v>
      </c>
      <c r="P1156" s="369">
        <f ca="1">'II-I-DIST'!P1156+'II-I-MET'!P1156+'II-I-TBILLTDCS'!P1156</f>
        <v>1037.0162067847627</v>
      </c>
      <c r="Q1156" s="369">
        <f ca="1">'II-I-DIST'!Q1156+'II-I-MET'!Q1156+'II-I-TBILLTDCS'!Q1156</f>
        <v>6863.9102332218226</v>
      </c>
      <c r="R1156" s="369">
        <f ca="1">'II-I-DIST'!R1156+'II-I-MET'!R1156+'II-I-TBILLTDCS'!R1156</f>
        <v>255.48482034963052</v>
      </c>
      <c r="S1156" s="369">
        <f ca="1">'II-I-DIST'!S1156+'II-I-MET'!S1156+'II-I-TBILLTDCS'!S1156</f>
        <v>1176.185661895523</v>
      </c>
      <c r="T1156" s="16"/>
      <c r="U1156" s="17">
        <f ca="1">SUM(I1156:T1156)</f>
        <v>482164.92000000004</v>
      </c>
      <c r="V1156" s="64"/>
      <c r="W1156" s="1099" t="b">
        <f ca="1">' WP II-I-1.4'!$L$1156=U1156</f>
        <v>1</v>
      </c>
      <c r="X1156" s="305">
        <f t="shared" ca="1" si="279"/>
        <v>0</v>
      </c>
    </row>
    <row r="1157" spans="1:24" x14ac:dyDescent="0.2">
      <c r="A1157" s="45"/>
      <c r="B1157" s="16">
        <f t="shared" si="284"/>
        <v>42</v>
      </c>
      <c r="C1157" s="1"/>
      <c r="D1157" t="s">
        <v>1296</v>
      </c>
      <c r="E1157" s="16"/>
      <c r="F1157" s="229">
        <f>' WP II-I-1.4'!L1157</f>
        <v>0</v>
      </c>
      <c r="G1157" s="16" t="s">
        <v>751</v>
      </c>
      <c r="H1157" s="45" t="s">
        <v>303</v>
      </c>
      <c r="I1157" s="16"/>
      <c r="J1157" s="369">
        <f ca="1">'II-I-DIST'!J1157+'II-I-MET'!J1157+'II-I-TBILLTDCS'!J1157</f>
        <v>0</v>
      </c>
      <c r="K1157" s="369">
        <f ca="1">'II-I-DIST'!K1157+'II-I-MET'!K1157+'II-I-TBILLTDCS'!K1157</f>
        <v>0</v>
      </c>
      <c r="L1157" s="369">
        <f ca="1">'II-I-DIST'!L1157+'II-I-MET'!L1157+'II-I-TBILLTDCS'!L1157</f>
        <v>0</v>
      </c>
      <c r="M1157" s="369">
        <f ca="1">'II-I-DIST'!M1157+'II-I-MET'!M1157+'II-I-TBILLTDCS'!M1157</f>
        <v>0</v>
      </c>
      <c r="N1157" s="369">
        <f ca="1">'II-I-DIST'!N1157+'II-I-MET'!N1157+'II-I-TBILLTDCS'!N1157</f>
        <v>0</v>
      </c>
      <c r="O1157" s="369">
        <f ca="1">'II-I-DIST'!O1157+'II-I-MET'!O1157+'II-I-TBILLTDCS'!O1157</f>
        <v>0</v>
      </c>
      <c r="P1157" s="369">
        <f ca="1">'II-I-DIST'!P1157+'II-I-MET'!P1157+'II-I-TBILLTDCS'!P1157</f>
        <v>0</v>
      </c>
      <c r="Q1157" s="369">
        <f ca="1">'II-I-DIST'!Q1157+'II-I-MET'!Q1157+'II-I-TBILLTDCS'!Q1157</f>
        <v>0</v>
      </c>
      <c r="R1157" s="369">
        <f ca="1">'II-I-DIST'!R1157+'II-I-MET'!R1157+'II-I-TBILLTDCS'!R1157</f>
        <v>0</v>
      </c>
      <c r="S1157" s="369">
        <f ca="1">'II-I-DIST'!S1157+'II-I-MET'!S1157+'II-I-TBILLTDCS'!S1157</f>
        <v>0</v>
      </c>
      <c r="T1157" s="16"/>
      <c r="U1157" s="17">
        <f ca="1">SUM(I1157:T1157)</f>
        <v>0</v>
      </c>
      <c r="V1157" s="64"/>
      <c r="X1157" s="305">
        <f ca="1">U1157-F1157</f>
        <v>0</v>
      </c>
    </row>
    <row r="1158" spans="1:24" x14ac:dyDescent="0.2">
      <c r="A1158" s="45"/>
      <c r="B1158" s="16">
        <f t="shared" si="284"/>
        <v>43</v>
      </c>
      <c r="C1158" s="1"/>
      <c r="D1158" s="695" t="s">
        <v>309</v>
      </c>
      <c r="E1158" s="321"/>
      <c r="F1158" s="229">
        <f>' WP II-I-1.4'!L1158</f>
        <v>0</v>
      </c>
      <c r="G1158" s="16" t="s">
        <v>751</v>
      </c>
      <c r="H1158" s="45" t="s">
        <v>303</v>
      </c>
      <c r="I1158" s="45"/>
      <c r="J1158" s="369">
        <f ca="1">'II-I-DIST'!J1158+'II-I-MET'!J1158+'II-I-TBILLTDCS'!J1158</f>
        <v>0</v>
      </c>
      <c r="K1158" s="369">
        <f ca="1">'II-I-DIST'!K1158+'II-I-MET'!K1158+'II-I-TBILLTDCS'!K1158</f>
        <v>0</v>
      </c>
      <c r="L1158" s="369">
        <f ca="1">'II-I-DIST'!L1158+'II-I-MET'!L1158+'II-I-TBILLTDCS'!L1158</f>
        <v>0</v>
      </c>
      <c r="M1158" s="369">
        <f ca="1">'II-I-DIST'!M1158+'II-I-MET'!M1158+'II-I-TBILLTDCS'!M1158</f>
        <v>0</v>
      </c>
      <c r="N1158" s="369">
        <f ca="1">'II-I-DIST'!N1158+'II-I-MET'!N1158+'II-I-TBILLTDCS'!N1158</f>
        <v>0</v>
      </c>
      <c r="O1158" s="369">
        <f ca="1">'II-I-DIST'!O1158+'II-I-MET'!O1158+'II-I-TBILLTDCS'!O1158</f>
        <v>0</v>
      </c>
      <c r="P1158" s="369">
        <f ca="1">'II-I-DIST'!P1158+'II-I-MET'!P1158+'II-I-TBILLTDCS'!P1158</f>
        <v>0</v>
      </c>
      <c r="Q1158" s="369">
        <f ca="1">'II-I-DIST'!Q1158+'II-I-MET'!Q1158+'II-I-TBILLTDCS'!Q1158</f>
        <v>0</v>
      </c>
      <c r="R1158" s="369">
        <f ca="1">'II-I-DIST'!R1158+'II-I-MET'!R1158+'II-I-TBILLTDCS'!R1158</f>
        <v>0</v>
      </c>
      <c r="S1158" s="369">
        <f ca="1">'II-I-DIST'!S1158+'II-I-MET'!S1158+'II-I-TBILLTDCS'!S1158</f>
        <v>0</v>
      </c>
      <c r="T1158" s="369">
        <f>'II-I-DIST'!T1158+'II-I-MET'!T1158+'II-I-TBILLTDCS'!T1158</f>
        <v>0</v>
      </c>
      <c r="U1158" s="17">
        <f ca="1">SUM(I1158:T1158)</f>
        <v>0</v>
      </c>
    </row>
    <row r="1159" spans="1:24" ht="6" customHeight="1" x14ac:dyDescent="0.2">
      <c r="A1159" s="45"/>
      <c r="B1159" s="16">
        <f t="shared" si="284"/>
        <v>44</v>
      </c>
      <c r="C1159" s="1"/>
      <c r="D1159" s="18"/>
      <c r="E1159" s="16"/>
      <c r="F1159" s="229"/>
      <c r="G1159" s="16"/>
      <c r="H1159" s="45"/>
      <c r="I1159" s="16"/>
      <c r="J1159" s="370"/>
      <c r="K1159" s="370"/>
      <c r="L1159" s="370"/>
      <c r="M1159" s="370"/>
      <c r="N1159" s="370"/>
      <c r="O1159" s="370"/>
      <c r="P1159" s="370"/>
      <c r="Q1159" s="370"/>
      <c r="R1159" s="370"/>
      <c r="S1159" s="370"/>
      <c r="T1159" s="16"/>
      <c r="U1159" s="17"/>
      <c r="V1159" s="64"/>
      <c r="X1159" s="305">
        <f t="shared" si="279"/>
        <v>0</v>
      </c>
    </row>
    <row r="1160" spans="1:24" ht="15" x14ac:dyDescent="0.25">
      <c r="A1160" s="45"/>
      <c r="B1160" s="16">
        <f t="shared" si="284"/>
        <v>45</v>
      </c>
      <c r="C1160" s="1"/>
      <c r="D1160" s="233" t="s">
        <v>444</v>
      </c>
      <c r="E1160" s="16"/>
      <c r="F1160" s="21">
        <f>SUM(F1156:F1159)</f>
        <v>482164.92</v>
      </c>
      <c r="G1160" s="16"/>
      <c r="H1160" s="16"/>
      <c r="I1160" s="16"/>
      <c r="J1160" s="805">
        <f t="shared" ref="J1160:Q1160" ca="1" si="296">SUM(J1156:J1159)</f>
        <v>261850.2290134253</v>
      </c>
      <c r="K1160" s="805">
        <f t="shared" ca="1" si="296"/>
        <v>8192.7378096375214</v>
      </c>
      <c r="L1160" s="805">
        <f t="shared" ca="1" si="296"/>
        <v>166457.04493605744</v>
      </c>
      <c r="M1160" s="805">
        <f t="shared" ca="1" si="296"/>
        <v>317.33621645022902</v>
      </c>
      <c r="N1160" s="805">
        <f t="shared" ca="1" si="296"/>
        <v>32383.72039340101</v>
      </c>
      <c r="O1160" s="805">
        <f ca="1">SUM(O1156:O1159)</f>
        <v>3631.2547087768257</v>
      </c>
      <c r="P1160" s="805">
        <f t="shared" ca="1" si="296"/>
        <v>1037.0162067847627</v>
      </c>
      <c r="Q1160" s="805">
        <f t="shared" ca="1" si="296"/>
        <v>6863.9102332218226</v>
      </c>
      <c r="R1160" s="805">
        <f ca="1">SUM(R1156:R1159)</f>
        <v>255.48482034963052</v>
      </c>
      <c r="S1160" s="805">
        <f ca="1">SUM(S1156:S1159)</f>
        <v>1176.185661895523</v>
      </c>
      <c r="T1160" s="16"/>
      <c r="U1160" s="235">
        <f ca="1">SUM(I1160:T1160)</f>
        <v>482164.92000000004</v>
      </c>
      <c r="V1160" s="64"/>
      <c r="W1160" s="1099" t="b">
        <f ca="1">' WP II-I-1.4'!$L$1161=U1160</f>
        <v>1</v>
      </c>
      <c r="X1160" s="305">
        <f t="shared" ca="1" si="279"/>
        <v>0</v>
      </c>
    </row>
    <row r="1161" spans="1:24" ht="15" thickBot="1" x14ac:dyDescent="0.25">
      <c r="A1161" s="45"/>
      <c r="B1161" s="16">
        <f t="shared" si="284"/>
        <v>46</v>
      </c>
      <c r="C1161" s="1"/>
      <c r="D1161" s="1"/>
      <c r="E1161" s="16"/>
      <c r="F1161" s="18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"/>
      <c r="V1161" s="64"/>
      <c r="X1161" s="305">
        <f t="shared" ref="X1161:X1228" si="297">U1161-F1161</f>
        <v>0</v>
      </c>
    </row>
    <row r="1162" spans="1:24" ht="15.75" thickBot="1" x14ac:dyDescent="0.3">
      <c r="A1162" s="45"/>
      <c r="B1162" s="16">
        <f t="shared" si="284"/>
        <v>47</v>
      </c>
      <c r="C1162" s="223" t="s">
        <v>667</v>
      </c>
      <c r="D1162" s="224"/>
      <c r="E1162" s="309" t="s">
        <v>299</v>
      </c>
      <c r="F1162" s="194">
        <f>+F1145-SUM(F1148:F1152)+SUM(F1156:F1159)</f>
        <v>144739017.62204704</v>
      </c>
      <c r="G1162" s="309"/>
      <c r="H1162" s="402"/>
      <c r="I1162" s="968"/>
      <c r="J1162" s="812">
        <f t="shared" ref="J1162:S1162" ca="1" si="298">+J1145-SUM(J1148:J1152)+SUM(J1156:J1159)</f>
        <v>78668226.00244163</v>
      </c>
      <c r="K1162" s="812">
        <f t="shared" ca="1" si="298"/>
        <v>2333594.427766101</v>
      </c>
      <c r="L1162" s="812">
        <f t="shared" ca="1" si="298"/>
        <v>50108867.645949163</v>
      </c>
      <c r="M1162" s="812">
        <f t="shared" ca="1" si="298"/>
        <v>68143.324360190891</v>
      </c>
      <c r="N1162" s="812">
        <f t="shared" ca="1" si="298"/>
        <v>9622190.457594797</v>
      </c>
      <c r="O1162" s="812">
        <f t="shared" ca="1" si="298"/>
        <v>1093406.307408148</v>
      </c>
      <c r="P1162" s="812">
        <f t="shared" ca="1" si="298"/>
        <v>303017.13884001848</v>
      </c>
      <c r="Q1162" s="812">
        <f t="shared" ca="1" si="298"/>
        <v>2109357.0916509507</v>
      </c>
      <c r="R1162" s="812">
        <f t="shared" ca="1" si="298"/>
        <v>76708.788146471969</v>
      </c>
      <c r="S1162" s="812">
        <f t="shared" ca="1" si="298"/>
        <v>355506.43788959295</v>
      </c>
      <c r="T1162" s="309"/>
      <c r="U1162" s="914">
        <f ca="1">SUM(I1162:T1162)</f>
        <v>144739017.62204707</v>
      </c>
      <c r="V1162" s="64"/>
      <c r="W1162" s="1099" t="b">
        <f ca="1">ROUND(' WP II-I-1.4'!$L$1163,0)=ROUND(U1162,0)</f>
        <v>1</v>
      </c>
      <c r="X1162" s="305">
        <f t="shared" ca="1" si="297"/>
        <v>0</v>
      </c>
    </row>
    <row r="1163" spans="1:24" x14ac:dyDescent="0.2">
      <c r="A1163" s="45"/>
      <c r="B1163" s="64"/>
      <c r="C1163" s="64"/>
      <c r="D1163" s="64"/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X1163" s="305">
        <f t="shared" si="297"/>
        <v>0</v>
      </c>
    </row>
    <row r="1164" spans="1:24" x14ac:dyDescent="0.2">
      <c r="A1164" s="45"/>
      <c r="B1164" s="64"/>
      <c r="C1164" s="64"/>
      <c r="D1164" s="64"/>
      <c r="E1164" s="64"/>
      <c r="F1164" s="64"/>
      <c r="G1164" s="64"/>
      <c r="H1164" s="105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105"/>
      <c r="V1164" s="105"/>
      <c r="X1164" s="305"/>
    </row>
    <row r="1165" spans="1:24" ht="15" thickBot="1" x14ac:dyDescent="0.25">
      <c r="A1165" s="45"/>
      <c r="B1165" s="64"/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X1165" s="305">
        <f t="shared" si="297"/>
        <v>0</v>
      </c>
    </row>
    <row r="1166" spans="1:24" ht="15" x14ac:dyDescent="0.25">
      <c r="A1166" s="45"/>
      <c r="B1166" s="829" t="str">
        <f>+$B$4</f>
        <v>2025 RATE CASE</v>
      </c>
      <c r="C1166" s="844"/>
      <c r="D1166" s="872"/>
      <c r="F1166" s="267"/>
      <c r="U1166" s="105"/>
      <c r="X1166" s="305">
        <f t="shared" si="297"/>
        <v>0</v>
      </c>
    </row>
    <row r="1167" spans="1:24" ht="15" x14ac:dyDescent="0.25">
      <c r="A1167" s="45"/>
      <c r="B1167" s="826" t="str">
        <f>+$B$5</f>
        <v>ONCOR ELECTRIC DELIVERY COMPANY LLC</v>
      </c>
      <c r="C1167" s="8"/>
      <c r="D1167" s="873"/>
      <c r="F1167" s="267"/>
      <c r="U1167" s="105"/>
      <c r="V1167" s="64"/>
      <c r="X1167" s="305">
        <f t="shared" si="297"/>
        <v>0</v>
      </c>
    </row>
    <row r="1168" spans="1:24" ht="15" x14ac:dyDescent="0.25">
      <c r="A1168" s="45"/>
      <c r="B1168" s="826" t="str">
        <f>+$B$6</f>
        <v>II-I-1-TOT:  CLASS REVENUE REQUIREMENT</v>
      </c>
      <c r="C1168" s="82"/>
      <c r="D1168" s="873"/>
      <c r="F1168" s="267"/>
      <c r="U1168" s="267"/>
      <c r="V1168" s="64"/>
      <c r="X1168" s="305">
        <f t="shared" si="297"/>
        <v>0</v>
      </c>
    </row>
    <row r="1169" spans="1:24" ht="15" x14ac:dyDescent="0.25">
      <c r="A1169" s="45"/>
      <c r="B1169" s="341" t="str">
        <f>+$B$7</f>
        <v>TEST YEAR ENDING 12/31/2024</v>
      </c>
      <c r="C1169" s="82"/>
      <c r="D1169" s="873"/>
      <c r="F1169" s="267"/>
      <c r="U1169" s="267"/>
      <c r="V1169" s="64"/>
      <c r="X1169" s="305">
        <f t="shared" si="297"/>
        <v>0</v>
      </c>
    </row>
    <row r="1170" spans="1:24" ht="15" x14ac:dyDescent="0.25">
      <c r="A1170" s="45"/>
      <c r="B1170" s="341" t="str">
        <f>+$B$8</f>
        <v>SPONSOR:  MATTHEW A. TROXLE</v>
      </c>
      <c r="C1170" s="82"/>
      <c r="D1170" s="873"/>
      <c r="F1170" s="267"/>
      <c r="U1170" s="267"/>
      <c r="V1170" s="64"/>
      <c r="X1170" s="305">
        <f t="shared" si="297"/>
        <v>0</v>
      </c>
    </row>
    <row r="1171" spans="1:24" ht="15.75" thickBot="1" x14ac:dyDescent="0.3">
      <c r="A1171" s="45"/>
      <c r="B1171" s="345"/>
      <c r="C1171" s="843"/>
      <c r="D1171" s="845"/>
      <c r="F1171" s="267"/>
      <c r="U1171" s="267"/>
      <c r="V1171" s="64"/>
      <c r="X1171" s="305">
        <f t="shared" si="297"/>
        <v>0</v>
      </c>
    </row>
    <row r="1172" spans="1:24" ht="15" thickBot="1" x14ac:dyDescent="0.25">
      <c r="A1172" s="45"/>
      <c r="B1172" s="12"/>
      <c r="C1172" s="13"/>
      <c r="D1172" s="13"/>
      <c r="E1172" s="13"/>
      <c r="F1172" s="12"/>
      <c r="G1172" s="13"/>
      <c r="H1172" s="13"/>
      <c r="I1172" s="13"/>
      <c r="J1172" s="177"/>
      <c r="K1172" s="177"/>
      <c r="L1172" s="13"/>
      <c r="M1172" s="177"/>
      <c r="N1172" s="177"/>
      <c r="O1172" s="177"/>
      <c r="P1172" s="177"/>
      <c r="Q1172" s="13"/>
      <c r="R1172" s="328" t="str">
        <f>R$10</f>
        <v xml:space="preserve"> </v>
      </c>
      <c r="S1172" s="329"/>
      <c r="T1172" s="177"/>
      <c r="U1172" s="12"/>
      <c r="V1172" s="64"/>
      <c r="X1172" s="305">
        <f t="shared" si="297"/>
        <v>0</v>
      </c>
    </row>
    <row r="1173" spans="1:24" ht="15" x14ac:dyDescent="0.25">
      <c r="A1173" s="45"/>
      <c r="B1173" s="14" t="s">
        <v>2</v>
      </c>
      <c r="C1173" s="14" t="s">
        <v>349</v>
      </c>
      <c r="D1173" s="226" t="s">
        <v>668</v>
      </c>
      <c r="E1173" s="14" t="s">
        <v>350</v>
      </c>
      <c r="F1173" s="226" t="str">
        <f>F$11</f>
        <v>TOTAL</v>
      </c>
      <c r="G1173" s="181" t="s">
        <v>688</v>
      </c>
      <c r="H1173" s="181" t="s">
        <v>355</v>
      </c>
      <c r="I1173" s="14"/>
      <c r="J1173" s="181" t="s">
        <v>679</v>
      </c>
      <c r="K1173" s="181" t="s">
        <v>388</v>
      </c>
      <c r="L1173" s="14" t="s">
        <v>388</v>
      </c>
      <c r="M1173" s="181" t="s">
        <v>389</v>
      </c>
      <c r="N1173" s="181" t="s">
        <v>389</v>
      </c>
      <c r="O1173" s="181" t="s">
        <v>389</v>
      </c>
      <c r="P1173" s="181" t="s">
        <v>390</v>
      </c>
      <c r="Q1173" s="14" t="s">
        <v>391</v>
      </c>
      <c r="R1173" s="331" t="str">
        <f>R$11</f>
        <v>Wholesale</v>
      </c>
      <c r="S1173" s="12" t="str">
        <f>S$11</f>
        <v>Wholesale</v>
      </c>
      <c r="T1173" s="181"/>
      <c r="U1173" s="14" t="s">
        <v>10</v>
      </c>
      <c r="V1173" s="64"/>
      <c r="X1173" s="305"/>
    </row>
    <row r="1174" spans="1:24" x14ac:dyDescent="0.2">
      <c r="A1174" s="45"/>
      <c r="B1174" s="14"/>
      <c r="C1174" s="14"/>
      <c r="D1174" s="14"/>
      <c r="E1174" s="14"/>
      <c r="F1174" s="14" t="str">
        <f>F$12</f>
        <v>(Dist+Met+Cust)</v>
      </c>
      <c r="G1174" s="181" t="s">
        <v>689</v>
      </c>
      <c r="H1174" s="181" t="s">
        <v>690</v>
      </c>
      <c r="I1174" s="14"/>
      <c r="J1174" s="181"/>
      <c r="K1174" s="181" t="s">
        <v>680</v>
      </c>
      <c r="L1174" s="14" t="s">
        <v>681</v>
      </c>
      <c r="M1174" s="181" t="s">
        <v>680</v>
      </c>
      <c r="N1174" s="181" t="s">
        <v>681</v>
      </c>
      <c r="O1174" s="181" t="s">
        <v>393</v>
      </c>
      <c r="P1174" s="181"/>
      <c r="Q1174" s="14"/>
      <c r="R1174" s="174" t="str">
        <f>R$12</f>
        <v>XFMR</v>
      </c>
      <c r="S1174" s="14" t="str">
        <f>S$12</f>
        <v>DLS</v>
      </c>
      <c r="T1174" s="181"/>
      <c r="U1174" s="14"/>
      <c r="V1174" s="64"/>
      <c r="X1174" s="305"/>
    </row>
    <row r="1175" spans="1:24" ht="15" thickBot="1" x14ac:dyDescent="0.25">
      <c r="A1175" s="45"/>
      <c r="B1175" s="15"/>
      <c r="C1175" s="15"/>
      <c r="D1175" s="15"/>
      <c r="E1175" s="15"/>
      <c r="F1175" s="15" t="s">
        <v>13</v>
      </c>
      <c r="G1175" s="15" t="s">
        <v>14</v>
      </c>
      <c r="H1175" s="15" t="s">
        <v>15</v>
      </c>
      <c r="I1175" s="15"/>
      <c r="J1175" s="182" t="str">
        <f t="shared" ref="J1175:Q1175" si="299">J$13</f>
        <v>(d)</v>
      </c>
      <c r="K1175" s="182" t="str">
        <f t="shared" si="299"/>
        <v>(e)</v>
      </c>
      <c r="L1175" s="15" t="str">
        <f t="shared" si="299"/>
        <v>(f)</v>
      </c>
      <c r="M1175" s="182" t="str">
        <f t="shared" si="299"/>
        <v>(g)</v>
      </c>
      <c r="N1175" s="182" t="str">
        <f t="shared" si="299"/>
        <v>(h)</v>
      </c>
      <c r="O1175" s="182" t="str">
        <f>O$13</f>
        <v>(i)</v>
      </c>
      <c r="P1175" s="182" t="str">
        <f t="shared" si="299"/>
        <v>(j)</v>
      </c>
      <c r="Q1175" s="182" t="str">
        <f t="shared" si="299"/>
        <v>(k)</v>
      </c>
      <c r="R1175" s="182" t="str">
        <f>R$13</f>
        <v>(l)</v>
      </c>
      <c r="S1175" s="15" t="str">
        <f>S$13</f>
        <v>(m)</v>
      </c>
      <c r="T1175" s="15"/>
      <c r="U1175" s="15" t="s">
        <v>683</v>
      </c>
      <c r="V1175" s="64"/>
      <c r="X1175" s="305"/>
    </row>
    <row r="1176" spans="1:24" x14ac:dyDescent="0.2">
      <c r="A1176" s="45"/>
      <c r="B1176" s="64"/>
      <c r="C1176" s="268"/>
      <c r="D1176" s="268"/>
      <c r="E1176" s="268"/>
      <c r="F1176" s="268"/>
      <c r="G1176" s="268"/>
      <c r="H1176" s="268"/>
      <c r="I1176" s="268"/>
      <c r="J1176" s="268"/>
      <c r="K1176" s="268"/>
      <c r="L1176" s="268"/>
      <c r="M1176" s="268"/>
      <c r="N1176" s="268"/>
      <c r="O1176" s="268"/>
      <c r="P1176" s="268"/>
      <c r="Q1176" s="268"/>
      <c r="R1176" s="268"/>
      <c r="S1176" s="268"/>
      <c r="T1176" s="268"/>
      <c r="U1176" s="41"/>
      <c r="V1176" s="64"/>
      <c r="X1176" s="305">
        <f t="shared" si="297"/>
        <v>0</v>
      </c>
    </row>
    <row r="1177" spans="1:24" ht="15" x14ac:dyDescent="0.25">
      <c r="A1177" s="45"/>
      <c r="B1177" s="16">
        <f t="shared" ref="B1177:B1188" si="300">B1176+1</f>
        <v>1</v>
      </c>
      <c r="C1177" s="301" t="s">
        <v>668</v>
      </c>
      <c r="D1177" s="8"/>
      <c r="E1177" s="19"/>
      <c r="F1177" s="21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8"/>
      <c r="V1177" s="64"/>
      <c r="X1177" s="305">
        <f t="shared" si="297"/>
        <v>0</v>
      </c>
    </row>
    <row r="1178" spans="1:24" ht="15" x14ac:dyDescent="0.25">
      <c r="A1178" s="45"/>
      <c r="B1178" s="16">
        <f t="shared" si="300"/>
        <v>2</v>
      </c>
      <c r="C1178" s="8"/>
      <c r="D1178" s="1"/>
      <c r="E1178" s="16"/>
      <c r="F1178" s="18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"/>
      <c r="V1178" s="64"/>
      <c r="X1178" s="305">
        <f t="shared" si="297"/>
        <v>0</v>
      </c>
    </row>
    <row r="1179" spans="1:24" ht="15" x14ac:dyDescent="0.25">
      <c r="A1179" s="45"/>
      <c r="B1179" s="16">
        <f t="shared" si="300"/>
        <v>3</v>
      </c>
      <c r="C1179" s="8" t="s">
        <v>669</v>
      </c>
      <c r="D1179" s="8"/>
      <c r="E1179" s="19"/>
      <c r="F1179" s="21"/>
      <c r="G1179" s="19"/>
      <c r="H1179" s="19"/>
      <c r="I1179" s="19"/>
      <c r="J1179" s="961"/>
      <c r="K1179" s="961"/>
      <c r="L1179" s="961"/>
      <c r="M1179" s="961"/>
      <c r="N1179" s="961"/>
      <c r="O1179" s="961"/>
      <c r="P1179" s="961"/>
      <c r="Q1179" s="961"/>
      <c r="R1179" s="961"/>
      <c r="S1179" s="961"/>
      <c r="T1179" s="19"/>
      <c r="U1179" s="8"/>
      <c r="V1179" s="64"/>
      <c r="X1179" s="305">
        <f t="shared" si="297"/>
        <v>0</v>
      </c>
    </row>
    <row r="1180" spans="1:24" ht="15" x14ac:dyDescent="0.25">
      <c r="A1180" s="45"/>
      <c r="B1180" s="16">
        <f t="shared" si="300"/>
        <v>4</v>
      </c>
      <c r="C1180" s="647" t="s">
        <v>311</v>
      </c>
      <c r="D1180" s="1" t="s">
        <v>312</v>
      </c>
      <c r="E1180" s="19" t="s">
        <v>313</v>
      </c>
      <c r="F1180" s="97">
        <f>' WP II-I-1.4'!L1181</f>
        <v>7439</v>
      </c>
      <c r="G1180" s="16" t="s">
        <v>751</v>
      </c>
      <c r="H1180" s="45" t="s">
        <v>303</v>
      </c>
      <c r="I1180" s="912"/>
      <c r="J1180" s="369">
        <f>'II-I-DIST'!J1180+'II-I-MET'!J1180+'II-I-TBILLTDCS'!J1180</f>
        <v>6365.7712598815415</v>
      </c>
      <c r="K1180" s="369">
        <f>'II-I-DIST'!K1180+'II-I-MET'!K1180+'II-I-TBILLTDCS'!K1180</f>
        <v>528.02581886751227</v>
      </c>
      <c r="L1180" s="369">
        <f>'II-I-DIST'!L1180+'II-I-MET'!L1180+'II-I-TBILLTDCS'!L1180</f>
        <v>431.4299000371002</v>
      </c>
      <c r="M1180" s="369">
        <f>'II-I-DIST'!M1180+'II-I-MET'!M1180+'II-I-TBILLTDCS'!M1180</f>
        <v>5.764313420259672</v>
      </c>
      <c r="N1180" s="369">
        <f>'II-I-DIST'!N1180+'II-I-MET'!N1180+'II-I-TBILLTDCS'!N1180</f>
        <v>12.903971796932177</v>
      </c>
      <c r="O1180" s="369">
        <f>'II-I-DIST'!O1180+'II-I-MET'!O1180+'II-I-TBILLTDCS'!O1180</f>
        <v>0.29970752392418709</v>
      </c>
      <c r="P1180" s="369">
        <f>'II-I-DIST'!P1180+'II-I-MET'!P1180+'II-I-TBILLTDCS'!P1180</f>
        <v>0.62515679836947002</v>
      </c>
      <c r="Q1180" s="369">
        <f>'II-I-DIST'!Q1180+'II-I-MET'!Q1180+'II-I-TBILLTDCS'!Q1180</f>
        <v>94.179871674360641</v>
      </c>
      <c r="R1180" s="369">
        <f>'II-I-DIST'!R1180+'II-I-MET'!R1180+'II-I-TBILLTDCS'!R1180</f>
        <v>0</v>
      </c>
      <c r="S1180" s="369">
        <f>'II-I-DIST'!S1180+'II-I-MET'!S1180+'II-I-TBILLTDCS'!S1180</f>
        <v>0</v>
      </c>
      <c r="T1180" s="912"/>
      <c r="U1180" s="97">
        <f>SUM(I1180:T1180)</f>
        <v>7439</v>
      </c>
      <c r="V1180" s="64"/>
      <c r="W1180" s="1099" t="b">
        <f>' WP II-I-1.4'!$L$1181=U1180</f>
        <v>1</v>
      </c>
      <c r="X1180" s="305">
        <f t="shared" si="297"/>
        <v>0</v>
      </c>
    </row>
    <row r="1181" spans="1:24" ht="15" thickBot="1" x14ac:dyDescent="0.25">
      <c r="A1181" s="45"/>
      <c r="B1181" s="16">
        <f t="shared" si="300"/>
        <v>5</v>
      </c>
      <c r="C1181" s="1"/>
      <c r="D1181" s="1"/>
      <c r="E1181" s="16"/>
      <c r="F1181" s="18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"/>
      <c r="V1181" s="64"/>
      <c r="X1181" s="305">
        <f t="shared" si="297"/>
        <v>0</v>
      </c>
    </row>
    <row r="1182" spans="1:24" ht="15.75" thickBot="1" x14ac:dyDescent="0.3">
      <c r="A1182" s="45"/>
      <c r="B1182" s="16">
        <f t="shared" si="300"/>
        <v>6</v>
      </c>
      <c r="C1182" s="223" t="s">
        <v>670</v>
      </c>
      <c r="D1182" s="271"/>
      <c r="E1182" s="272"/>
      <c r="F1182" s="217">
        <f>+F1180+F1103+F1070-F1068-F1067</f>
        <v>1216242519.54</v>
      </c>
      <c r="G1182" s="272"/>
      <c r="H1182" s="392"/>
      <c r="I1182" s="568"/>
      <c r="J1182" s="291">
        <f t="shared" ref="J1182:Q1182" ca="1" si="301">+J1180+J1103+J1070-J1068-J1067</f>
        <v>602144803.58009398</v>
      </c>
      <c r="K1182" s="814">
        <f t="shared" ca="1" si="301"/>
        <v>24283216.400954533</v>
      </c>
      <c r="L1182" s="814">
        <f t="shared" ca="1" si="301"/>
        <v>427720875.45670372</v>
      </c>
      <c r="M1182" s="814">
        <f t="shared" ca="1" si="301"/>
        <v>1051428.1015123802</v>
      </c>
      <c r="N1182" s="814">
        <f t="shared" ca="1" si="301"/>
        <v>79620366.306467116</v>
      </c>
      <c r="O1182" s="814">
        <f ca="1">+O1180+O1103+O1070-O1068-O1067</f>
        <v>9244271.4477095678</v>
      </c>
      <c r="P1182" s="814">
        <f t="shared" ca="1" si="301"/>
        <v>28647820.591417275</v>
      </c>
      <c r="Q1182" s="814">
        <f t="shared" ca="1" si="301"/>
        <v>40461005.852754273</v>
      </c>
      <c r="R1182" s="814">
        <f ca="1">+R1180+R1103+R1070-R1068-R1067</f>
        <v>674769.82734514284</v>
      </c>
      <c r="S1182" s="218">
        <f ca="1">+S1180+S1103+S1070-S1068-S1067</f>
        <v>2393961.9750418705</v>
      </c>
      <c r="T1182" s="392"/>
      <c r="U1182" s="218">
        <f ca="1">SUM(I1182:T1182)</f>
        <v>1216242519.54</v>
      </c>
      <c r="V1182" s="64"/>
      <c r="W1182" s="1099" t="b">
        <f ca="1">' WP II-I-1.4'!$L$1183=U1182</f>
        <v>1</v>
      </c>
      <c r="X1182" s="305">
        <f t="shared" ca="1" si="297"/>
        <v>0</v>
      </c>
    </row>
    <row r="1183" spans="1:24" ht="15.75" thickBot="1" x14ac:dyDescent="0.3">
      <c r="A1183" s="45"/>
      <c r="B1183" s="16">
        <f t="shared" si="300"/>
        <v>7</v>
      </c>
      <c r="C1183" s="8"/>
      <c r="D1183" s="34"/>
      <c r="E1183" s="35"/>
      <c r="F1183" s="37"/>
      <c r="G1183" s="35"/>
      <c r="H1183" s="35"/>
      <c r="I1183" s="35"/>
      <c r="J1183" s="807"/>
      <c r="K1183" s="807"/>
      <c r="L1183" s="807"/>
      <c r="M1183" s="807"/>
      <c r="N1183" s="807"/>
      <c r="O1183" s="807"/>
      <c r="P1183" s="807"/>
      <c r="Q1183" s="807"/>
      <c r="R1183" s="807"/>
      <c r="S1183" s="807"/>
      <c r="T1183" s="35"/>
      <c r="U1183" s="229"/>
      <c r="V1183" s="45"/>
      <c r="W1183" s="321"/>
      <c r="X1183" s="305">
        <f t="shared" si="297"/>
        <v>0</v>
      </c>
    </row>
    <row r="1184" spans="1:24" ht="15.75" thickBot="1" x14ac:dyDescent="0.3">
      <c r="A1184" s="45"/>
      <c r="B1184" s="16">
        <f t="shared" si="300"/>
        <v>8</v>
      </c>
      <c r="C1184" s="223" t="s">
        <v>671</v>
      </c>
      <c r="D1184" s="271"/>
      <c r="E1184" s="272"/>
      <c r="F1184" s="217">
        <f>F1182+F1162</f>
        <v>1360981537.1620469</v>
      </c>
      <c r="G1184" s="272"/>
      <c r="H1184" s="392"/>
      <c r="I1184" s="568"/>
      <c r="J1184" s="291">
        <f t="shared" ref="J1184:Q1184" ca="1" si="302">J1182+J1162</f>
        <v>680813029.58253562</v>
      </c>
      <c r="K1184" s="814">
        <f t="shared" ca="1" si="302"/>
        <v>26616810.828720633</v>
      </c>
      <c r="L1184" s="814">
        <f t="shared" ca="1" si="302"/>
        <v>477829743.10265291</v>
      </c>
      <c r="M1184" s="814">
        <f t="shared" ca="1" si="302"/>
        <v>1119571.4258725711</v>
      </c>
      <c r="N1184" s="814">
        <f t="shared" ca="1" si="302"/>
        <v>89242556.764061913</v>
      </c>
      <c r="O1184" s="814">
        <f ca="1">O1182+O1162</f>
        <v>10337677.755117716</v>
      </c>
      <c r="P1184" s="814">
        <f t="shared" ca="1" si="302"/>
        <v>28950837.730257295</v>
      </c>
      <c r="Q1184" s="814">
        <f t="shared" ca="1" si="302"/>
        <v>42570362.94440522</v>
      </c>
      <c r="R1184" s="814">
        <f ca="1">R1182+R1162</f>
        <v>751478.61549161479</v>
      </c>
      <c r="S1184" s="218">
        <f ca="1">S1182+S1162</f>
        <v>2749468.4129314637</v>
      </c>
      <c r="T1184" s="392"/>
      <c r="U1184" s="218">
        <f ca="1">SUM(I1184:T1184)</f>
        <v>1360981537.1620471</v>
      </c>
      <c r="V1184" s="64"/>
      <c r="W1184" s="1099" t="b">
        <f ca="1">' WP II-I-1.4'!$L$1185=U1184</f>
        <v>1</v>
      </c>
      <c r="X1184" s="305">
        <f t="shared" ca="1" si="297"/>
        <v>0</v>
      </c>
    </row>
    <row r="1185" spans="1:24" ht="15.75" thickBot="1" x14ac:dyDescent="0.3">
      <c r="A1185" s="45"/>
      <c r="B1185" s="16">
        <f t="shared" si="300"/>
        <v>9</v>
      </c>
      <c r="C1185" s="8"/>
      <c r="D1185" s="34"/>
      <c r="E1185" s="35"/>
      <c r="F1185" s="37"/>
      <c r="G1185" s="35"/>
      <c r="H1185" s="35"/>
      <c r="I1185" s="35"/>
      <c r="J1185" s="807"/>
      <c r="K1185" s="807"/>
      <c r="L1185" s="807"/>
      <c r="M1185" s="807"/>
      <c r="N1185" s="807"/>
      <c r="O1185" s="807"/>
      <c r="P1185" s="807"/>
      <c r="Q1185" s="807"/>
      <c r="R1185" s="807"/>
      <c r="S1185" s="807"/>
      <c r="T1185" s="35"/>
      <c r="U1185" s="229"/>
      <c r="V1185" s="45"/>
      <c r="W1185" s="321"/>
      <c r="X1185" s="305">
        <f t="shared" si="297"/>
        <v>0</v>
      </c>
    </row>
    <row r="1186" spans="1:24" ht="15.75" thickBot="1" x14ac:dyDescent="0.3">
      <c r="A1186" s="45"/>
      <c r="B1186" s="16">
        <f t="shared" si="300"/>
        <v>10</v>
      </c>
      <c r="C1186" s="223" t="s">
        <v>672</v>
      </c>
      <c r="D1186" s="271"/>
      <c r="E1186" s="272"/>
      <c r="F1186" s="217">
        <f>F1162+F1103+F1070+F785</f>
        <v>4908856603.5420475</v>
      </c>
      <c r="G1186" s="272"/>
      <c r="H1186" s="392"/>
      <c r="I1186" s="568"/>
      <c r="J1186" s="291">
        <f t="shared" ref="J1186:Q1186" ca="1" si="303">J1162+J1103+J1070+J785</f>
        <v>2368206561.8982468</v>
      </c>
      <c r="K1186" s="814">
        <f t="shared" ca="1" si="303"/>
        <v>77380784.814200521</v>
      </c>
      <c r="L1186" s="814">
        <f t="shared" ca="1" si="303"/>
        <v>1597612183.0127449</v>
      </c>
      <c r="M1186" s="814">
        <f t="shared" ca="1" si="303"/>
        <v>4011867.8981570983</v>
      </c>
      <c r="N1186" s="814">
        <f t="shared" ca="1" si="303"/>
        <v>398927174.5251354</v>
      </c>
      <c r="O1186" s="814">
        <f ca="1">O1162+O1103+O1070+O785</f>
        <v>93019898.659336016</v>
      </c>
      <c r="P1186" s="814">
        <f t="shared" ca="1" si="303"/>
        <v>278828307.06128585</v>
      </c>
      <c r="Q1186" s="814">
        <f t="shared" ca="1" si="303"/>
        <v>83032079.850435615</v>
      </c>
      <c r="R1186" s="814">
        <f ca="1">R1162+R1103+R1070+R785</f>
        <v>1471835.8225349521</v>
      </c>
      <c r="S1186" s="218">
        <f ca="1">S1162+S1103+S1070+S785</f>
        <v>6365909.9999696426</v>
      </c>
      <c r="T1186" s="392"/>
      <c r="U1186" s="218">
        <f ca="1">SUM(I1186:T1186)</f>
        <v>4908856603.5420456</v>
      </c>
      <c r="V1186" s="64"/>
      <c r="W1186" s="1099" t="b">
        <f ca="1">ROUND(' WP II-I-1.4'!$L$1187,0)=ROUND(U1186,0)</f>
        <v>1</v>
      </c>
      <c r="X1186" s="305">
        <f t="shared" ca="1" si="297"/>
        <v>0</v>
      </c>
    </row>
    <row r="1187" spans="1:24" ht="15.75" thickBot="1" x14ac:dyDescent="0.3">
      <c r="A1187" s="45"/>
      <c r="B1187" s="16">
        <f t="shared" si="300"/>
        <v>11</v>
      </c>
      <c r="C1187" s="8"/>
      <c r="D1187" s="34"/>
      <c r="E1187" s="35"/>
      <c r="F1187" s="37"/>
      <c r="G1187" s="35"/>
      <c r="H1187" s="35"/>
      <c r="I1187" s="35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5"/>
      <c r="U1187" s="229"/>
      <c r="V1187" s="45"/>
      <c r="W1187" s="321"/>
      <c r="X1187" s="305">
        <f t="shared" si="297"/>
        <v>0</v>
      </c>
    </row>
    <row r="1188" spans="1:24" ht="15.75" thickBot="1" x14ac:dyDescent="0.3">
      <c r="A1188" s="45"/>
      <c r="B1188" s="16">
        <f t="shared" si="300"/>
        <v>12</v>
      </c>
      <c r="C1188" s="223" t="s">
        <v>1186</v>
      </c>
      <c r="D1188" s="271"/>
      <c r="E1188" s="272"/>
      <c r="F1188" s="217">
        <f>F1186-F645-('II-I-DIST'!$F$776*('WP II-I-2.2'!$P$45))</f>
        <v>2808015130.8820477</v>
      </c>
      <c r="G1188" s="272"/>
      <c r="H1188" s="392"/>
      <c r="I1188" s="393"/>
      <c r="J1188" s="814">
        <f ca="1">J1186-J645-('II-I-DIST'!J$776*('WP II-I-2.2'!$P$45))</f>
        <v>1446801574.330014</v>
      </c>
      <c r="K1188" s="814">
        <f ca="1">K1186-K645-('II-I-DIST'!K$776*('WP II-I-2.2'!$P$45))</f>
        <v>58805907.588260815</v>
      </c>
      <c r="L1188" s="814">
        <f ca="1">L1186-L645-('II-I-DIST'!L$776*('WP II-I-2.2'!$P$45))</f>
        <v>956152662.67849028</v>
      </c>
      <c r="M1188" s="814">
        <f ca="1">M1186-M645-('II-I-DIST'!M$776*('WP II-I-2.2'!$P$45))</f>
        <v>3808938.5094754007</v>
      </c>
      <c r="N1188" s="814">
        <f ca="1">N1186-N645-('II-I-DIST'!N$776*('WP II-I-2.2'!$P$45))</f>
        <v>199477754.90972936</v>
      </c>
      <c r="O1188" s="814">
        <f ca="1">O1186-O645-('II-I-DIST'!O$776*('WP II-I-2.2'!$P$45))</f>
        <v>20611803.117910206</v>
      </c>
      <c r="P1188" s="814">
        <f ca="1">P1186-P645-('II-I-DIST'!P$776*('WP II-I-2.2'!$P$45))</f>
        <v>31486664.075226456</v>
      </c>
      <c r="Q1188" s="814">
        <f ca="1">Q1186-Q645-('II-I-DIST'!Q$776*('WP II-I-2.2'!$P$45))</f>
        <v>83032079.850435615</v>
      </c>
      <c r="R1188" s="814">
        <f ca="1">R1186-R645-('II-I-DIST'!R$776*('WP II-I-2.2'!$P$45))</f>
        <v>1471835.8225349521</v>
      </c>
      <c r="S1188" s="814">
        <f ca="1">S1186-S645-('II-I-DIST'!S$776*('WP II-I-2.2'!$P$45))</f>
        <v>6365909.9999696426</v>
      </c>
      <c r="T1188" s="393"/>
      <c r="U1188" s="218">
        <f ca="1">SUM(I1188:T1188)</f>
        <v>2808015130.8820467</v>
      </c>
      <c r="V1188" s="64"/>
      <c r="W1188" s="1099" t="b">
        <f ca="1">' WP II-I-1.4'!$L$1189=U1188</f>
        <v>1</v>
      </c>
      <c r="X1188" s="305">
        <f t="shared" ca="1" si="297"/>
        <v>0</v>
      </c>
    </row>
    <row r="1189" spans="1:24" x14ac:dyDescent="0.2">
      <c r="A1189" s="45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X1189" s="305">
        <f t="shared" si="297"/>
        <v>0</v>
      </c>
    </row>
    <row r="1190" spans="1:24" x14ac:dyDescent="0.2">
      <c r="A1190" s="45"/>
      <c r="B1190" s="64"/>
      <c r="C1190" s="64"/>
      <c r="D1190" s="64"/>
      <c r="E1190" s="64"/>
      <c r="F1190" s="97"/>
      <c r="G1190" s="64"/>
      <c r="H1190" s="105"/>
      <c r="I1190" s="64"/>
      <c r="J1190" s="97"/>
      <c r="K1190" s="97"/>
      <c r="L1190" s="97"/>
      <c r="M1190" s="97"/>
      <c r="N1190" s="97"/>
      <c r="O1190" s="97"/>
      <c r="P1190" s="97"/>
      <c r="Q1190" s="97"/>
      <c r="R1190" s="97"/>
      <c r="S1190" s="97"/>
      <c r="T1190" s="64"/>
      <c r="U1190" s="105"/>
      <c r="V1190" s="105"/>
      <c r="X1190" s="305"/>
    </row>
    <row r="1191" spans="1:24" ht="15" thickBot="1" x14ac:dyDescent="0.25">
      <c r="A1191" s="45"/>
      <c r="B1191" s="64"/>
      <c r="C1191" s="64"/>
      <c r="D1191" s="64"/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X1191" s="305">
        <f t="shared" si="297"/>
        <v>0</v>
      </c>
    </row>
    <row r="1192" spans="1:24" ht="15" x14ac:dyDescent="0.25">
      <c r="A1192" s="45"/>
      <c r="B1192" s="829" t="str">
        <f>+$B$4</f>
        <v>2025 RATE CASE</v>
      </c>
      <c r="C1192" s="844"/>
      <c r="D1192" s="547"/>
      <c r="F1192" s="11"/>
      <c r="U1192" s="105"/>
      <c r="X1192" s="305">
        <f t="shared" si="297"/>
        <v>0</v>
      </c>
    </row>
    <row r="1193" spans="1:24" ht="15" x14ac:dyDescent="0.25">
      <c r="A1193" s="45"/>
      <c r="B1193" s="826" t="str">
        <f>+$B$5</f>
        <v>ONCOR ELECTRIC DELIVERY COMPANY LLC</v>
      </c>
      <c r="C1193" s="8"/>
      <c r="D1193" s="548"/>
      <c r="F1193" s="11"/>
      <c r="U1193" s="105"/>
      <c r="V1193" s="64"/>
      <c r="X1193" s="305">
        <f t="shared" si="297"/>
        <v>0</v>
      </c>
    </row>
    <row r="1194" spans="1:24" ht="15" x14ac:dyDescent="0.25">
      <c r="A1194" s="45"/>
      <c r="B1194" s="826" t="str">
        <f>+$B$6</f>
        <v>II-I-1-TOT:  CLASS REVENUE REQUIREMENT</v>
      </c>
      <c r="C1194" s="82"/>
      <c r="D1194" s="548"/>
      <c r="F1194" s="11"/>
      <c r="U1194" s="11"/>
      <c r="V1194" s="64"/>
      <c r="X1194" s="305">
        <f t="shared" si="297"/>
        <v>0</v>
      </c>
    </row>
    <row r="1195" spans="1:24" ht="15" x14ac:dyDescent="0.25">
      <c r="A1195" s="45"/>
      <c r="B1195" s="341" t="str">
        <f>+$B$7</f>
        <v>TEST YEAR ENDING 12/31/2024</v>
      </c>
      <c r="C1195" s="82"/>
      <c r="D1195" s="548"/>
      <c r="F1195" s="11"/>
      <c r="U1195" s="11"/>
      <c r="V1195" s="64"/>
      <c r="X1195" s="305">
        <f t="shared" si="297"/>
        <v>0</v>
      </c>
    </row>
    <row r="1196" spans="1:24" ht="15" x14ac:dyDescent="0.25">
      <c r="A1196" s="45"/>
      <c r="B1196" s="341" t="str">
        <f>+$B$8</f>
        <v>SPONSOR:  MATTHEW A. TROXLE</v>
      </c>
      <c r="C1196" s="82"/>
      <c r="D1196" s="548"/>
      <c r="F1196" s="11"/>
      <c r="U1196" s="11"/>
      <c r="V1196" s="64"/>
      <c r="X1196" s="305">
        <f t="shared" si="297"/>
        <v>0</v>
      </c>
    </row>
    <row r="1197" spans="1:24" ht="15.75" thickBot="1" x14ac:dyDescent="0.3">
      <c r="A1197" s="45"/>
      <c r="B1197" s="345"/>
      <c r="C1197" s="843"/>
      <c r="D1197" s="549"/>
      <c r="F1197" s="11"/>
      <c r="U1197" s="11"/>
      <c r="V1197" s="64"/>
      <c r="X1197" s="305">
        <f t="shared" si="297"/>
        <v>0</v>
      </c>
    </row>
    <row r="1198" spans="1:24" ht="15" thickBot="1" x14ac:dyDescent="0.25">
      <c r="A1198" s="45"/>
      <c r="B1198" s="12"/>
      <c r="C1198" s="13"/>
      <c r="D1198" s="13"/>
      <c r="E1198" s="13"/>
      <c r="F1198" s="12"/>
      <c r="G1198" s="13"/>
      <c r="H1198" s="13"/>
      <c r="I1198" s="13"/>
      <c r="J1198" s="177"/>
      <c r="K1198" s="177"/>
      <c r="L1198" s="13"/>
      <c r="M1198" s="177"/>
      <c r="N1198" s="177"/>
      <c r="O1198" s="177"/>
      <c r="P1198" s="177"/>
      <c r="Q1198" s="13"/>
      <c r="R1198" s="328" t="str">
        <f>R$10</f>
        <v xml:space="preserve"> </v>
      </c>
      <c r="S1198" s="329"/>
      <c r="T1198" s="177"/>
      <c r="U1198" s="12"/>
      <c r="V1198" s="64"/>
      <c r="X1198" s="305">
        <f t="shared" si="297"/>
        <v>0</v>
      </c>
    </row>
    <row r="1199" spans="1:24" ht="15" x14ac:dyDescent="0.25">
      <c r="A1199" s="45"/>
      <c r="B1199" s="14" t="s">
        <v>2</v>
      </c>
      <c r="C1199" s="14" t="s">
        <v>349</v>
      </c>
      <c r="D1199" s="226" t="s">
        <v>317</v>
      </c>
      <c r="E1199" s="14" t="s">
        <v>350</v>
      </c>
      <c r="F1199" s="226" t="str">
        <f>F$11</f>
        <v>TOTAL</v>
      </c>
      <c r="G1199" s="181" t="s">
        <v>688</v>
      </c>
      <c r="H1199" s="181" t="s">
        <v>355</v>
      </c>
      <c r="I1199" s="14"/>
      <c r="J1199" s="181" t="s">
        <v>679</v>
      </c>
      <c r="K1199" s="181" t="s">
        <v>388</v>
      </c>
      <c r="L1199" s="14" t="s">
        <v>388</v>
      </c>
      <c r="M1199" s="181" t="s">
        <v>389</v>
      </c>
      <c r="N1199" s="181" t="s">
        <v>389</v>
      </c>
      <c r="O1199" s="181" t="s">
        <v>389</v>
      </c>
      <c r="P1199" s="181" t="s">
        <v>390</v>
      </c>
      <c r="Q1199" s="14" t="s">
        <v>391</v>
      </c>
      <c r="R1199" s="331" t="str">
        <f>R$11</f>
        <v>Wholesale</v>
      </c>
      <c r="S1199" s="12" t="str">
        <f>S$11</f>
        <v>Wholesale</v>
      </c>
      <c r="T1199" s="181"/>
      <c r="U1199" s="14" t="s">
        <v>10</v>
      </c>
      <c r="V1199" s="64"/>
      <c r="X1199" s="305"/>
    </row>
    <row r="1200" spans="1:24" x14ac:dyDescent="0.2">
      <c r="A1200" s="45"/>
      <c r="B1200" s="14"/>
      <c r="C1200" s="14"/>
      <c r="D1200" s="14"/>
      <c r="E1200" s="14"/>
      <c r="F1200" s="14" t="str">
        <f>F$12</f>
        <v>(Dist+Met+Cust)</v>
      </c>
      <c r="G1200" s="181" t="s">
        <v>689</v>
      </c>
      <c r="H1200" s="181" t="s">
        <v>690</v>
      </c>
      <c r="I1200" s="14"/>
      <c r="J1200" s="181"/>
      <c r="K1200" s="181" t="s">
        <v>680</v>
      </c>
      <c r="L1200" s="14" t="s">
        <v>681</v>
      </c>
      <c r="M1200" s="181" t="s">
        <v>680</v>
      </c>
      <c r="N1200" s="181" t="s">
        <v>681</v>
      </c>
      <c r="O1200" s="181" t="s">
        <v>393</v>
      </c>
      <c r="P1200" s="181"/>
      <c r="Q1200" s="14"/>
      <c r="R1200" s="174" t="str">
        <f>R$12</f>
        <v>XFMR</v>
      </c>
      <c r="S1200" s="14" t="str">
        <f>S$12</f>
        <v>DLS</v>
      </c>
      <c r="T1200" s="181"/>
      <c r="U1200" s="14"/>
      <c r="V1200" s="64"/>
      <c r="X1200" s="305"/>
    </row>
    <row r="1201" spans="1:24" ht="15" thickBot="1" x14ac:dyDescent="0.25">
      <c r="A1201" s="45"/>
      <c r="B1201" s="15"/>
      <c r="C1201" s="15"/>
      <c r="D1201" s="15"/>
      <c r="E1201" s="15"/>
      <c r="F1201" s="15" t="s">
        <v>13</v>
      </c>
      <c r="G1201" s="15" t="s">
        <v>14</v>
      </c>
      <c r="H1201" s="15" t="s">
        <v>15</v>
      </c>
      <c r="I1201" s="15"/>
      <c r="J1201" s="182" t="str">
        <f t="shared" ref="J1201:Q1201" si="304">J$13</f>
        <v>(d)</v>
      </c>
      <c r="K1201" s="182" t="str">
        <f t="shared" si="304"/>
        <v>(e)</v>
      </c>
      <c r="L1201" s="15" t="str">
        <f t="shared" si="304"/>
        <v>(f)</v>
      </c>
      <c r="M1201" s="182" t="str">
        <f t="shared" si="304"/>
        <v>(g)</v>
      </c>
      <c r="N1201" s="182" t="str">
        <f t="shared" si="304"/>
        <v>(h)</v>
      </c>
      <c r="O1201" s="182" t="str">
        <f>O$13</f>
        <v>(i)</v>
      </c>
      <c r="P1201" s="182" t="str">
        <f t="shared" si="304"/>
        <v>(j)</v>
      </c>
      <c r="Q1201" s="182" t="str">
        <f t="shared" si="304"/>
        <v>(k)</v>
      </c>
      <c r="R1201" s="182" t="str">
        <f>R$13</f>
        <v>(l)</v>
      </c>
      <c r="S1201" s="15" t="str">
        <f>S$13</f>
        <v>(m)</v>
      </c>
      <c r="T1201" s="15"/>
      <c r="U1201" s="15" t="s">
        <v>683</v>
      </c>
      <c r="V1201" s="64"/>
      <c r="X1201" s="305"/>
    </row>
    <row r="1202" spans="1:24" x14ac:dyDescent="0.2">
      <c r="A1202" s="45"/>
      <c r="B1202" s="64"/>
      <c r="C1202" s="96"/>
      <c r="D1202" s="96"/>
      <c r="E1202" s="251"/>
      <c r="F1202" s="308"/>
      <c r="G1202" s="16"/>
      <c r="H1202" s="251"/>
      <c r="I1202" s="251"/>
      <c r="J1202" s="251"/>
      <c r="K1202" s="251"/>
      <c r="L1202" s="251"/>
      <c r="M1202" s="251"/>
      <c r="N1202" s="251"/>
      <c r="O1202" s="251"/>
      <c r="P1202" s="251"/>
      <c r="Q1202" s="251"/>
      <c r="R1202" s="251"/>
      <c r="S1202" s="251"/>
      <c r="T1202" s="251"/>
      <c r="U1202" s="1"/>
      <c r="V1202" s="64"/>
      <c r="X1202" s="305">
        <f t="shared" si="297"/>
        <v>0</v>
      </c>
    </row>
    <row r="1203" spans="1:24" ht="15" x14ac:dyDescent="0.25">
      <c r="A1203" s="45"/>
      <c r="B1203" s="16">
        <f t="shared" ref="B1203:B1206" si="305">B1202+1</f>
        <v>1</v>
      </c>
      <c r="C1203" s="8" t="s">
        <v>673</v>
      </c>
      <c r="D1203" s="8"/>
      <c r="E1203" s="19" t="s">
        <v>318</v>
      </c>
      <c r="F1203" s="21"/>
      <c r="G1203" s="16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8"/>
      <c r="V1203" s="64"/>
      <c r="X1203" s="305">
        <f t="shared" si="297"/>
        <v>0</v>
      </c>
    </row>
    <row r="1204" spans="1:24" ht="15" x14ac:dyDescent="0.25">
      <c r="A1204" s="45"/>
      <c r="B1204" s="16">
        <f t="shared" si="305"/>
        <v>2</v>
      </c>
      <c r="C1204" s="8" t="s">
        <v>319</v>
      </c>
      <c r="D1204" s="8"/>
      <c r="E1204" s="19"/>
      <c r="F1204" s="21"/>
      <c r="G1204" s="16"/>
      <c r="H1204" s="19"/>
      <c r="I1204" s="19"/>
      <c r="J1204" s="961"/>
      <c r="K1204" s="961"/>
      <c r="L1204" s="961"/>
      <c r="M1204" s="961"/>
      <c r="N1204" s="961"/>
      <c r="O1204" s="961"/>
      <c r="P1204" s="961"/>
      <c r="Q1204" s="961"/>
      <c r="R1204" s="961"/>
      <c r="S1204" s="961"/>
      <c r="T1204" s="19"/>
      <c r="U1204" s="8"/>
      <c r="V1204" s="64"/>
      <c r="X1204" s="305">
        <f t="shared" si="297"/>
        <v>0</v>
      </c>
    </row>
    <row r="1205" spans="1:24" x14ac:dyDescent="0.2">
      <c r="A1205" s="45"/>
      <c r="B1205" s="16">
        <f t="shared" si="305"/>
        <v>3</v>
      </c>
      <c r="C1205" s="1" t="s">
        <v>320</v>
      </c>
      <c r="D1205" s="1" t="s">
        <v>321</v>
      </c>
      <c r="E1205" s="16"/>
      <c r="F1205" s="97">
        <f>' WP II-I-1.4'!L1206</f>
        <v>34378539</v>
      </c>
      <c r="G1205" s="16" t="s">
        <v>751</v>
      </c>
      <c r="H1205" s="45" t="s">
        <v>303</v>
      </c>
      <c r="I1205" s="16"/>
      <c r="J1205" s="369">
        <f>'II-I-DIST'!J1205+'II-I-MET'!J1205+'II-I-TBILLTDCS'!J1205</f>
        <v>15298344.145626949</v>
      </c>
      <c r="K1205" s="369">
        <f>'II-I-DIST'!K1205+'II-I-MET'!K1205+'II-I-TBILLTDCS'!K1205</f>
        <v>289026.52473550406</v>
      </c>
      <c r="L1205" s="369">
        <f>'II-I-DIST'!L1205+'II-I-MET'!L1205+'II-I-TBILLTDCS'!L1205</f>
        <v>9826191.047986716</v>
      </c>
      <c r="M1205" s="369">
        <f>'II-I-DIST'!M1205+'II-I-MET'!M1205+'II-I-TBILLTDCS'!M1205</f>
        <v>4598.0749237971067</v>
      </c>
      <c r="N1205" s="369">
        <f>'II-I-DIST'!N1205+'II-I-MET'!N1205+'II-I-TBILLTDCS'!N1205</f>
        <v>2890290.4854989797</v>
      </c>
      <c r="O1205" s="369">
        <f>'II-I-DIST'!O1205+'II-I-MET'!O1205+'II-I-TBILLTDCS'!O1205</f>
        <v>1242303.741058121</v>
      </c>
      <c r="P1205" s="369">
        <f>'II-I-DIST'!P1205+'II-I-MET'!P1205+'II-I-TBILLTDCS'!P1205</f>
        <v>4543625.9254756616</v>
      </c>
      <c r="Q1205" s="369">
        <f>'II-I-DIST'!Q1205+'II-I-MET'!Q1205+'II-I-TBILLTDCS'!Q1205</f>
        <v>87384.996334564523</v>
      </c>
      <c r="R1205" s="369">
        <f>'II-I-DIST'!R1205+'II-I-MET'!R1205+'II-I-TBILLTDCS'!R1205</f>
        <v>85872.888072538306</v>
      </c>
      <c r="S1205" s="369">
        <f>'II-I-DIST'!S1205+'II-I-MET'!S1205+'II-I-TBILLTDCS'!S1205</f>
        <v>110901.17028716636</v>
      </c>
      <c r="T1205" s="16"/>
      <c r="U1205" s="97">
        <f t="shared" ref="U1205:U1217" si="306">SUM(I1205:T1205)</f>
        <v>34378539.000000007</v>
      </c>
      <c r="V1205" s="64"/>
      <c r="X1205" s="305">
        <f t="shared" si="297"/>
        <v>0</v>
      </c>
    </row>
    <row r="1206" spans="1:24" x14ac:dyDescent="0.2">
      <c r="A1206" s="45"/>
      <c r="B1206" s="16">
        <f t="shared" si="305"/>
        <v>4</v>
      </c>
      <c r="C1206" s="1" t="s">
        <v>322</v>
      </c>
      <c r="D1206" s="1" t="s">
        <v>323</v>
      </c>
      <c r="E1206" s="16"/>
      <c r="F1206" s="97">
        <f>' WP II-I-1.4'!L1207</f>
        <v>758930.8</v>
      </c>
      <c r="G1206" s="16" t="s">
        <v>751</v>
      </c>
      <c r="H1206" s="45" t="s">
        <v>303</v>
      </c>
      <c r="I1206" s="16"/>
      <c r="J1206" s="369">
        <f ca="1">'II-I-DIST'!J1206+'II-I-MET'!J1206+'II-I-TBILLTDCS'!J1206</f>
        <v>398539.86932487029</v>
      </c>
      <c r="K1206" s="369">
        <f ca="1">'II-I-DIST'!K1206+'II-I-MET'!K1206+'II-I-TBILLTDCS'!K1206</f>
        <v>11371.045908457321</v>
      </c>
      <c r="L1206" s="369">
        <f ca="1">'II-I-DIST'!L1206+'II-I-MET'!L1206+'II-I-TBILLTDCS'!L1206</f>
        <v>264411.7508909051</v>
      </c>
      <c r="M1206" s="369">
        <f ca="1">'II-I-DIST'!M1206+'II-I-MET'!M1206+'II-I-TBILLTDCS'!M1206</f>
        <v>119.03133575590283</v>
      </c>
      <c r="N1206" s="369">
        <f ca="1">'II-I-DIST'!N1206+'II-I-MET'!N1206+'II-I-TBILLTDCS'!N1206</f>
        <v>51706.154655778155</v>
      </c>
      <c r="O1206" s="369">
        <f ca="1">'II-I-DIST'!O1206+'II-I-MET'!O1206+'II-I-TBILLTDCS'!O1206</f>
        <v>5926.3691587533831</v>
      </c>
      <c r="P1206" s="369">
        <f ca="1">'II-I-DIST'!P1206+'II-I-MET'!P1206+'II-I-TBILLTDCS'!P1206</f>
        <v>6758.5105064496292</v>
      </c>
      <c r="Q1206" s="369">
        <f ca="1">'II-I-DIST'!Q1206+'II-I-MET'!Q1206+'II-I-TBILLTDCS'!Q1206</f>
        <v>20098.068219030192</v>
      </c>
      <c r="R1206" s="369">
        <f>'II-I-DIST'!R1206+'II-I-MET'!R1206+'II-I-TBILLTDCS'!R1206</f>
        <v>0</v>
      </c>
      <c r="S1206" s="369">
        <f>'II-I-DIST'!S1206+'II-I-MET'!S1206+'II-I-TBILLTDCS'!S1206</f>
        <v>0</v>
      </c>
      <c r="T1206" s="16"/>
      <c r="U1206" s="97">
        <f t="shared" ca="1" si="306"/>
        <v>758930.8</v>
      </c>
      <c r="V1206" s="64"/>
      <c r="X1206" s="305">
        <f t="shared" ca="1" si="297"/>
        <v>0</v>
      </c>
    </row>
    <row r="1207" spans="1:24" x14ac:dyDescent="0.2">
      <c r="A1207" s="45"/>
      <c r="B1207" s="16">
        <f>B1206+1</f>
        <v>5</v>
      </c>
      <c r="C1207" s="1" t="s">
        <v>322</v>
      </c>
      <c r="D1207" s="1" t="s">
        <v>1297</v>
      </c>
      <c r="E1207" s="16"/>
      <c r="F1207" s="97">
        <f>' WP II-I-1.4'!L1208</f>
        <v>0</v>
      </c>
      <c r="G1207" s="16" t="s">
        <v>751</v>
      </c>
      <c r="H1207" s="45" t="s">
        <v>303</v>
      </c>
      <c r="I1207" s="16"/>
      <c r="J1207" s="369">
        <f>'II-I-DIST'!J1207+'II-I-MET'!J1207+'II-I-TBILLTDCS'!J1207</f>
        <v>0</v>
      </c>
      <c r="K1207" s="369">
        <f>'II-I-DIST'!K1207+'II-I-MET'!K1207+'II-I-TBILLTDCS'!K1207</f>
        <v>0</v>
      </c>
      <c r="L1207" s="369">
        <f>'II-I-DIST'!L1207+'II-I-MET'!L1207+'II-I-TBILLTDCS'!L1207</f>
        <v>0</v>
      </c>
      <c r="M1207" s="369">
        <f>'II-I-DIST'!M1207+'II-I-MET'!M1207+'II-I-TBILLTDCS'!M1207</f>
        <v>0</v>
      </c>
      <c r="N1207" s="369">
        <f>'II-I-DIST'!N1207+'II-I-MET'!N1207+'II-I-TBILLTDCS'!N1207</f>
        <v>0</v>
      </c>
      <c r="O1207" s="369">
        <f>'II-I-DIST'!O1207+'II-I-MET'!O1207+'II-I-TBILLTDCS'!O1207</f>
        <v>0</v>
      </c>
      <c r="P1207" s="369">
        <f>'II-I-DIST'!P1207+'II-I-MET'!P1207+'II-I-TBILLTDCS'!P1207</f>
        <v>0</v>
      </c>
      <c r="Q1207" s="369">
        <f>'II-I-DIST'!Q1207+'II-I-MET'!Q1207+'II-I-TBILLTDCS'!Q1207</f>
        <v>0</v>
      </c>
      <c r="R1207" s="369">
        <f>'II-I-DIST'!R1207+'II-I-MET'!R1207+'II-I-TBILLTDCS'!R1207</f>
        <v>0</v>
      </c>
      <c r="S1207" s="369">
        <f>'II-I-DIST'!S1207+'II-I-MET'!S1207+'II-I-TBILLTDCS'!S1207</f>
        <v>0</v>
      </c>
      <c r="T1207" s="16"/>
      <c r="U1207" s="97">
        <f t="shared" ref="U1207" si="307">SUM(I1207:T1207)</f>
        <v>0</v>
      </c>
      <c r="V1207" s="64"/>
      <c r="X1207" s="305"/>
    </row>
    <row r="1208" spans="1:24" x14ac:dyDescent="0.2">
      <c r="A1208" s="45"/>
      <c r="B1208" s="16">
        <f t="shared" ref="B1208:B1230" si="308">B1207+1</f>
        <v>6</v>
      </c>
      <c r="C1208" s="1" t="s">
        <v>674</v>
      </c>
      <c r="D1208" s="26" t="s">
        <v>324</v>
      </c>
      <c r="E1208" s="16"/>
      <c r="F1208" s="97">
        <f>' WP II-I-1.4'!L1209</f>
        <v>27807695</v>
      </c>
      <c r="G1208" s="16" t="s">
        <v>751</v>
      </c>
      <c r="H1208" s="45" t="s">
        <v>303</v>
      </c>
      <c r="I1208" s="16"/>
      <c r="J1208" s="369">
        <f>'II-I-DIST'!J1208+'II-I-MET'!J1208+'II-I-TBILLTDCS'!J1208</f>
        <v>19094523.759871714</v>
      </c>
      <c r="K1208" s="369">
        <f>'II-I-DIST'!K1208+'II-I-MET'!K1208+'II-I-TBILLTDCS'!K1208</f>
        <v>2006869.3329890689</v>
      </c>
      <c r="L1208" s="369">
        <f>'II-I-DIST'!L1208+'II-I-MET'!L1208+'II-I-TBILLTDCS'!L1208</f>
        <v>4864376.3615914052</v>
      </c>
      <c r="M1208" s="369">
        <f>'II-I-DIST'!M1208+'II-I-MET'!M1208+'II-I-TBILLTDCS'!M1208</f>
        <v>182018.11832212264</v>
      </c>
      <c r="N1208" s="369">
        <f>'II-I-DIST'!N1208+'II-I-MET'!N1208+'II-I-TBILLTDCS'!N1208</f>
        <v>1343686.1296190997</v>
      </c>
      <c r="O1208" s="369">
        <f>'II-I-DIST'!O1208+'II-I-MET'!O1208+'II-I-TBILLTDCS'!O1208</f>
        <v>43861.61537248762</v>
      </c>
      <c r="P1208" s="369">
        <f>'II-I-DIST'!P1208+'II-I-MET'!P1208+'II-I-TBILLTDCS'!P1208</f>
        <v>91490.486053041677</v>
      </c>
      <c r="Q1208" s="369">
        <f>'II-I-DIST'!Q1208+'II-I-MET'!Q1208+'II-I-TBILLTDCS'!Q1208</f>
        <v>180869.1961810553</v>
      </c>
      <c r="R1208" s="369">
        <f>'II-I-DIST'!R1208+'II-I-MET'!R1208+'II-I-TBILLTDCS'!R1208</f>
        <v>0</v>
      </c>
      <c r="S1208" s="369">
        <f>'II-I-DIST'!S1208+'II-I-MET'!S1208+'II-I-TBILLTDCS'!S1208</f>
        <v>0</v>
      </c>
      <c r="T1208" s="16"/>
      <c r="U1208" s="97">
        <f t="shared" si="306"/>
        <v>27807694.999999996</v>
      </c>
      <c r="V1208" s="64"/>
      <c r="X1208" s="305">
        <f t="shared" si="297"/>
        <v>0</v>
      </c>
    </row>
    <row r="1209" spans="1:24" x14ac:dyDescent="0.2">
      <c r="A1209" s="45"/>
      <c r="B1209" s="16">
        <f t="shared" si="308"/>
        <v>7</v>
      </c>
      <c r="C1209" s="1" t="s">
        <v>674</v>
      </c>
      <c r="D1209" s="1" t="s">
        <v>325</v>
      </c>
      <c r="E1209" s="16"/>
      <c r="F1209" s="97">
        <f>' WP II-I-1.4'!L1210</f>
        <v>107361.28</v>
      </c>
      <c r="G1209" s="16" t="s">
        <v>751</v>
      </c>
      <c r="H1209" s="45" t="s">
        <v>303</v>
      </c>
      <c r="I1209" s="16"/>
      <c r="J1209" s="369">
        <f ca="1">'II-I-DIST'!J1209+'II-I-MET'!J1209+'II-I-TBILLTDCS'!J1209</f>
        <v>58663.727444449381</v>
      </c>
      <c r="K1209" s="369">
        <f ca="1">'II-I-DIST'!K1209+'II-I-MET'!K1209+'II-I-TBILLTDCS'!K1209</f>
        <v>1563.4618147126523</v>
      </c>
      <c r="L1209" s="369">
        <f ca="1">'II-I-DIST'!L1209+'II-I-MET'!L1209+'II-I-TBILLTDCS'!L1209</f>
        <v>37340.233075917364</v>
      </c>
      <c r="M1209" s="369">
        <f ca="1">'II-I-DIST'!M1209+'II-I-MET'!M1209+'II-I-TBILLTDCS'!M1209</f>
        <v>11.100690921680261</v>
      </c>
      <c r="N1209" s="369">
        <f ca="1">'II-I-DIST'!N1209+'II-I-MET'!N1209+'II-I-TBILLTDCS'!N1209</f>
        <v>6977.7508816455065</v>
      </c>
      <c r="O1209" s="369">
        <f ca="1">'II-I-DIST'!O1209+'II-I-MET'!O1209+'II-I-TBILLTDCS'!O1209</f>
        <v>732.79663314973027</v>
      </c>
      <c r="P1209" s="369">
        <f ca="1">'II-I-DIST'!P1209+'II-I-MET'!P1209+'II-I-TBILLTDCS'!P1209</f>
        <v>142.80625016759222</v>
      </c>
      <c r="Q1209" s="369">
        <f ca="1">'II-I-DIST'!Q1209+'II-I-MET'!Q1209+'II-I-TBILLTDCS'!Q1209</f>
        <v>1611.0113927503951</v>
      </c>
      <c r="R1209" s="369">
        <f ca="1">'II-I-DIST'!R1209+'II-I-MET'!R1209+'II-I-TBILLTDCS'!R1209</f>
        <v>50.653766207611909</v>
      </c>
      <c r="S1209" s="369">
        <f ca="1">'II-I-DIST'!S1209+'II-I-MET'!S1209+'II-I-TBILLTDCS'!S1209</f>
        <v>267.73805007810404</v>
      </c>
      <c r="T1209" s="16"/>
      <c r="U1209" s="97">
        <f t="shared" ca="1" si="306"/>
        <v>107361.28000000003</v>
      </c>
      <c r="V1209" s="64"/>
      <c r="X1209" s="305">
        <f t="shared" ca="1" si="297"/>
        <v>0</v>
      </c>
    </row>
    <row r="1210" spans="1:24" x14ac:dyDescent="0.2">
      <c r="A1210" s="45"/>
      <c r="B1210" s="16">
        <f t="shared" si="308"/>
        <v>8</v>
      </c>
      <c r="C1210" s="1" t="s">
        <v>326</v>
      </c>
      <c r="D1210" s="1" t="s">
        <v>327</v>
      </c>
      <c r="E1210" s="16"/>
      <c r="F1210" s="229">
        <f>' WP II-I-1.4'!L1211</f>
        <v>10615770.26</v>
      </c>
      <c r="G1210" s="16" t="s">
        <v>751</v>
      </c>
      <c r="H1210" s="45" t="s">
        <v>303</v>
      </c>
      <c r="I1210" s="16"/>
      <c r="J1210" s="369">
        <f>'II-I-DIST'!J1210+'II-I-MET'!J1210+'II-I-TBILLTDCS'!J1210</f>
        <v>5801954.3944982234</v>
      </c>
      <c r="K1210" s="369">
        <f>'II-I-DIST'!K1210+'II-I-MET'!K1210+'II-I-TBILLTDCS'!K1210</f>
        <v>109614.39351559214</v>
      </c>
      <c r="L1210" s="369">
        <f>'II-I-DIST'!L1210+'II-I-MET'!L1210+'II-I-TBILLTDCS'!L1210</f>
        <v>3726619.8086112682</v>
      </c>
      <c r="M1210" s="369">
        <f>'II-I-DIST'!M1210+'II-I-MET'!M1210+'II-I-TBILLTDCS'!M1210</f>
        <v>1444.7479423159862</v>
      </c>
      <c r="N1210" s="369">
        <f>'II-I-DIST'!N1210+'II-I-MET'!N1210+'II-I-TBILLTDCS'!N1210</f>
        <v>908149.88899132202</v>
      </c>
      <c r="O1210" s="369">
        <f>'II-I-DIST'!O1210+'II-I-MET'!O1210+'II-I-TBILLTDCS'!O1210</f>
        <v>0</v>
      </c>
      <c r="P1210" s="369">
        <f>'II-I-DIST'!P1210+'II-I-MET'!P1210+'II-I-TBILLTDCS'!P1210</f>
        <v>0</v>
      </c>
      <c r="Q1210" s="369">
        <f>'II-I-DIST'!Q1210+'II-I-MET'!Q1210+'II-I-TBILLTDCS'!Q1210</f>
        <v>33141.087602050415</v>
      </c>
      <c r="R1210" s="369">
        <f>'II-I-DIST'!R1210+'II-I-MET'!R1210+'II-I-TBILLTDCS'!R1210</f>
        <v>0</v>
      </c>
      <c r="S1210" s="369">
        <f>'II-I-DIST'!S1210+'II-I-MET'!S1210+'II-I-TBILLTDCS'!S1210</f>
        <v>34845.93883922723</v>
      </c>
      <c r="T1210" s="16"/>
      <c r="U1210" s="97">
        <f t="shared" si="306"/>
        <v>10615770.26</v>
      </c>
      <c r="V1210" s="64"/>
      <c r="X1210" s="305">
        <f t="shared" si="297"/>
        <v>0</v>
      </c>
    </row>
    <row r="1211" spans="1:24" x14ac:dyDescent="0.2">
      <c r="A1211" s="45"/>
      <c r="B1211" s="16">
        <f t="shared" si="308"/>
        <v>9</v>
      </c>
      <c r="C1211" s="1" t="s">
        <v>351</v>
      </c>
      <c r="D1211" s="1" t="s">
        <v>900</v>
      </c>
      <c r="E1211" s="16" t="s">
        <v>902</v>
      </c>
      <c r="F1211" s="229">
        <f>' WP II-I-1.4'!L1212</f>
        <v>191157.49081999998</v>
      </c>
      <c r="G1211" s="16" t="s">
        <v>751</v>
      </c>
      <c r="H1211" s="45" t="s">
        <v>303</v>
      </c>
      <c r="I1211" s="16"/>
      <c r="J1211" s="369">
        <f>'II-I-DIST'!J1211+'II-I-MET'!J1211+'II-I-TBILLTDCS'!J1211</f>
        <v>104475.41881001038</v>
      </c>
      <c r="K1211" s="369">
        <f>'II-I-DIST'!K1211+'II-I-MET'!K1211+'II-I-TBILLTDCS'!K1211</f>
        <v>1973.8193187120337</v>
      </c>
      <c r="L1211" s="369">
        <f>'II-I-DIST'!L1211+'II-I-MET'!L1211+'II-I-TBILLTDCS'!L1211</f>
        <v>67105.002690048655</v>
      </c>
      <c r="M1211" s="369">
        <f>'II-I-DIST'!M1211+'II-I-MET'!M1211+'II-I-TBILLTDCS'!M1211</f>
        <v>26.01548307437486</v>
      </c>
      <c r="N1211" s="369">
        <f>'II-I-DIST'!N1211+'II-I-MET'!N1211+'II-I-TBILLTDCS'!N1211</f>
        <v>16352.996515209312</v>
      </c>
      <c r="O1211" s="369">
        <f>'II-I-DIST'!O1211+'II-I-MET'!O1211+'II-I-TBILLTDCS'!O1211</f>
        <v>0</v>
      </c>
      <c r="P1211" s="369">
        <f>'II-I-DIST'!P1211+'II-I-MET'!P1211+'II-I-TBILLTDCS'!P1211</f>
        <v>0</v>
      </c>
      <c r="Q1211" s="369">
        <f>'II-I-DIST'!Q1211+'II-I-MET'!Q1211+'II-I-TBILLTDCS'!Q1211</f>
        <v>596.76942830277187</v>
      </c>
      <c r="R1211" s="369">
        <f>'II-I-DIST'!R1211+'II-I-MET'!R1211+'II-I-TBILLTDCS'!R1211</f>
        <v>0</v>
      </c>
      <c r="S1211" s="369">
        <f>'II-I-DIST'!S1211+'II-I-MET'!S1211+'II-I-TBILLTDCS'!S1211</f>
        <v>627.46857464244533</v>
      </c>
      <c r="T1211" s="16"/>
      <c r="U1211" s="97">
        <f t="shared" si="306"/>
        <v>191157.49081999998</v>
      </c>
      <c r="V1211" s="64"/>
      <c r="X1211" s="305">
        <f t="shared" si="297"/>
        <v>0</v>
      </c>
    </row>
    <row r="1212" spans="1:24" x14ac:dyDescent="0.2">
      <c r="A1212" s="45"/>
      <c r="B1212" s="16">
        <f t="shared" si="308"/>
        <v>10</v>
      </c>
      <c r="C1212" s="1" t="s">
        <v>353</v>
      </c>
      <c r="D1212" s="1" t="s">
        <v>901</v>
      </c>
      <c r="E1212" s="16" t="s">
        <v>902</v>
      </c>
      <c r="F1212" s="229">
        <f>' WP II-I-1.4'!L1213</f>
        <v>1091778.68918</v>
      </c>
      <c r="G1212" s="16" t="s">
        <v>751</v>
      </c>
      <c r="H1212" s="45" t="s">
        <v>303</v>
      </c>
      <c r="I1212" s="16"/>
      <c r="J1212" s="369">
        <f>'II-I-DIST'!J1212+'II-I-MET'!J1212+'II-I-TBILLTDCS'!J1212</f>
        <v>609421.0433746581</v>
      </c>
      <c r="K1212" s="369">
        <f>'II-I-DIST'!K1212+'II-I-MET'!K1212+'II-I-TBILLTDCS'!K1212</f>
        <v>11513.588960385094</v>
      </c>
      <c r="L1212" s="369">
        <f>'II-I-DIST'!L1212+'II-I-MET'!L1212+'II-I-TBILLTDCS'!L1212</f>
        <v>391433.70967860916</v>
      </c>
      <c r="M1212" s="369">
        <f>'II-I-DIST'!M1212+'II-I-MET'!M1212+'II-I-TBILLTDCS'!M1212</f>
        <v>116.15204061496429</v>
      </c>
      <c r="N1212" s="369">
        <f>'II-I-DIST'!N1212+'II-I-MET'!N1212+'II-I-TBILLTDCS'!N1212</f>
        <v>73011.671933237914</v>
      </c>
      <c r="O1212" s="369">
        <f>'II-I-DIST'!O1212+'II-I-MET'!O1212+'II-I-TBILLTDCS'!O1212</f>
        <v>0</v>
      </c>
      <c r="P1212" s="369">
        <f>'II-I-DIST'!P1212+'II-I-MET'!P1212+'II-I-TBILLTDCS'!P1212</f>
        <v>0</v>
      </c>
      <c r="Q1212" s="369">
        <f>'II-I-DIST'!Q1212+'II-I-MET'!Q1212+'II-I-TBILLTDCS'!Q1212</f>
        <v>3481.0470423835886</v>
      </c>
      <c r="R1212" s="369">
        <f>'II-I-DIST'!R1212+'II-I-MET'!R1212+'II-I-TBILLTDCS'!R1212</f>
        <v>0</v>
      </c>
      <c r="S1212" s="369">
        <f>'II-I-DIST'!S1212+'II-I-MET'!S1212+'II-I-TBILLTDCS'!S1212</f>
        <v>2801.4761501112107</v>
      </c>
      <c r="T1212" s="16"/>
      <c r="U1212" s="97">
        <f>SUM(I1212:T1212)</f>
        <v>1091778.68918</v>
      </c>
      <c r="V1212" s="64"/>
      <c r="X1212" s="305">
        <f t="shared" si="297"/>
        <v>0</v>
      </c>
    </row>
    <row r="1213" spans="1:24" x14ac:dyDescent="0.2">
      <c r="A1213" s="45"/>
      <c r="B1213" s="16">
        <f t="shared" si="308"/>
        <v>11</v>
      </c>
      <c r="C1213" s="1" t="s">
        <v>330</v>
      </c>
      <c r="D1213" s="1" t="s">
        <v>331</v>
      </c>
      <c r="E1213" s="16"/>
      <c r="F1213" s="229">
        <f>' WP II-I-1.4'!L1214</f>
        <v>0</v>
      </c>
      <c r="G1213" s="16" t="s">
        <v>751</v>
      </c>
      <c r="H1213" s="45" t="s">
        <v>303</v>
      </c>
      <c r="I1213" s="16"/>
      <c r="J1213" s="369">
        <f>'II-I-DIST'!J1213+'II-I-MET'!J1213+'II-I-TBILLTDCS'!J1213</f>
        <v>0</v>
      </c>
      <c r="K1213" s="369">
        <f>'II-I-DIST'!K1213+'II-I-MET'!K1213+'II-I-TBILLTDCS'!K1213</f>
        <v>0</v>
      </c>
      <c r="L1213" s="369">
        <f>'II-I-DIST'!L1213+'II-I-MET'!L1213+'II-I-TBILLTDCS'!L1213</f>
        <v>0</v>
      </c>
      <c r="M1213" s="369">
        <f>'II-I-DIST'!M1213+'II-I-MET'!M1213+'II-I-TBILLTDCS'!M1213</f>
        <v>0</v>
      </c>
      <c r="N1213" s="369">
        <f>'II-I-DIST'!N1213+'II-I-MET'!N1213+'II-I-TBILLTDCS'!N1213</f>
        <v>0</v>
      </c>
      <c r="O1213" s="369">
        <f>'II-I-DIST'!O1213+'II-I-MET'!O1213+'II-I-TBILLTDCS'!O1213</f>
        <v>0</v>
      </c>
      <c r="P1213" s="369">
        <f>'II-I-DIST'!P1213+'II-I-MET'!P1213+'II-I-TBILLTDCS'!P1213</f>
        <v>0</v>
      </c>
      <c r="Q1213" s="369">
        <f>'II-I-DIST'!Q1213+'II-I-MET'!Q1213+'II-I-TBILLTDCS'!Q1213</f>
        <v>0</v>
      </c>
      <c r="R1213" s="369">
        <f>'II-I-DIST'!R1213+'II-I-MET'!R1213+'II-I-TBILLTDCS'!R1213</f>
        <v>0</v>
      </c>
      <c r="S1213" s="369">
        <f>'II-I-DIST'!S1213+'II-I-MET'!S1213+'II-I-TBILLTDCS'!S1213</f>
        <v>0</v>
      </c>
      <c r="T1213" s="16"/>
      <c r="U1213" s="97">
        <f t="shared" si="306"/>
        <v>0</v>
      </c>
      <c r="V1213" s="64"/>
      <c r="X1213" s="305">
        <f t="shared" si="297"/>
        <v>0</v>
      </c>
    </row>
    <row r="1214" spans="1:24" x14ac:dyDescent="0.2">
      <c r="A1214" s="45"/>
      <c r="B1214" s="16">
        <f t="shared" si="308"/>
        <v>12</v>
      </c>
      <c r="C1214" s="1" t="s">
        <v>332</v>
      </c>
      <c r="D1214" s="647" t="s">
        <v>1304</v>
      </c>
      <c r="E1214" s="16"/>
      <c r="F1214" s="229">
        <f>' WP II-I-1.4'!L1215</f>
        <v>36752.630000000005</v>
      </c>
      <c r="G1214" s="16" t="s">
        <v>751</v>
      </c>
      <c r="H1214" s="45" t="s">
        <v>303</v>
      </c>
      <c r="I1214" s="16"/>
      <c r="J1214" s="369">
        <f ca="1">'II-I-DIST'!J1214+'II-I-MET'!J1214+'II-I-TBILLTDCS'!J1214</f>
        <v>20051.582502039608</v>
      </c>
      <c r="K1214" s="369">
        <f ca="1">'II-I-DIST'!K1214+'II-I-MET'!K1214+'II-I-TBILLTDCS'!K1214</f>
        <v>530.78459818548379</v>
      </c>
      <c r="L1214" s="369">
        <f ca="1">'II-I-DIST'!L1214+'II-I-MET'!L1214+'II-I-TBILLTDCS'!L1214</f>
        <v>12765.794058830648</v>
      </c>
      <c r="M1214" s="369">
        <f ca="1">'II-I-DIST'!M1214+'II-I-MET'!M1214+'II-I-TBILLTDCS'!M1214</f>
        <v>3.8461542247056308</v>
      </c>
      <c r="N1214" s="369">
        <f ca="1">'II-I-DIST'!N1214+'II-I-MET'!N1214+'II-I-TBILLTDCS'!N1214</f>
        <v>2417.6428495967925</v>
      </c>
      <c r="O1214" s="369">
        <f ca="1">'II-I-DIST'!O1214+'II-I-MET'!O1214+'II-I-TBILLTDCS'!O1214</f>
        <v>282.49170033040997</v>
      </c>
      <c r="P1214" s="369">
        <f ca="1">'II-I-DIST'!P1214+'II-I-MET'!P1214+'II-I-TBILLTDCS'!P1214</f>
        <v>47.677660828017949</v>
      </c>
      <c r="Q1214" s="369">
        <f ca="1">'II-I-DIST'!Q1214+'II-I-MET'!Q1214+'II-I-TBILLTDCS'!Q1214</f>
        <v>540.51798394202592</v>
      </c>
      <c r="R1214" s="369">
        <f ca="1">'II-I-DIST'!R1214+'II-I-MET'!R1214+'II-I-TBILLTDCS'!R1214</f>
        <v>19.526929978680158</v>
      </c>
      <c r="S1214" s="369">
        <f ca="1">'II-I-DIST'!S1214+'II-I-MET'!S1214+'II-I-TBILLTDCS'!S1214</f>
        <v>92.765562043635143</v>
      </c>
      <c r="T1214" s="16"/>
      <c r="U1214" s="97">
        <f t="shared" ca="1" si="306"/>
        <v>36752.630000000005</v>
      </c>
      <c r="V1214" s="64"/>
      <c r="X1214" s="305">
        <f t="shared" ca="1" si="297"/>
        <v>0</v>
      </c>
    </row>
    <row r="1215" spans="1:24" x14ac:dyDescent="0.2">
      <c r="A1215" s="45"/>
      <c r="B1215" s="16">
        <f t="shared" si="308"/>
        <v>13</v>
      </c>
      <c r="C1215" s="1" t="s">
        <v>1305</v>
      </c>
      <c r="D1215" s="1"/>
      <c r="E1215" s="16"/>
      <c r="F1215" s="229">
        <f>' WP II-I-1.4'!L1216</f>
        <v>0</v>
      </c>
      <c r="G1215" s="16" t="s">
        <v>751</v>
      </c>
      <c r="H1215" s="45" t="s">
        <v>303</v>
      </c>
      <c r="I1215" s="16"/>
      <c r="J1215" s="369">
        <f>'II-I-DIST'!J1215+'II-I-MET'!J1215+'II-I-TBILLTDCS'!J1215</f>
        <v>0</v>
      </c>
      <c r="K1215" s="369">
        <f>'II-I-DIST'!K1215+'II-I-MET'!K1215+'II-I-TBILLTDCS'!K1215</f>
        <v>0</v>
      </c>
      <c r="L1215" s="369">
        <f>'II-I-DIST'!L1215+'II-I-MET'!L1215+'II-I-TBILLTDCS'!L1215</f>
        <v>0</v>
      </c>
      <c r="M1215" s="369">
        <f>'II-I-DIST'!M1215+'II-I-MET'!M1215+'II-I-TBILLTDCS'!M1215</f>
        <v>0</v>
      </c>
      <c r="N1215" s="369">
        <f>'II-I-DIST'!N1215+'II-I-MET'!N1215+'II-I-TBILLTDCS'!N1215</f>
        <v>0</v>
      </c>
      <c r="O1215" s="369">
        <f>'II-I-DIST'!O1215+'II-I-MET'!O1215+'II-I-TBILLTDCS'!O1215</f>
        <v>0</v>
      </c>
      <c r="P1215" s="369">
        <f>'II-I-DIST'!P1215+'II-I-MET'!P1215+'II-I-TBILLTDCS'!P1215</f>
        <v>0</v>
      </c>
      <c r="Q1215" s="369">
        <f>'II-I-DIST'!Q1215+'II-I-MET'!Q1215+'II-I-TBILLTDCS'!Q1215</f>
        <v>0</v>
      </c>
      <c r="R1215" s="369">
        <f>'II-I-DIST'!R1215+'II-I-MET'!R1215+'II-I-TBILLTDCS'!R1215</f>
        <v>0</v>
      </c>
      <c r="S1215" s="369">
        <f>'II-I-DIST'!S1215+'II-I-MET'!S1215+'II-I-TBILLTDCS'!S1215</f>
        <v>0</v>
      </c>
      <c r="T1215" s="16"/>
      <c r="U1215" s="97">
        <f t="shared" ref="U1215" si="309">SUM(I1215:T1215)</f>
        <v>0</v>
      </c>
      <c r="V1215" s="64"/>
      <c r="X1215" s="305"/>
    </row>
    <row r="1216" spans="1:24" x14ac:dyDescent="0.2">
      <c r="A1216" s="45"/>
      <c r="B1216" s="16">
        <f t="shared" si="308"/>
        <v>14</v>
      </c>
      <c r="C1216" s="1" t="s">
        <v>1306</v>
      </c>
      <c r="D1216" s="1" t="s">
        <v>333</v>
      </c>
      <c r="E1216" s="16"/>
      <c r="F1216" s="229">
        <f>' WP II-I-1.4'!L1217</f>
        <v>0</v>
      </c>
      <c r="G1216" s="16" t="s">
        <v>751</v>
      </c>
      <c r="H1216" s="45" t="s">
        <v>303</v>
      </c>
      <c r="I1216" s="16"/>
      <c r="J1216" s="369">
        <f>'II-I-DIST'!J1216+'II-I-MET'!J1216+'II-I-TBILLTDCS'!J1215</f>
        <v>0</v>
      </c>
      <c r="K1216" s="369">
        <f>'II-I-DIST'!K1216+'II-I-MET'!K1216+'II-I-TBILLTDCS'!K1215</f>
        <v>0</v>
      </c>
      <c r="L1216" s="369">
        <f>'II-I-DIST'!L1216+'II-I-MET'!L1216+'II-I-TBILLTDCS'!L1215</f>
        <v>0</v>
      </c>
      <c r="M1216" s="369">
        <f>'II-I-DIST'!M1216+'II-I-MET'!M1216+'II-I-TBILLTDCS'!M1215</f>
        <v>0</v>
      </c>
      <c r="N1216" s="369">
        <f>'II-I-DIST'!N1216+'II-I-MET'!N1216+'II-I-TBILLTDCS'!N1215</f>
        <v>0</v>
      </c>
      <c r="O1216" s="369">
        <f>'II-I-DIST'!O1216+'II-I-MET'!O1216+'II-I-TBILLTDCS'!O1215</f>
        <v>0</v>
      </c>
      <c r="P1216" s="369">
        <f>'II-I-DIST'!P1216+'II-I-MET'!P1216+'II-I-TBILLTDCS'!P1215</f>
        <v>0</v>
      </c>
      <c r="Q1216" s="369">
        <f>'II-I-DIST'!Q1216+'II-I-MET'!Q1216+'II-I-TBILLTDCS'!Q1215</f>
        <v>0</v>
      </c>
      <c r="R1216" s="369">
        <f>'II-I-DIST'!R1216+'II-I-MET'!R1216+'II-I-TBILLTDCS'!R1215</f>
        <v>0</v>
      </c>
      <c r="S1216" s="369">
        <f>'II-I-DIST'!S1216+'II-I-MET'!S1216+'II-I-TBILLTDCS'!S1215</f>
        <v>0</v>
      </c>
      <c r="T1216" s="16"/>
      <c r="U1216" s="97">
        <f t="shared" si="306"/>
        <v>0</v>
      </c>
      <c r="V1216" s="64"/>
      <c r="X1216" s="305">
        <f t="shared" si="297"/>
        <v>0</v>
      </c>
    </row>
    <row r="1217" spans="1:25" x14ac:dyDescent="0.2">
      <c r="A1217" s="45"/>
      <c r="B1217" s="16">
        <f t="shared" si="308"/>
        <v>15</v>
      </c>
      <c r="C1217" s="1" t="s">
        <v>334</v>
      </c>
      <c r="D1217" s="1" t="s">
        <v>335</v>
      </c>
      <c r="E1217" s="16"/>
      <c r="F1217" s="229">
        <f>' WP II-I-1.4'!L1218</f>
        <v>6026344.0000000075</v>
      </c>
      <c r="G1217" s="16" t="s">
        <v>751</v>
      </c>
      <c r="H1217" s="45" t="s">
        <v>303</v>
      </c>
      <c r="I1217" s="16"/>
      <c r="J1217" s="369">
        <f ca="1">'II-I-DIST'!J1217+'II-I-MET'!J1217+'II-I-TBILLTDCS'!J1217</f>
        <v>3292879.9088693177</v>
      </c>
      <c r="K1217" s="369">
        <f ca="1">'II-I-DIST'!K1217+'II-I-MET'!K1217+'II-I-TBILLTDCS'!K1217</f>
        <v>87759.374015685316</v>
      </c>
      <c r="L1217" s="369">
        <f ca="1">'II-I-DIST'!L1217+'II-I-MET'!L1217+'II-I-TBILLTDCS'!L1217</f>
        <v>2095961.3145042274</v>
      </c>
      <c r="M1217" s="369">
        <f ca="1">'II-I-DIST'!M1217+'II-I-MET'!M1217+'II-I-TBILLTDCS'!M1217</f>
        <v>623.09784432266815</v>
      </c>
      <c r="N1217" s="369">
        <f ca="1">'II-I-DIST'!N1217+'II-I-MET'!N1217+'II-I-TBILLTDCS'!N1217</f>
        <v>391671.25391108566</v>
      </c>
      <c r="O1217" s="369">
        <f ca="1">'II-I-DIST'!O1217+'II-I-MET'!O1217+'II-I-TBILLTDCS'!O1217</f>
        <v>41132.935387898535</v>
      </c>
      <c r="P1217" s="369">
        <f ca="1">'II-I-DIST'!P1217+'II-I-MET'!P1217+'II-I-TBILLTDCS'!P1217</f>
        <v>8015.9214649822497</v>
      </c>
      <c r="Q1217" s="369">
        <f ca="1">'II-I-DIST'!Q1217+'II-I-MET'!Q1217+'II-I-TBILLTDCS'!Q1217</f>
        <v>90428.400635992788</v>
      </c>
      <c r="R1217" s="369">
        <f ca="1">'II-I-DIST'!R1217+'II-I-MET'!R1217+'II-I-TBILLTDCS'!R1217</f>
        <v>2843.2691940953496</v>
      </c>
      <c r="S1217" s="369">
        <f ca="1">'II-I-DIST'!S1217+'II-I-MET'!S1217+'II-I-TBILLTDCS'!S1217</f>
        <v>15028.524172400737</v>
      </c>
      <c r="T1217" s="16"/>
      <c r="U1217" s="97">
        <f t="shared" ca="1" si="306"/>
        <v>6026344.0000000084</v>
      </c>
      <c r="V1217" s="64"/>
      <c r="X1217" s="305">
        <f t="shared" ca="1" si="297"/>
        <v>0</v>
      </c>
    </row>
    <row r="1218" spans="1:25" x14ac:dyDescent="0.2">
      <c r="A1218" s="45"/>
      <c r="B1218" s="16">
        <f t="shared" si="308"/>
        <v>16</v>
      </c>
      <c r="C1218" s="1" t="s">
        <v>334</v>
      </c>
      <c r="D1218" s="1" t="s">
        <v>1301</v>
      </c>
      <c r="E1218" s="16"/>
      <c r="F1218" s="229">
        <f>' WP II-I-1.4'!L1219</f>
        <v>0</v>
      </c>
      <c r="G1218" s="16" t="s">
        <v>751</v>
      </c>
      <c r="H1218" s="45" t="s">
        <v>303</v>
      </c>
      <c r="I1218" s="16"/>
      <c r="J1218" s="369">
        <f>'II-I-DIST'!J1218+'II-I-MET'!J1218+'II-I-TBILLTDCS'!J1218</f>
        <v>0</v>
      </c>
      <c r="K1218" s="369">
        <f>'II-I-DIST'!K1218+'II-I-MET'!K1218+'II-I-TBILLTDCS'!K1218</f>
        <v>0</v>
      </c>
      <c r="L1218" s="369">
        <f>'II-I-DIST'!L1218+'II-I-MET'!L1218+'II-I-TBILLTDCS'!L1218</f>
        <v>0</v>
      </c>
      <c r="M1218" s="369">
        <f>'II-I-DIST'!M1218+'II-I-MET'!M1218+'II-I-TBILLTDCS'!M1218</f>
        <v>0</v>
      </c>
      <c r="N1218" s="369">
        <f>'II-I-DIST'!N1218+'II-I-MET'!N1218+'II-I-TBILLTDCS'!N1218</f>
        <v>0</v>
      </c>
      <c r="O1218" s="369">
        <f>'II-I-DIST'!O1218+'II-I-MET'!O1218+'II-I-TBILLTDCS'!O1218</f>
        <v>0</v>
      </c>
      <c r="P1218" s="369">
        <f>'II-I-DIST'!P1218+'II-I-MET'!P1218+'II-I-TBILLTDCS'!P1218</f>
        <v>0</v>
      </c>
      <c r="Q1218" s="369">
        <f>'II-I-DIST'!Q1218+'II-I-MET'!Q1218+'II-I-TBILLTDCS'!Q1218</f>
        <v>0</v>
      </c>
      <c r="R1218" s="369">
        <f>'II-I-DIST'!R1218+'II-I-MET'!R1218+'II-I-TBILLTDCS'!R1218</f>
        <v>0</v>
      </c>
      <c r="S1218" s="369">
        <f>'II-I-DIST'!S1218+'II-I-MET'!S1218+'II-I-TBILLTDCS'!S1218</f>
        <v>0</v>
      </c>
      <c r="T1218" s="16"/>
      <c r="U1218" s="97">
        <f t="shared" ref="U1218:U1219" si="310">SUM(I1218:T1218)</f>
        <v>0</v>
      </c>
      <c r="V1218" s="64"/>
      <c r="X1218" s="305"/>
    </row>
    <row r="1219" spans="1:25" x14ac:dyDescent="0.2">
      <c r="A1219" s="45"/>
      <c r="B1219" s="16">
        <f t="shared" si="308"/>
        <v>17</v>
      </c>
      <c r="C1219" s="1" t="s">
        <v>334</v>
      </c>
      <c r="D1219" s="1" t="s">
        <v>1302</v>
      </c>
      <c r="E1219" s="16"/>
      <c r="F1219" s="229">
        <f>' WP II-I-1.4'!L1220</f>
        <v>0</v>
      </c>
      <c r="G1219" s="16" t="s">
        <v>751</v>
      </c>
      <c r="H1219" s="45" t="s">
        <v>303</v>
      </c>
      <c r="I1219" s="16"/>
      <c r="J1219" s="369">
        <f>'II-I-DIST'!J1219+'II-I-MET'!J1219+'II-I-TBILLTDCS'!J1219</f>
        <v>0</v>
      </c>
      <c r="K1219" s="369">
        <f>'II-I-DIST'!K1219+'II-I-MET'!K1219+'II-I-TBILLTDCS'!K1219</f>
        <v>0</v>
      </c>
      <c r="L1219" s="369">
        <f>'II-I-DIST'!L1219+'II-I-MET'!L1219+'II-I-TBILLTDCS'!L1219</f>
        <v>0</v>
      </c>
      <c r="M1219" s="369">
        <f>'II-I-DIST'!M1219+'II-I-MET'!M1219+'II-I-TBILLTDCS'!M1219</f>
        <v>0</v>
      </c>
      <c r="N1219" s="369">
        <f>'II-I-DIST'!N1219+'II-I-MET'!N1219+'II-I-TBILLTDCS'!N1219</f>
        <v>0</v>
      </c>
      <c r="O1219" s="369">
        <f>'II-I-DIST'!O1219+'II-I-MET'!O1219+'II-I-TBILLTDCS'!O1219</f>
        <v>0</v>
      </c>
      <c r="P1219" s="369">
        <f>'II-I-DIST'!P1219+'II-I-MET'!P1219+'II-I-TBILLTDCS'!P1219</f>
        <v>0</v>
      </c>
      <c r="Q1219" s="369">
        <f>'II-I-DIST'!Q1219+'II-I-MET'!Q1219+'II-I-TBILLTDCS'!Q1219</f>
        <v>0</v>
      </c>
      <c r="R1219" s="369">
        <f>'II-I-DIST'!R1219+'II-I-MET'!R1219+'II-I-TBILLTDCS'!R1219</f>
        <v>0</v>
      </c>
      <c r="S1219" s="369">
        <f>'II-I-DIST'!S1219+'II-I-MET'!S1219+'II-I-TBILLTDCS'!S1219</f>
        <v>0</v>
      </c>
      <c r="T1219" s="16"/>
      <c r="U1219" s="97">
        <f t="shared" si="310"/>
        <v>0</v>
      </c>
      <c r="V1219" s="64"/>
      <c r="X1219" s="305"/>
    </row>
    <row r="1220" spans="1:25" ht="15" x14ac:dyDescent="0.25">
      <c r="A1220" s="45"/>
      <c r="B1220" s="16">
        <f t="shared" si="308"/>
        <v>18</v>
      </c>
      <c r="C1220" s="191"/>
      <c r="D1220" s="323" t="s">
        <v>444</v>
      </c>
      <c r="E1220" s="191"/>
      <c r="F1220" s="21">
        <f>SUM(F1205:F1219)</f>
        <v>81014329.150000006</v>
      </c>
      <c r="G1220" s="191"/>
      <c r="H1220" s="191"/>
      <c r="I1220" s="191"/>
      <c r="J1220" s="805">
        <f t="shared" ref="J1220:U1220" ca="1" si="311">SUM(J1205:J1219)</f>
        <v>44678853.850322224</v>
      </c>
      <c r="K1220" s="805">
        <f t="shared" ca="1" si="311"/>
        <v>2520222.3258563029</v>
      </c>
      <c r="L1220" s="805">
        <f t="shared" ca="1" si="311"/>
        <v>21286205.023087922</v>
      </c>
      <c r="M1220" s="805">
        <f t="shared" ca="1" si="311"/>
        <v>188960.18473715006</v>
      </c>
      <c r="N1220" s="805">
        <f t="shared" ca="1" si="311"/>
        <v>5684263.9748559548</v>
      </c>
      <c r="O1220" s="805">
        <f t="shared" ca="1" si="311"/>
        <v>1334239.9493107407</v>
      </c>
      <c r="P1220" s="805">
        <f t="shared" ca="1" si="311"/>
        <v>4650081.3274111319</v>
      </c>
      <c r="Q1220" s="805">
        <f t="shared" ca="1" si="311"/>
        <v>418151.09482007194</v>
      </c>
      <c r="R1220" s="805">
        <f t="shared" ca="1" si="311"/>
        <v>88786.337962819947</v>
      </c>
      <c r="S1220" s="805">
        <f t="shared" ca="1" si="311"/>
        <v>164565.08163566972</v>
      </c>
      <c r="T1220" s="805">
        <f t="shared" si="311"/>
        <v>0</v>
      </c>
      <c r="U1220" s="805">
        <f t="shared" ca="1" si="311"/>
        <v>81014329.150000021</v>
      </c>
      <c r="V1220" s="64"/>
      <c r="W1220" s="1099" t="b">
        <f ca="1">' WP II-I-1.4'!$L$1221=U1220</f>
        <v>1</v>
      </c>
      <c r="X1220" s="305">
        <f t="shared" ca="1" si="297"/>
        <v>0</v>
      </c>
    </row>
    <row r="1221" spans="1:25" ht="15" thickBot="1" x14ac:dyDescent="0.25">
      <c r="A1221" s="45"/>
      <c r="B1221" s="16">
        <f t="shared" si="308"/>
        <v>19</v>
      </c>
      <c r="C1221" s="1"/>
      <c r="D1221" s="1"/>
      <c r="E1221" s="16"/>
      <c r="F1221" s="18"/>
      <c r="G1221" s="16"/>
      <c r="H1221" s="16"/>
      <c r="I1221" s="16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6"/>
      <c r="U1221" s="23"/>
      <c r="V1221" s="64"/>
      <c r="X1221" s="305">
        <f t="shared" si="297"/>
        <v>0</v>
      </c>
    </row>
    <row r="1222" spans="1:25" ht="15.75" thickBot="1" x14ac:dyDescent="0.3">
      <c r="A1222" s="45"/>
      <c r="B1222" s="16">
        <f t="shared" si="308"/>
        <v>20</v>
      </c>
      <c r="C1222" s="223" t="s">
        <v>676</v>
      </c>
      <c r="D1222" s="252"/>
      <c r="E1222" s="252" t="s">
        <v>318</v>
      </c>
      <c r="F1222" s="194">
        <f>+F1220</f>
        <v>81014329.150000006</v>
      </c>
      <c r="G1222" s="252"/>
      <c r="H1222" s="379"/>
      <c r="I1222" s="963"/>
      <c r="J1222" s="381">
        <f t="shared" ref="J1222:Q1222" ca="1" si="312">+J1220</f>
        <v>44678853.850322224</v>
      </c>
      <c r="K1222" s="812">
        <f t="shared" ca="1" si="312"/>
        <v>2520222.3258563029</v>
      </c>
      <c r="L1222" s="812">
        <f t="shared" ca="1" si="312"/>
        <v>21286205.023087922</v>
      </c>
      <c r="M1222" s="812">
        <f t="shared" ca="1" si="312"/>
        <v>188960.18473715006</v>
      </c>
      <c r="N1222" s="812">
        <f t="shared" ca="1" si="312"/>
        <v>5684263.9748559548</v>
      </c>
      <c r="O1222" s="812">
        <f ca="1">+O1220</f>
        <v>1334239.9493107407</v>
      </c>
      <c r="P1222" s="812">
        <f t="shared" ca="1" si="312"/>
        <v>4650081.3274111319</v>
      </c>
      <c r="Q1222" s="812">
        <f t="shared" ca="1" si="312"/>
        <v>418151.09482007194</v>
      </c>
      <c r="R1222" s="812">
        <f ca="1">+R1220</f>
        <v>88786.337962819947</v>
      </c>
      <c r="S1222" s="315">
        <f ca="1">+S1220</f>
        <v>164565.08163566972</v>
      </c>
      <c r="T1222" s="379"/>
      <c r="U1222" s="195">
        <f ca="1">SUM(I1222:T1222)</f>
        <v>81014329.149999976</v>
      </c>
      <c r="V1222" s="64"/>
      <c r="W1222" s="1099" t="b">
        <f ca="1">' WP II-I-1.4'!$L$1223=U1222</f>
        <v>1</v>
      </c>
      <c r="X1222" s="305">
        <f t="shared" ca="1" si="297"/>
        <v>0</v>
      </c>
    </row>
    <row r="1223" spans="1:25" ht="15" thickBot="1" x14ac:dyDescent="0.25">
      <c r="A1223" s="45"/>
      <c r="B1223" s="16">
        <f t="shared" si="308"/>
        <v>21</v>
      </c>
      <c r="C1223" s="64"/>
      <c r="D1223" s="64"/>
      <c r="E1223" s="64"/>
      <c r="F1223" s="64"/>
      <c r="G1223" s="64"/>
      <c r="H1223" s="64"/>
      <c r="I1223" s="64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64"/>
      <c r="U1223" s="64"/>
      <c r="V1223" s="64"/>
      <c r="X1223" s="305">
        <f t="shared" si="297"/>
        <v>0</v>
      </c>
    </row>
    <row r="1224" spans="1:25" ht="15.75" thickBot="1" x14ac:dyDescent="0.3">
      <c r="A1224" s="130"/>
      <c r="B1224" s="16">
        <f t="shared" si="308"/>
        <v>22</v>
      </c>
      <c r="C1224" s="223" t="s">
        <v>463</v>
      </c>
      <c r="D1224" s="252"/>
      <c r="E1224" s="252"/>
      <c r="F1224" s="194">
        <f>F622+F1186</f>
        <v>5968013926.4664154</v>
      </c>
      <c r="G1224" s="252"/>
      <c r="H1224" s="379"/>
      <c r="I1224" s="963"/>
      <c r="J1224" s="381">
        <f t="shared" ref="J1224:S1224" ca="1" si="313">J622+J1186</f>
        <v>2943488547.1308112</v>
      </c>
      <c r="K1224" s="812">
        <f t="shared" ca="1" si="313"/>
        <v>95385056.409912512</v>
      </c>
      <c r="L1224" s="812">
        <f t="shared" ca="1" si="313"/>
        <v>1963321622.3357677</v>
      </c>
      <c r="M1224" s="812">
        <f t="shared" ca="1" si="313"/>
        <v>4710244.0424689585</v>
      </c>
      <c r="N1224" s="812">
        <f t="shared" ca="1" si="313"/>
        <v>470078845.94465148</v>
      </c>
      <c r="O1224" s="812">
        <f t="shared" ca="1" si="313"/>
        <v>100997431.30420229</v>
      </c>
      <c r="P1224" s="812">
        <f t="shared" ca="1" si="313"/>
        <v>281106468.31256473</v>
      </c>
      <c r="Q1224" s="812">
        <f t="shared" ca="1" si="313"/>
        <v>97942555.351523727</v>
      </c>
      <c r="R1224" s="812">
        <f t="shared" ca="1" si="313"/>
        <v>2033161.2662980219</v>
      </c>
      <c r="S1224" s="315">
        <f t="shared" ca="1" si="313"/>
        <v>8949994.3682139367</v>
      </c>
      <c r="T1224" s="379"/>
      <c r="U1224" s="195">
        <f ca="1">SUM(I1224:T1224)</f>
        <v>5968013926.4664145</v>
      </c>
      <c r="V1224" s="101"/>
      <c r="W1224" s="1099" t="b">
        <f ca="1">ROUND(' WP II-I-1.4'!$L$1225,0)=ROUND(U1224,0)</f>
        <v>1</v>
      </c>
      <c r="X1224" s="305">
        <f t="shared" ca="1" si="297"/>
        <v>0</v>
      </c>
    </row>
    <row r="1225" spans="1:25" ht="15" thickBot="1" x14ac:dyDescent="0.25">
      <c r="A1225" s="45"/>
      <c r="B1225" s="16">
        <f t="shared" si="308"/>
        <v>23</v>
      </c>
      <c r="C1225" s="64"/>
      <c r="D1225" s="64"/>
      <c r="E1225" s="64"/>
      <c r="F1225" s="64"/>
      <c r="G1225" s="64"/>
      <c r="H1225" s="64"/>
      <c r="I1225" s="64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64"/>
      <c r="U1225" s="64"/>
      <c r="V1225" s="64"/>
      <c r="X1225" s="305">
        <f t="shared" si="297"/>
        <v>0</v>
      </c>
    </row>
    <row r="1226" spans="1:25" ht="15.75" thickBot="1" x14ac:dyDescent="0.3">
      <c r="A1226" s="130"/>
      <c r="B1226" s="16">
        <f t="shared" si="308"/>
        <v>24</v>
      </c>
      <c r="C1226" s="223" t="s">
        <v>677</v>
      </c>
      <c r="D1226" s="252"/>
      <c r="E1226" s="252"/>
      <c r="F1226" s="194">
        <f>F1224-F1222</f>
        <v>5886999597.3164158</v>
      </c>
      <c r="G1226" s="252"/>
      <c r="H1226" s="379"/>
      <c r="I1226" s="963"/>
      <c r="J1226" s="381">
        <f t="shared" ref="J1226:Q1226" ca="1" si="314">J1224-J1222</f>
        <v>2898809693.280489</v>
      </c>
      <c r="K1226" s="812">
        <f t="shared" ca="1" si="314"/>
        <v>92864834.084056213</v>
      </c>
      <c r="L1226" s="812">
        <f t="shared" ca="1" si="314"/>
        <v>1942035417.3126798</v>
      </c>
      <c r="M1226" s="812">
        <f t="shared" ca="1" si="314"/>
        <v>4521283.8577318089</v>
      </c>
      <c r="N1226" s="812">
        <f t="shared" ca="1" si="314"/>
        <v>464394581.96979553</v>
      </c>
      <c r="O1226" s="812">
        <f ca="1">O1224-O1222</f>
        <v>99663191.354891554</v>
      </c>
      <c r="P1226" s="812">
        <f t="shared" ca="1" si="314"/>
        <v>276456386.98515362</v>
      </c>
      <c r="Q1226" s="812">
        <f t="shared" ca="1" si="314"/>
        <v>97524404.25670366</v>
      </c>
      <c r="R1226" s="812">
        <f ca="1">R1224-R1222</f>
        <v>1944374.9283352019</v>
      </c>
      <c r="S1226" s="315">
        <f ca="1">S1224-S1222</f>
        <v>8785429.2865782678</v>
      </c>
      <c r="T1226" s="379"/>
      <c r="U1226" s="195">
        <f ca="1">SUM(I1226:T1226)</f>
        <v>5886999597.3164139</v>
      </c>
      <c r="V1226" s="101"/>
      <c r="W1226" s="1099" t="b">
        <f ca="1">ROUND(' WP II-I-1.4'!$L$1227,0)=ROUND(U1226,0)</f>
        <v>1</v>
      </c>
      <c r="X1226" s="305">
        <f t="shared" ca="1" si="297"/>
        <v>0</v>
      </c>
    </row>
    <row r="1227" spans="1:25" ht="15" thickBot="1" x14ac:dyDescent="0.25">
      <c r="A1227" s="45"/>
      <c r="B1227" s="16">
        <f t="shared" si="308"/>
        <v>25</v>
      </c>
      <c r="C1227" s="64"/>
      <c r="D1227" s="64"/>
      <c r="E1227" s="64"/>
      <c r="F1227" s="64"/>
      <c r="G1227" s="64"/>
      <c r="H1227" s="64"/>
      <c r="I1227" s="64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64"/>
      <c r="U1227" s="64"/>
      <c r="V1227" s="64"/>
      <c r="X1227" s="305">
        <f t="shared" si="297"/>
        <v>0</v>
      </c>
    </row>
    <row r="1228" spans="1:25" ht="15" x14ac:dyDescent="0.25">
      <c r="A1228" s="130"/>
      <c r="B1228" s="16">
        <f t="shared" si="308"/>
        <v>26</v>
      </c>
      <c r="C1228" s="255" t="s">
        <v>1187</v>
      </c>
      <c r="D1228" s="241"/>
      <c r="E1228" s="241"/>
      <c r="F1228" s="242">
        <f>F1224-F645-'II-I-DIST'!F776*('WP II-I-2.2'!$P$45)</f>
        <v>3867172453.8064156</v>
      </c>
      <c r="G1228" s="241"/>
      <c r="H1228" s="372"/>
      <c r="I1228" s="373"/>
      <c r="J1228" s="817">
        <f ca="1">J1224-J645-'II-I-DIST'!J776*('WP II-I-2.2'!$P$45)</f>
        <v>2022083559.5625784</v>
      </c>
      <c r="K1228" s="817">
        <f ca="1">K1224-K645-'II-I-DIST'!K776*('WP II-I-2.2'!$P$45)</f>
        <v>76810179.183972806</v>
      </c>
      <c r="L1228" s="817">
        <f ca="1">L1224-L645-'II-I-DIST'!L776*('WP II-I-2.2'!$P$45)</f>
        <v>1321862102.001513</v>
      </c>
      <c r="M1228" s="817">
        <f ca="1">M1224-M645-'II-I-DIST'!M776*('WP II-I-2.2'!$P$45)</f>
        <v>4507314.6537872609</v>
      </c>
      <c r="N1228" s="817">
        <f ca="1">N1224-N645-'II-I-DIST'!N776*('WP II-I-2.2'!$P$45)</f>
        <v>270629426.32924545</v>
      </c>
      <c r="O1228" s="817">
        <f ca="1">O1224-O645-'II-I-DIST'!O776*('WP II-I-2.2'!$P$45)</f>
        <v>28589335.762776479</v>
      </c>
      <c r="P1228" s="817">
        <f ca="1">P1224-P645-'II-I-DIST'!P776*('WP II-I-2.2'!$P$45)</f>
        <v>33764825.326505333</v>
      </c>
      <c r="Q1228" s="817">
        <f ca="1">Q1224-Q645-'II-I-DIST'!Q776*('WP II-I-2.2'!$P$45)</f>
        <v>97942555.351523727</v>
      </c>
      <c r="R1228" s="817">
        <f ca="1">R1224-R645-'II-I-DIST'!R776*('WP II-I-2.2'!$P$45)</f>
        <v>2033161.2662980219</v>
      </c>
      <c r="S1228" s="817">
        <f ca="1">S1224-S645-'II-I-DIST'!S776*('WP II-I-2.2'!$P$45)</f>
        <v>8949994.3682139367</v>
      </c>
      <c r="T1228" s="373"/>
      <c r="U1228" s="243">
        <f ca="1">SUM(I1228:T1228)</f>
        <v>3867172453.8064141</v>
      </c>
      <c r="V1228" s="101"/>
      <c r="W1228" s="1099">
        <f ca="1">' WP II-I-1.4'!$L$1229-U1228</f>
        <v>0</v>
      </c>
      <c r="X1228" s="305">
        <f t="shared" ca="1" si="297"/>
        <v>0</v>
      </c>
      <c r="Y1228" s="992"/>
    </row>
    <row r="1229" spans="1:25" x14ac:dyDescent="0.2">
      <c r="A1229" s="45"/>
      <c r="B1229" s="16">
        <f t="shared" si="308"/>
        <v>27</v>
      </c>
      <c r="C1229" s="324"/>
      <c r="D1229" s="325"/>
      <c r="E1229" s="325"/>
      <c r="F1229" s="325"/>
      <c r="G1229" s="325"/>
      <c r="H1229" s="237"/>
      <c r="I1229" s="404"/>
      <c r="J1229" s="325"/>
      <c r="K1229" s="325"/>
      <c r="L1229" s="325"/>
      <c r="M1229" s="325"/>
      <c r="N1229" s="325"/>
      <c r="O1229" s="325"/>
      <c r="P1229" s="325"/>
      <c r="Q1229" s="325"/>
      <c r="R1229" s="325"/>
      <c r="S1229" s="325"/>
      <c r="T1229" s="404"/>
      <c r="U1229" s="237"/>
      <c r="V1229" s="64"/>
      <c r="X1229" s="305">
        <f>U1229-F1229</f>
        <v>0</v>
      </c>
      <c r="Y1229" s="992"/>
    </row>
    <row r="1230" spans="1:25" ht="15.75" thickBot="1" x14ac:dyDescent="0.3">
      <c r="A1230" s="130"/>
      <c r="B1230" s="16">
        <f t="shared" si="308"/>
        <v>28</v>
      </c>
      <c r="C1230" s="262" t="s">
        <v>1188</v>
      </c>
      <c r="D1230" s="247"/>
      <c r="E1230" s="247"/>
      <c r="F1230" s="248">
        <f>F1228-F1222</f>
        <v>3786158124.6564155</v>
      </c>
      <c r="G1230" s="247"/>
      <c r="H1230" s="375"/>
      <c r="I1230" s="376"/>
      <c r="J1230" s="248">
        <f ca="1">J1228-J1222</f>
        <v>1977404705.7122562</v>
      </c>
      <c r="K1230" s="248">
        <f ca="1">K1228-K1222</f>
        <v>74289956.858116508</v>
      </c>
      <c r="L1230" s="248">
        <f ca="1">L1228-L1222</f>
        <v>1300575896.978425</v>
      </c>
      <c r="M1230" s="248">
        <f ca="1">M1228-M1222</f>
        <v>4318354.4690501112</v>
      </c>
      <c r="N1230" s="248">
        <f t="shared" ref="N1230:S1230" ca="1" si="315">N1228-N1222</f>
        <v>264945162.35438949</v>
      </c>
      <c r="O1230" s="248">
        <f t="shared" ca="1" si="315"/>
        <v>27255095.813465737</v>
      </c>
      <c r="P1230" s="248">
        <f t="shared" ca="1" si="315"/>
        <v>29114743.999094203</v>
      </c>
      <c r="Q1230" s="248">
        <f t="shared" ca="1" si="315"/>
        <v>97524404.25670366</v>
      </c>
      <c r="R1230" s="248">
        <f t="shared" ca="1" si="315"/>
        <v>1944374.9283352019</v>
      </c>
      <c r="S1230" s="248">
        <f t="shared" ca="1" si="315"/>
        <v>8785429.2865782678</v>
      </c>
      <c r="T1230" s="376"/>
      <c r="U1230" s="249">
        <f ca="1">SUM(I1230:T1230)</f>
        <v>3786158124.656414</v>
      </c>
      <c r="V1230" s="101"/>
      <c r="W1230" s="1099">
        <f ca="1">' WP II-I-1.4'!$L$1231-U1230</f>
        <v>0</v>
      </c>
      <c r="X1230" s="305">
        <f ca="1">U1230-F1230</f>
        <v>0</v>
      </c>
      <c r="Y1230" s="992"/>
    </row>
    <row r="1231" spans="1:25" x14ac:dyDescent="0.2">
      <c r="A1231" s="321"/>
      <c r="B1231" s="16"/>
      <c r="U1231" s="172"/>
      <c r="Y1231" s="992"/>
    </row>
    <row r="1232" spans="1:25" x14ac:dyDescent="0.2">
      <c r="A1232" s="321"/>
      <c r="B1232" s="16"/>
      <c r="U1232" s="172"/>
    </row>
    <row r="1233" spans="1:21" x14ac:dyDescent="0.2">
      <c r="A1233" s="321"/>
      <c r="B1233" s="16"/>
      <c r="C1233" s="64"/>
      <c r="F1233" s="327"/>
      <c r="U1233" s="327"/>
    </row>
    <row r="1234" spans="1:21" x14ac:dyDescent="0.2">
      <c r="A1234" s="321"/>
      <c r="H1234" s="305"/>
      <c r="U1234" s="172"/>
    </row>
    <row r="1235" spans="1:21" x14ac:dyDescent="0.2">
      <c r="A1235" s="321"/>
    </row>
    <row r="1236" spans="1:21" x14ac:dyDescent="0.2">
      <c r="A1236" s="321"/>
    </row>
  </sheetData>
  <phoneticPr fontId="0" type="noConversion"/>
  <pageMargins left="0.5" right="0.5" top="1.5" bottom="0.75" header="1.5" footer="0.5"/>
  <pageSetup scale="60" pageOrder="overThenDown" orientation="landscape" r:id="rId1"/>
  <headerFooter alignWithMargins="0">
    <oddHeader xml:space="preserve">&amp;RSchedule II-I-1-TOT
Page &amp;P of &amp;N
</oddHeader>
  </headerFooter>
  <rowBreaks count="33" manualBreakCount="33">
    <brk id="40" min="1" max="21" man="1"/>
    <brk id="90" min="1" max="21" man="1"/>
    <brk id="121" min="1" max="21" man="1"/>
    <brk id="169" min="1" max="21" man="1"/>
    <brk id="200" min="1" max="21" man="1"/>
    <brk id="226" min="1" max="21" man="1"/>
    <brk id="245" min="1" max="21" man="1"/>
    <brk id="277" min="1" max="21" man="1"/>
    <brk id="328" min="1" max="21" man="1"/>
    <brk id="369" min="1" max="21" man="1"/>
    <brk id="389" min="1" max="21" man="1"/>
    <brk id="414" min="1" max="21" man="1"/>
    <brk id="436" min="1" max="21" man="1"/>
    <brk id="456" min="1" max="21" man="1"/>
    <brk id="479" min="1" max="21" man="1"/>
    <brk id="504" min="1" max="21" man="1"/>
    <brk id="556" min="1" max="21" man="1"/>
    <brk id="575" min="1" max="21" man="1"/>
    <brk id="623" min="1" max="21" man="1"/>
    <brk id="664" min="1" max="21" man="1"/>
    <brk id="710" min="1" max="21" man="1"/>
    <brk id="754" min="1" max="21" man="1"/>
    <brk id="788" min="1" max="21" man="1"/>
    <brk id="828" min="1" max="21" man="1"/>
    <brk id="875" min="1" max="21" man="1"/>
    <brk id="925" min="1" max="21" man="1"/>
    <brk id="958" min="1" max="21" man="1"/>
    <brk id="979" min="1" max="21" man="1"/>
    <brk id="1032" min="1" max="21" man="1"/>
    <brk id="1071" min="1" max="21" man="1"/>
    <brk id="1104" min="1" max="21" man="1"/>
    <brk id="1162" min="1" max="21" man="1"/>
    <brk id="1190" min="1" max="21" man="1"/>
  </rowBreaks>
  <colBreaks count="1" manualBreakCount="1">
    <brk id="12" min="1" max="117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1233"/>
  <sheetViews>
    <sheetView view="pageBreakPreview" topLeftCell="A617" zoomScaleNormal="75" zoomScaleSheetLayoutView="100" workbookViewId="0">
      <selection activeCell="K628" sqref="K628"/>
    </sheetView>
  </sheetViews>
  <sheetFormatPr defaultColWidth="15.875" defaultRowHeight="14.25" x14ac:dyDescent="0.2"/>
  <cols>
    <col min="1" max="1" width="1.625" style="321" customWidth="1"/>
    <col min="2" max="2" width="4.375" customWidth="1"/>
    <col min="3" max="3" width="8.125" customWidth="1"/>
    <col min="4" max="4" width="45.75" customWidth="1"/>
    <col min="5" max="5" width="10.875" customWidth="1"/>
    <col min="6" max="6" width="16.375" customWidth="1"/>
    <col min="7" max="7" width="11.25" customWidth="1"/>
    <col min="8" max="8" width="12.625" customWidth="1"/>
    <col min="9" max="9" width="10.125" customWidth="1"/>
    <col min="10" max="10" width="12.5" customWidth="1"/>
    <col min="11" max="11" width="13.75" style="589" customWidth="1"/>
    <col min="12" max="12" width="14.625" style="589" customWidth="1"/>
    <col min="13" max="13" width="33.125" style="935" customWidth="1"/>
    <col min="14" max="14" width="14.75" customWidth="1"/>
    <col min="15" max="15" width="22.375" customWidth="1"/>
    <col min="16" max="19" width="15.875" customWidth="1"/>
    <col min="20" max="20" width="7.125" customWidth="1"/>
    <col min="21" max="21" width="8.625" customWidth="1"/>
    <col min="22" max="22" width="13.125" customWidth="1"/>
    <col min="23" max="25" width="15.875" customWidth="1"/>
  </cols>
  <sheetData>
    <row r="1" spans="2:15" s="321" customFormat="1" ht="18.75" x14ac:dyDescent="0.3">
      <c r="B1" s="1054"/>
      <c r="E1" s="752"/>
      <c r="F1"/>
      <c r="G1"/>
      <c r="I1"/>
      <c r="J1" s="339"/>
      <c r="K1"/>
      <c r="L1" s="620"/>
      <c r="M1" s="927"/>
    </row>
    <row r="2" spans="2:15" ht="18" x14ac:dyDescent="0.25">
      <c r="B2" s="1057"/>
      <c r="C2" s="862"/>
      <c r="D2" s="783"/>
      <c r="E2" s="783"/>
      <c r="G2" s="105"/>
      <c r="H2" s="783"/>
      <c r="I2" s="105"/>
      <c r="J2" s="783"/>
      <c r="K2" s="105"/>
      <c r="L2" s="783"/>
      <c r="M2" s="928"/>
    </row>
    <row r="3" spans="2:15" ht="15.75" thickBot="1" x14ac:dyDescent="0.3">
      <c r="B3" s="783"/>
      <c r="C3" s="783"/>
      <c r="D3" s="783"/>
      <c r="E3" s="783"/>
      <c r="F3" s="64"/>
      <c r="G3" s="64"/>
      <c r="H3" s="783"/>
      <c r="I3" s="64"/>
      <c r="J3" s="783"/>
      <c r="K3" s="64"/>
      <c r="L3" s="783"/>
      <c r="M3" s="928"/>
    </row>
    <row r="4" spans="2:15" ht="15.75" customHeight="1" x14ac:dyDescent="0.25">
      <c r="B4" s="829" t="str">
        <f>'WP II-I-1.1'!B3</f>
        <v>2025 RATE CASE</v>
      </c>
      <c r="C4" s="835"/>
      <c r="D4" s="836"/>
      <c r="E4" s="783"/>
      <c r="F4" s="64"/>
      <c r="G4" s="64"/>
      <c r="H4" s="783"/>
      <c r="I4" s="64"/>
      <c r="J4" s="783"/>
      <c r="K4" s="64"/>
      <c r="L4" s="783"/>
      <c r="M4" s="928"/>
    </row>
    <row r="5" spans="2:15" ht="15.75" customHeight="1" x14ac:dyDescent="0.25">
      <c r="B5" s="826" t="str">
        <f>'WP II-I-1.1'!B4</f>
        <v>ONCOR ELECTRIC DELIVERY COMPANY LLC</v>
      </c>
      <c r="C5" s="304"/>
      <c r="D5" s="837"/>
      <c r="E5" s="783"/>
      <c r="F5" s="64"/>
      <c r="G5" s="64"/>
      <c r="H5" s="783"/>
      <c r="I5" s="64"/>
      <c r="J5" s="783"/>
      <c r="K5" s="64"/>
      <c r="L5" s="783"/>
      <c r="M5" s="928"/>
    </row>
    <row r="6" spans="2:15" ht="15.75" customHeight="1" x14ac:dyDescent="0.25">
      <c r="B6" s="341" t="s">
        <v>1113</v>
      </c>
      <c r="C6" s="304"/>
      <c r="D6" s="837"/>
      <c r="E6" s="783"/>
      <c r="F6" s="64"/>
      <c r="G6" s="64"/>
      <c r="H6" s="783"/>
      <c r="I6" s="64"/>
      <c r="J6" s="783"/>
      <c r="K6" s="64"/>
      <c r="L6" s="783"/>
      <c r="M6" s="928"/>
    </row>
    <row r="7" spans="2:15" ht="15" x14ac:dyDescent="0.25">
      <c r="B7" s="341" t="str">
        <f>'WP II-I-1.1'!B6</f>
        <v>TEST YEAR ENDING 12/31/2024</v>
      </c>
      <c r="C7" s="304"/>
      <c r="D7" s="837"/>
      <c r="E7" s="304"/>
      <c r="F7" s="64"/>
      <c r="G7" s="64"/>
      <c r="H7" s="304"/>
      <c r="I7" s="64"/>
      <c r="J7" s="304"/>
      <c r="K7" s="64"/>
      <c r="L7" s="304"/>
      <c r="M7" s="929"/>
    </row>
    <row r="8" spans="2:15" ht="15" x14ac:dyDescent="0.25">
      <c r="B8" s="341" t="str">
        <f>'WP II-I-2.2'!$B$7</f>
        <v>SPONSOR:  MATTHEW A. TROXLE</v>
      </c>
      <c r="C8" s="304"/>
      <c r="D8" s="837"/>
      <c r="E8" s="304"/>
      <c r="F8" s="64"/>
      <c r="G8" s="64"/>
      <c r="H8" s="304"/>
      <c r="I8" s="64"/>
      <c r="J8" s="304"/>
      <c r="K8" s="64"/>
      <c r="L8" s="304"/>
      <c r="M8" s="929"/>
    </row>
    <row r="9" spans="2:15" ht="16.5" thickBot="1" x14ac:dyDescent="0.3">
      <c r="B9" s="345"/>
      <c r="C9" s="838"/>
      <c r="D9" s="839"/>
      <c r="E9" s="64"/>
      <c r="F9" s="64"/>
      <c r="G9" s="64"/>
      <c r="H9" s="64"/>
      <c r="I9" s="64"/>
      <c r="J9" s="64"/>
      <c r="K9" s="64"/>
      <c r="M9" s="930"/>
    </row>
    <row r="10" spans="2:15" ht="15" x14ac:dyDescent="0.2">
      <c r="B10" s="331"/>
      <c r="C10" s="175"/>
      <c r="D10" s="176"/>
      <c r="E10" s="177"/>
      <c r="F10" s="177"/>
      <c r="G10" s="177"/>
      <c r="H10" s="12"/>
      <c r="I10" s="177"/>
      <c r="J10" s="12"/>
      <c r="K10" s="177"/>
      <c r="L10" s="855"/>
      <c r="M10" s="931"/>
    </row>
    <row r="11" spans="2:15" ht="15.75" x14ac:dyDescent="0.25">
      <c r="B11" s="174" t="s">
        <v>2</v>
      </c>
      <c r="C11" s="179"/>
      <c r="D11" s="180" t="s">
        <v>346</v>
      </c>
      <c r="E11" s="181" t="s">
        <v>350</v>
      </c>
      <c r="F11" s="226" t="str">
        <f>'II-I-DIST'!F11</f>
        <v>DIST</v>
      </c>
      <c r="G11" s="181"/>
      <c r="H11" s="660" t="str">
        <f>'II-I-MET'!F11</f>
        <v>MET</v>
      </c>
      <c r="I11" s="181"/>
      <c r="J11" s="660" t="str">
        <f>'II-I-TBILLTDCS'!F11</f>
        <v>TBILLTDCS</v>
      </c>
      <c r="K11" s="181"/>
      <c r="L11" s="660" t="s">
        <v>434</v>
      </c>
      <c r="M11" s="932" t="s">
        <v>970</v>
      </c>
    </row>
    <row r="12" spans="2:15" ht="15" x14ac:dyDescent="0.2">
      <c r="B12" s="174"/>
      <c r="C12" s="179"/>
      <c r="D12" s="181"/>
      <c r="E12" s="181"/>
      <c r="F12" s="181"/>
      <c r="G12" s="181"/>
      <c r="H12" s="14"/>
      <c r="I12" s="181"/>
      <c r="J12" s="14"/>
      <c r="K12" s="181"/>
      <c r="L12" s="660" t="s">
        <v>31</v>
      </c>
      <c r="M12" s="933"/>
      <c r="O12" t="s">
        <v>1153</v>
      </c>
    </row>
    <row r="13" spans="2:15" ht="15.75" thickBot="1" x14ac:dyDescent="0.25">
      <c r="B13" s="182"/>
      <c r="C13" s="183"/>
      <c r="D13" s="184"/>
      <c r="E13" s="184"/>
      <c r="F13" s="15" t="str">
        <f>'II-I-DIST'!F13</f>
        <v>(a)</v>
      </c>
      <c r="G13" s="15"/>
      <c r="H13" s="664" t="str">
        <f>'II-I-MET'!F13</f>
        <v>(a)</v>
      </c>
      <c r="I13" s="15"/>
      <c r="J13" s="664" t="str">
        <f>'II-I-TBILLTDCS'!F13</f>
        <v>(a)</v>
      </c>
      <c r="K13" s="15"/>
      <c r="L13" s="664" t="s">
        <v>19</v>
      </c>
      <c r="M13" s="934" t="s">
        <v>20</v>
      </c>
    </row>
    <row r="14" spans="2:15" x14ac:dyDescent="0.2">
      <c r="B14" s="64"/>
      <c r="C14" s="11"/>
      <c r="D14" s="185"/>
      <c r="E14" s="185"/>
      <c r="F14" s="185"/>
      <c r="G14" s="185"/>
      <c r="H14" s="185"/>
      <c r="I14" s="185"/>
      <c r="J14" s="185"/>
      <c r="K14" s="185"/>
      <c r="L14" s="571"/>
    </row>
    <row r="15" spans="2:15" ht="15" x14ac:dyDescent="0.25">
      <c r="B15" s="16">
        <f t="shared" ref="B15:B30" si="0">B14+1</f>
        <v>1</v>
      </c>
      <c r="C15" s="11"/>
      <c r="D15" s="186" t="s">
        <v>592</v>
      </c>
      <c r="E15" s="55" t="s">
        <v>236</v>
      </c>
      <c r="F15" s="98">
        <f>'II-I-DIST'!F15</f>
        <v>2465845937.04</v>
      </c>
      <c r="G15" s="185"/>
      <c r="H15" s="98">
        <f>'II-I-MET'!F15</f>
        <v>61551893.040000014</v>
      </c>
      <c r="I15" s="185"/>
      <c r="J15" s="98">
        <f>'II-I-TBILLTDCS'!F15</f>
        <v>189681.03</v>
      </c>
      <c r="K15" s="185"/>
      <c r="L15" s="694">
        <f>F15+H15+J15</f>
        <v>2527587511.1100001</v>
      </c>
      <c r="M15" s="936" t="s">
        <v>971</v>
      </c>
    </row>
    <row r="16" spans="2:15" ht="15" x14ac:dyDescent="0.25">
      <c r="B16" s="16">
        <f t="shared" si="0"/>
        <v>2</v>
      </c>
      <c r="C16" s="11"/>
      <c r="D16" s="186" t="s">
        <v>593</v>
      </c>
      <c r="E16" s="55" t="s">
        <v>236</v>
      </c>
      <c r="F16" s="23">
        <f>'II-I-DIST'!F16</f>
        <v>339790.12</v>
      </c>
      <c r="G16" s="185"/>
      <c r="H16" s="98">
        <f>'II-I-MET'!F16</f>
        <v>9809696.2400000002</v>
      </c>
      <c r="I16" s="185"/>
      <c r="J16" s="98">
        <f>'II-I-TBILLTDCS'!F16</f>
        <v>17097126.300000001</v>
      </c>
      <c r="K16" s="185"/>
      <c r="L16" s="694">
        <f t="shared" ref="L16:L33" si="1">F16+H16+J16</f>
        <v>27246612.66</v>
      </c>
      <c r="M16" s="936" t="s">
        <v>971</v>
      </c>
    </row>
    <row r="17" spans="2:17" ht="16.5" x14ac:dyDescent="0.35">
      <c r="B17" s="16">
        <f t="shared" si="0"/>
        <v>3</v>
      </c>
      <c r="C17" s="11"/>
      <c r="D17" s="559" t="s">
        <v>594</v>
      </c>
      <c r="E17" s="55" t="s">
        <v>236</v>
      </c>
      <c r="F17" s="205">
        <f>'II-I-DIST'!F17</f>
        <v>862254076.08000004</v>
      </c>
      <c r="G17" s="185"/>
      <c r="H17" s="204">
        <f>'II-I-MET'!F17</f>
        <v>49056189.789999999</v>
      </c>
      <c r="I17" s="185"/>
      <c r="J17" s="204">
        <f>'II-I-TBILLTDCS'!F17</f>
        <v>40849531.700000003</v>
      </c>
      <c r="K17" s="185"/>
      <c r="L17" s="204">
        <f t="shared" si="1"/>
        <v>952159797.57000005</v>
      </c>
      <c r="M17" s="936" t="s">
        <v>971</v>
      </c>
    </row>
    <row r="18" spans="2:17" ht="15.75" x14ac:dyDescent="0.25">
      <c r="B18" s="16">
        <f t="shared" si="0"/>
        <v>4</v>
      </c>
      <c r="C18" s="138"/>
      <c r="D18" s="186" t="s">
        <v>458</v>
      </c>
      <c r="E18" s="55"/>
      <c r="F18" s="805">
        <f>'II-I-DIST'!F18</f>
        <v>3328439803.2399998</v>
      </c>
      <c r="G18" s="1308"/>
      <c r="H18" s="51">
        <f>'II-I-MET'!F18</f>
        <v>120417779.07000002</v>
      </c>
      <c r="I18" s="1308"/>
      <c r="J18" s="51">
        <f>'II-I-TBILLTDCS'!F18</f>
        <v>58136339.030000001</v>
      </c>
      <c r="K18" s="1308"/>
      <c r="L18" s="694">
        <f t="shared" si="1"/>
        <v>3506993921.3400002</v>
      </c>
      <c r="M18" s="936"/>
      <c r="O18" t="b">
        <f>'II-I-DIST'!$F$18=F18</f>
        <v>1</v>
      </c>
      <c r="P18" t="b">
        <f>'II-I-MET'!$F$18=H18</f>
        <v>1</v>
      </c>
      <c r="Q18" t="b">
        <f>'II-I-TBILLTDCS'!$F$18=J18</f>
        <v>1</v>
      </c>
    </row>
    <row r="19" spans="2:17" ht="15.75" x14ac:dyDescent="0.25">
      <c r="B19" s="16">
        <f t="shared" si="0"/>
        <v>5</v>
      </c>
      <c r="C19" s="138"/>
      <c r="D19" s="186"/>
      <c r="E19" s="55"/>
      <c r="F19" s="803">
        <f>'II-I-DIST'!F19</f>
        <v>0</v>
      </c>
      <c r="G19" s="1308"/>
      <c r="H19" s="48">
        <f>'II-I-MET'!F19</f>
        <v>0</v>
      </c>
      <c r="I19" s="1308"/>
      <c r="J19" s="48">
        <f>'II-I-TBILLTDCS'!F19</f>
        <v>0</v>
      </c>
      <c r="K19" s="1308"/>
      <c r="L19" s="621"/>
      <c r="M19" s="936"/>
    </row>
    <row r="20" spans="2:17" ht="15.75" x14ac:dyDescent="0.25">
      <c r="B20" s="16">
        <f t="shared" si="0"/>
        <v>6</v>
      </c>
      <c r="C20" s="138"/>
      <c r="D20" s="154" t="s">
        <v>590</v>
      </c>
      <c r="E20" s="55" t="s">
        <v>280</v>
      </c>
      <c r="F20" s="803">
        <f>'II-I-DIST'!F20</f>
        <v>651417051.77999997</v>
      </c>
      <c r="G20" s="1308"/>
      <c r="H20" s="48">
        <f>'II-I-MET'!F20</f>
        <v>29837695.84</v>
      </c>
      <c r="I20" s="1308"/>
      <c r="J20" s="48">
        <f>'II-I-TBILLTDCS'!F20</f>
        <v>39993573.500000007</v>
      </c>
      <c r="K20" s="1308"/>
      <c r="L20" s="694">
        <f t="shared" si="1"/>
        <v>721248321.12</v>
      </c>
      <c r="M20" s="936" t="s">
        <v>971</v>
      </c>
    </row>
    <row r="21" spans="2:17" ht="17.25" x14ac:dyDescent="0.35">
      <c r="B21" s="16">
        <f t="shared" si="0"/>
        <v>7</v>
      </c>
      <c r="C21" s="138"/>
      <c r="D21" s="560" t="s">
        <v>591</v>
      </c>
      <c r="E21" s="55" t="s">
        <v>313</v>
      </c>
      <c r="F21" s="810">
        <f>'II-I-DIST'!F21</f>
        <v>15428625.759999998</v>
      </c>
      <c r="G21" s="1308"/>
      <c r="H21" s="557">
        <f>'II-I-MET'!F21</f>
        <v>25459958.280000001</v>
      </c>
      <c r="I21" s="1308"/>
      <c r="J21" s="557">
        <f>'II-I-TBILLTDCS'!F21</f>
        <v>0</v>
      </c>
      <c r="K21" s="1308"/>
      <c r="L21" s="204">
        <f t="shared" si="1"/>
        <v>40888584.039999999</v>
      </c>
      <c r="M21" s="936" t="s">
        <v>971</v>
      </c>
    </row>
    <row r="22" spans="2:17" ht="15.75" x14ac:dyDescent="0.25">
      <c r="B22" s="16">
        <f t="shared" si="0"/>
        <v>8</v>
      </c>
      <c r="C22" s="138"/>
      <c r="D22" s="11" t="s">
        <v>459</v>
      </c>
      <c r="E22" s="55"/>
      <c r="F22" s="805">
        <f>'II-I-DIST'!F22</f>
        <v>666845677.53999996</v>
      </c>
      <c r="G22" s="55"/>
      <c r="H22" s="51">
        <f>'II-I-MET'!F22</f>
        <v>55297654.120000005</v>
      </c>
      <c r="I22" s="55"/>
      <c r="J22" s="51">
        <f>'II-I-TBILLTDCS'!F22</f>
        <v>39993573.500000007</v>
      </c>
      <c r="K22" s="55"/>
      <c r="L22" s="694">
        <f t="shared" si="1"/>
        <v>762136905.15999997</v>
      </c>
      <c r="M22" s="936"/>
      <c r="O22" t="b">
        <f>'II-I-DIST'!$F$22=F22</f>
        <v>1</v>
      </c>
      <c r="P22" t="b">
        <f>'II-I-MET'!$F$22=H22</f>
        <v>1</v>
      </c>
      <c r="Q22" t="b">
        <f>'II-I-TBILLTDCS'!$F$22=J22</f>
        <v>1</v>
      </c>
    </row>
    <row r="23" spans="2:17" ht="15.75" x14ac:dyDescent="0.25">
      <c r="B23" s="16">
        <f t="shared" si="0"/>
        <v>9</v>
      </c>
      <c r="C23" s="138"/>
      <c r="D23" s="11"/>
      <c r="E23" s="55"/>
      <c r="F23" s="803">
        <f>'II-I-DIST'!F23</f>
        <v>0</v>
      </c>
      <c r="G23" s="55"/>
      <c r="H23" s="48">
        <f>'II-I-MET'!F23</f>
        <v>0</v>
      </c>
      <c r="I23" s="55"/>
      <c r="J23" s="48">
        <f>'II-I-TBILLTDCS'!F23</f>
        <v>0</v>
      </c>
      <c r="K23" s="55"/>
      <c r="L23" s="621"/>
      <c r="M23" s="936"/>
    </row>
    <row r="24" spans="2:17" ht="15.75" x14ac:dyDescent="0.25">
      <c r="B24" s="16">
        <f t="shared" si="0"/>
        <v>10</v>
      </c>
      <c r="C24" s="138"/>
      <c r="D24" s="11" t="s">
        <v>343</v>
      </c>
      <c r="E24" s="55" t="s">
        <v>288</v>
      </c>
      <c r="F24" s="803">
        <f>'II-I-DIST'!F24</f>
        <v>482520278.13999999</v>
      </c>
      <c r="G24" s="55"/>
      <c r="H24" s="48">
        <f>'II-I-MET'!F24</f>
        <v>8908968.5599999987</v>
      </c>
      <c r="I24" s="55"/>
      <c r="J24" s="48">
        <f>'II-I-TBILLTDCS'!F24</f>
        <v>3557512.7199999979</v>
      </c>
      <c r="K24" s="55"/>
      <c r="L24" s="694">
        <f t="shared" si="1"/>
        <v>494986759.41999996</v>
      </c>
      <c r="M24" s="936" t="s">
        <v>971</v>
      </c>
    </row>
    <row r="25" spans="2:17" ht="15.75" x14ac:dyDescent="0.25">
      <c r="B25" s="16">
        <f t="shared" si="0"/>
        <v>11</v>
      </c>
      <c r="C25" s="138"/>
      <c r="D25" s="186" t="s">
        <v>460</v>
      </c>
      <c r="E25" s="55" t="s">
        <v>299</v>
      </c>
      <c r="F25" s="803">
        <f>'II-I-DIST'!F25</f>
        <v>140081472.55408657</v>
      </c>
      <c r="G25" s="55"/>
      <c r="H25" s="48">
        <f>'II-I-MET'!F25</f>
        <v>1780846.8491166488</v>
      </c>
      <c r="I25" s="55"/>
      <c r="J25" s="48">
        <f>'II-I-TBILLTDCS'!F25</f>
        <v>2876698.2188438536</v>
      </c>
      <c r="K25" s="55"/>
      <c r="L25" s="694">
        <f t="shared" si="1"/>
        <v>144739017.62204707</v>
      </c>
      <c r="M25" s="936" t="s">
        <v>971</v>
      </c>
    </row>
    <row r="26" spans="2:17" ht="15.75" x14ac:dyDescent="0.25">
      <c r="B26" s="16">
        <f t="shared" si="0"/>
        <v>12</v>
      </c>
      <c r="C26" s="138"/>
      <c r="D26" s="122"/>
      <c r="E26" s="187"/>
      <c r="F26" s="803">
        <f>'II-I-DIST'!F26</f>
        <v>0</v>
      </c>
      <c r="G26" s="187"/>
      <c r="H26" s="48">
        <f>'II-I-MET'!F26</f>
        <v>0</v>
      </c>
      <c r="I26" s="187"/>
      <c r="J26" s="48">
        <f>'II-I-TBILLTDCS'!F26</f>
        <v>0</v>
      </c>
      <c r="K26" s="187"/>
      <c r="L26" s="694"/>
    </row>
    <row r="27" spans="2:17" ht="15.75" x14ac:dyDescent="0.25">
      <c r="B27" s="16">
        <f t="shared" si="0"/>
        <v>13</v>
      </c>
      <c r="C27" s="138"/>
      <c r="D27" s="11" t="s">
        <v>461</v>
      </c>
      <c r="E27" s="55" t="s">
        <v>462</v>
      </c>
      <c r="F27" s="803">
        <f>'II-I-DIST'!F27</f>
        <v>1009018361.9291828</v>
      </c>
      <c r="G27" s="55"/>
      <c r="H27" s="48">
        <f>'II-I-MET'!F27</f>
        <v>32952955.556200724</v>
      </c>
      <c r="I27" s="55"/>
      <c r="J27" s="48">
        <f>'II-I-TBILLTDCS'!F27</f>
        <v>17186005.438984018</v>
      </c>
      <c r="K27" s="55"/>
      <c r="L27" s="694">
        <f t="shared" si="1"/>
        <v>1059157322.9243675</v>
      </c>
      <c r="M27" s="936" t="s">
        <v>971</v>
      </c>
      <c r="O27" t="b">
        <f>'II-I-DIST'!$F$27=F27</f>
        <v>1</v>
      </c>
      <c r="P27" t="b">
        <f>'II-I-MET'!$F$27=H27</f>
        <v>1</v>
      </c>
      <c r="Q27" t="b">
        <f>'II-I-TBILLTDCS'!$F$27=J27</f>
        <v>1</v>
      </c>
    </row>
    <row r="28" spans="2:17" ht="15.75" x14ac:dyDescent="0.25">
      <c r="B28" s="16">
        <f t="shared" si="0"/>
        <v>14</v>
      </c>
      <c r="C28" s="138"/>
      <c r="D28" s="186"/>
      <c r="E28" s="187"/>
      <c r="F28" s="647"/>
      <c r="G28" s="187"/>
      <c r="H28" s="11"/>
      <c r="I28" s="187"/>
      <c r="J28" s="11"/>
      <c r="K28" s="187"/>
      <c r="L28" s="571"/>
    </row>
    <row r="29" spans="2:17" ht="15.75" x14ac:dyDescent="0.25">
      <c r="B29" s="16">
        <f t="shared" si="0"/>
        <v>15</v>
      </c>
      <c r="C29" s="188"/>
      <c r="D29" s="189" t="s">
        <v>463</v>
      </c>
      <c r="E29" s="187"/>
      <c r="F29" s="805">
        <f>'II-I-DIST'!F29</f>
        <v>5626905593.4032698</v>
      </c>
      <c r="G29" s="187"/>
      <c r="H29" s="51">
        <f>'II-I-MET'!F29</f>
        <v>219358204.1553174</v>
      </c>
      <c r="I29" s="187"/>
      <c r="J29" s="51">
        <f>'II-I-TBILLTDCS'!F29</f>
        <v>121750128.90782787</v>
      </c>
      <c r="K29" s="187"/>
      <c r="L29" s="694">
        <f t="shared" si="1"/>
        <v>5968013926.4664154</v>
      </c>
      <c r="O29" t="b">
        <f>'II-I-DIST'!$F$29=F29</f>
        <v>1</v>
      </c>
      <c r="P29" t="b">
        <f>'II-I-MET'!$F$29=H29</f>
        <v>1</v>
      </c>
      <c r="Q29" t="b">
        <f>'II-I-TBILLTDCS'!$F$29=J29</f>
        <v>1</v>
      </c>
    </row>
    <row r="30" spans="2:17" ht="15.75" x14ac:dyDescent="0.25">
      <c r="B30" s="16">
        <f t="shared" si="0"/>
        <v>16</v>
      </c>
      <c r="C30" s="138"/>
      <c r="D30" s="11"/>
      <c r="E30" s="55"/>
      <c r="F30" s="647"/>
      <c r="G30" s="55"/>
      <c r="H30" s="11"/>
      <c r="I30" s="55"/>
      <c r="J30" s="11"/>
      <c r="K30" s="55"/>
      <c r="L30" s="694"/>
    </row>
    <row r="31" spans="2:17" ht="15.75" x14ac:dyDescent="0.25">
      <c r="B31" s="16">
        <f>B30+1</f>
        <v>17</v>
      </c>
      <c r="C31" s="138"/>
      <c r="D31" s="11" t="s">
        <v>464</v>
      </c>
      <c r="E31" s="55" t="s">
        <v>318</v>
      </c>
      <c r="F31" s="803">
        <f>'II-I-DIST'!F31</f>
        <v>66812956.150000006</v>
      </c>
      <c r="G31" s="55"/>
      <c r="H31" s="48">
        <f>'II-I-MET'!F31</f>
        <v>14115591</v>
      </c>
      <c r="I31" s="55"/>
      <c r="J31" s="48">
        <f>'II-I-TBILLTDCS'!F31</f>
        <v>85782</v>
      </c>
      <c r="K31" s="55"/>
      <c r="L31" s="694">
        <f t="shared" si="1"/>
        <v>81014329.150000006</v>
      </c>
      <c r="M31" s="936" t="s">
        <v>971</v>
      </c>
      <c r="O31" t="b">
        <f>'II-I-DIST'!$F$31=F31</f>
        <v>1</v>
      </c>
      <c r="P31" t="b">
        <f>'II-I-MET'!$F$31=H31</f>
        <v>1</v>
      </c>
      <c r="Q31" t="b">
        <f>'II-I-TBILLTDCS'!$F$31=J31</f>
        <v>1</v>
      </c>
    </row>
    <row r="32" spans="2:17" ht="15.75" thickBot="1" x14ac:dyDescent="0.25">
      <c r="B32" s="16">
        <f>B31+1</f>
        <v>18</v>
      </c>
      <c r="C32" s="138"/>
      <c r="D32" s="11"/>
      <c r="E32" s="11"/>
      <c r="F32" s="98"/>
      <c r="G32" s="11"/>
      <c r="H32" s="11"/>
      <c r="I32" s="11"/>
      <c r="J32" s="11"/>
      <c r="K32" s="11"/>
      <c r="L32" s="571"/>
      <c r="M32" s="937"/>
    </row>
    <row r="33" spans="2:17" ht="16.5" thickBot="1" x14ac:dyDescent="0.3">
      <c r="B33" s="16">
        <f>B32+1</f>
        <v>19</v>
      </c>
      <c r="C33" s="138"/>
      <c r="D33" s="192" t="s">
        <v>337</v>
      </c>
      <c r="E33" s="193"/>
      <c r="F33" s="812">
        <f>'II-I-DIST'!F33</f>
        <v>5560092637.2532701</v>
      </c>
      <c r="G33" s="332"/>
      <c r="H33" s="812">
        <f>'II-I-MET'!F33</f>
        <v>205242613.1553174</v>
      </c>
      <c r="I33" s="332"/>
      <c r="J33" s="812">
        <f>'II-I-TBILLTDCS'!F33</f>
        <v>121664346.90782787</v>
      </c>
      <c r="K33" s="332"/>
      <c r="L33" s="315">
        <f t="shared" si="1"/>
        <v>5886999597.3164158</v>
      </c>
      <c r="M33" s="941"/>
      <c r="O33" t="b">
        <f>'II-I-DIST'!$F$33=F33</f>
        <v>1</v>
      </c>
      <c r="P33" t="b">
        <f>'II-I-MET'!$F$33=H33</f>
        <v>1</v>
      </c>
      <c r="Q33" t="b">
        <f>'II-I-TBILLTDCS'!$F$33=J33</f>
        <v>1</v>
      </c>
    </row>
    <row r="34" spans="2:17" ht="15.75" x14ac:dyDescent="0.25">
      <c r="B34" s="138"/>
      <c r="C34" s="138"/>
      <c r="D34" s="138"/>
      <c r="E34" s="142"/>
      <c r="F34" s="98"/>
      <c r="G34" s="121"/>
      <c r="H34" s="98"/>
      <c r="I34" s="121"/>
      <c r="J34" s="98"/>
      <c r="K34" s="121"/>
      <c r="L34" s="142"/>
      <c r="M34" s="937"/>
    </row>
    <row r="35" spans="2:17" ht="15.75" x14ac:dyDescent="0.25">
      <c r="B35" s="138"/>
      <c r="C35" s="138"/>
      <c r="D35" s="138"/>
      <c r="E35" s="142"/>
      <c r="F35" s="807"/>
      <c r="G35" s="339"/>
      <c r="H35" s="142"/>
      <c r="I35" s="138"/>
      <c r="J35" s="142"/>
      <c r="K35" s="138"/>
      <c r="L35" s="142"/>
      <c r="M35" s="937"/>
    </row>
    <row r="36" spans="2:17" ht="15" x14ac:dyDescent="0.2">
      <c r="B36" s="138"/>
      <c r="C36" s="138"/>
      <c r="D36" s="138"/>
      <c r="E36" s="142"/>
      <c r="F36" s="339"/>
      <c r="G36" s="339"/>
      <c r="H36" s="142"/>
      <c r="I36" s="138"/>
      <c r="J36" s="142"/>
      <c r="K36" s="138"/>
      <c r="L36" s="142"/>
      <c r="M36" s="937"/>
    </row>
    <row r="37" spans="2:17" ht="15.75" x14ac:dyDescent="0.25">
      <c r="B37" s="138"/>
      <c r="C37" s="138"/>
      <c r="D37" s="138"/>
      <c r="E37" s="142"/>
      <c r="F37" s="805"/>
      <c r="G37" s="121"/>
      <c r="H37" s="142"/>
      <c r="I37" s="138"/>
      <c r="J37" s="142"/>
      <c r="K37" s="138"/>
      <c r="L37" s="142"/>
      <c r="M37" s="937"/>
    </row>
    <row r="38" spans="2:17" ht="15.75" x14ac:dyDescent="0.25">
      <c r="B38" s="138"/>
      <c r="C38" s="138"/>
      <c r="D38" s="138"/>
      <c r="E38" s="142"/>
      <c r="F38" s="23"/>
      <c r="G38" s="121"/>
      <c r="H38" s="142"/>
      <c r="I38" s="138"/>
      <c r="J38" s="142"/>
      <c r="K38" s="138"/>
      <c r="L38" s="142"/>
      <c r="M38" s="937"/>
    </row>
    <row r="39" spans="2:17" ht="15.75" x14ac:dyDescent="0.25">
      <c r="B39" s="138"/>
      <c r="C39" s="138"/>
      <c r="D39" s="138"/>
      <c r="E39" s="142"/>
      <c r="F39" s="805"/>
      <c r="G39" s="121"/>
      <c r="H39" s="142"/>
      <c r="I39" s="138"/>
      <c r="J39" s="142"/>
      <c r="K39" s="138"/>
      <c r="L39" s="142"/>
      <c r="M39" s="937"/>
    </row>
    <row r="40" spans="2:17" ht="21.75" customHeight="1" x14ac:dyDescent="0.25">
      <c r="B40" s="780"/>
      <c r="C40" s="780"/>
      <c r="D40" s="780"/>
      <c r="E40" s="780"/>
      <c r="F40" s="121"/>
      <c r="G40" s="121"/>
      <c r="H40" s="121"/>
      <c r="I40" s="121"/>
      <c r="J40" s="121"/>
      <c r="K40" s="121"/>
      <c r="L40" s="780"/>
    </row>
    <row r="41" spans="2:17" ht="15.75" thickBot="1" x14ac:dyDescent="0.3">
      <c r="B41" s="780"/>
      <c r="C41" s="780"/>
      <c r="D41" s="780"/>
      <c r="E41" s="780"/>
      <c r="F41" s="121"/>
      <c r="G41" s="105"/>
      <c r="H41" s="121"/>
      <c r="I41" s="105"/>
      <c r="J41" s="121"/>
      <c r="K41" s="105"/>
      <c r="L41" s="780"/>
    </row>
    <row r="42" spans="2:17" ht="15" x14ac:dyDescent="0.25">
      <c r="B42" s="829" t="str">
        <f>$B$4</f>
        <v>2025 RATE CASE</v>
      </c>
      <c r="C42" s="835"/>
      <c r="D42" s="836"/>
      <c r="E42" s="780"/>
      <c r="F42" s="64"/>
      <c r="G42" s="64"/>
      <c r="H42" s="64"/>
      <c r="I42" s="64"/>
      <c r="J42" s="64"/>
      <c r="K42" s="64"/>
      <c r="L42" s="780"/>
    </row>
    <row r="43" spans="2:17" ht="15" x14ac:dyDescent="0.25">
      <c r="B43" s="826" t="str">
        <f>$B$5</f>
        <v>ONCOR ELECTRIC DELIVERY COMPANY LLC</v>
      </c>
      <c r="C43" s="304"/>
      <c r="D43" s="837"/>
      <c r="E43" s="780"/>
      <c r="F43" s="64"/>
      <c r="G43" s="64"/>
      <c r="H43" s="64"/>
      <c r="I43" s="64"/>
      <c r="J43" s="64"/>
      <c r="K43" s="64"/>
      <c r="L43" s="780"/>
    </row>
    <row r="44" spans="2:17" ht="15" x14ac:dyDescent="0.25">
      <c r="B44" s="341" t="str">
        <f>$B$6</f>
        <v>II-I-2.1f:  CONSOLIDATED FUNCTIONALIZED COST OF SERVICE</v>
      </c>
      <c r="C44" s="304"/>
      <c r="D44" s="837"/>
      <c r="E44" s="780"/>
      <c r="F44" s="64"/>
      <c r="G44" s="64"/>
      <c r="H44" s="64"/>
      <c r="I44" s="64"/>
      <c r="J44" s="64"/>
      <c r="K44" s="64"/>
      <c r="L44" s="780"/>
    </row>
    <row r="45" spans="2:17" ht="15" x14ac:dyDescent="0.25">
      <c r="B45" s="341" t="str">
        <f>$B$7</f>
        <v>TEST YEAR ENDING 12/31/2024</v>
      </c>
      <c r="C45" s="304"/>
      <c r="D45" s="837"/>
      <c r="F45" s="64"/>
      <c r="G45" s="64"/>
      <c r="H45" s="64"/>
      <c r="I45" s="64"/>
      <c r="J45" s="64"/>
      <c r="K45" s="64"/>
    </row>
    <row r="46" spans="2:17" ht="15" x14ac:dyDescent="0.25">
      <c r="B46" s="341" t="str">
        <f>$B$8</f>
        <v>SPONSOR:  MATTHEW A. TROXLE</v>
      </c>
      <c r="C46" s="304"/>
      <c r="D46" s="837"/>
      <c r="E46" s="831"/>
      <c r="F46" s="64"/>
      <c r="G46" s="64"/>
      <c r="H46" s="64"/>
      <c r="I46" s="64"/>
      <c r="J46" s="64"/>
      <c r="K46" s="64"/>
      <c r="L46" s="846"/>
    </row>
    <row r="47" spans="2:17" ht="16.5" thickBot="1" x14ac:dyDescent="0.3">
      <c r="B47" s="345"/>
      <c r="C47" s="838"/>
      <c r="D47" s="839"/>
      <c r="F47" s="64"/>
      <c r="G47" s="64"/>
      <c r="H47" s="64"/>
      <c r="I47" s="64"/>
      <c r="J47" s="64"/>
      <c r="K47" s="64"/>
    </row>
    <row r="48" spans="2:17" ht="15.75" x14ac:dyDescent="0.25">
      <c r="B48" s="769"/>
      <c r="C48" s="770"/>
      <c r="D48" s="771"/>
      <c r="E48" s="177"/>
      <c r="F48" s="13"/>
      <c r="G48" s="177"/>
      <c r="H48" s="13"/>
      <c r="I48" s="177"/>
      <c r="J48" s="13"/>
      <c r="K48" s="177"/>
      <c r="L48" s="855"/>
      <c r="M48" s="938"/>
    </row>
    <row r="49" spans="2:17" ht="15.75" x14ac:dyDescent="0.25">
      <c r="B49" s="174" t="s">
        <v>2</v>
      </c>
      <c r="C49" s="179"/>
      <c r="D49" s="180" t="s">
        <v>466</v>
      </c>
      <c r="E49" s="181" t="s">
        <v>350</v>
      </c>
      <c r="F49" s="226" t="str">
        <f>'II-I-DIST'!F49</f>
        <v>DIST</v>
      </c>
      <c r="G49" s="181"/>
      <c r="H49" s="226" t="str">
        <f>'II-I-MET'!F49</f>
        <v>MET</v>
      </c>
      <c r="I49" s="181"/>
      <c r="J49" s="226" t="str">
        <f>'II-I-TBILLTDCS'!F49</f>
        <v>TBILLTDCS</v>
      </c>
      <c r="K49" s="181"/>
      <c r="L49" s="660" t="s">
        <v>434</v>
      </c>
      <c r="M49" s="932" t="s">
        <v>970</v>
      </c>
    </row>
    <row r="50" spans="2:17" ht="15" x14ac:dyDescent="0.2">
      <c r="B50" s="174"/>
      <c r="C50" s="179"/>
      <c r="D50" s="181"/>
      <c r="E50" s="181"/>
      <c r="F50" s="14"/>
      <c r="G50" s="181"/>
      <c r="H50" s="14"/>
      <c r="I50" s="181"/>
      <c r="J50" s="14"/>
      <c r="K50" s="181"/>
      <c r="L50" s="660" t="s">
        <v>31</v>
      </c>
      <c r="M50" s="939"/>
    </row>
    <row r="51" spans="2:17" ht="15.75" thickBot="1" x14ac:dyDescent="0.25">
      <c r="B51" s="182"/>
      <c r="C51" s="183"/>
      <c r="D51" s="184"/>
      <c r="E51" s="184"/>
      <c r="F51" s="15" t="str">
        <f>'II-I-DIST'!F51</f>
        <v>(a)</v>
      </c>
      <c r="G51" s="15"/>
      <c r="H51" s="664" t="str">
        <f>'II-I-MET'!F51</f>
        <v>(a)</v>
      </c>
      <c r="I51" s="15"/>
      <c r="J51" s="664" t="str">
        <f>'II-I-TBILLTDCS'!F51</f>
        <v>(a)</v>
      </c>
      <c r="K51" s="15"/>
      <c r="L51" s="664" t="s">
        <v>19</v>
      </c>
      <c r="M51" s="934" t="s">
        <v>20</v>
      </c>
    </row>
    <row r="52" spans="2:17" x14ac:dyDescent="0.2">
      <c r="B52" s="64"/>
      <c r="C52" s="11"/>
      <c r="D52" s="11"/>
      <c r="E52" s="11"/>
      <c r="F52" s="11"/>
      <c r="G52" s="11"/>
      <c r="H52" s="11"/>
      <c r="I52" s="11"/>
      <c r="J52" s="11"/>
      <c r="K52" s="11"/>
      <c r="L52" s="571"/>
    </row>
    <row r="53" spans="2:17" ht="15" x14ac:dyDescent="0.25">
      <c r="B53" s="16">
        <f t="shared" ref="B53:B83" si="2">B52+1</f>
        <v>1</v>
      </c>
      <c r="C53" s="11"/>
      <c r="D53" s="199" t="s">
        <v>596</v>
      </c>
      <c r="E53" s="200" t="s">
        <v>24</v>
      </c>
      <c r="F53" s="98">
        <f>'II-I-DIST'!F53</f>
        <v>8645784</v>
      </c>
      <c r="G53" s="11"/>
      <c r="H53" s="98">
        <f>'II-I-MET'!F53</f>
        <v>324360</v>
      </c>
      <c r="I53" s="11"/>
      <c r="J53" s="98">
        <f>'II-I-TBILLTDCS'!F53</f>
        <v>145326</v>
      </c>
      <c r="K53" s="11"/>
      <c r="L53" s="694">
        <f>F53+H53+J53</f>
        <v>9115470</v>
      </c>
      <c r="M53" s="936" t="s">
        <v>971</v>
      </c>
    </row>
    <row r="54" spans="2:17" ht="15" x14ac:dyDescent="0.25">
      <c r="B54" s="16">
        <f t="shared" si="2"/>
        <v>2</v>
      </c>
      <c r="C54" s="11"/>
      <c r="D54" s="199" t="s">
        <v>597</v>
      </c>
      <c r="E54" s="200" t="s">
        <v>24</v>
      </c>
      <c r="F54" s="98">
        <f>'II-I-DIST'!F54</f>
        <v>468976125.50999999</v>
      </c>
      <c r="G54" s="11"/>
      <c r="H54" s="98">
        <f>'II-I-MET'!F54</f>
        <v>0</v>
      </c>
      <c r="I54" s="11"/>
      <c r="J54" s="98">
        <f>'II-I-TBILLTDCS'!F54</f>
        <v>0</v>
      </c>
      <c r="K54" s="11"/>
      <c r="L54" s="694">
        <f>F54+H54+J54</f>
        <v>468976125.50999999</v>
      </c>
      <c r="M54" s="936" t="s">
        <v>971</v>
      </c>
    </row>
    <row r="55" spans="2:17" ht="16.5" x14ac:dyDescent="0.35">
      <c r="B55" s="16">
        <f t="shared" si="2"/>
        <v>3</v>
      </c>
      <c r="C55" s="11"/>
      <c r="D55" s="558" t="s">
        <v>595</v>
      </c>
      <c r="E55" s="200" t="s">
        <v>24</v>
      </c>
      <c r="F55" s="204">
        <f>'II-I-DIST'!F55</f>
        <v>19438204192.369999</v>
      </c>
      <c r="G55" s="11"/>
      <c r="H55" s="204">
        <f>'II-I-MET'!F55</f>
        <v>784983594.01999998</v>
      </c>
      <c r="I55" s="11"/>
      <c r="J55" s="204">
        <f>'II-I-TBILLTDCS'!F55</f>
        <v>334873235.67999995</v>
      </c>
      <c r="K55" s="11"/>
      <c r="L55" s="204">
        <f>F55+H55+J55</f>
        <v>20558061022.07</v>
      </c>
      <c r="M55" s="936" t="s">
        <v>971</v>
      </c>
    </row>
    <row r="56" spans="2:17" ht="15.75" x14ac:dyDescent="0.25">
      <c r="B56" s="16">
        <f t="shared" si="2"/>
        <v>4</v>
      </c>
      <c r="C56" s="138"/>
      <c r="D56" s="199" t="s">
        <v>467</v>
      </c>
      <c r="E56" s="200"/>
      <c r="F56" s="208">
        <f>'II-I-DIST'!F56</f>
        <v>19915826101.879997</v>
      </c>
      <c r="G56" s="200"/>
      <c r="H56" s="208">
        <f>'II-I-MET'!F56</f>
        <v>785307954.01999998</v>
      </c>
      <c r="I56" s="200"/>
      <c r="J56" s="208">
        <f>'II-I-TBILLTDCS'!F56</f>
        <v>335018561.67999995</v>
      </c>
      <c r="K56" s="200"/>
      <c r="L56" s="208">
        <f>F56+H56+J56</f>
        <v>21036152617.579998</v>
      </c>
      <c r="M56" s="936"/>
      <c r="O56" t="b">
        <f>'II-I-DIST'!$F$56=F56</f>
        <v>1</v>
      </c>
      <c r="P56" t="b">
        <f>'II-I-MET'!$F$56=H56</f>
        <v>1</v>
      </c>
      <c r="Q56" t="b">
        <f>'II-I-TBILLTDCS'!$F$56=J56</f>
        <v>1</v>
      </c>
    </row>
    <row r="57" spans="2:17" ht="15.75" x14ac:dyDescent="0.25">
      <c r="B57" s="16">
        <f t="shared" si="2"/>
        <v>5</v>
      </c>
      <c r="C57" s="138"/>
      <c r="D57" s="199"/>
      <c r="E57" s="200"/>
      <c r="F57" s="201">
        <f>'II-I-DIST'!F57</f>
        <v>0</v>
      </c>
      <c r="G57" s="200"/>
      <c r="H57" s="201">
        <f>'II-I-MET'!F57</f>
        <v>0</v>
      </c>
      <c r="I57" s="200"/>
      <c r="J57" s="201">
        <f>'II-I-TBILLTDCS'!F57</f>
        <v>0</v>
      </c>
      <c r="K57" s="200"/>
      <c r="L57" s="813"/>
      <c r="M57" s="936"/>
    </row>
    <row r="58" spans="2:17" ht="15.75" x14ac:dyDescent="0.25">
      <c r="B58" s="16">
        <f t="shared" si="2"/>
        <v>6</v>
      </c>
      <c r="C58" s="138"/>
      <c r="D58" s="199" t="s">
        <v>468</v>
      </c>
      <c r="E58" s="200" t="s">
        <v>86</v>
      </c>
      <c r="F58" s="201">
        <f>'II-I-DIST'!F58</f>
        <v>329554332.70999992</v>
      </c>
      <c r="G58" s="200"/>
      <c r="H58" s="201">
        <f>'II-I-MET'!F58</f>
        <v>45511526.899999984</v>
      </c>
      <c r="I58" s="200"/>
      <c r="J58" s="201">
        <f>'II-I-TBILLTDCS'!F58</f>
        <v>21845189.11999999</v>
      </c>
      <c r="K58" s="200"/>
      <c r="L58" s="805">
        <f>F58+H58+J58</f>
        <v>396911048.7299999</v>
      </c>
      <c r="M58" s="936" t="s">
        <v>971</v>
      </c>
      <c r="O58" t="b">
        <f>'II-I-DIST'!$F$58=F58</f>
        <v>1</v>
      </c>
      <c r="P58" t="b">
        <f>'II-I-MET'!$F$58=H58</f>
        <v>1</v>
      </c>
      <c r="Q58" t="b">
        <f>'II-I-TBILLTDCS'!$F$58=J58</f>
        <v>1</v>
      </c>
    </row>
    <row r="59" spans="2:17" ht="20.25" x14ac:dyDescent="0.55000000000000004">
      <c r="B59" s="16">
        <f t="shared" si="2"/>
        <v>7</v>
      </c>
      <c r="C59" s="138"/>
      <c r="D59" s="199" t="s">
        <v>469</v>
      </c>
      <c r="E59" s="200" t="s">
        <v>104</v>
      </c>
      <c r="F59" s="203">
        <f>'II-I-DIST'!F59</f>
        <v>314549234.46999985</v>
      </c>
      <c r="G59" s="200"/>
      <c r="H59" s="203">
        <f>'II-I-MET'!F59</f>
        <v>32909657.379999992</v>
      </c>
      <c r="I59" s="200"/>
      <c r="J59" s="203">
        <f>'II-I-TBILLTDCS'!F59</f>
        <v>51364318.699999981</v>
      </c>
      <c r="K59" s="200"/>
      <c r="L59" s="859">
        <f>F59+H59+J59</f>
        <v>398823210.54999983</v>
      </c>
      <c r="M59" s="936" t="s">
        <v>971</v>
      </c>
      <c r="O59" t="b">
        <f>'II-I-DIST'!$F$59=F59</f>
        <v>1</v>
      </c>
      <c r="P59" t="b">
        <f>'II-I-MET'!$F$59=H59</f>
        <v>1</v>
      </c>
      <c r="Q59" t="b">
        <f>'II-I-TBILLTDCS'!$F$59=J59</f>
        <v>1</v>
      </c>
    </row>
    <row r="60" spans="2:17" ht="15.75" x14ac:dyDescent="0.25">
      <c r="B60" s="16">
        <f t="shared" si="2"/>
        <v>8</v>
      </c>
      <c r="C60" s="188"/>
      <c r="D60" s="207" t="s">
        <v>470</v>
      </c>
      <c r="E60" s="200"/>
      <c r="F60" s="208">
        <f>'II-I-DIST'!F60</f>
        <v>20559929669.059998</v>
      </c>
      <c r="G60" s="200"/>
      <c r="H60" s="208">
        <f>'II-I-MET'!F60</f>
        <v>863729138.29999995</v>
      </c>
      <c r="I60" s="200"/>
      <c r="J60" s="208">
        <f>'II-I-TBILLTDCS'!F60</f>
        <v>408228069.49999994</v>
      </c>
      <c r="K60" s="200"/>
      <c r="L60" s="805">
        <f>F60+H60+J60</f>
        <v>21831886876.859997</v>
      </c>
      <c r="O60" t="b">
        <f>'II-I-DIST'!$F$60=F60</f>
        <v>1</v>
      </c>
      <c r="P60" t="b">
        <f>'II-I-MET'!$F$60=H60</f>
        <v>1</v>
      </c>
      <c r="Q60" t="b">
        <f>'II-I-TBILLTDCS'!$F$60=J60</f>
        <v>1</v>
      </c>
    </row>
    <row r="61" spans="2:17" ht="15.75" x14ac:dyDescent="0.25">
      <c r="B61" s="16">
        <f t="shared" si="2"/>
        <v>9</v>
      </c>
      <c r="C61" s="138"/>
      <c r="D61" s="199"/>
      <c r="E61" s="200"/>
      <c r="F61" s="201">
        <f>'II-I-DIST'!F61</f>
        <v>0</v>
      </c>
      <c r="G61" s="200"/>
      <c r="H61" s="201">
        <f>'II-I-MET'!F61</f>
        <v>0</v>
      </c>
      <c r="I61" s="200"/>
      <c r="J61" s="201">
        <f>'II-I-TBILLTDCS'!F61</f>
        <v>0</v>
      </c>
      <c r="K61" s="200"/>
      <c r="L61" s="813"/>
    </row>
    <row r="62" spans="2:17" ht="15.75" x14ac:dyDescent="0.25">
      <c r="B62" s="16">
        <f t="shared" si="2"/>
        <v>10</v>
      </c>
      <c r="C62" s="138"/>
      <c r="D62" s="209" t="s">
        <v>471</v>
      </c>
      <c r="E62" s="200" t="s">
        <v>34</v>
      </c>
      <c r="F62" s="201">
        <f>'II-I-DIST'!F62</f>
        <v>6508839495.7099981</v>
      </c>
      <c r="G62" s="200"/>
      <c r="H62" s="201">
        <f>'II-I-MET'!F62</f>
        <v>442591160.38</v>
      </c>
      <c r="I62" s="200"/>
      <c r="J62" s="201">
        <f>'II-I-TBILLTDCS'!F62</f>
        <v>129824318.92</v>
      </c>
      <c r="K62" s="200"/>
      <c r="L62" s="805">
        <f>F62+H62+J62</f>
        <v>7081254975.0099983</v>
      </c>
      <c r="M62" s="936" t="s">
        <v>971</v>
      </c>
      <c r="O62" t="b">
        <f>'II-I-DIST'!$F$62=F62</f>
        <v>1</v>
      </c>
      <c r="P62" t="b">
        <f>'II-I-MET'!$F$62=H62</f>
        <v>1</v>
      </c>
      <c r="Q62" t="b">
        <f>'II-I-TBILLTDCS'!$F$62=J62</f>
        <v>1</v>
      </c>
    </row>
    <row r="63" spans="2:17" ht="15.75" x14ac:dyDescent="0.25">
      <c r="B63" s="16">
        <f t="shared" si="2"/>
        <v>11</v>
      </c>
      <c r="C63" s="138"/>
      <c r="D63" s="199"/>
      <c r="E63" s="200"/>
      <c r="F63" s="210"/>
      <c r="G63" s="200"/>
      <c r="H63" s="210"/>
      <c r="I63" s="200"/>
      <c r="J63" s="210"/>
      <c r="K63" s="200"/>
      <c r="L63" s="827"/>
    </row>
    <row r="64" spans="2:17" ht="15.75" x14ac:dyDescent="0.25">
      <c r="B64" s="16">
        <f t="shared" si="2"/>
        <v>12</v>
      </c>
      <c r="C64" s="188"/>
      <c r="D64" s="212" t="s">
        <v>472</v>
      </c>
      <c r="E64" s="55"/>
      <c r="F64" s="807">
        <f>'II-I-DIST'!F64</f>
        <v>14051090173.349998</v>
      </c>
      <c r="G64" s="1312"/>
      <c r="H64" s="807">
        <f>'II-I-MET'!F64</f>
        <v>421137977.91999996</v>
      </c>
      <c r="I64" s="1312"/>
      <c r="J64" s="807">
        <f>'II-I-TBILLTDCS'!F64</f>
        <v>278403750.57999992</v>
      </c>
      <c r="K64" s="1312"/>
      <c r="L64" s="805">
        <f>F64+H64+J64</f>
        <v>14750631901.849998</v>
      </c>
      <c r="O64" t="b">
        <f>'II-I-DIST'!$F$64=F64</f>
        <v>1</v>
      </c>
      <c r="P64" t="b">
        <f>'II-I-MET'!$F$64=H64</f>
        <v>1</v>
      </c>
      <c r="Q64" t="b">
        <f>'II-I-TBILLTDCS'!$F$64=J64</f>
        <v>1</v>
      </c>
    </row>
    <row r="65" spans="2:17" ht="15.75" x14ac:dyDescent="0.25">
      <c r="B65" s="16">
        <f t="shared" si="2"/>
        <v>13</v>
      </c>
      <c r="C65" s="138"/>
      <c r="D65" s="199"/>
      <c r="E65" s="200"/>
      <c r="F65" s="11"/>
      <c r="G65" s="200"/>
      <c r="H65" s="11"/>
      <c r="I65" s="200"/>
      <c r="J65" s="11"/>
      <c r="K65" s="200"/>
      <c r="L65" s="571"/>
    </row>
    <row r="66" spans="2:17" ht="15.75" x14ac:dyDescent="0.25">
      <c r="B66" s="16">
        <f t="shared" si="2"/>
        <v>14</v>
      </c>
      <c r="C66" s="138"/>
      <c r="D66" s="213" t="s">
        <v>473</v>
      </c>
      <c r="E66" s="214"/>
      <c r="F66" s="11"/>
      <c r="G66" s="214"/>
      <c r="H66" s="11"/>
      <c r="I66" s="214"/>
      <c r="J66" s="11"/>
      <c r="K66" s="214"/>
      <c r="L66" s="571"/>
    </row>
    <row r="67" spans="2:17" ht="15.75" x14ac:dyDescent="0.25">
      <c r="B67" s="16">
        <f t="shared" si="2"/>
        <v>15</v>
      </c>
      <c r="C67" s="138"/>
      <c r="D67" s="39"/>
      <c r="E67" s="200"/>
      <c r="F67" s="11"/>
      <c r="G67" s="200"/>
      <c r="H67" s="11"/>
      <c r="I67" s="200"/>
      <c r="J67" s="11"/>
      <c r="K67" s="200"/>
      <c r="L67" s="571"/>
    </row>
    <row r="68" spans="2:17" ht="15.75" x14ac:dyDescent="0.25">
      <c r="B68" s="16">
        <f t="shared" si="2"/>
        <v>16</v>
      </c>
      <c r="C68" s="138"/>
      <c r="D68" s="39" t="s">
        <v>111</v>
      </c>
      <c r="E68" s="200" t="s">
        <v>112</v>
      </c>
      <c r="F68" s="201">
        <f>'II-I-DIST'!F68</f>
        <v>0</v>
      </c>
      <c r="G68" s="200"/>
      <c r="H68" s="201">
        <f>'II-I-MET'!F68</f>
        <v>0</v>
      </c>
      <c r="I68" s="200"/>
      <c r="J68" s="201">
        <f>'II-I-TBILLTDCS'!F68</f>
        <v>0</v>
      </c>
      <c r="K68" s="200"/>
      <c r="L68" s="851">
        <f t="shared" ref="L68:L77" si="3">F68+H68+J68</f>
        <v>0</v>
      </c>
      <c r="M68" s="936" t="s">
        <v>971</v>
      </c>
      <c r="O68" t="b">
        <f>'II-I-DIST'!$F$68=F68</f>
        <v>1</v>
      </c>
      <c r="P68" t="b">
        <f>'II-I-MET'!$F$68=H68</f>
        <v>1</v>
      </c>
      <c r="Q68" t="b">
        <f>'II-I-TBILLTDCS'!$F$68=J68</f>
        <v>1</v>
      </c>
    </row>
    <row r="69" spans="2:17" ht="15.75" x14ac:dyDescent="0.25">
      <c r="B69" s="16">
        <f t="shared" si="2"/>
        <v>17</v>
      </c>
      <c r="C69" s="138"/>
      <c r="D69" s="39" t="s">
        <v>113</v>
      </c>
      <c r="E69" s="200" t="s">
        <v>114</v>
      </c>
      <c r="F69" s="201">
        <f>'II-I-DIST'!F69</f>
        <v>6705448.3699999982</v>
      </c>
      <c r="G69" s="200"/>
      <c r="H69" s="201">
        <f>'II-I-MET'!F69</f>
        <v>0</v>
      </c>
      <c r="I69" s="200"/>
      <c r="J69" s="201">
        <f>'II-I-TBILLTDCS'!F69</f>
        <v>0</v>
      </c>
      <c r="K69" s="200"/>
      <c r="L69" s="851">
        <f t="shared" si="3"/>
        <v>6705448.3699999982</v>
      </c>
      <c r="M69" s="936" t="s">
        <v>971</v>
      </c>
      <c r="O69" t="b">
        <f>'II-I-DIST'!$F$69=F69</f>
        <v>1</v>
      </c>
      <c r="P69" t="b">
        <f>'II-I-MET'!$F$69=H69</f>
        <v>1</v>
      </c>
      <c r="Q69" t="b">
        <f>'II-I-TBILLTDCS'!$F$69=J69</f>
        <v>1</v>
      </c>
    </row>
    <row r="70" spans="2:17" ht="15.75" x14ac:dyDescent="0.25">
      <c r="B70" s="16">
        <f t="shared" si="2"/>
        <v>18</v>
      </c>
      <c r="C70" s="138"/>
      <c r="D70" s="40" t="s">
        <v>474</v>
      </c>
      <c r="E70" s="200" t="s">
        <v>475</v>
      </c>
      <c r="F70" s="98">
        <f>'II-I-DIST'!F70</f>
        <v>0</v>
      </c>
      <c r="G70" s="350"/>
      <c r="H70" s="98">
        <f>'II-I-MET'!F70</f>
        <v>0</v>
      </c>
      <c r="I70" s="350"/>
      <c r="J70" s="98">
        <f>'II-I-TBILLTDCS'!F70</f>
        <v>0</v>
      </c>
      <c r="K70" s="350"/>
      <c r="L70" s="694">
        <f t="shared" si="3"/>
        <v>0</v>
      </c>
      <c r="M70" s="936" t="s">
        <v>971</v>
      </c>
      <c r="O70" t="b">
        <f>'II-I-DIST'!$F$70=F70</f>
        <v>1</v>
      </c>
      <c r="P70" t="b">
        <f>'II-I-MET'!$F$70=H70</f>
        <v>1</v>
      </c>
      <c r="Q70" t="b">
        <f>'II-I-TBILLTDCS'!$F$70=J70</f>
        <v>1</v>
      </c>
    </row>
    <row r="71" spans="2:17" ht="15.75" x14ac:dyDescent="0.25">
      <c r="B71" s="16">
        <f t="shared" si="2"/>
        <v>19</v>
      </c>
      <c r="C71" s="138"/>
      <c r="D71" s="39" t="s">
        <v>476</v>
      </c>
      <c r="E71" s="200" t="s">
        <v>116</v>
      </c>
      <c r="F71" s="201">
        <f>'II-I-DIST'!F71</f>
        <v>157958065.75</v>
      </c>
      <c r="G71" s="200"/>
      <c r="H71" s="201">
        <f>'II-I-MET'!F71</f>
        <v>1241799.47</v>
      </c>
      <c r="I71" s="200"/>
      <c r="J71" s="201">
        <f>'II-I-TBILLTDCS'!F71</f>
        <v>0</v>
      </c>
      <c r="K71" s="200"/>
      <c r="L71" s="851">
        <f t="shared" si="3"/>
        <v>159199865.22</v>
      </c>
      <c r="M71" s="936" t="s">
        <v>971</v>
      </c>
      <c r="O71" t="b">
        <f>'II-I-DIST'!$F$71=F71</f>
        <v>1</v>
      </c>
      <c r="P71" t="b">
        <f>'II-I-MET'!$F$71=H71</f>
        <v>1</v>
      </c>
      <c r="Q71" t="b">
        <f>'II-I-TBILLTDCS'!$F$71=J71</f>
        <v>1</v>
      </c>
    </row>
    <row r="72" spans="2:17" ht="15.75" x14ac:dyDescent="0.25">
      <c r="B72" s="16">
        <f t="shared" si="2"/>
        <v>20</v>
      </c>
      <c r="C72" s="138"/>
      <c r="D72" s="39" t="s">
        <v>118</v>
      </c>
      <c r="E72" s="200" t="s">
        <v>119</v>
      </c>
      <c r="F72" s="201">
        <f>'II-I-DIST'!F72</f>
        <v>-25613472.190000005</v>
      </c>
      <c r="G72" s="350"/>
      <c r="H72" s="201">
        <f>'II-I-MET'!F72</f>
        <v>-298798.5199999999</v>
      </c>
      <c r="I72" s="350"/>
      <c r="J72" s="201">
        <f>'II-I-TBILLTDCS'!F72</f>
        <v>175757.58000000461</v>
      </c>
      <c r="K72" s="350"/>
      <c r="L72" s="851">
        <f t="shared" si="3"/>
        <v>-25736513.129999999</v>
      </c>
      <c r="M72" s="936" t="s">
        <v>971</v>
      </c>
      <c r="O72" t="b">
        <f>'II-I-DIST'!$F$72=F72</f>
        <v>1</v>
      </c>
      <c r="P72" t="b">
        <f>'II-I-MET'!$F$72=H72</f>
        <v>1</v>
      </c>
      <c r="Q72" t="b">
        <f>'II-I-TBILLTDCS'!$F$72=J72</f>
        <v>1</v>
      </c>
    </row>
    <row r="73" spans="2:17" ht="15.75" x14ac:dyDescent="0.25">
      <c r="B73" s="16">
        <f t="shared" si="2"/>
        <v>21</v>
      </c>
      <c r="C73" s="138"/>
      <c r="D73" s="39" t="s">
        <v>120</v>
      </c>
      <c r="E73" s="200" t="s">
        <v>121</v>
      </c>
      <c r="F73" s="201">
        <f>'II-I-DIST'!F73</f>
        <v>127742955.85948826</v>
      </c>
      <c r="G73" s="200"/>
      <c r="H73" s="201">
        <f>'II-I-MET'!F73</f>
        <v>584939.38897891541</v>
      </c>
      <c r="I73" s="200"/>
      <c r="J73" s="201">
        <f>'II-I-TBILLTDCS'!F73</f>
        <v>529501.175314861</v>
      </c>
      <c r="K73" s="200"/>
      <c r="L73" s="851">
        <f t="shared" si="3"/>
        <v>128857396.42378204</v>
      </c>
      <c r="M73" s="936" t="s">
        <v>971</v>
      </c>
      <c r="O73" t="b">
        <f>'II-I-DIST'!$F$73=F73</f>
        <v>1</v>
      </c>
      <c r="P73" t="b">
        <f>'II-I-MET'!$F$73=H73</f>
        <v>1</v>
      </c>
      <c r="Q73" t="b">
        <f>'II-I-TBILLTDCS'!$F$73=J73</f>
        <v>1</v>
      </c>
    </row>
    <row r="74" spans="2:17" ht="15.75" x14ac:dyDescent="0.25">
      <c r="B74" s="16">
        <f t="shared" si="2"/>
        <v>22</v>
      </c>
      <c r="C74" s="138"/>
      <c r="D74" s="40" t="s">
        <v>477</v>
      </c>
      <c r="E74" s="200" t="s">
        <v>123</v>
      </c>
      <c r="F74" s="201">
        <f>'II-I-DIST'!F74</f>
        <v>-1977961.88</v>
      </c>
      <c r="G74" s="200"/>
      <c r="H74" s="201">
        <f>'II-I-MET'!F74</f>
        <v>-302530.2</v>
      </c>
      <c r="I74" s="200"/>
      <c r="J74" s="201">
        <f>'II-I-TBILLTDCS'!F74</f>
        <v>0</v>
      </c>
      <c r="K74" s="200"/>
      <c r="L74" s="851">
        <f t="shared" si="3"/>
        <v>-2280492.08</v>
      </c>
      <c r="M74" s="936" t="s">
        <v>971</v>
      </c>
      <c r="O74" t="b">
        <f>'II-I-DIST'!$F74=F74</f>
        <v>1</v>
      </c>
      <c r="P74" t="b">
        <f>'II-I-MET'!$F74=H74</f>
        <v>1</v>
      </c>
      <c r="Q74" t="b">
        <f>'II-I-TBILLTDCS'!$F$74=J74</f>
        <v>1</v>
      </c>
    </row>
    <row r="75" spans="2:17" ht="15.75" x14ac:dyDescent="0.25">
      <c r="B75" s="16">
        <f t="shared" si="2"/>
        <v>23</v>
      </c>
      <c r="C75" s="138"/>
      <c r="D75" s="40" t="s">
        <v>478</v>
      </c>
      <c r="E75" s="200" t="s">
        <v>127</v>
      </c>
      <c r="F75" s="202">
        <f>'II-I-DIST'!F75</f>
        <v>626025299.63999987</v>
      </c>
      <c r="G75" s="350"/>
      <c r="H75" s="201">
        <f>'II-I-MET'!F75</f>
        <v>30745549.989999995</v>
      </c>
      <c r="I75" s="200"/>
      <c r="J75" s="201">
        <f>'II-I-TBILLTDCS'!F75</f>
        <v>2989198.340000012</v>
      </c>
      <c r="K75" s="200"/>
      <c r="L75" s="851">
        <f t="shared" si="3"/>
        <v>659760047.96999991</v>
      </c>
      <c r="M75" s="936" t="s">
        <v>971</v>
      </c>
      <c r="O75" t="b">
        <f>'II-I-DIST'!$F$75=F75</f>
        <v>1</v>
      </c>
      <c r="P75" t="b">
        <f>'II-I-MET'!$F$75=H75</f>
        <v>1</v>
      </c>
      <c r="Q75" t="b">
        <f>'II-I-TBILLTDCS'!$F$75=J75</f>
        <v>1</v>
      </c>
    </row>
    <row r="76" spans="2:17" ht="17.25" x14ac:dyDescent="0.35">
      <c r="B76" s="16">
        <f t="shared" si="2"/>
        <v>24</v>
      </c>
      <c r="C76" s="138"/>
      <c r="D76" s="40" t="s">
        <v>1107</v>
      </c>
      <c r="E76" s="200" t="s">
        <v>480</v>
      </c>
      <c r="F76" s="203">
        <f>'II-I-DIST'!F76</f>
        <v>-1434321915.47</v>
      </c>
      <c r="G76" s="200"/>
      <c r="H76" s="203">
        <f>'II-I-MET'!F76</f>
        <v>-11971648.140000001</v>
      </c>
      <c r="I76" s="200"/>
      <c r="J76" s="203">
        <f>'II-I-TBILLTDCS'!F76</f>
        <v>-52031200.460000001</v>
      </c>
      <c r="K76" s="200"/>
      <c r="L76" s="203">
        <f t="shared" si="3"/>
        <v>-1498324764.0700002</v>
      </c>
      <c r="M76" s="936" t="s">
        <v>971</v>
      </c>
      <c r="O76" t="b">
        <f>'II-I-DIST'!$F$76=F76</f>
        <v>1</v>
      </c>
      <c r="P76" t="b">
        <f>'II-I-MET'!$F$76=H76</f>
        <v>1</v>
      </c>
      <c r="Q76" t="b">
        <f>'II-I-TBILLTDCS'!$F$76=J76</f>
        <v>1</v>
      </c>
    </row>
    <row r="77" spans="2:17" ht="15.75" x14ac:dyDescent="0.25">
      <c r="B77" s="16">
        <f t="shared" si="2"/>
        <v>25</v>
      </c>
      <c r="C77" s="188"/>
      <c r="D77" s="153" t="s">
        <v>444</v>
      </c>
      <c r="E77" s="153"/>
      <c r="F77" s="208">
        <f>'II-I-DIST'!F77</f>
        <v>-543481579.92051196</v>
      </c>
      <c r="G77" s="153"/>
      <c r="H77" s="208">
        <f>'II-I-MET'!F77</f>
        <v>19999311.988978911</v>
      </c>
      <c r="I77" s="153"/>
      <c r="J77" s="208">
        <f>'II-I-TBILLTDCS'!F77</f>
        <v>-48336743.364685126</v>
      </c>
      <c r="K77" s="153"/>
      <c r="L77" s="208">
        <f t="shared" si="3"/>
        <v>-571819011.29621816</v>
      </c>
      <c r="O77" t="b">
        <f>'II-I-DIST'!$F$77=F77</f>
        <v>1</v>
      </c>
      <c r="P77" t="b">
        <f>'II-I-MET'!$F$77=H77</f>
        <v>1</v>
      </c>
      <c r="Q77" t="b">
        <f>'II-I-TBILLTDCS'!$F$77=J77</f>
        <v>1</v>
      </c>
    </row>
    <row r="78" spans="2:17" ht="15.75" thickBot="1" x14ac:dyDescent="0.25">
      <c r="B78" s="16">
        <f t="shared" si="2"/>
        <v>26</v>
      </c>
      <c r="C78" s="138"/>
      <c r="D78" s="39"/>
      <c r="E78" s="39"/>
      <c r="F78" s="11"/>
      <c r="G78" s="39"/>
      <c r="H78" s="11"/>
      <c r="I78" s="39"/>
      <c r="J78" s="11"/>
      <c r="K78" s="39"/>
      <c r="L78" s="571"/>
    </row>
    <row r="79" spans="2:17" ht="16.5" thickBot="1" x14ac:dyDescent="0.3">
      <c r="B79" s="16">
        <f t="shared" si="2"/>
        <v>27</v>
      </c>
      <c r="C79" s="188"/>
      <c r="D79" s="215" t="s">
        <v>481</v>
      </c>
      <c r="E79" s="216"/>
      <c r="F79" s="814">
        <f>'II-I-DIST'!F79</f>
        <v>13507608593.429487</v>
      </c>
      <c r="G79" s="216"/>
      <c r="H79" s="814">
        <f>'II-I-MET'!F79</f>
        <v>441137289.90897888</v>
      </c>
      <c r="I79" s="216"/>
      <c r="J79" s="814">
        <f>'II-I-TBILLTDCS'!F79</f>
        <v>230067007.21531481</v>
      </c>
      <c r="K79" s="216"/>
      <c r="L79" s="218">
        <f>F79+H79+J79</f>
        <v>14178812890.553782</v>
      </c>
      <c r="O79" t="b">
        <f>'II-I-DIST'!$F$79=F79</f>
        <v>1</v>
      </c>
      <c r="P79" t="b">
        <f>'II-I-MET'!$F$79=H79</f>
        <v>1</v>
      </c>
      <c r="Q79" t="b">
        <f>'II-I-TBILLTDCS'!$F$79=J79</f>
        <v>1</v>
      </c>
    </row>
    <row r="80" spans="2:17" ht="15" x14ac:dyDescent="0.2">
      <c r="B80" s="16">
        <f t="shared" si="2"/>
        <v>28</v>
      </c>
      <c r="C80" s="138"/>
      <c r="D80" s="220"/>
      <c r="E80" s="220"/>
      <c r="F80" s="201">
        <f>'II-I-DIST'!F80</f>
        <v>0</v>
      </c>
      <c r="G80" s="220"/>
      <c r="H80" s="201">
        <f>'II-I-MET'!F80</f>
        <v>0</v>
      </c>
      <c r="I80" s="220"/>
      <c r="J80" s="201">
        <f>'II-I-TBILLTDCS'!F80</f>
        <v>0</v>
      </c>
      <c r="K80" s="220"/>
      <c r="L80" s="851"/>
    </row>
    <row r="81" spans="2:17" ht="15.75" x14ac:dyDescent="0.25">
      <c r="B81" s="16">
        <f t="shared" si="2"/>
        <v>29</v>
      </c>
      <c r="C81" s="138"/>
      <c r="D81" s="46" t="s">
        <v>482</v>
      </c>
      <c r="E81" s="220"/>
      <c r="F81" s="221">
        <f>'II-I-DIST'!F81</f>
        <v>7.4700000000000003E-2</v>
      </c>
      <c r="G81" s="220"/>
      <c r="H81" s="221">
        <f>'II-I-MET'!F81</f>
        <v>7.4700000000000003E-2</v>
      </c>
      <c r="I81" s="220"/>
      <c r="J81" s="221">
        <f>'II-I-TBILLTDCS'!F81</f>
        <v>7.4700000000000003E-2</v>
      </c>
      <c r="K81" s="220"/>
      <c r="L81" s="221">
        <f>'WP II-I-1.1'!$G$211</f>
        <v>7.4700000000000003E-2</v>
      </c>
      <c r="M81" s="936" t="s">
        <v>972</v>
      </c>
      <c r="O81" t="b">
        <f>'II-I-DIST'!$F$81=F81</f>
        <v>1</v>
      </c>
      <c r="P81" t="b">
        <f>'II-I-MET'!$F$81=H81</f>
        <v>1</v>
      </c>
      <c r="Q81" t="b">
        <f>'II-I-TBILLTDCS'!$F$81=J81</f>
        <v>1</v>
      </c>
    </row>
    <row r="82" spans="2:17" ht="15.75" thickBot="1" x14ac:dyDescent="0.25">
      <c r="B82" s="16">
        <f t="shared" si="2"/>
        <v>30</v>
      </c>
      <c r="C82" s="138"/>
      <c r="D82" s="1"/>
      <c r="E82" s="1"/>
      <c r="F82" s="201">
        <f>'II-I-DIST'!F82</f>
        <v>0</v>
      </c>
      <c r="G82" s="1"/>
      <c r="H82" s="201">
        <f>'II-I-MET'!F82</f>
        <v>0</v>
      </c>
      <c r="I82" s="1"/>
      <c r="J82" s="201">
        <f>'II-I-TBILLTDCS'!F82</f>
        <v>0</v>
      </c>
      <c r="K82" s="1"/>
      <c r="L82" s="851"/>
    </row>
    <row r="83" spans="2:17" ht="16.5" thickBot="1" x14ac:dyDescent="0.3">
      <c r="B83" s="16">
        <f t="shared" si="2"/>
        <v>31</v>
      </c>
      <c r="C83" s="188"/>
      <c r="D83" s="223" t="s">
        <v>483</v>
      </c>
      <c r="E83" s="224"/>
      <c r="F83" s="814">
        <f>'II-I-DIST'!F83</f>
        <v>1009018361.9291828</v>
      </c>
      <c r="G83" s="224"/>
      <c r="H83" s="814">
        <f>'II-I-MET'!F83</f>
        <v>32952955.556200724</v>
      </c>
      <c r="I83" s="224"/>
      <c r="J83" s="814">
        <f>'II-I-TBILLTDCS'!F83</f>
        <v>17186005.438984018</v>
      </c>
      <c r="K83" s="224"/>
      <c r="L83" s="218">
        <f>F83+H83+J83</f>
        <v>1059157322.9243675</v>
      </c>
      <c r="O83" t="b">
        <f>'II-I-DIST'!$F$83=F83</f>
        <v>1</v>
      </c>
      <c r="P83" t="b">
        <f>'II-I-MET'!$F$83=H83</f>
        <v>1</v>
      </c>
      <c r="Q83" t="b">
        <f>'II-I-TBILLTDCS'!$F$83=J83</f>
        <v>1</v>
      </c>
    </row>
    <row r="84" spans="2:17" ht="15.75" x14ac:dyDescent="0.25">
      <c r="B84" s="16"/>
      <c r="C84" s="188"/>
      <c r="E84" s="357"/>
      <c r="H84" s="357"/>
      <c r="K84"/>
    </row>
    <row r="85" spans="2:17" ht="15.75" x14ac:dyDescent="0.25">
      <c r="B85" s="138"/>
      <c r="C85" s="138"/>
      <c r="D85" s="138"/>
      <c r="E85" s="142"/>
      <c r="F85" s="208"/>
      <c r="G85" s="357"/>
      <c r="H85" s="142"/>
      <c r="I85" s="138"/>
      <c r="J85" s="138"/>
      <c r="K85" s="138"/>
      <c r="L85" s="138"/>
    </row>
    <row r="86" spans="2:17" ht="15" x14ac:dyDescent="0.2">
      <c r="B86" s="138"/>
      <c r="C86" s="138"/>
      <c r="D86" s="138"/>
      <c r="E86" s="142"/>
      <c r="F86" s="357"/>
      <c r="G86" s="357"/>
      <c r="H86" s="142"/>
      <c r="I86" s="138"/>
      <c r="J86" s="138"/>
      <c r="K86" s="138"/>
      <c r="L86" s="138"/>
    </row>
    <row r="87" spans="2:17" ht="15.75" x14ac:dyDescent="0.25">
      <c r="B87" s="138"/>
      <c r="C87" s="138"/>
      <c r="D87" s="138"/>
      <c r="E87" s="142"/>
      <c r="F87" s="208"/>
      <c r="G87" s="357"/>
      <c r="H87" s="142"/>
      <c r="I87" s="138"/>
      <c r="J87" s="138"/>
      <c r="K87" s="138"/>
      <c r="L87" s="138"/>
    </row>
    <row r="88" spans="2:17" ht="15" x14ac:dyDescent="0.2">
      <c r="B88" s="138"/>
      <c r="C88" s="138"/>
      <c r="D88" s="138"/>
      <c r="E88" s="142"/>
      <c r="F88" s="357"/>
      <c r="G88" s="357"/>
      <c r="H88" s="142"/>
      <c r="I88" s="138"/>
      <c r="J88" s="138"/>
      <c r="K88" s="138"/>
      <c r="L88" s="138"/>
    </row>
    <row r="89" spans="2:17" ht="16.5" thickBot="1" x14ac:dyDescent="0.3">
      <c r="B89" s="783"/>
      <c r="C89" s="783"/>
      <c r="D89" s="783"/>
      <c r="E89" s="834"/>
      <c r="F89" s="364"/>
      <c r="G89" s="365"/>
      <c r="H89" s="142"/>
      <c r="I89" s="138"/>
      <c r="J89" s="138"/>
      <c r="K89" s="138"/>
      <c r="L89" s="783"/>
    </row>
    <row r="90" spans="2:17" ht="15.75" thickBot="1" x14ac:dyDescent="0.3">
      <c r="B90" s="783"/>
      <c r="C90" s="783"/>
      <c r="D90" s="783"/>
      <c r="E90" s="783"/>
      <c r="K90"/>
      <c r="L90" s="783"/>
    </row>
    <row r="91" spans="2:17" ht="15" x14ac:dyDescent="0.25">
      <c r="B91" s="829" t="str">
        <f>$B$4</f>
        <v>2025 RATE CASE</v>
      </c>
      <c r="C91" s="835"/>
      <c r="D91" s="836"/>
      <c r="E91" s="783"/>
      <c r="K91"/>
      <c r="L91" s="783"/>
    </row>
    <row r="92" spans="2:17" ht="15" x14ac:dyDescent="0.25">
      <c r="B92" s="826" t="str">
        <f>$B$5</f>
        <v>ONCOR ELECTRIC DELIVERY COMPANY LLC</v>
      </c>
      <c r="C92" s="304"/>
      <c r="D92" s="837"/>
      <c r="E92" s="783"/>
      <c r="K92"/>
      <c r="L92" s="783"/>
    </row>
    <row r="93" spans="2:17" ht="15" x14ac:dyDescent="0.25">
      <c r="B93" s="341" t="str">
        <f>$B$6</f>
        <v>II-I-2.1f:  CONSOLIDATED FUNCTIONALIZED COST OF SERVICE</v>
      </c>
      <c r="C93" s="304"/>
      <c r="D93" s="837"/>
      <c r="E93" s="783"/>
      <c r="K93"/>
      <c r="L93" s="783"/>
    </row>
    <row r="94" spans="2:17" ht="15" x14ac:dyDescent="0.25">
      <c r="B94" s="341" t="str">
        <f>$B$7</f>
        <v>TEST YEAR ENDING 12/31/2024</v>
      </c>
      <c r="C94" s="339"/>
      <c r="D94" s="340"/>
      <c r="K94"/>
    </row>
    <row r="95" spans="2:17" ht="15.75" customHeight="1" x14ac:dyDescent="0.25">
      <c r="B95" s="341" t="str">
        <f>$B$8</f>
        <v>SPONSOR:  MATTHEW A. TROXLE</v>
      </c>
      <c r="C95" s="304"/>
      <c r="D95" s="837"/>
      <c r="E95" s="304"/>
      <c r="K95"/>
      <c r="L95" s="304"/>
    </row>
    <row r="96" spans="2:17" ht="15.75" thickBot="1" x14ac:dyDescent="0.3">
      <c r="B96" s="345"/>
      <c r="C96" s="849"/>
      <c r="D96" s="850"/>
      <c r="F96" s="64"/>
      <c r="G96" s="64"/>
      <c r="H96" s="64"/>
      <c r="I96" s="64"/>
      <c r="J96" s="64"/>
      <c r="K96" s="64"/>
    </row>
    <row r="97" spans="2:29" x14ac:dyDescent="0.2">
      <c r="B97" s="12"/>
      <c r="C97" s="13"/>
      <c r="D97" s="177"/>
      <c r="E97" s="13"/>
      <c r="F97" s="13"/>
      <c r="G97" s="13"/>
      <c r="H97" s="13"/>
      <c r="I97" s="13"/>
      <c r="J97" s="13"/>
      <c r="K97" s="13"/>
      <c r="L97" s="855"/>
      <c r="M97" s="938"/>
    </row>
    <row r="98" spans="2:29" ht="15" x14ac:dyDescent="0.25">
      <c r="B98" s="14" t="s">
        <v>2</v>
      </c>
      <c r="C98" s="14" t="s">
        <v>349</v>
      </c>
      <c r="D98" s="180" t="s">
        <v>484</v>
      </c>
      <c r="E98" s="14" t="s">
        <v>350</v>
      </c>
      <c r="F98" s="226" t="str">
        <f>'II-I-DIST'!F98</f>
        <v>DIST</v>
      </c>
      <c r="G98" s="181" t="str">
        <f>'II-I-DIST'!H98</f>
        <v>Allocation</v>
      </c>
      <c r="H98" s="226" t="str">
        <f>'II-I-MET'!F98</f>
        <v>MET</v>
      </c>
      <c r="I98" s="181" t="str">
        <f>'II-I-MET'!H98</f>
        <v>Allocation</v>
      </c>
      <c r="J98" s="226" t="str">
        <f>'II-I-TBILLTDCS'!F98</f>
        <v>TBILLTDCS</v>
      </c>
      <c r="K98" s="181" t="str">
        <f>'II-I-TBILLTDCS'!H98</f>
        <v>Allocation</v>
      </c>
      <c r="L98" s="660" t="s">
        <v>434</v>
      </c>
      <c r="M98" s="932" t="s">
        <v>970</v>
      </c>
    </row>
    <row r="99" spans="2:29" x14ac:dyDescent="0.2">
      <c r="B99" s="14"/>
      <c r="C99" s="14"/>
      <c r="D99" s="181"/>
      <c r="E99" s="14"/>
      <c r="F99" s="14"/>
      <c r="G99" s="181" t="str">
        <f>'II-I-DIST'!H99</f>
        <v>Factor</v>
      </c>
      <c r="H99" s="14"/>
      <c r="I99" s="181" t="str">
        <f>'II-I-MET'!H99</f>
        <v>Factor</v>
      </c>
      <c r="J99" s="14"/>
      <c r="K99" s="181" t="str">
        <f>'II-I-TBILLTDCS'!H99</f>
        <v>Factor</v>
      </c>
      <c r="L99" s="660" t="s">
        <v>31</v>
      </c>
      <c r="M99" s="939"/>
    </row>
    <row r="100" spans="2:29" ht="15.75" thickBot="1" x14ac:dyDescent="0.25">
      <c r="B100" s="182"/>
      <c r="C100" s="860"/>
      <c r="D100" s="184"/>
      <c r="E100" s="184"/>
      <c r="F100" s="15" t="str">
        <f>'II-I-DIST'!F100</f>
        <v>(a)</v>
      </c>
      <c r="G100" s="15" t="str">
        <f>'II-I-DIST'!H100</f>
        <v>(c)</v>
      </c>
      <c r="H100" s="664" t="str">
        <f>'II-I-MET'!F100</f>
        <v>(a)</v>
      </c>
      <c r="I100" s="15" t="str">
        <f>'II-I-MET'!H100</f>
        <v>(c)</v>
      </c>
      <c r="J100" s="664" t="str">
        <f>'II-I-TBILLTDCS'!F100</f>
        <v>(a)</v>
      </c>
      <c r="K100" s="15" t="str">
        <f>'II-I-TBILLTDCS'!H100</f>
        <v>(c)</v>
      </c>
      <c r="L100" s="664" t="s">
        <v>19</v>
      </c>
      <c r="M100" s="934" t="s">
        <v>20</v>
      </c>
    </row>
    <row r="101" spans="2:29" x14ac:dyDescent="0.2">
      <c r="B101" s="64"/>
      <c r="C101" s="64"/>
      <c r="D101" s="96"/>
      <c r="E101" s="96"/>
      <c r="F101" s="1"/>
      <c r="G101" s="1"/>
      <c r="H101" s="96"/>
      <c r="I101" s="96"/>
      <c r="J101" s="96"/>
      <c r="K101" s="96"/>
      <c r="L101" s="852"/>
    </row>
    <row r="102" spans="2:29" ht="15" customHeight="1" x14ac:dyDescent="0.25">
      <c r="B102" s="16">
        <f t="shared" ref="B102:B109" si="4">B101+1</f>
        <v>1</v>
      </c>
      <c r="C102" s="8" t="s">
        <v>485</v>
      </c>
      <c r="D102" s="8"/>
      <c r="E102" s="831" t="s">
        <v>24</v>
      </c>
      <c r="F102" s="1308"/>
      <c r="G102" s="1308"/>
      <c r="H102" s="831"/>
      <c r="I102" s="1308"/>
      <c r="J102" s="831"/>
      <c r="K102" s="1308"/>
      <c r="L102" s="8"/>
    </row>
    <row r="103" spans="2:29" s="321" customFormat="1" x14ac:dyDescent="0.2">
      <c r="B103" s="16">
        <f t="shared" si="4"/>
        <v>2</v>
      </c>
      <c r="C103" s="1" t="s">
        <v>25</v>
      </c>
      <c r="D103" s="1" t="s">
        <v>26</v>
      </c>
      <c r="E103" s="16"/>
      <c r="F103" s="98">
        <f>'II-I-DIST'!F103</f>
        <v>0</v>
      </c>
      <c r="G103" s="1" t="str">
        <f>'II-I-DIST'!H103</f>
        <v>PLT_N XINT</v>
      </c>
      <c r="H103" s="97">
        <f>'II-I-MET'!F103</f>
        <v>0</v>
      </c>
      <c r="I103" s="45" t="str">
        <f>'II-I-MET'!H103</f>
        <v>PLT_N XINT</v>
      </c>
      <c r="J103" s="97">
        <f>'II-I-TBILLTDCS'!F103</f>
        <v>0</v>
      </c>
      <c r="K103" s="45" t="str">
        <f>'II-I-TBILLTDCS'!H103</f>
        <v>PLT_N XINT</v>
      </c>
      <c r="L103" s="802">
        <v>0</v>
      </c>
      <c r="M103" s="935"/>
      <c r="N103" s="1" t="b">
        <f>'II-I-DIST'!$C$103=C103</f>
        <v>1</v>
      </c>
      <c r="O103" t="b">
        <f>'II-I-DIST'!$F$103=F103</f>
        <v>1</v>
      </c>
      <c r="R103"/>
      <c r="S103"/>
      <c r="Z103"/>
      <c r="AA103"/>
      <c r="AB103"/>
      <c r="AC103"/>
    </row>
    <row r="104" spans="2:29" s="321" customFormat="1" x14ac:dyDescent="0.2">
      <c r="B104" s="16">
        <f t="shared" si="4"/>
        <v>3</v>
      </c>
      <c r="C104" s="1" t="s">
        <v>27</v>
      </c>
      <c r="D104" s="1" t="s">
        <v>28</v>
      </c>
      <c r="E104" s="16"/>
      <c r="F104" s="98">
        <f>'II-I-DIST'!F104</f>
        <v>0</v>
      </c>
      <c r="G104" s="1" t="str">
        <f>'II-I-DIST'!H104</f>
        <v>PLT_N XINT</v>
      </c>
      <c r="H104" s="97">
        <f>'II-I-MET'!F104</f>
        <v>0</v>
      </c>
      <c r="I104" s="45" t="str">
        <f>'II-I-MET'!H104</f>
        <v>PLT_N XINT</v>
      </c>
      <c r="J104" s="97">
        <f>'II-I-TBILLTDCS'!F104</f>
        <v>0</v>
      </c>
      <c r="K104" s="45" t="str">
        <f>'II-I-TBILLTDCS'!H104</f>
        <v>PLT_N XINT</v>
      </c>
      <c r="L104" s="802">
        <v>0</v>
      </c>
      <c r="M104" s="935"/>
      <c r="N104" s="1" t="b">
        <f>'II-I-DIST'!$D$104=D104</f>
        <v>1</v>
      </c>
      <c r="R104"/>
      <c r="S104"/>
      <c r="Z104"/>
      <c r="AA104"/>
      <c r="AB104"/>
      <c r="AC104"/>
    </row>
    <row r="105" spans="2:29" s="321" customFormat="1" ht="29.25" customHeight="1" x14ac:dyDescent="0.2">
      <c r="B105" s="16">
        <f t="shared" si="4"/>
        <v>4</v>
      </c>
      <c r="C105" s="1" t="s">
        <v>29</v>
      </c>
      <c r="D105" s="1" t="s">
        <v>32</v>
      </c>
      <c r="E105" s="16"/>
      <c r="F105" s="98">
        <f>'II-I-DIST'!F105</f>
        <v>8645784</v>
      </c>
      <c r="G105" s="1" t="str">
        <f>'II-I-DIST'!H105</f>
        <v>PLT_N XINT</v>
      </c>
      <c r="H105" s="97">
        <f>'II-I-MET'!F105</f>
        <v>324360</v>
      </c>
      <c r="I105" s="45" t="str">
        <f>'II-I-MET'!H105</f>
        <v>PLT_N XINT</v>
      </c>
      <c r="J105" s="97">
        <f>'II-I-TBILLTDCS'!F105</f>
        <v>145326</v>
      </c>
      <c r="K105" s="45" t="str">
        <f>'II-I-TBILLTDCS'!H105</f>
        <v>PLT_N XINT</v>
      </c>
      <c r="L105" s="802">
        <f>F105+H105+J105</f>
        <v>9115470</v>
      </c>
      <c r="M105" s="832" t="s">
        <v>973</v>
      </c>
      <c r="R105"/>
      <c r="S105"/>
      <c r="Z105"/>
      <c r="AA105"/>
      <c r="AB105"/>
      <c r="AC105"/>
    </row>
    <row r="106" spans="2:29" ht="15" x14ac:dyDescent="0.25">
      <c r="B106" s="16">
        <f t="shared" si="4"/>
        <v>5</v>
      </c>
      <c r="C106" s="8"/>
      <c r="D106" s="233" t="s">
        <v>444</v>
      </c>
      <c r="E106" s="831"/>
      <c r="F106" s="816">
        <f>'II-I-DIST'!F106</f>
        <v>8645784</v>
      </c>
      <c r="G106" s="1308"/>
      <c r="H106" s="816">
        <f>'II-I-MET'!F106</f>
        <v>324360</v>
      </c>
      <c r="I106" s="1308"/>
      <c r="J106" s="816">
        <f>'II-I-TBILLTDCS'!F106</f>
        <v>145326</v>
      </c>
      <c r="K106" s="1308"/>
      <c r="L106" s="816">
        <f>F106+H106+J106</f>
        <v>9115470</v>
      </c>
      <c r="O106" t="b">
        <f>'II-I-DIST'!$F$106=F106</f>
        <v>1</v>
      </c>
      <c r="P106" t="b">
        <f>'II-I-MET'!$F$106=H106</f>
        <v>1</v>
      </c>
      <c r="Q106" t="b">
        <f>'II-I-TBILLTDCS'!$F$106=J106</f>
        <v>1</v>
      </c>
    </row>
    <row r="107" spans="2:29" ht="15" x14ac:dyDescent="0.25">
      <c r="B107" s="16">
        <f t="shared" si="4"/>
        <v>6</v>
      </c>
      <c r="C107" s="8" t="s">
        <v>517</v>
      </c>
      <c r="D107" s="8"/>
      <c r="E107" s="831" t="s">
        <v>24</v>
      </c>
      <c r="F107" s="1308"/>
      <c r="G107" s="16"/>
      <c r="H107" s="831"/>
      <c r="I107" s="16"/>
      <c r="J107" s="831"/>
      <c r="K107" s="16"/>
      <c r="L107" s="805"/>
    </row>
    <row r="108" spans="2:29" s="321" customFormat="1" ht="15" x14ac:dyDescent="0.25">
      <c r="B108" s="16">
        <f t="shared" si="4"/>
        <v>7</v>
      </c>
      <c r="C108" s="1" t="s">
        <v>37</v>
      </c>
      <c r="D108" s="1" t="s">
        <v>38</v>
      </c>
      <c r="E108" s="831"/>
      <c r="F108" s="98">
        <f>'II-I-DIST'!F108</f>
        <v>0</v>
      </c>
      <c r="G108" s="26" t="str">
        <f>'II-I-DIST'!H108</f>
        <v>NCP XHV</v>
      </c>
      <c r="H108" s="97">
        <f>'II-I-MET'!F108</f>
        <v>0</v>
      </c>
      <c r="I108" s="26" t="str">
        <f>'II-I-MET'!H108</f>
        <v>NCP XHV</v>
      </c>
      <c r="J108" s="97">
        <f>'II-I-TBILLTDCS'!F108</f>
        <v>0</v>
      </c>
      <c r="K108" s="26" t="str">
        <f>'II-I-TBILLTDCS'!H108</f>
        <v>NCP XHV</v>
      </c>
      <c r="L108" s="727">
        <f t="shared" ref="L108:L112" si="5">F108+H108+J108</f>
        <v>0</v>
      </c>
      <c r="M108" s="928"/>
      <c r="R108"/>
      <c r="S108"/>
      <c r="Z108"/>
      <c r="AA108"/>
      <c r="AB108"/>
      <c r="AC108"/>
    </row>
    <row r="109" spans="2:29" s="321" customFormat="1" x14ac:dyDescent="0.2">
      <c r="B109" s="16">
        <f t="shared" si="4"/>
        <v>8</v>
      </c>
      <c r="C109" s="1" t="s">
        <v>39</v>
      </c>
      <c r="D109" s="1" t="s">
        <v>40</v>
      </c>
      <c r="E109" s="16"/>
      <c r="F109" s="98">
        <f>'II-I-DIST'!F109</f>
        <v>0</v>
      </c>
      <c r="G109" s="26" t="str">
        <f>'II-I-DIST'!H109</f>
        <v>NCP XHV</v>
      </c>
      <c r="H109" s="97">
        <f>'II-I-MET'!F109</f>
        <v>0</v>
      </c>
      <c r="I109" s="26" t="str">
        <f>'II-I-MET'!H109</f>
        <v>NCP XHV</v>
      </c>
      <c r="J109" s="97">
        <f>'II-I-TBILLTDCS'!F109</f>
        <v>0</v>
      </c>
      <c r="K109" s="26" t="str">
        <f>'II-I-TBILLTDCS'!H109</f>
        <v>NCP XHV</v>
      </c>
      <c r="L109" s="727">
        <f t="shared" si="5"/>
        <v>0</v>
      </c>
      <c r="M109" s="935"/>
      <c r="R109"/>
      <c r="S109"/>
      <c r="Z109"/>
      <c r="AA109"/>
      <c r="AB109"/>
      <c r="AC109"/>
    </row>
    <row r="110" spans="2:29" s="321" customFormat="1" ht="57" x14ac:dyDescent="0.2">
      <c r="B110" s="16">
        <v>9</v>
      </c>
      <c r="C110" s="1" t="s">
        <v>1229</v>
      </c>
      <c r="D110" s="1" t="s">
        <v>1230</v>
      </c>
      <c r="E110" s="16"/>
      <c r="F110" s="23">
        <f>'II-I-DIST'!F110</f>
        <v>0</v>
      </c>
      <c r="G110" s="26" t="str">
        <f>'II-I-DIST'!H110</f>
        <v>PLTTRAN_N</v>
      </c>
      <c r="H110" s="229">
        <f>'II-I-MET'!F110</f>
        <v>0</v>
      </c>
      <c r="I110" s="26" t="str">
        <f>'II-I-MET'!H110</f>
        <v>PLTTRAN_N</v>
      </c>
      <c r="J110" s="229">
        <f>'II-I-TBILLTDCS'!F110</f>
        <v>0</v>
      </c>
      <c r="K110" s="26" t="str">
        <f>'II-I-TBILLTDCS'!H110</f>
        <v>PLTTRAN_N</v>
      </c>
      <c r="L110" s="727">
        <f t="shared" si="5"/>
        <v>0</v>
      </c>
      <c r="M110" s="1476" t="s">
        <v>1357</v>
      </c>
      <c r="R110"/>
      <c r="S110"/>
      <c r="Z110"/>
      <c r="AA110"/>
      <c r="AB110"/>
      <c r="AC110"/>
    </row>
    <row r="111" spans="2:29" s="321" customFormat="1" x14ac:dyDescent="0.2">
      <c r="B111" s="16">
        <v>10</v>
      </c>
      <c r="C111" s="1" t="s">
        <v>1231</v>
      </c>
      <c r="D111" s="1" t="s">
        <v>1232</v>
      </c>
      <c r="E111" s="16"/>
      <c r="F111" s="23">
        <f>'II-I-DIST'!F111</f>
        <v>0</v>
      </c>
      <c r="G111" s="26" t="str">
        <f>'II-I-DIST'!H111</f>
        <v>PLTTRAN_N</v>
      </c>
      <c r="H111" s="229">
        <f>'II-I-MET'!F111</f>
        <v>0</v>
      </c>
      <c r="I111" s="26" t="str">
        <f>'II-I-MET'!H111</f>
        <v>PLTTRAN_N</v>
      </c>
      <c r="J111" s="229">
        <f>'II-I-TBILLTDCS'!F111</f>
        <v>0</v>
      </c>
      <c r="K111" s="26" t="str">
        <f>'II-I-TBILLTDCS'!H111</f>
        <v>PLTTRAN_N</v>
      </c>
      <c r="L111" s="727">
        <f t="shared" si="5"/>
        <v>0</v>
      </c>
      <c r="M111" s="942" t="s">
        <v>1338</v>
      </c>
      <c r="R111"/>
      <c r="S111"/>
      <c r="Z111"/>
      <c r="AA111"/>
      <c r="AB111"/>
      <c r="AC111"/>
    </row>
    <row r="112" spans="2:29" s="321" customFormat="1" x14ac:dyDescent="0.2">
      <c r="B112" s="16">
        <v>11</v>
      </c>
      <c r="C112" s="1" t="s">
        <v>1233</v>
      </c>
      <c r="D112" s="1" t="s">
        <v>103</v>
      </c>
      <c r="E112" s="16"/>
      <c r="F112" s="23">
        <f>'II-I-DIST'!F112</f>
        <v>0</v>
      </c>
      <c r="G112" s="26" t="str">
        <f>'II-I-DIST'!H112</f>
        <v>PLTTRAN_N</v>
      </c>
      <c r="H112" s="229">
        <f>'II-I-MET'!F112</f>
        <v>0</v>
      </c>
      <c r="I112" s="26" t="str">
        <f>'II-I-MET'!H112</f>
        <v>PLTTRAN_N</v>
      </c>
      <c r="J112" s="229">
        <f>'II-I-TBILLTDCS'!F112</f>
        <v>0</v>
      </c>
      <c r="K112" s="26" t="str">
        <f>'II-I-TBILLTDCS'!H112</f>
        <v>PLTTRAN_N</v>
      </c>
      <c r="L112" s="727">
        <f t="shared" si="5"/>
        <v>0</v>
      </c>
      <c r="M112" s="942" t="s">
        <v>1338</v>
      </c>
      <c r="R112"/>
      <c r="S112"/>
      <c r="Z112"/>
      <c r="AA112"/>
      <c r="AB112"/>
      <c r="AC112"/>
    </row>
    <row r="113" spans="2:29" s="321" customFormat="1" ht="55.5" customHeight="1" x14ac:dyDescent="0.2">
      <c r="B113" s="16">
        <v>12</v>
      </c>
      <c r="C113" s="1" t="s">
        <v>41</v>
      </c>
      <c r="D113" s="1" t="s">
        <v>42</v>
      </c>
      <c r="E113" s="16"/>
      <c r="F113" s="98">
        <f>'II-I-DIST'!F113</f>
        <v>0</v>
      </c>
      <c r="G113" s="26" t="str">
        <f>'II-I-DIST'!H113</f>
        <v>NCP XHV</v>
      </c>
      <c r="H113" s="97">
        <f>'II-I-MET'!F113</f>
        <v>0</v>
      </c>
      <c r="I113" s="26" t="str">
        <f>'II-I-MET'!H113</f>
        <v>NCP XHV</v>
      </c>
      <c r="J113" s="97">
        <f>'II-I-TBILLTDCS'!F113</f>
        <v>0</v>
      </c>
      <c r="K113" s="26" t="str">
        <f>'II-I-TBILLTDCS'!H113</f>
        <v>NCP XHV</v>
      </c>
      <c r="L113" s="802">
        <v>0</v>
      </c>
      <c r="M113" s="833" t="s">
        <v>1340</v>
      </c>
      <c r="R113"/>
      <c r="S113"/>
      <c r="Z113"/>
      <c r="AA113"/>
      <c r="AB113"/>
      <c r="AC113"/>
    </row>
    <row r="114" spans="2:29" s="321" customFormat="1" ht="19.5" customHeight="1" x14ac:dyDescent="0.2">
      <c r="B114" s="16">
        <v>13</v>
      </c>
      <c r="C114" s="1" t="s">
        <v>43</v>
      </c>
      <c r="D114" s="1" t="s">
        <v>44</v>
      </c>
      <c r="E114" s="16"/>
      <c r="F114" s="98">
        <f>'II-I-DIST'!F114</f>
        <v>468976125.50999999</v>
      </c>
      <c r="G114" s="26" t="str">
        <f>'II-I-DIST'!H114</f>
        <v>NCP XHV</v>
      </c>
      <c r="H114" s="97">
        <f>'II-I-MET'!F114</f>
        <v>0</v>
      </c>
      <c r="I114" s="26" t="str">
        <f>'II-I-MET'!H114</f>
        <v>NCP XHV</v>
      </c>
      <c r="J114" s="97">
        <f>'II-I-TBILLTDCS'!F114</f>
        <v>0</v>
      </c>
      <c r="K114" s="26" t="str">
        <f>'II-I-TBILLTDCS'!H114</f>
        <v>NCP XHV</v>
      </c>
      <c r="L114" s="802">
        <f>F114+H114+J114</f>
        <v>468976125.50999999</v>
      </c>
      <c r="M114" s="833"/>
      <c r="R114"/>
      <c r="S114"/>
      <c r="Z114"/>
      <c r="AA114"/>
      <c r="AB114"/>
      <c r="AC114"/>
    </row>
    <row r="115" spans="2:29" s="321" customFormat="1" x14ac:dyDescent="0.2">
      <c r="B115" s="16">
        <v>14</v>
      </c>
      <c r="C115" s="1" t="s">
        <v>45</v>
      </c>
      <c r="D115" s="1" t="s">
        <v>46</v>
      </c>
      <c r="E115" s="16"/>
      <c r="F115" s="98">
        <f>'II-I-DIST'!F115</f>
        <v>0</v>
      </c>
      <c r="G115" s="26" t="str">
        <f>'II-I-DIST'!H115</f>
        <v>NCP XHV</v>
      </c>
      <c r="H115" s="97">
        <f>'II-I-MET'!F115</f>
        <v>0</v>
      </c>
      <c r="I115" s="26" t="str">
        <f>'II-I-MET'!H115</f>
        <v>NCP XHV</v>
      </c>
      <c r="J115" s="97">
        <f>'II-I-TBILLTDCS'!F115</f>
        <v>0</v>
      </c>
      <c r="K115" s="26" t="str">
        <f>'II-I-TBILLTDCS'!H115</f>
        <v>NCP XHV</v>
      </c>
      <c r="L115" s="802">
        <v>0</v>
      </c>
      <c r="M115" s="935"/>
      <c r="R115"/>
      <c r="S115"/>
      <c r="Z115"/>
      <c r="AA115"/>
      <c r="AB115"/>
      <c r="AC115"/>
    </row>
    <row r="116" spans="2:29" s="321" customFormat="1" x14ac:dyDescent="0.2">
      <c r="B116" s="16">
        <v>15</v>
      </c>
      <c r="C116" s="1" t="s">
        <v>47</v>
      </c>
      <c r="D116" s="647" t="s">
        <v>48</v>
      </c>
      <c r="E116" s="16"/>
      <c r="F116" s="98">
        <f>'II-I-DIST'!F116</f>
        <v>0</v>
      </c>
      <c r="G116" s="26" t="str">
        <f>'II-I-DIST'!H116</f>
        <v>NCP XHV</v>
      </c>
      <c r="H116" s="97">
        <f>'II-I-MET'!F116</f>
        <v>0</v>
      </c>
      <c r="I116" s="26" t="str">
        <f>'II-I-MET'!H116</f>
        <v>NCP XHV</v>
      </c>
      <c r="J116" s="97">
        <f>'II-I-TBILLTDCS'!F116</f>
        <v>0</v>
      </c>
      <c r="K116" s="26" t="str">
        <f>'II-I-TBILLTDCS'!H116</f>
        <v>NCP XHV</v>
      </c>
      <c r="L116" s="802">
        <v>0</v>
      </c>
      <c r="M116" s="935"/>
      <c r="R116"/>
      <c r="S116"/>
      <c r="Z116"/>
      <c r="AA116"/>
      <c r="AB116"/>
      <c r="AC116"/>
    </row>
    <row r="117" spans="2:29" s="321" customFormat="1" x14ac:dyDescent="0.2">
      <c r="B117" s="16">
        <v>16</v>
      </c>
      <c r="C117" s="1" t="s">
        <v>49</v>
      </c>
      <c r="D117" s="1" t="s">
        <v>486</v>
      </c>
      <c r="E117" s="16"/>
      <c r="F117" s="98">
        <f>'II-I-DIST'!F117</f>
        <v>0</v>
      </c>
      <c r="G117" s="26" t="str">
        <f>'II-I-DIST'!H117</f>
        <v>NCP XHV</v>
      </c>
      <c r="H117" s="97">
        <f>'II-I-MET'!F117</f>
        <v>0</v>
      </c>
      <c r="I117" s="26" t="str">
        <f>'II-I-MET'!H117</f>
        <v>NCP XHV</v>
      </c>
      <c r="J117" s="97">
        <f>'II-I-TBILLTDCS'!F117</f>
        <v>0</v>
      </c>
      <c r="K117" s="26" t="str">
        <f>'II-I-TBILLTDCS'!H117</f>
        <v>NCP XHV</v>
      </c>
      <c r="L117" s="802">
        <v>0</v>
      </c>
      <c r="M117" s="935"/>
      <c r="R117"/>
      <c r="S117"/>
      <c r="Z117"/>
      <c r="AA117"/>
      <c r="AB117"/>
      <c r="AC117"/>
    </row>
    <row r="118" spans="2:29" s="321" customFormat="1" x14ac:dyDescent="0.2">
      <c r="B118" s="16">
        <v>17</v>
      </c>
      <c r="C118" s="1" t="s">
        <v>51</v>
      </c>
      <c r="D118" s="647" t="s">
        <v>644</v>
      </c>
      <c r="E118" s="16"/>
      <c r="F118" s="98">
        <f>'II-I-DIST'!F118</f>
        <v>0</v>
      </c>
      <c r="G118" s="26" t="str">
        <f>'II-I-DIST'!H118</f>
        <v>NCP XHV</v>
      </c>
      <c r="H118" s="97">
        <f>'II-I-MET'!F118</f>
        <v>0</v>
      </c>
      <c r="I118" s="26" t="str">
        <f>'II-I-MET'!H118</f>
        <v>NCP XHV</v>
      </c>
      <c r="J118" s="97">
        <f>'II-I-TBILLTDCS'!F118</f>
        <v>0</v>
      </c>
      <c r="K118" s="26" t="str">
        <f>'II-I-TBILLTDCS'!H118</f>
        <v>NCP XHV</v>
      </c>
      <c r="L118" s="802">
        <v>0</v>
      </c>
      <c r="M118" s="935"/>
      <c r="R118"/>
      <c r="S118"/>
      <c r="T118"/>
      <c r="U118"/>
      <c r="V118"/>
      <c r="W118"/>
      <c r="Z118"/>
      <c r="AA118"/>
      <c r="AB118"/>
      <c r="AC118"/>
    </row>
    <row r="119" spans="2:29" s="321" customFormat="1" x14ac:dyDescent="0.2">
      <c r="B119" s="16">
        <v>18</v>
      </c>
      <c r="C119" s="1" t="s">
        <v>53</v>
      </c>
      <c r="D119" s="29" t="s">
        <v>487</v>
      </c>
      <c r="E119" s="16"/>
      <c r="F119" s="98">
        <f>'II-I-DIST'!F119</f>
        <v>0</v>
      </c>
      <c r="G119" s="26" t="str">
        <f>'II-I-DIST'!H119</f>
        <v>NCP XHV</v>
      </c>
      <c r="H119" s="97">
        <f>'II-I-MET'!F119</f>
        <v>0</v>
      </c>
      <c r="I119" s="26" t="str">
        <f>'II-I-MET'!H119</f>
        <v>NCP XHV</v>
      </c>
      <c r="J119" s="97">
        <f>'II-I-TBILLTDCS'!F119</f>
        <v>0</v>
      </c>
      <c r="K119" s="26" t="str">
        <f>'II-I-TBILLTDCS'!H119</f>
        <v>NCP XHV</v>
      </c>
      <c r="L119" s="802">
        <v>0</v>
      </c>
      <c r="M119" s="935"/>
      <c r="R119"/>
      <c r="S119"/>
      <c r="T119"/>
      <c r="U119"/>
      <c r="V119"/>
      <c r="W119"/>
      <c r="Z119"/>
      <c r="AA119"/>
      <c r="AB119"/>
      <c r="AC119"/>
    </row>
    <row r="120" spans="2:29" s="321" customFormat="1" x14ac:dyDescent="0.2">
      <c r="B120" s="16">
        <v>19</v>
      </c>
      <c r="C120" s="1" t="s">
        <v>55</v>
      </c>
      <c r="D120" s="1" t="s">
        <v>56</v>
      </c>
      <c r="E120" s="16"/>
      <c r="F120" s="98">
        <f>'II-I-DIST'!F120</f>
        <v>0</v>
      </c>
      <c r="G120" s="26" t="str">
        <f>'II-I-DIST'!H120</f>
        <v>NCP XHV</v>
      </c>
      <c r="H120" s="97">
        <f>'II-I-MET'!F120</f>
        <v>0</v>
      </c>
      <c r="I120" s="26" t="str">
        <f>'II-I-MET'!H120</f>
        <v>NCP XHV</v>
      </c>
      <c r="J120" s="97">
        <f>'II-I-TBILLTDCS'!F120</f>
        <v>0</v>
      </c>
      <c r="K120" s="26" t="str">
        <f>'II-I-TBILLTDCS'!H120</f>
        <v>NCP XHV</v>
      </c>
      <c r="L120" s="802">
        <v>0</v>
      </c>
      <c r="M120" s="935"/>
      <c r="R120"/>
      <c r="S120"/>
      <c r="T120"/>
      <c r="U120"/>
      <c r="V120"/>
      <c r="W120"/>
      <c r="Z120"/>
      <c r="AA120"/>
      <c r="AB120"/>
      <c r="AC120"/>
    </row>
    <row r="121" spans="2:29" ht="15" x14ac:dyDescent="0.25">
      <c r="B121" s="16">
        <v>20</v>
      </c>
      <c r="C121" s="8"/>
      <c r="D121" s="233" t="s">
        <v>444</v>
      </c>
      <c r="E121" s="831"/>
      <c r="F121" s="805">
        <f>'II-I-DIST'!F121</f>
        <v>468976125.50999999</v>
      </c>
      <c r="G121" s="1308"/>
      <c r="H121" s="805"/>
      <c r="I121" s="1308"/>
      <c r="J121" s="805"/>
      <c r="K121" s="1308"/>
      <c r="L121" s="805">
        <f>F121+H121+J121</f>
        <v>468976125.50999999</v>
      </c>
      <c r="O121" t="b">
        <f>'II-I-DIST'!$F$120=F120</f>
        <v>1</v>
      </c>
      <c r="P121" t="b">
        <f>'II-I-MET'!$F$120=H120</f>
        <v>1</v>
      </c>
      <c r="Q121" t="b">
        <f>'II-I-TBILLTDCS'!$F$120=J120</f>
        <v>1</v>
      </c>
    </row>
    <row r="122" spans="2:29" ht="15" x14ac:dyDescent="0.25">
      <c r="B122" s="783"/>
      <c r="C122" s="783"/>
      <c r="D122" s="783"/>
      <c r="E122" s="783"/>
      <c r="F122" s="18"/>
      <c r="G122" s="105"/>
      <c r="H122" s="18"/>
      <c r="I122" s="105"/>
      <c r="J122" s="18"/>
      <c r="K122" s="105"/>
      <c r="L122" s="783"/>
    </row>
    <row r="123" spans="2:29" ht="15.75" thickBot="1" x14ac:dyDescent="0.3">
      <c r="B123" s="783"/>
      <c r="C123" s="783"/>
      <c r="D123" s="783"/>
      <c r="E123" s="783"/>
      <c r="F123" s="18"/>
      <c r="G123" s="16"/>
      <c r="H123" s="18"/>
      <c r="I123" s="16"/>
      <c r="J123" s="18"/>
      <c r="K123" s="16"/>
      <c r="L123" s="783"/>
    </row>
    <row r="124" spans="2:29" ht="15" x14ac:dyDescent="0.25">
      <c r="B124" s="856" t="str">
        <f>$B$4</f>
        <v>2025 RATE CASE</v>
      </c>
      <c r="C124" s="835"/>
      <c r="D124" s="836"/>
      <c r="E124" s="783"/>
      <c r="F124" s="64"/>
      <c r="H124" s="64"/>
      <c r="J124" s="64"/>
      <c r="K124"/>
      <c r="L124" s="783"/>
    </row>
    <row r="125" spans="2:29" ht="15" x14ac:dyDescent="0.25">
      <c r="B125" s="857" t="str">
        <f>$B$5</f>
        <v>ONCOR ELECTRIC DELIVERY COMPANY LLC</v>
      </c>
      <c r="C125" s="304"/>
      <c r="D125" s="837"/>
      <c r="E125" s="783"/>
      <c r="F125" s="64"/>
      <c r="H125" s="64"/>
      <c r="J125" s="64"/>
      <c r="K125"/>
      <c r="L125" s="783"/>
    </row>
    <row r="126" spans="2:29" ht="15" x14ac:dyDescent="0.25">
      <c r="B126" s="857" t="str">
        <f>$B$6</f>
        <v>II-I-2.1f:  CONSOLIDATED FUNCTIONALIZED COST OF SERVICE</v>
      </c>
      <c r="C126" s="304"/>
      <c r="D126" s="837"/>
      <c r="E126" s="783"/>
      <c r="F126" s="11"/>
      <c r="H126" s="11"/>
      <c r="J126" s="11"/>
      <c r="K126"/>
      <c r="L126" s="783"/>
    </row>
    <row r="127" spans="2:29" ht="15" x14ac:dyDescent="0.25">
      <c r="B127" s="826" t="str">
        <f>$B$7</f>
        <v>TEST YEAR ENDING 12/31/2024</v>
      </c>
      <c r="C127" s="339"/>
      <c r="D127" s="340"/>
      <c r="F127" s="11"/>
      <c r="H127" s="11"/>
      <c r="J127" s="11"/>
      <c r="K127"/>
    </row>
    <row r="128" spans="2:29" ht="15.75" customHeight="1" x14ac:dyDescent="0.25">
      <c r="B128" s="857" t="str">
        <f>$B$8</f>
        <v>SPONSOR:  MATTHEW A. TROXLE</v>
      </c>
      <c r="C128" s="304"/>
      <c r="D128" s="837"/>
      <c r="E128" s="304"/>
      <c r="F128" s="11"/>
      <c r="H128" s="11"/>
      <c r="J128" s="11"/>
      <c r="K128"/>
      <c r="L128" s="304"/>
    </row>
    <row r="129" spans="2:29" ht="15" thickBot="1" x14ac:dyDescent="0.25">
      <c r="B129" s="858"/>
      <c r="C129" s="849"/>
      <c r="D129" s="850"/>
      <c r="F129" s="11"/>
      <c r="H129" s="11"/>
      <c r="J129" s="11"/>
      <c r="K129"/>
    </row>
    <row r="130" spans="2:29" x14ac:dyDescent="0.2">
      <c r="B130" s="12"/>
      <c r="C130" s="13"/>
      <c r="D130" s="177"/>
      <c r="E130" s="13"/>
      <c r="F130" s="12"/>
      <c r="G130" s="13"/>
      <c r="H130" s="12"/>
      <c r="I130" s="13"/>
      <c r="J130" s="12"/>
      <c r="K130" s="13"/>
      <c r="L130" s="855"/>
      <c r="M130" s="938"/>
    </row>
    <row r="131" spans="2:29" ht="15" x14ac:dyDescent="0.25">
      <c r="B131" s="14" t="s">
        <v>2</v>
      </c>
      <c r="C131" s="14" t="s">
        <v>349</v>
      </c>
      <c r="D131" s="180" t="s">
        <v>518</v>
      </c>
      <c r="E131" s="14" t="s">
        <v>350</v>
      </c>
      <c r="F131" s="226" t="str">
        <f>'II-I-DIST'!F131</f>
        <v>DIST</v>
      </c>
      <c r="G131" s="181" t="str">
        <f>'II-I-DIST'!H131</f>
        <v>Allocation</v>
      </c>
      <c r="H131" s="226" t="str">
        <f>'II-I-MET'!F131</f>
        <v>MET</v>
      </c>
      <c r="I131" s="181" t="str">
        <f>'II-I-MET'!H131</f>
        <v>Allocation</v>
      </c>
      <c r="J131" s="226" t="str">
        <f>'II-I-TBILLTDCS'!F131</f>
        <v>TBILLTDCS</v>
      </c>
      <c r="K131" s="181" t="str">
        <f>'II-I-TBILLTDCS'!H131</f>
        <v>Allocation</v>
      </c>
      <c r="L131" s="660" t="s">
        <v>434</v>
      </c>
      <c r="M131" s="932" t="s">
        <v>970</v>
      </c>
    </row>
    <row r="132" spans="2:29" x14ac:dyDescent="0.2">
      <c r="B132" s="14"/>
      <c r="C132" s="14"/>
      <c r="D132" s="181"/>
      <c r="E132" s="14"/>
      <c r="F132" s="14"/>
      <c r="G132" s="181" t="str">
        <f>'II-I-DIST'!H132</f>
        <v>Factor</v>
      </c>
      <c r="H132" s="14"/>
      <c r="I132" s="181" t="str">
        <f>'II-I-MET'!H132</f>
        <v>Factor</v>
      </c>
      <c r="J132" s="14"/>
      <c r="K132" s="181" t="str">
        <f>'II-I-TBILLTDCS'!H132</f>
        <v>Factor</v>
      </c>
      <c r="L132" s="660" t="s">
        <v>31</v>
      </c>
      <c r="M132" s="939"/>
    </row>
    <row r="133" spans="2:29" ht="15.75" thickBot="1" x14ac:dyDescent="0.25">
      <c r="B133" s="182"/>
      <c r="C133" s="860"/>
      <c r="D133" s="184"/>
      <c r="E133" s="184"/>
      <c r="F133" s="15" t="str">
        <f>'II-I-DIST'!F133</f>
        <v>(a)</v>
      </c>
      <c r="G133" s="15" t="str">
        <f>'II-I-DIST'!H133</f>
        <v>(c)</v>
      </c>
      <c r="H133" s="664"/>
      <c r="I133" s="15" t="str">
        <f>'II-I-MET'!H133</f>
        <v>(c)</v>
      </c>
      <c r="J133" s="664" t="str">
        <f>'II-I-TBILLTDCS'!F133</f>
        <v>(a)</v>
      </c>
      <c r="K133" s="15" t="str">
        <f>'II-I-TBILLTDCS'!H133</f>
        <v>(c)</v>
      </c>
      <c r="L133" s="664" t="s">
        <v>19</v>
      </c>
      <c r="M133" s="934" t="s">
        <v>20</v>
      </c>
      <c r="T133" s="321"/>
      <c r="U133" s="321"/>
      <c r="V133" s="321"/>
      <c r="W133" s="321"/>
    </row>
    <row r="134" spans="2:29" x14ac:dyDescent="0.2">
      <c r="B134" s="64"/>
      <c r="C134" s="64"/>
      <c r="D134" s="96"/>
      <c r="E134" s="96"/>
      <c r="F134" s="227"/>
      <c r="G134" s="96"/>
      <c r="H134" s="227"/>
      <c r="I134" s="96"/>
      <c r="J134" s="227"/>
      <c r="K134" s="96"/>
      <c r="L134" s="852"/>
      <c r="T134" s="321"/>
      <c r="U134" s="321"/>
      <c r="V134" s="321"/>
      <c r="W134" s="321"/>
    </row>
    <row r="135" spans="2:29" ht="15" x14ac:dyDescent="0.25">
      <c r="B135" s="16">
        <v>1</v>
      </c>
      <c r="C135" s="8" t="s">
        <v>518</v>
      </c>
      <c r="D135" s="8"/>
      <c r="E135" s="831" t="s">
        <v>24</v>
      </c>
      <c r="F135" s="805"/>
      <c r="G135" s="1308"/>
      <c r="H135" s="805"/>
      <c r="I135" s="1308"/>
      <c r="J135" s="805"/>
      <c r="K135" s="1308"/>
      <c r="L135" s="805"/>
      <c r="T135" s="321"/>
      <c r="U135" s="321"/>
      <c r="V135" s="321"/>
      <c r="W135" s="321"/>
    </row>
    <row r="136" spans="2:29" s="321" customFormat="1" ht="33" customHeight="1" x14ac:dyDescent="0.2">
      <c r="B136" s="16">
        <f t="shared" ref="B136:B168" si="6">B135+1</f>
        <v>2</v>
      </c>
      <c r="C136" s="1" t="s">
        <v>59</v>
      </c>
      <c r="D136" s="1" t="s">
        <v>40</v>
      </c>
      <c r="E136" s="16"/>
      <c r="F136" s="97">
        <f>'II-I-DIST'!F136</f>
        <v>26320548.329999998</v>
      </c>
      <c r="G136" s="26" t="str">
        <f>'II-I-DIST'!H136</f>
        <v>PLT 362-373</v>
      </c>
      <c r="H136" s="97">
        <f>'II-I-MET'!F136</f>
        <v>0</v>
      </c>
      <c r="I136" s="26" t="str">
        <f>'II-I-MET'!H136</f>
        <v>PLT 362-373</v>
      </c>
      <c r="J136" s="97">
        <f>'II-I-TBILLTDCS'!F136</f>
        <v>0</v>
      </c>
      <c r="K136" s="26" t="str">
        <f>'II-I-TBILLTDCS'!H136</f>
        <v>PLT 362-373</v>
      </c>
      <c r="L136" s="802">
        <f t="shared" ref="L136:L199" si="7">F136+H136+J136</f>
        <v>26320548.329999998</v>
      </c>
      <c r="M136" s="935" t="s">
        <v>974</v>
      </c>
      <c r="N136" s="1" t="b">
        <f>'II-I-DIST'!$C$136=C136</f>
        <v>1</v>
      </c>
      <c r="O136" s="1"/>
      <c r="P136" s="1"/>
      <c r="R136"/>
      <c r="S136"/>
      <c r="Z136"/>
      <c r="AA136"/>
      <c r="AB136"/>
      <c r="AC136"/>
    </row>
    <row r="137" spans="2:29" s="321" customFormat="1" ht="33" customHeight="1" x14ac:dyDescent="0.2">
      <c r="B137" s="16">
        <f t="shared" si="6"/>
        <v>3</v>
      </c>
      <c r="C137" s="1" t="s">
        <v>60</v>
      </c>
      <c r="D137" s="29" t="s">
        <v>42</v>
      </c>
      <c r="E137" s="16"/>
      <c r="F137" s="97">
        <f>'II-I-DIST'!F137</f>
        <v>262616639.71000001</v>
      </c>
      <c r="G137" s="26" t="str">
        <f>'II-I-DIST'!H137</f>
        <v>PLT 362-373</v>
      </c>
      <c r="H137" s="97">
        <f>'II-I-MET'!F137</f>
        <v>0</v>
      </c>
      <c r="I137" s="26" t="str">
        <f>'II-I-MET'!H137</f>
        <v>PLT 362-373</v>
      </c>
      <c r="J137" s="97">
        <f>'II-I-TBILLTDCS'!F137</f>
        <v>0</v>
      </c>
      <c r="K137" s="26" t="str">
        <f>'II-I-TBILLTDCS'!H137</f>
        <v>PLT 362-373</v>
      </c>
      <c r="L137" s="802">
        <f t="shared" si="7"/>
        <v>262616639.71000001</v>
      </c>
      <c r="M137" s="935" t="s">
        <v>974</v>
      </c>
      <c r="N137" s="1" t="b">
        <f>'II-I-DIST'!$D$137=D137</f>
        <v>1</v>
      </c>
      <c r="O137" s="1"/>
      <c r="P137" s="1"/>
      <c r="R137"/>
      <c r="S137"/>
      <c r="Z137"/>
      <c r="AA137"/>
      <c r="AB137"/>
      <c r="AC137"/>
    </row>
    <row r="138" spans="2:29" s="321" customFormat="1" ht="48.75" customHeight="1" x14ac:dyDescent="0.2">
      <c r="B138" s="16">
        <f t="shared" si="6"/>
        <v>4</v>
      </c>
      <c r="C138" s="1" t="s">
        <v>61</v>
      </c>
      <c r="D138" s="1" t="s">
        <v>44</v>
      </c>
      <c r="E138" s="16"/>
      <c r="F138" s="229">
        <f>'II-I-DIST'!F138</f>
        <v>2475128207.190002</v>
      </c>
      <c r="G138" s="26" t="str">
        <f>'II-I-DIST'!H138</f>
        <v>NCP XHV</v>
      </c>
      <c r="H138" s="97">
        <f>'II-I-MET'!F138</f>
        <v>0</v>
      </c>
      <c r="I138" s="26" t="str">
        <f>'II-I-MET'!H138</f>
        <v>NCP XHV</v>
      </c>
      <c r="J138" s="97">
        <f>'II-I-TBILLTDCS'!F138</f>
        <v>0</v>
      </c>
      <c r="K138" s="26" t="str">
        <f>'II-I-TBILLTDCS'!H138</f>
        <v>NCP XHV</v>
      </c>
      <c r="L138" s="802">
        <f t="shared" si="7"/>
        <v>2475128207.190002</v>
      </c>
      <c r="M138" s="935" t="s">
        <v>975</v>
      </c>
      <c r="R138"/>
      <c r="S138"/>
      <c r="Z138"/>
      <c r="AA138"/>
      <c r="AB138"/>
      <c r="AC138"/>
    </row>
    <row r="139" spans="2:29" s="321" customFormat="1" ht="42.75" customHeight="1" x14ac:dyDescent="0.2">
      <c r="B139" s="321">
        <v>5</v>
      </c>
      <c r="C139" s="321" t="s">
        <v>1234</v>
      </c>
      <c r="D139" s="321" t="s">
        <v>1230</v>
      </c>
      <c r="F139" s="229">
        <f>'II-I-DIST'!F139</f>
        <v>0</v>
      </c>
      <c r="G139" s="26" t="str">
        <f>'II-I-DIST'!H139</f>
        <v>PLTDIST_N</v>
      </c>
      <c r="H139" s="229">
        <f>'II-I-MET'!F139</f>
        <v>0</v>
      </c>
      <c r="I139" s="650" t="str">
        <f>'II-I-MET'!H139</f>
        <v>PLTDIST_N</v>
      </c>
      <c r="J139" s="229">
        <f>'II-I-TBILLTDCS'!F139</f>
        <v>0</v>
      </c>
      <c r="K139" s="26" t="str">
        <f>'II-I-TBILLTDCS'!H139</f>
        <v>PLTDIST_N</v>
      </c>
      <c r="L139" s="802">
        <f t="shared" si="7"/>
        <v>0</v>
      </c>
      <c r="M139" s="1476" t="s">
        <v>1344</v>
      </c>
      <c r="R139"/>
      <c r="S139"/>
      <c r="Z139"/>
      <c r="AA139"/>
      <c r="AB139"/>
      <c r="AC139"/>
    </row>
    <row r="140" spans="2:29" s="321" customFormat="1" x14ac:dyDescent="0.2">
      <c r="B140" s="321">
        <v>6</v>
      </c>
      <c r="C140" s="321" t="s">
        <v>1235</v>
      </c>
      <c r="D140" s="321" t="s">
        <v>1232</v>
      </c>
      <c r="F140" s="229">
        <f>'II-I-DIST'!F140</f>
        <v>327580421.52000022</v>
      </c>
      <c r="G140" s="26" t="str">
        <f>'II-I-DIST'!H140</f>
        <v>PLTDIST_N</v>
      </c>
      <c r="H140" s="229">
        <f>'II-I-MET'!F140</f>
        <v>121073893.45000005</v>
      </c>
      <c r="I140" s="650" t="str">
        <f>'II-I-MET'!H140</f>
        <v>PLTDIST_N</v>
      </c>
      <c r="J140" s="229">
        <f>'II-I-TBILLTDCS'!F140</f>
        <v>334873235.67999995</v>
      </c>
      <c r="K140" s="26" t="str">
        <f>'II-I-TBILLTDCS'!H140</f>
        <v>PLTDIST_N</v>
      </c>
      <c r="L140" s="802">
        <f t="shared" si="7"/>
        <v>783527550.65000021</v>
      </c>
      <c r="M140" s="1476" t="s">
        <v>1338</v>
      </c>
      <c r="R140"/>
      <c r="S140"/>
      <c r="Z140"/>
      <c r="AA140"/>
      <c r="AB140"/>
      <c r="AC140"/>
    </row>
    <row r="141" spans="2:29" s="321" customFormat="1" ht="19.5" customHeight="1" x14ac:dyDescent="0.2">
      <c r="B141" s="321">
        <v>7</v>
      </c>
      <c r="C141" s="321" t="s">
        <v>1236</v>
      </c>
      <c r="D141" s="620" t="s">
        <v>103</v>
      </c>
      <c r="F141" s="229">
        <f>'II-I-DIST'!F141</f>
        <v>0</v>
      </c>
      <c r="G141" s="26" t="str">
        <f>'II-I-DIST'!H141</f>
        <v>PLTDIST_N</v>
      </c>
      <c r="H141" s="229">
        <f>'II-I-MET'!F141</f>
        <v>38191350.260000005</v>
      </c>
      <c r="I141" s="650" t="str">
        <f>'II-I-MET'!H141</f>
        <v>PLTDIST_N</v>
      </c>
      <c r="J141" s="229">
        <f>'II-I-TBILLTDCS'!F141</f>
        <v>0</v>
      </c>
      <c r="K141" s="26" t="str">
        <f>'II-I-TBILLTDCS'!H141</f>
        <v>PLTDIST_N</v>
      </c>
      <c r="L141" s="802">
        <f t="shared" si="7"/>
        <v>38191350.260000005</v>
      </c>
      <c r="M141" s="1476" t="s">
        <v>1338</v>
      </c>
      <c r="R141"/>
      <c r="S141"/>
      <c r="Z141"/>
      <c r="AA141"/>
      <c r="AB141"/>
      <c r="AC141"/>
    </row>
    <row r="142" spans="2:29" s="321" customFormat="1" ht="32.25" customHeight="1" x14ac:dyDescent="0.2">
      <c r="B142" s="16">
        <f t="shared" si="6"/>
        <v>8</v>
      </c>
      <c r="C142" s="1" t="s">
        <v>359</v>
      </c>
      <c r="D142" s="29" t="s">
        <v>489</v>
      </c>
      <c r="E142" s="16"/>
      <c r="F142" s="229">
        <f>'II-I-DIST'!F142</f>
        <v>2972866230.1907825</v>
      </c>
      <c r="G142" s="650" t="str">
        <f>'II-I-DIST'!H142</f>
        <v>NCP XSS</v>
      </c>
      <c r="H142" s="229">
        <f>'II-I-MET'!F142</f>
        <v>0</v>
      </c>
      <c r="I142" s="26" t="str">
        <f>'II-I-MET'!H142</f>
        <v>NCP XSS</v>
      </c>
      <c r="J142" s="229">
        <f>'II-I-TBILLTDCS'!F142</f>
        <v>0</v>
      </c>
      <c r="K142" s="26" t="str">
        <f>'II-I-TBILLTDCS'!H142</f>
        <v>NCP XSS</v>
      </c>
      <c r="L142" s="802">
        <f t="shared" si="7"/>
        <v>2972866230.1907825</v>
      </c>
      <c r="M142" s="935" t="s">
        <v>976</v>
      </c>
      <c r="R142"/>
      <c r="S142"/>
      <c r="Z142"/>
      <c r="AA142"/>
      <c r="AB142"/>
      <c r="AC142"/>
    </row>
    <row r="143" spans="2:29" s="321" customFormat="1" ht="33.75" customHeight="1" x14ac:dyDescent="0.2">
      <c r="B143" s="16">
        <f t="shared" si="6"/>
        <v>9</v>
      </c>
      <c r="C143" s="1" t="s">
        <v>361</v>
      </c>
      <c r="D143" s="29" t="s">
        <v>490</v>
      </c>
      <c r="E143" s="16"/>
      <c r="F143" s="97">
        <f>'II-I-DIST'!F143</f>
        <v>550545026.16921711</v>
      </c>
      <c r="G143" s="650" t="str">
        <f>'II-I-DIST'!H143</f>
        <v>NCP SEC</v>
      </c>
      <c r="H143" s="97">
        <f>'II-I-MET'!F143</f>
        <v>0</v>
      </c>
      <c r="I143" s="26" t="str">
        <f>'II-I-MET'!H143</f>
        <v>NCP SEC</v>
      </c>
      <c r="J143" s="97">
        <f>'II-I-TBILLTDCS'!F143</f>
        <v>0</v>
      </c>
      <c r="K143" s="26" t="str">
        <f>'II-I-TBILLTDCS'!H143</f>
        <v>NCP SEC</v>
      </c>
      <c r="L143" s="802">
        <f t="shared" si="7"/>
        <v>550545026.16921711</v>
      </c>
      <c r="M143" s="935" t="s">
        <v>976</v>
      </c>
      <c r="R143"/>
      <c r="S143"/>
      <c r="Z143"/>
      <c r="AA143"/>
      <c r="AB143"/>
      <c r="AC143"/>
    </row>
    <row r="144" spans="2:29" s="321" customFormat="1" ht="42.75" x14ac:dyDescent="0.2">
      <c r="B144" s="16">
        <f t="shared" si="6"/>
        <v>10</v>
      </c>
      <c r="C144" s="1" t="s">
        <v>364</v>
      </c>
      <c r="D144" s="1" t="s">
        <v>491</v>
      </c>
      <c r="E144" s="16"/>
      <c r="F144" s="97">
        <f>'II-I-DIST'!F144</f>
        <v>1905927086.1466675</v>
      </c>
      <c r="G144" s="26" t="str">
        <f>'II-I-DIST'!H144</f>
        <v>NCP XSS</v>
      </c>
      <c r="H144" s="97">
        <f>'II-I-MET'!F144</f>
        <v>0</v>
      </c>
      <c r="I144" s="26" t="str">
        <f>'II-I-MET'!H144</f>
        <v>NCP XSS</v>
      </c>
      <c r="J144" s="97">
        <f>'II-I-TBILLTDCS'!F144</f>
        <v>0</v>
      </c>
      <c r="K144" s="26" t="str">
        <f>'II-I-TBILLTDCS'!H144</f>
        <v>NCP XSS</v>
      </c>
      <c r="L144" s="802">
        <f t="shared" si="7"/>
        <v>1905927086.1466675</v>
      </c>
      <c r="M144" s="935" t="s">
        <v>976</v>
      </c>
      <c r="R144"/>
      <c r="S144"/>
      <c r="Z144"/>
      <c r="AA144"/>
      <c r="AB144"/>
      <c r="AC144"/>
    </row>
    <row r="145" spans="2:29" s="321" customFormat="1" ht="42.75" x14ac:dyDescent="0.2">
      <c r="B145" s="16">
        <f t="shared" si="6"/>
        <v>11</v>
      </c>
      <c r="C145" s="1" t="s">
        <v>366</v>
      </c>
      <c r="D145" s="1" t="s">
        <v>492</v>
      </c>
      <c r="E145" s="16"/>
      <c r="F145" s="97">
        <f>'II-I-DIST'!F145</f>
        <v>276691306.83333248</v>
      </c>
      <c r="G145" s="26" t="str">
        <f>'II-I-DIST'!H145</f>
        <v>NCP SEC</v>
      </c>
      <c r="H145" s="97">
        <f>'II-I-MET'!F145</f>
        <v>0</v>
      </c>
      <c r="I145" s="26" t="str">
        <f>'II-I-MET'!H145</f>
        <v>NCP SEC</v>
      </c>
      <c r="J145" s="97">
        <f>'II-I-TBILLTDCS'!F145</f>
        <v>0</v>
      </c>
      <c r="K145" s="26" t="str">
        <f>'II-I-TBILLTDCS'!H145</f>
        <v>NCP SEC</v>
      </c>
      <c r="L145" s="802">
        <f t="shared" si="7"/>
        <v>276691306.83333248</v>
      </c>
      <c r="M145" s="935" t="s">
        <v>976</v>
      </c>
      <c r="R145"/>
      <c r="S145"/>
      <c r="Z145"/>
      <c r="AA145"/>
      <c r="AB145"/>
      <c r="AC145"/>
    </row>
    <row r="146" spans="2:29" s="321" customFormat="1" ht="42.75" x14ac:dyDescent="0.2">
      <c r="B146" s="16">
        <f t="shared" si="6"/>
        <v>12</v>
      </c>
      <c r="C146" s="1" t="s">
        <v>369</v>
      </c>
      <c r="D146" s="1" t="s">
        <v>370</v>
      </c>
      <c r="E146" s="16"/>
      <c r="F146" s="97">
        <f>'II-I-DIST'!F146</f>
        <v>1079935972.4845948</v>
      </c>
      <c r="G146" s="26" t="str">
        <f>'II-I-DIST'!H146</f>
        <v>NCP XSS</v>
      </c>
      <c r="H146" s="97">
        <f>'II-I-MET'!F146</f>
        <v>0</v>
      </c>
      <c r="I146" s="26" t="str">
        <f>'II-I-MET'!H146</f>
        <v>NCP XSS</v>
      </c>
      <c r="J146" s="97">
        <f>'II-I-TBILLTDCS'!F146</f>
        <v>0</v>
      </c>
      <c r="K146" s="26" t="str">
        <f>'II-I-TBILLTDCS'!H146</f>
        <v>NCP XSS</v>
      </c>
      <c r="L146" s="802">
        <f t="shared" si="7"/>
        <v>1079935972.4845948</v>
      </c>
      <c r="M146" s="935" t="s">
        <v>976</v>
      </c>
      <c r="R146"/>
      <c r="S146"/>
      <c r="Z146"/>
      <c r="AA146"/>
      <c r="AB146"/>
      <c r="AC146"/>
    </row>
    <row r="147" spans="2:29" s="321" customFormat="1" ht="42.75" x14ac:dyDescent="0.2">
      <c r="B147" s="16">
        <f t="shared" si="6"/>
        <v>13</v>
      </c>
      <c r="C147" s="1" t="s">
        <v>371</v>
      </c>
      <c r="D147" s="1" t="s">
        <v>372</v>
      </c>
      <c r="E147" s="16"/>
      <c r="F147" s="97">
        <f>'II-I-DIST'!F147</f>
        <v>557386865.60540497</v>
      </c>
      <c r="G147" s="26" t="str">
        <f>'II-I-DIST'!H147</f>
        <v>NCP SEC</v>
      </c>
      <c r="H147" s="97">
        <f>'II-I-MET'!F147</f>
        <v>0</v>
      </c>
      <c r="I147" s="26" t="str">
        <f>'II-I-MET'!H147</f>
        <v>NCP SEC</v>
      </c>
      <c r="J147" s="97">
        <f>'II-I-TBILLTDCS'!F147</f>
        <v>0</v>
      </c>
      <c r="K147" s="26" t="str">
        <f>'II-I-TBILLTDCS'!H147</f>
        <v>NCP SEC</v>
      </c>
      <c r="L147" s="802">
        <f t="shared" si="7"/>
        <v>557386865.60540497</v>
      </c>
      <c r="M147" s="935" t="s">
        <v>976</v>
      </c>
      <c r="R147"/>
      <c r="S147"/>
      <c r="Z147"/>
      <c r="AA147"/>
      <c r="AB147"/>
      <c r="AC147"/>
    </row>
    <row r="148" spans="2:29" s="321" customFormat="1" ht="42.75" x14ac:dyDescent="0.2">
      <c r="B148" s="16">
        <f t="shared" si="6"/>
        <v>14</v>
      </c>
      <c r="C148" s="1" t="s">
        <v>374</v>
      </c>
      <c r="D148" s="29" t="s">
        <v>493</v>
      </c>
      <c r="E148" s="28"/>
      <c r="F148" s="97">
        <f>'II-I-DIST'!F148</f>
        <v>2535747234.0759034</v>
      </c>
      <c r="G148" s="26" t="str">
        <f>'II-I-DIST'!H148</f>
        <v>NCP XSS</v>
      </c>
      <c r="H148" s="97">
        <f>'II-I-MET'!F148</f>
        <v>0</v>
      </c>
      <c r="I148" s="26" t="str">
        <f>'II-I-MET'!H148</f>
        <v>NCP XSS</v>
      </c>
      <c r="J148" s="97">
        <f>'II-I-TBILLTDCS'!F148</f>
        <v>0</v>
      </c>
      <c r="K148" s="26" t="str">
        <f>'II-I-TBILLTDCS'!H148</f>
        <v>NCP XSS</v>
      </c>
      <c r="L148" s="802">
        <f t="shared" si="7"/>
        <v>2535747234.0759034</v>
      </c>
      <c r="M148" s="935" t="s">
        <v>976</v>
      </c>
      <c r="R148"/>
      <c r="S148"/>
      <c r="Z148"/>
      <c r="AA148"/>
      <c r="AB148"/>
      <c r="AC148"/>
    </row>
    <row r="149" spans="2:29" s="321" customFormat="1" ht="42.75" x14ac:dyDescent="0.2">
      <c r="B149" s="16">
        <f t="shared" si="6"/>
        <v>15</v>
      </c>
      <c r="C149" s="1" t="s">
        <v>376</v>
      </c>
      <c r="D149" s="29" t="s">
        <v>494</v>
      </c>
      <c r="E149" s="28"/>
      <c r="F149" s="97">
        <f>'II-I-DIST'!F149</f>
        <v>641176084.73409665</v>
      </c>
      <c r="G149" s="26" t="str">
        <f>'II-I-DIST'!H149</f>
        <v>NCP SEC</v>
      </c>
      <c r="H149" s="97">
        <f>'II-I-MET'!F149</f>
        <v>0</v>
      </c>
      <c r="I149" s="26" t="str">
        <f>'II-I-MET'!H149</f>
        <v>NCP SEC</v>
      </c>
      <c r="J149" s="97">
        <f>'II-I-TBILLTDCS'!F149</f>
        <v>0</v>
      </c>
      <c r="K149" s="26" t="str">
        <f>'II-I-TBILLTDCS'!H149</f>
        <v>NCP SEC</v>
      </c>
      <c r="L149" s="802">
        <f t="shared" si="7"/>
        <v>641176084.73409665</v>
      </c>
      <c r="M149" s="935" t="s">
        <v>976</v>
      </c>
      <c r="R149"/>
      <c r="S149"/>
      <c r="Z149"/>
      <c r="AA149"/>
      <c r="AB149"/>
      <c r="AC149"/>
    </row>
    <row r="150" spans="2:29" s="321" customFormat="1" ht="42.75" x14ac:dyDescent="0.2">
      <c r="B150" s="16">
        <f t="shared" si="6"/>
        <v>16</v>
      </c>
      <c r="C150" s="1" t="s">
        <v>379</v>
      </c>
      <c r="D150" s="1" t="str">
        <f>'WP II-I-1.2'!D39</f>
        <v>Regulators, Protectors, Primary Transformers</v>
      </c>
      <c r="E150" s="16"/>
      <c r="F150" s="97">
        <f>'II-I-DIST'!F150</f>
        <v>218577637.44999996</v>
      </c>
      <c r="G150" s="26" t="str">
        <f>'II-I-DIST'!H150</f>
        <v>NCP XSS</v>
      </c>
      <c r="H150" s="97">
        <f>'II-I-MET'!F150</f>
        <v>0</v>
      </c>
      <c r="I150" s="26" t="str">
        <f>'II-I-MET'!H150</f>
        <v>NCP XSS</v>
      </c>
      <c r="J150" s="97">
        <f>'II-I-TBILLTDCS'!F150</f>
        <v>0</v>
      </c>
      <c r="K150" s="26" t="str">
        <f>'II-I-TBILLTDCS'!H150</f>
        <v>NCP XSS</v>
      </c>
      <c r="L150" s="802">
        <f t="shared" si="7"/>
        <v>218577637.44999996</v>
      </c>
      <c r="M150" s="935" t="s">
        <v>977</v>
      </c>
      <c r="R150"/>
      <c r="S150"/>
      <c r="Z150"/>
      <c r="AA150"/>
      <c r="AB150"/>
      <c r="AC150"/>
    </row>
    <row r="151" spans="2:29" s="321" customFormat="1" ht="42.75" x14ac:dyDescent="0.2">
      <c r="B151" s="16">
        <f t="shared" si="6"/>
        <v>17</v>
      </c>
      <c r="C151" s="1" t="s">
        <v>381</v>
      </c>
      <c r="D151" s="1" t="str">
        <f>'WP II-I-1.2'!D40</f>
        <v>Secondary Transformers</v>
      </c>
      <c r="E151" s="16"/>
      <c r="F151" s="97">
        <f>'II-I-DIST'!F151</f>
        <v>2781139440.8000002</v>
      </c>
      <c r="G151" s="26" t="str">
        <f>'II-I-DIST'!H151</f>
        <v>NCP SEC</v>
      </c>
      <c r="H151" s="97">
        <f>'II-I-MET'!F151</f>
        <v>0</v>
      </c>
      <c r="I151" s="26" t="str">
        <f>'II-I-MET'!H151</f>
        <v>NCP SEC</v>
      </c>
      <c r="J151" s="97">
        <f>'II-I-TBILLTDCS'!F151</f>
        <v>0</v>
      </c>
      <c r="K151" s="26" t="str">
        <f>'II-I-TBILLTDCS'!H151</f>
        <v>NCP SEC</v>
      </c>
      <c r="L151" s="802">
        <f t="shared" si="7"/>
        <v>2781139440.8000002</v>
      </c>
      <c r="M151" s="935" t="s">
        <v>976</v>
      </c>
      <c r="R151"/>
      <c r="S151"/>
      <c r="Z151"/>
      <c r="AA151"/>
      <c r="AB151"/>
      <c r="AC151"/>
    </row>
    <row r="152" spans="2:29" s="321" customFormat="1" ht="42.75" x14ac:dyDescent="0.2">
      <c r="B152" s="16">
        <f t="shared" si="6"/>
        <v>18</v>
      </c>
      <c r="C152" s="1" t="s">
        <v>383</v>
      </c>
      <c r="D152" s="1" t="str">
        <f>'WP II-I-1.2'!D41</f>
        <v>Capacitors</v>
      </c>
      <c r="E152" s="16"/>
      <c r="F152" s="97">
        <f>'II-I-DIST'!F152</f>
        <v>167948847.31999999</v>
      </c>
      <c r="G152" s="26" t="str">
        <f>'II-I-DIST'!H152</f>
        <v>NCP ALL</v>
      </c>
      <c r="H152" s="97">
        <f>'II-I-MET'!F152</f>
        <v>0</v>
      </c>
      <c r="I152" s="26" t="str">
        <f>'II-I-MET'!H152</f>
        <v>NCP ALL</v>
      </c>
      <c r="J152" s="97">
        <f>'II-I-TBILLTDCS'!F152</f>
        <v>0</v>
      </c>
      <c r="K152" s="26" t="str">
        <f>'II-I-TBILLTDCS'!H152</f>
        <v>NCP ALL</v>
      </c>
      <c r="L152" s="802">
        <f t="shared" si="7"/>
        <v>167948847.31999999</v>
      </c>
      <c r="M152" s="1476" t="s">
        <v>1309</v>
      </c>
      <c r="R152"/>
      <c r="S152"/>
      <c r="Z152"/>
      <c r="AA152"/>
      <c r="AB152"/>
      <c r="AC152"/>
    </row>
    <row r="153" spans="2:29" s="321" customFormat="1" ht="42.75" x14ac:dyDescent="0.2">
      <c r="B153" s="16">
        <f t="shared" si="6"/>
        <v>19</v>
      </c>
      <c r="C153" s="1" t="s">
        <v>72</v>
      </c>
      <c r="D153" s="29" t="s">
        <v>73</v>
      </c>
      <c r="E153" s="28"/>
      <c r="F153" s="97">
        <f>'II-I-DIST'!F153</f>
        <v>1970343942.5799999</v>
      </c>
      <c r="G153" s="26" t="str">
        <f>'II-I-DIST'!H153</f>
        <v>CUS W SEC</v>
      </c>
      <c r="H153" s="97">
        <f>'II-I-MET'!F153</f>
        <v>0</v>
      </c>
      <c r="I153" s="26" t="str">
        <f>'II-I-MET'!H153</f>
        <v>CUS W SEC</v>
      </c>
      <c r="J153" s="97">
        <f>'II-I-TBILLTDCS'!F153</f>
        <v>0</v>
      </c>
      <c r="K153" s="26" t="str">
        <f>'II-I-TBILLTDCS'!H153</f>
        <v>CUS W SEC</v>
      </c>
      <c r="L153" s="802">
        <f t="shared" si="7"/>
        <v>1970343942.5799999</v>
      </c>
      <c r="M153" s="935" t="s">
        <v>979</v>
      </c>
      <c r="N153" s="1" t="b">
        <f>'II-I-DIST'!$C$153=C153</f>
        <v>1</v>
      </c>
      <c r="R153"/>
      <c r="S153"/>
      <c r="Z153"/>
      <c r="AA153"/>
      <c r="AB153"/>
      <c r="AC153"/>
    </row>
    <row r="154" spans="2:29" s="321" customFormat="1" ht="42.75" x14ac:dyDescent="0.2">
      <c r="B154" s="16">
        <f t="shared" si="6"/>
        <v>20</v>
      </c>
      <c r="C154" s="1" t="s">
        <v>74</v>
      </c>
      <c r="D154" s="1" t="s">
        <v>75</v>
      </c>
      <c r="E154" s="16"/>
      <c r="F154" s="97">
        <f>'II-I-DIST'!F154</f>
        <v>0</v>
      </c>
      <c r="G154" s="26" t="str">
        <f>'II-I-DIST'!H154</f>
        <v>CUS W ALL</v>
      </c>
      <c r="H154" s="97">
        <f>'II-I-MET'!F154</f>
        <v>625718350.30999994</v>
      </c>
      <c r="I154" s="26" t="str">
        <f>'II-I-MET'!H154</f>
        <v>CUS W ALL</v>
      </c>
      <c r="J154" s="97">
        <f>'II-I-TBILLTDCS'!F154</f>
        <v>0</v>
      </c>
      <c r="K154" s="26" t="str">
        <f>'II-I-TBILLTDCS'!H154</f>
        <v>CUS W ALL</v>
      </c>
      <c r="L154" s="802">
        <f t="shared" si="7"/>
        <v>625718350.30999994</v>
      </c>
      <c r="M154" s="935" t="s">
        <v>980</v>
      </c>
      <c r="N154" s="1" t="b">
        <f>'II-I-DIST'!$D$154=D154</f>
        <v>1</v>
      </c>
      <c r="R154"/>
      <c r="S154"/>
      <c r="T154"/>
      <c r="U154"/>
      <c r="V154"/>
      <c r="W154"/>
      <c r="Z154"/>
      <c r="AA154"/>
      <c r="AB154"/>
      <c r="AC154"/>
    </row>
    <row r="155" spans="2:29" s="321" customFormat="1" x14ac:dyDescent="0.2">
      <c r="B155" s="16">
        <f t="shared" si="6"/>
        <v>21</v>
      </c>
      <c r="C155" s="1" t="s">
        <v>76</v>
      </c>
      <c r="D155" s="1" t="s">
        <v>495</v>
      </c>
      <c r="E155" s="16"/>
      <c r="F155" s="97">
        <f>'II-I-DIST'!F155</f>
        <v>56332960.560000002</v>
      </c>
      <c r="G155" s="26" t="str">
        <f>'II-I-DIST'!H155</f>
        <v>NCP LGT</v>
      </c>
      <c r="H155" s="97">
        <f>'II-I-MET'!F155</f>
        <v>0</v>
      </c>
      <c r="I155" s="26" t="str">
        <f>'II-I-MET'!H155</f>
        <v>NCP LGT</v>
      </c>
      <c r="J155" s="97">
        <f>'II-I-TBILLTDCS'!F155</f>
        <v>0</v>
      </c>
      <c r="K155" s="26" t="str">
        <f>'II-I-TBILLTDCS'!H155</f>
        <v>NCP LGT</v>
      </c>
      <c r="L155" s="802">
        <f t="shared" si="7"/>
        <v>56332960.560000002</v>
      </c>
      <c r="M155" s="935" t="s">
        <v>981</v>
      </c>
      <c r="R155"/>
      <c r="S155"/>
      <c r="T155"/>
      <c r="U155"/>
      <c r="V155"/>
      <c r="W155"/>
      <c r="Z155"/>
      <c r="AA155"/>
      <c r="AB155"/>
      <c r="AC155"/>
    </row>
    <row r="156" spans="2:29" s="321" customFormat="1" x14ac:dyDescent="0.2">
      <c r="B156" s="16">
        <f t="shared" si="6"/>
        <v>22</v>
      </c>
      <c r="C156" s="1" t="s">
        <v>78</v>
      </c>
      <c r="D156" s="1" t="s">
        <v>496</v>
      </c>
      <c r="E156" s="16"/>
      <c r="F156" s="97">
        <f>'II-I-DIST'!F156</f>
        <v>0</v>
      </c>
      <c r="G156" s="26" t="str">
        <f>'II-I-DIST'!H156</f>
        <v>CUS W ALL</v>
      </c>
      <c r="H156" s="97">
        <f>'II-I-MET'!F156</f>
        <v>0</v>
      </c>
      <c r="I156" s="26" t="str">
        <f>'II-I-MET'!H156</f>
        <v>CUS W ALL</v>
      </c>
      <c r="J156" s="97">
        <f>'II-I-TBILLTDCS'!F156</f>
        <v>0</v>
      </c>
      <c r="K156" s="26" t="str">
        <f>'II-I-TBILLTDCS'!H156</f>
        <v>CUS W ALL</v>
      </c>
      <c r="L156" s="802">
        <f t="shared" si="7"/>
        <v>0</v>
      </c>
      <c r="M156" s="935"/>
      <c r="R156"/>
      <c r="S156"/>
      <c r="T156"/>
      <c r="U156"/>
      <c r="V156"/>
      <c r="W156"/>
      <c r="Z156"/>
      <c r="AA156"/>
      <c r="AB156"/>
      <c r="AC156"/>
    </row>
    <row r="157" spans="2:29" s="321" customFormat="1" x14ac:dyDescent="0.2">
      <c r="B157" s="16">
        <f t="shared" si="6"/>
        <v>23</v>
      </c>
      <c r="C157" s="1" t="s">
        <v>80</v>
      </c>
      <c r="D157" s="1" t="s">
        <v>84</v>
      </c>
      <c r="E157" s="16"/>
      <c r="F157" s="97">
        <f>'II-I-DIST'!F157</f>
        <v>543768085.23000002</v>
      </c>
      <c r="G157" s="26" t="str">
        <f>'II-I-DIST'!H157</f>
        <v>NCP LGT</v>
      </c>
      <c r="H157" s="97">
        <f>'II-I-MET'!F157</f>
        <v>0</v>
      </c>
      <c r="I157" s="26" t="str">
        <f>'II-I-MET'!H157</f>
        <v>NCP LGT</v>
      </c>
      <c r="J157" s="97">
        <f>'II-I-TBILLTDCS'!F157</f>
        <v>0</v>
      </c>
      <c r="K157" s="26" t="str">
        <f>'II-I-TBILLTDCS'!H157</f>
        <v>NCP LGT</v>
      </c>
      <c r="L157" s="802">
        <f t="shared" si="7"/>
        <v>543768085.23000002</v>
      </c>
      <c r="M157" s="935" t="s">
        <v>981</v>
      </c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21" customFormat="1" ht="28.5" x14ac:dyDescent="0.2">
      <c r="B158" s="16">
        <f t="shared" si="6"/>
        <v>24</v>
      </c>
      <c r="C158" s="1" t="s">
        <v>82</v>
      </c>
      <c r="D158" s="1" t="s">
        <v>38</v>
      </c>
      <c r="E158" s="16"/>
      <c r="F158" s="97">
        <f>'II-I-DIST'!F158</f>
        <v>88171655.439999998</v>
      </c>
      <c r="G158" s="26" t="str">
        <f>'II-I-DIST'!H158</f>
        <v>PLT 362-373</v>
      </c>
      <c r="H158" s="97">
        <f>'II-I-MET'!F158</f>
        <v>0</v>
      </c>
      <c r="I158" s="26" t="str">
        <f>'II-I-MET'!H158</f>
        <v>PLT 362-373</v>
      </c>
      <c r="J158" s="97">
        <f>'II-I-TBILLTDCS'!F158</f>
        <v>0</v>
      </c>
      <c r="K158" s="26" t="str">
        <f>'II-I-TBILLTDCS'!H158</f>
        <v>PLT 362-373</v>
      </c>
      <c r="L158" s="802">
        <f t="shared" si="7"/>
        <v>88171655.439999998</v>
      </c>
      <c r="M158" s="935" t="s">
        <v>982</v>
      </c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ht="15" x14ac:dyDescent="0.25">
      <c r="B159" s="16">
        <f t="shared" si="6"/>
        <v>25</v>
      </c>
      <c r="C159" s="64"/>
      <c r="D159" s="233" t="s">
        <v>444</v>
      </c>
      <c r="E159" s="121"/>
      <c r="F159" s="805">
        <f>'II-I-DIST'!F159</f>
        <v>19438204192.369999</v>
      </c>
      <c r="G159" s="121"/>
      <c r="H159" s="805">
        <f>'II-I-MET'!F159</f>
        <v>784983594.01999998</v>
      </c>
      <c r="I159" s="121"/>
      <c r="J159" s="805">
        <f>'II-I-TBILLTDCS'!F159</f>
        <v>334873235.67999995</v>
      </c>
      <c r="K159" s="121"/>
      <c r="L159" s="805">
        <f t="shared" si="7"/>
        <v>20558061022.07</v>
      </c>
    </row>
    <row r="160" spans="2:29" x14ac:dyDescent="0.2">
      <c r="B160" s="16">
        <f t="shared" si="6"/>
        <v>26</v>
      </c>
      <c r="C160" s="64"/>
      <c r="D160" s="1"/>
      <c r="E160" s="16"/>
      <c r="F160" s="18">
        <f>'II-I-DIST'!F160</f>
        <v>0</v>
      </c>
      <c r="G160" s="16"/>
      <c r="H160" s="18">
        <f>'II-I-MET'!F160</f>
        <v>0</v>
      </c>
      <c r="I160" s="16"/>
      <c r="J160" s="18">
        <f>'II-I-TBILLTDCS'!F160</f>
        <v>0</v>
      </c>
      <c r="K160" s="16"/>
      <c r="L160" s="647"/>
    </row>
    <row r="161" spans="2:12" ht="15" x14ac:dyDescent="0.25">
      <c r="B161" s="16">
        <f t="shared" si="6"/>
        <v>27</v>
      </c>
      <c r="C161" s="64"/>
      <c r="D161" s="233" t="s">
        <v>519</v>
      </c>
      <c r="E161" s="16"/>
      <c r="F161" s="805">
        <f>'II-I-DIST'!F161</f>
        <v>3523411256.3599997</v>
      </c>
      <c r="G161" s="16"/>
      <c r="H161" s="805">
        <f>'II-I-MET'!F161</f>
        <v>0</v>
      </c>
      <c r="I161" s="16"/>
      <c r="J161" s="805">
        <f>'II-I-TBILLTDCS'!F161</f>
        <v>0</v>
      </c>
      <c r="K161" s="16"/>
      <c r="L161" s="805">
        <f t="shared" si="7"/>
        <v>3523411256.3599997</v>
      </c>
    </row>
    <row r="162" spans="2:12" ht="15" x14ac:dyDescent="0.25">
      <c r="B162" s="16">
        <f t="shared" si="6"/>
        <v>28</v>
      </c>
      <c r="C162" s="64"/>
      <c r="D162" s="233" t="s">
        <v>520</v>
      </c>
      <c r="E162" s="16"/>
      <c r="F162" s="805">
        <f>'II-I-DIST'!F162</f>
        <v>2182618392.98</v>
      </c>
      <c r="G162" s="16"/>
      <c r="H162" s="805">
        <f>'II-I-MET'!F162</f>
        <v>0</v>
      </c>
      <c r="I162" s="16"/>
      <c r="J162" s="805">
        <f>'II-I-TBILLTDCS'!F162</f>
        <v>0</v>
      </c>
      <c r="K162" s="16"/>
      <c r="L162" s="805">
        <f t="shared" si="7"/>
        <v>2182618392.98</v>
      </c>
    </row>
    <row r="163" spans="2:12" ht="15" x14ac:dyDescent="0.25">
      <c r="B163" s="16">
        <f t="shared" si="6"/>
        <v>29</v>
      </c>
      <c r="C163" s="64"/>
      <c r="D163" s="233" t="s">
        <v>521</v>
      </c>
      <c r="E163" s="16"/>
      <c r="F163" s="805">
        <f>'II-I-DIST'!F163</f>
        <v>1637322838.0899997</v>
      </c>
      <c r="G163" s="16"/>
      <c r="H163" s="805">
        <f>'II-I-MET'!F163</f>
        <v>0</v>
      </c>
      <c r="I163" s="16"/>
      <c r="J163" s="805">
        <f>'II-I-TBILLTDCS'!F163</f>
        <v>0</v>
      </c>
      <c r="K163" s="16"/>
      <c r="L163" s="805">
        <f t="shared" si="7"/>
        <v>1637322838.0899997</v>
      </c>
    </row>
    <row r="164" spans="2:12" ht="15" x14ac:dyDescent="0.25">
      <c r="B164" s="16">
        <f t="shared" si="6"/>
        <v>30</v>
      </c>
      <c r="C164" s="64"/>
      <c r="D164" s="233" t="s">
        <v>522</v>
      </c>
      <c r="E164" s="16"/>
      <c r="F164" s="805">
        <f>'II-I-DIST'!F164</f>
        <v>3176923318.8099999</v>
      </c>
      <c r="G164" s="16"/>
      <c r="H164" s="805">
        <f>'II-I-MET'!F164</f>
        <v>0</v>
      </c>
      <c r="I164" s="16"/>
      <c r="J164" s="805">
        <f>'II-I-TBILLTDCS'!F164</f>
        <v>0</v>
      </c>
      <c r="K164" s="16"/>
      <c r="L164" s="805">
        <f t="shared" si="7"/>
        <v>3176923318.8099999</v>
      </c>
    </row>
    <row r="165" spans="2:12" ht="15" x14ac:dyDescent="0.25">
      <c r="B165" s="16">
        <f t="shared" si="6"/>
        <v>31</v>
      </c>
      <c r="C165" s="64"/>
      <c r="D165" s="233" t="s">
        <v>523</v>
      </c>
      <c r="E165" s="16"/>
      <c r="F165" s="805">
        <f>'II-I-DIST'!F165</f>
        <v>3167665925.5700002</v>
      </c>
      <c r="G165" s="16"/>
      <c r="H165" s="805">
        <f>'II-I-MET'!F165</f>
        <v>0</v>
      </c>
      <c r="I165" s="16"/>
      <c r="J165" s="805">
        <f>'II-I-TBILLTDCS'!F165</f>
        <v>0</v>
      </c>
      <c r="K165" s="16"/>
      <c r="L165" s="805">
        <f t="shared" si="7"/>
        <v>3167665925.5700002</v>
      </c>
    </row>
    <row r="166" spans="2:12" ht="15" thickBot="1" x14ac:dyDescent="0.25">
      <c r="B166" s="16">
        <f t="shared" si="6"/>
        <v>32</v>
      </c>
      <c r="C166" s="64"/>
      <c r="D166" s="1"/>
      <c r="E166" s="16"/>
      <c r="F166" s="18">
        <f>'II-I-DIST'!F166</f>
        <v>0</v>
      </c>
      <c r="G166" s="16"/>
      <c r="H166" s="18">
        <f>'II-I-MET'!F166</f>
        <v>0</v>
      </c>
      <c r="I166" s="16"/>
      <c r="J166" s="18">
        <f>'II-I-TBILLTDCS'!F166</f>
        <v>0</v>
      </c>
      <c r="K166" s="16"/>
      <c r="L166" s="647"/>
    </row>
    <row r="167" spans="2:12" ht="15" x14ac:dyDescent="0.25">
      <c r="B167" s="16">
        <f t="shared" si="6"/>
        <v>33</v>
      </c>
      <c r="C167" s="239" t="s">
        <v>497</v>
      </c>
      <c r="D167" s="240"/>
      <c r="E167" s="241" t="s">
        <v>24</v>
      </c>
      <c r="F167" s="817">
        <f>'II-I-DIST'!F167</f>
        <v>19915826101.879997</v>
      </c>
      <c r="G167" s="372"/>
      <c r="H167" s="817">
        <f>'II-I-MET'!F167</f>
        <v>785307954.01999998</v>
      </c>
      <c r="I167" s="372"/>
      <c r="J167" s="817">
        <f>'II-I-TBILLTDCS'!F167</f>
        <v>335018561.67999995</v>
      </c>
      <c r="K167" s="372"/>
      <c r="L167" s="566">
        <f t="shared" si="7"/>
        <v>21036152617.579998</v>
      </c>
    </row>
    <row r="168" spans="2:12" ht="15.75" thickBot="1" x14ac:dyDescent="0.3">
      <c r="B168" s="16">
        <f t="shared" si="6"/>
        <v>34</v>
      </c>
      <c r="C168" s="245" t="s">
        <v>498</v>
      </c>
      <c r="D168" s="246"/>
      <c r="E168" s="247" t="s">
        <v>24</v>
      </c>
      <c r="F168" s="248">
        <f>'II-I-DIST'!F168</f>
        <v>19907180317.879997</v>
      </c>
      <c r="G168" s="375"/>
      <c r="H168" s="248">
        <f>'II-I-MET'!F168</f>
        <v>784983594.01999998</v>
      </c>
      <c r="I168" s="375"/>
      <c r="J168" s="248">
        <f>'II-I-TBILLTDCS'!F168</f>
        <v>334873235.67999995</v>
      </c>
      <c r="K168" s="375"/>
      <c r="L168" s="378">
        <f t="shared" si="7"/>
        <v>21027037147.579998</v>
      </c>
    </row>
    <row r="169" spans="2:12" x14ac:dyDescent="0.2"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2:12" ht="15" x14ac:dyDescent="0.25">
      <c r="B170" s="783"/>
      <c r="C170" s="783"/>
      <c r="D170" s="783"/>
      <c r="E170" s="783"/>
      <c r="F170" s="64"/>
      <c r="G170" s="105"/>
      <c r="H170" s="64"/>
      <c r="I170" s="105"/>
      <c r="J170" s="64"/>
      <c r="K170" s="105"/>
      <c r="L170" s="783"/>
    </row>
    <row r="171" spans="2:12" ht="15.75" thickBot="1" x14ac:dyDescent="0.3">
      <c r="B171" s="783"/>
      <c r="C171" s="783"/>
      <c r="D171" s="783"/>
      <c r="E171" s="783"/>
      <c r="F171" s="64"/>
      <c r="G171" s="64"/>
      <c r="H171" s="64"/>
      <c r="I171" s="64"/>
      <c r="J171" s="64"/>
      <c r="K171" s="64"/>
      <c r="L171" s="783"/>
    </row>
    <row r="172" spans="2:12" ht="15" x14ac:dyDescent="0.25">
      <c r="B172" s="829" t="str">
        <f>$B$4</f>
        <v>2025 RATE CASE</v>
      </c>
      <c r="C172" s="835"/>
      <c r="D172" s="836"/>
      <c r="E172" s="783"/>
      <c r="F172" s="11"/>
      <c r="H172" s="11"/>
      <c r="J172" s="11"/>
      <c r="K172"/>
      <c r="L172" s="783"/>
    </row>
    <row r="173" spans="2:12" ht="15" x14ac:dyDescent="0.25">
      <c r="B173" s="826" t="str">
        <f>$B$5</f>
        <v>ONCOR ELECTRIC DELIVERY COMPANY LLC</v>
      </c>
      <c r="C173" s="304"/>
      <c r="D173" s="837"/>
      <c r="E173" s="783"/>
      <c r="F173" s="11"/>
      <c r="H173" s="11"/>
      <c r="J173" s="11"/>
      <c r="K173"/>
      <c r="L173" s="783"/>
    </row>
    <row r="174" spans="2:12" ht="15" x14ac:dyDescent="0.25">
      <c r="B174" s="341" t="str">
        <f>$B$6</f>
        <v>II-I-2.1f:  CONSOLIDATED FUNCTIONALIZED COST OF SERVICE</v>
      </c>
      <c r="C174" s="304"/>
      <c r="D174" s="837"/>
      <c r="E174" s="783"/>
      <c r="F174" s="11"/>
      <c r="H174" s="11"/>
      <c r="J174" s="11"/>
      <c r="K174"/>
      <c r="L174" s="783"/>
    </row>
    <row r="175" spans="2:12" ht="15" x14ac:dyDescent="0.25">
      <c r="B175" s="341" t="str">
        <f>$B$7</f>
        <v>TEST YEAR ENDING 12/31/2024</v>
      </c>
      <c r="C175" s="304"/>
      <c r="D175" s="837"/>
      <c r="E175" s="304"/>
      <c r="F175" s="11"/>
      <c r="H175" s="11"/>
      <c r="J175" s="11"/>
      <c r="K175"/>
      <c r="L175" s="304"/>
    </row>
    <row r="176" spans="2:12" ht="15" x14ac:dyDescent="0.25">
      <c r="B176" s="341" t="str">
        <f>$B$8</f>
        <v>SPONSOR:  MATTHEW A. TROXLE</v>
      </c>
      <c r="C176" s="304"/>
      <c r="D176" s="837"/>
      <c r="E176" s="304"/>
      <c r="F176" s="11"/>
      <c r="H176" s="11"/>
      <c r="J176" s="11"/>
      <c r="K176"/>
      <c r="L176" s="304"/>
    </row>
    <row r="177" spans="2:29" ht="15.75" thickBot="1" x14ac:dyDescent="0.3">
      <c r="B177" s="345"/>
      <c r="C177" s="840"/>
      <c r="D177" s="841"/>
      <c r="E177" s="304"/>
      <c r="F177" s="11"/>
      <c r="H177" s="11"/>
      <c r="J177" s="11"/>
      <c r="K177"/>
      <c r="L177" s="304"/>
    </row>
    <row r="178" spans="2:29" x14ac:dyDescent="0.2">
      <c r="B178" s="12"/>
      <c r="C178" s="13"/>
      <c r="D178" s="177"/>
      <c r="E178" s="13"/>
      <c r="F178" s="12"/>
      <c r="G178" s="13"/>
      <c r="H178" s="12"/>
      <c r="I178" s="13"/>
      <c r="J178" s="12"/>
      <c r="K178" s="13"/>
      <c r="L178" s="855"/>
      <c r="M178" s="938"/>
    </row>
    <row r="179" spans="2:29" ht="15" x14ac:dyDescent="0.25">
      <c r="B179" s="14" t="s">
        <v>2</v>
      </c>
      <c r="C179" s="14" t="s">
        <v>349</v>
      </c>
      <c r="D179" s="180" t="s">
        <v>499</v>
      </c>
      <c r="E179" s="14" t="s">
        <v>350</v>
      </c>
      <c r="F179" s="226" t="str">
        <f>'II-I-DIST'!F179</f>
        <v>DIST</v>
      </c>
      <c r="G179" s="181" t="str">
        <f>'II-I-DIST'!H179</f>
        <v>Allocation</v>
      </c>
      <c r="H179" s="226" t="str">
        <f>'II-I-MET'!F179</f>
        <v>MET</v>
      </c>
      <c r="I179" s="181" t="str">
        <f>'II-I-MET'!H179</f>
        <v>Allocation</v>
      </c>
      <c r="J179" s="226" t="str">
        <f>'II-I-TBILLTDCS'!F179</f>
        <v>TBILLTDCS</v>
      </c>
      <c r="K179" s="181" t="str">
        <f>'II-I-TBILLTDCS'!H179</f>
        <v>Allocation</v>
      </c>
      <c r="L179" s="660" t="s">
        <v>434</v>
      </c>
      <c r="M179" s="932" t="s">
        <v>970</v>
      </c>
      <c r="T179" s="321"/>
      <c r="U179" s="321"/>
      <c r="V179" s="321"/>
      <c r="W179" s="321"/>
    </row>
    <row r="180" spans="2:29" x14ac:dyDescent="0.2">
      <c r="B180" s="14"/>
      <c r="C180" s="14"/>
      <c r="D180" s="181"/>
      <c r="E180" s="14"/>
      <c r="F180" s="14"/>
      <c r="G180" s="181" t="str">
        <f>'II-I-DIST'!H180</f>
        <v>Factor</v>
      </c>
      <c r="H180" s="14"/>
      <c r="I180" s="181" t="str">
        <f>'II-I-MET'!H180</f>
        <v>Factor</v>
      </c>
      <c r="J180" s="14"/>
      <c r="K180" s="181" t="str">
        <f>'II-I-TBILLTDCS'!H180</f>
        <v>Factor</v>
      </c>
      <c r="L180" s="660" t="s">
        <v>31</v>
      </c>
      <c r="M180" s="939"/>
      <c r="T180" s="321"/>
      <c r="U180" s="321"/>
      <c r="V180" s="321"/>
      <c r="W180" s="321"/>
    </row>
    <row r="181" spans="2:29" ht="15.75" thickBot="1" x14ac:dyDescent="0.25">
      <c r="B181" s="182"/>
      <c r="C181" s="860"/>
      <c r="D181" s="184"/>
      <c r="E181" s="184"/>
      <c r="F181" s="15" t="str">
        <f>'II-I-DIST'!F181</f>
        <v>(a)</v>
      </c>
      <c r="G181" s="15" t="str">
        <f>'II-I-DIST'!H181</f>
        <v>(c)</v>
      </c>
      <c r="H181" s="664" t="str">
        <f>'II-I-MET'!F181</f>
        <v>(a)</v>
      </c>
      <c r="I181" s="15" t="str">
        <f>'II-I-MET'!H181</f>
        <v>(c)</v>
      </c>
      <c r="J181" s="664" t="str">
        <f>'II-I-TBILLTDCS'!F181</f>
        <v>(a)</v>
      </c>
      <c r="K181" s="15" t="str">
        <f>'II-I-TBILLTDCS'!H181</f>
        <v>(c)</v>
      </c>
      <c r="L181" s="664" t="s">
        <v>19</v>
      </c>
      <c r="M181" s="934" t="s">
        <v>20</v>
      </c>
      <c r="T181" s="321"/>
      <c r="U181" s="321"/>
      <c r="V181" s="321"/>
      <c r="W181" s="321"/>
    </row>
    <row r="182" spans="2:29" x14ac:dyDescent="0.2">
      <c r="B182" s="64"/>
      <c r="C182" s="96"/>
      <c r="D182" s="96"/>
      <c r="E182" s="251"/>
      <c r="F182" s="96"/>
      <c r="G182" s="251"/>
      <c r="H182" s="96"/>
      <c r="I182" s="251"/>
      <c r="J182" s="96"/>
      <c r="K182" s="251"/>
      <c r="L182" s="647"/>
      <c r="T182" s="321"/>
      <c r="U182" s="321"/>
      <c r="V182" s="321"/>
      <c r="W182" s="321"/>
      <c r="X182" s="321"/>
      <c r="Y182" s="321"/>
    </row>
    <row r="183" spans="2:29" ht="15" x14ac:dyDescent="0.25">
      <c r="B183" s="16">
        <f t="shared" ref="B183:B199" si="8">B182+1</f>
        <v>1</v>
      </c>
      <c r="C183" s="47" t="s">
        <v>499</v>
      </c>
      <c r="D183" s="47"/>
      <c r="E183" s="55" t="s">
        <v>86</v>
      </c>
      <c r="F183" s="47"/>
      <c r="G183" s="55"/>
      <c r="H183" s="47"/>
      <c r="I183" s="55"/>
      <c r="J183" s="47"/>
      <c r="K183" s="55"/>
      <c r="L183" s="47"/>
      <c r="M183" s="937"/>
      <c r="T183" s="321"/>
      <c r="U183" s="321"/>
      <c r="V183" s="321"/>
      <c r="W183" s="321"/>
      <c r="X183" s="321"/>
      <c r="Y183" s="321"/>
    </row>
    <row r="184" spans="2:29" s="321" customFormat="1" ht="114" x14ac:dyDescent="0.2">
      <c r="B184" s="16">
        <f t="shared" si="8"/>
        <v>2</v>
      </c>
      <c r="C184" s="1" t="s">
        <v>87</v>
      </c>
      <c r="D184" s="1" t="s">
        <v>38</v>
      </c>
      <c r="E184" s="16"/>
      <c r="F184" s="98">
        <f>'II-I-DIST'!F184</f>
        <v>25309317.540000007</v>
      </c>
      <c r="G184" s="1" t="str">
        <f>'II-I-DIST'!H184</f>
        <v>PLTOPER_N</v>
      </c>
      <c r="H184" s="97">
        <f>'II-I-MET'!F184</f>
        <v>4008542.709999999</v>
      </c>
      <c r="I184" s="45" t="str">
        <f>'II-I-MET'!H184</f>
        <v>PLTOPER_N</v>
      </c>
      <c r="J184" s="98">
        <f>'II-I-TBILLTDCS'!F184</f>
        <v>2615601.4699999988</v>
      </c>
      <c r="K184" s="45" t="str">
        <f>'II-I-TBILLTDCS'!H184</f>
        <v>PAYROLL XAG</v>
      </c>
      <c r="L184" s="802">
        <f t="shared" si="7"/>
        <v>31933461.720000006</v>
      </c>
      <c r="M184" s="952" t="s">
        <v>1106</v>
      </c>
      <c r="N184" s="802"/>
      <c r="R184"/>
      <c r="S184"/>
      <c r="Z184"/>
      <c r="AA184"/>
      <c r="AB184"/>
      <c r="AC184"/>
    </row>
    <row r="185" spans="2:29" s="321" customFormat="1" ht="20.25" customHeight="1" x14ac:dyDescent="0.2">
      <c r="B185" s="16">
        <f t="shared" si="8"/>
        <v>3</v>
      </c>
      <c r="C185" s="1" t="s">
        <v>88</v>
      </c>
      <c r="D185" s="1" t="s">
        <v>40</v>
      </c>
      <c r="E185" s="16"/>
      <c r="F185" s="97">
        <f>'II-I-DIST'!F185</f>
        <v>77649.91</v>
      </c>
      <c r="G185" s="45" t="str">
        <f>'II-I-DIST'!H185</f>
        <v>PLTOPER_N</v>
      </c>
      <c r="H185" s="97">
        <f>'II-I-MET'!F185</f>
        <v>3248.17</v>
      </c>
      <c r="I185" s="45" t="str">
        <f>'II-I-MET'!H185</f>
        <v>PLTOPER_N</v>
      </c>
      <c r="J185" s="98">
        <f>'II-I-TBILLTDCS'!F185</f>
        <v>1318.1000000000001</v>
      </c>
      <c r="K185" s="45" t="str">
        <f>'II-I-TBILLTDCS'!H185</f>
        <v>PAYROLL XAG</v>
      </c>
      <c r="L185" s="802">
        <f t="shared" si="7"/>
        <v>82216.180000000008</v>
      </c>
      <c r="M185" s="937" t="s">
        <v>983</v>
      </c>
      <c r="R185"/>
      <c r="S185"/>
      <c r="Z185"/>
      <c r="AA185"/>
      <c r="AB185"/>
      <c r="AC185"/>
    </row>
    <row r="186" spans="2:29" s="321" customFormat="1" ht="18.75" customHeight="1" x14ac:dyDescent="0.2">
      <c r="B186" s="16">
        <f t="shared" si="8"/>
        <v>4</v>
      </c>
      <c r="C186" s="1" t="s">
        <v>89</v>
      </c>
      <c r="D186" s="1" t="s">
        <v>42</v>
      </c>
      <c r="E186" s="16"/>
      <c r="F186" s="97">
        <f>'II-I-DIST'!F186</f>
        <v>212329938.52999988</v>
      </c>
      <c r="G186" s="45" t="str">
        <f>'II-I-DIST'!H186</f>
        <v>PLTOPER_N</v>
      </c>
      <c r="H186" s="97">
        <f>'II-I-MET'!F186</f>
        <v>32267267.569999993</v>
      </c>
      <c r="I186" s="45" t="str">
        <f>'II-I-MET'!H186</f>
        <v>PLTOPER_N</v>
      </c>
      <c r="J186" s="98">
        <f>'II-I-TBILLTDCS'!F186</f>
        <v>18151522.199999988</v>
      </c>
      <c r="K186" s="45" t="str">
        <f>'II-I-TBILLTDCS'!H186</f>
        <v>PAYROLL XAG</v>
      </c>
      <c r="L186" s="802">
        <f t="shared" si="7"/>
        <v>262748728.29999986</v>
      </c>
      <c r="M186" s="937" t="s">
        <v>983</v>
      </c>
      <c r="R186"/>
      <c r="S186"/>
      <c r="Z186"/>
      <c r="AA186"/>
      <c r="AB186"/>
      <c r="AC186"/>
    </row>
    <row r="187" spans="2:29" s="321" customFormat="1" x14ac:dyDescent="0.2">
      <c r="B187" s="16">
        <f t="shared" si="8"/>
        <v>5</v>
      </c>
      <c r="C187" s="1" t="s">
        <v>90</v>
      </c>
      <c r="D187" s="1" t="s">
        <v>91</v>
      </c>
      <c r="E187" s="16"/>
      <c r="F187" s="97">
        <f>'II-I-DIST'!F187</f>
        <v>13217077.590000005</v>
      </c>
      <c r="G187" s="45" t="str">
        <f>'II-I-DIST'!H187</f>
        <v>PLTOPER_N</v>
      </c>
      <c r="H187" s="97">
        <f>'II-I-MET'!F187</f>
        <v>1565800.9000000006</v>
      </c>
      <c r="I187" s="45" t="str">
        <f>'II-I-MET'!H187</f>
        <v>PLTOPER_N</v>
      </c>
      <c r="J187" s="98">
        <f>'II-I-TBILLTDCS'!F187</f>
        <v>1076747.3500000006</v>
      </c>
      <c r="K187" s="45" t="str">
        <f>'II-I-TBILLTDCS'!H187</f>
        <v>PAYROLL XAG</v>
      </c>
      <c r="L187" s="802">
        <f t="shared" si="7"/>
        <v>15859625.840000007</v>
      </c>
      <c r="M187" s="937" t="s">
        <v>983</v>
      </c>
      <c r="R187"/>
      <c r="S187"/>
      <c r="Z187"/>
      <c r="AA187"/>
      <c r="AB187"/>
      <c r="AC187"/>
    </row>
    <row r="188" spans="2:29" s="321" customFormat="1" x14ac:dyDescent="0.2">
      <c r="B188" s="16">
        <f t="shared" si="8"/>
        <v>6</v>
      </c>
      <c r="C188" s="1" t="s">
        <v>92</v>
      </c>
      <c r="D188" s="1" t="s">
        <v>94</v>
      </c>
      <c r="E188" s="16"/>
      <c r="F188" s="97">
        <f>'II-I-DIST'!F188</f>
        <v>10180663.920000006</v>
      </c>
      <c r="G188" s="45" t="str">
        <f>'II-I-DIST'!H188</f>
        <v>PLTOPER_N</v>
      </c>
      <c r="H188" s="97">
        <f>'II-I-MET'!F188</f>
        <v>0</v>
      </c>
      <c r="I188" s="45" t="str">
        <f>'II-I-MET'!H188</f>
        <v>PLTOPER_N</v>
      </c>
      <c r="J188" s="98">
        <f>'II-I-TBILLTDCS'!F188</f>
        <v>0</v>
      </c>
      <c r="K188" s="45" t="str">
        <f>'II-I-TBILLTDCS'!H188</f>
        <v>PAYROLL XAG</v>
      </c>
      <c r="L188" s="802">
        <f t="shared" si="7"/>
        <v>10180663.920000006</v>
      </c>
      <c r="M188" s="937" t="s">
        <v>983</v>
      </c>
      <c r="R188"/>
      <c r="S188"/>
      <c r="T188"/>
      <c r="U188"/>
      <c r="V188"/>
      <c r="W188"/>
      <c r="Z188"/>
      <c r="AA188"/>
      <c r="AB188"/>
      <c r="AC188"/>
    </row>
    <row r="189" spans="2:29" s="321" customFormat="1" x14ac:dyDescent="0.2">
      <c r="B189" s="16">
        <f t="shared" si="8"/>
        <v>7</v>
      </c>
      <c r="C189" s="1" t="s">
        <v>95</v>
      </c>
      <c r="D189" s="1" t="s">
        <v>500</v>
      </c>
      <c r="E189" s="16"/>
      <c r="F189" s="97">
        <f>'II-I-DIST'!F189</f>
        <v>5998112.8099999931</v>
      </c>
      <c r="G189" s="45" t="str">
        <f>'II-I-DIST'!H189</f>
        <v>PLTOPER_N</v>
      </c>
      <c r="H189" s="97">
        <f>'II-I-MET'!F189</f>
        <v>468889.48</v>
      </c>
      <c r="I189" s="45" t="str">
        <f>'II-I-MET'!H189</f>
        <v>PLTOPER_N</v>
      </c>
      <c r="J189" s="98">
        <f>'II-I-TBILLTDCS'!F189</f>
        <v>0</v>
      </c>
      <c r="K189" s="45" t="str">
        <f>'II-I-TBILLTDCS'!H189</f>
        <v>PAYROLL XAG</v>
      </c>
      <c r="L189" s="802">
        <f t="shared" si="7"/>
        <v>6467002.2899999935</v>
      </c>
      <c r="M189" s="937" t="s">
        <v>983</v>
      </c>
      <c r="R189"/>
      <c r="S189"/>
      <c r="T189"/>
      <c r="U189"/>
      <c r="V189"/>
      <c r="W189"/>
      <c r="Z189"/>
      <c r="AA189"/>
      <c r="AB189"/>
      <c r="AC189"/>
    </row>
    <row r="190" spans="2:29" s="321" customFormat="1" x14ac:dyDescent="0.2">
      <c r="B190" s="16">
        <f t="shared" si="8"/>
        <v>8</v>
      </c>
      <c r="C190" s="1" t="s">
        <v>97</v>
      </c>
      <c r="D190" s="1" t="s">
        <v>501</v>
      </c>
      <c r="E190" s="16"/>
      <c r="F190" s="97">
        <f>'II-I-DIST'!F190</f>
        <v>21790023.310000058</v>
      </c>
      <c r="G190" s="45" t="str">
        <f>'II-I-DIST'!H190</f>
        <v>PLTOPER_N</v>
      </c>
      <c r="H190" s="97">
        <f>'II-I-MET'!F190</f>
        <v>1794789.6000000022</v>
      </c>
      <c r="I190" s="45" t="str">
        <f>'II-I-MET'!H190</f>
        <v>PLTOPER_N</v>
      </c>
      <c r="J190" s="98">
        <f>'II-I-TBILLTDCS'!F190</f>
        <v>0</v>
      </c>
      <c r="K190" s="45" t="str">
        <f>'II-I-TBILLTDCS'!H190</f>
        <v>PAYROLL XAG</v>
      </c>
      <c r="L190" s="802">
        <f t="shared" si="7"/>
        <v>23584812.91000006</v>
      </c>
      <c r="M190" s="937" t="s">
        <v>983</v>
      </c>
      <c r="R190"/>
      <c r="S190"/>
      <c r="Z190"/>
      <c r="AA190"/>
      <c r="AB190"/>
      <c r="AC190"/>
    </row>
    <row r="191" spans="2:29" s="321" customFormat="1" x14ac:dyDescent="0.2">
      <c r="B191" s="16">
        <f t="shared" si="8"/>
        <v>9</v>
      </c>
      <c r="C191" s="1" t="s">
        <v>99</v>
      </c>
      <c r="D191" s="1" t="s">
        <v>100</v>
      </c>
      <c r="E191" s="16"/>
      <c r="F191" s="97">
        <f>'II-I-DIST'!F191</f>
        <v>22852989.259999957</v>
      </c>
      <c r="G191" s="45" t="str">
        <f>'II-I-DIST'!H191</f>
        <v>PLTOPER_N</v>
      </c>
      <c r="H191" s="97">
        <f>'II-I-MET'!F191</f>
        <v>2971389.4799999963</v>
      </c>
      <c r="I191" s="45" t="str">
        <f>'II-I-MET'!H191</f>
        <v>PLTOPER_N</v>
      </c>
      <c r="J191" s="98">
        <f>'II-I-TBILLTDCS'!F191</f>
        <v>0</v>
      </c>
      <c r="K191" s="45" t="str">
        <f>'II-I-TBILLTDCS'!H191</f>
        <v>PAYROLL XAG</v>
      </c>
      <c r="L191" s="802">
        <f t="shared" si="7"/>
        <v>25824378.739999954</v>
      </c>
      <c r="M191" s="937" t="s">
        <v>983</v>
      </c>
      <c r="R191"/>
      <c r="S191"/>
      <c r="X191"/>
      <c r="Y191"/>
      <c r="Z191"/>
      <c r="AA191"/>
      <c r="AB191"/>
      <c r="AC191"/>
    </row>
    <row r="192" spans="2:29" s="321" customFormat="1" x14ac:dyDescent="0.2">
      <c r="B192" s="16">
        <f t="shared" si="8"/>
        <v>10</v>
      </c>
      <c r="C192" s="1" t="s">
        <v>101</v>
      </c>
      <c r="D192" s="1" t="s">
        <v>102</v>
      </c>
      <c r="E192" s="16"/>
      <c r="F192" s="97">
        <f>'II-I-DIST'!F192</f>
        <v>8159482.280000004</v>
      </c>
      <c r="G192" s="45" t="str">
        <f>'II-I-DIST'!H192</f>
        <v>PLTOPER_N</v>
      </c>
      <c r="H192" s="97">
        <f>'II-I-MET'!F192</f>
        <v>910269.58000000031</v>
      </c>
      <c r="I192" s="45" t="str">
        <f>'II-I-MET'!H192</f>
        <v>PLTOPER_N</v>
      </c>
      <c r="J192" s="98">
        <f>'II-I-TBILLTDCS'!F192</f>
        <v>0</v>
      </c>
      <c r="K192" s="45" t="str">
        <f>'II-I-TBILLTDCS'!H192</f>
        <v>PAYROLL XAG</v>
      </c>
      <c r="L192" s="802">
        <f t="shared" si="7"/>
        <v>9069751.860000005</v>
      </c>
      <c r="M192" s="937" t="s">
        <v>983</v>
      </c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ht="15" x14ac:dyDescent="0.25">
      <c r="B193" s="16">
        <f t="shared" si="8"/>
        <v>11</v>
      </c>
      <c r="C193" s="1"/>
      <c r="D193" s="233" t="s">
        <v>444</v>
      </c>
      <c r="E193" s="831"/>
      <c r="F193" s="804">
        <f>'II-I-DIST'!F193</f>
        <v>319915255.14999992</v>
      </c>
      <c r="G193" s="1308"/>
      <c r="H193" s="804">
        <f>'II-I-MET'!F193</f>
        <v>43990197.48999998</v>
      </c>
      <c r="I193" s="1308"/>
      <c r="J193" s="804">
        <f>'II-I-TBILLTDCS'!F193</f>
        <v>21845189.11999999</v>
      </c>
      <c r="K193" s="1308"/>
      <c r="L193" s="804">
        <f t="shared" si="7"/>
        <v>385750641.75999987</v>
      </c>
      <c r="M193" s="937"/>
      <c r="X193" s="321"/>
      <c r="Y193" s="321"/>
    </row>
    <row r="194" spans="2:29" ht="15" x14ac:dyDescent="0.25">
      <c r="B194" s="16">
        <f t="shared" si="8"/>
        <v>12</v>
      </c>
      <c r="C194" s="8"/>
      <c r="D194" s="233"/>
      <c r="E194" s="831"/>
      <c r="F194" s="17">
        <f>'II-I-DIST'!F194</f>
        <v>0</v>
      </c>
      <c r="G194" s="1308"/>
      <c r="H194" s="17">
        <f>'II-I-MET'!F194</f>
        <v>0</v>
      </c>
      <c r="I194" s="1308"/>
      <c r="J194" s="17">
        <f>'II-I-TBILLTDCS'!F194</f>
        <v>0</v>
      </c>
      <c r="K194" s="1308"/>
      <c r="L194" s="802"/>
      <c r="M194" s="937"/>
      <c r="X194" s="321"/>
      <c r="Y194" s="321"/>
    </row>
    <row r="195" spans="2:29" s="321" customFormat="1" x14ac:dyDescent="0.2">
      <c r="B195" s="16">
        <f t="shared" si="8"/>
        <v>13</v>
      </c>
      <c r="C195" s="1" t="s">
        <v>105</v>
      </c>
      <c r="D195" s="1" t="s">
        <v>502</v>
      </c>
      <c r="E195" s="16"/>
      <c r="F195" s="98">
        <f>'II-I-DIST'!F195</f>
        <v>9639077.560000021</v>
      </c>
      <c r="G195" s="1" t="str">
        <f>'II-I-DIST'!H195</f>
        <v>PLTOPER_N</v>
      </c>
      <c r="H195" s="97">
        <f>'II-I-MET'!F195</f>
        <v>1521329.4100000004</v>
      </c>
      <c r="I195" s="45" t="str">
        <f>'II-I-MET'!H195</f>
        <v>PLTOPER_N</v>
      </c>
      <c r="J195" s="98">
        <f>'II-I-TBILLTDCS'!F195</f>
        <v>0</v>
      </c>
      <c r="K195" s="45" t="str">
        <f>'II-I-TBILLTDCS'!H195</f>
        <v>PAYROLL XAG</v>
      </c>
      <c r="L195" s="802">
        <f t="shared" si="7"/>
        <v>11160406.970000021</v>
      </c>
      <c r="M195" s="937" t="s">
        <v>983</v>
      </c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21" customFormat="1" x14ac:dyDescent="0.2">
      <c r="B196" s="16">
        <f t="shared" si="8"/>
        <v>14</v>
      </c>
      <c r="C196" s="1" t="s">
        <v>107</v>
      </c>
      <c r="D196" s="1" t="s">
        <v>503</v>
      </c>
      <c r="E196" s="16"/>
      <c r="F196" s="97">
        <f>'II-I-DIST'!F196</f>
        <v>0</v>
      </c>
      <c r="G196" s="45" t="str">
        <f>'II-I-DIST'!H196</f>
        <v>PLTOPER_N</v>
      </c>
      <c r="H196" s="97">
        <f>'II-I-MET'!F196</f>
        <v>0</v>
      </c>
      <c r="I196" s="45" t="str">
        <f>'II-I-MET'!H196</f>
        <v>PLTOPER_N</v>
      </c>
      <c r="J196" s="98">
        <f>'II-I-TBILLTDCS'!F196</f>
        <v>0</v>
      </c>
      <c r="K196" s="45" t="str">
        <f>'II-I-TBILLTDCS'!H196</f>
        <v>PAYROLL XAG</v>
      </c>
      <c r="L196" s="802">
        <f t="shared" si="7"/>
        <v>0</v>
      </c>
      <c r="M196" s="937" t="s">
        <v>983</v>
      </c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ht="15" x14ac:dyDescent="0.25">
      <c r="B197" s="16">
        <f t="shared" si="8"/>
        <v>15</v>
      </c>
      <c r="C197" s="8"/>
      <c r="D197" s="233" t="s">
        <v>444</v>
      </c>
      <c r="E197" s="831"/>
      <c r="F197" s="804">
        <f>'II-I-DIST'!F197</f>
        <v>9639077.560000021</v>
      </c>
      <c r="G197" s="1308"/>
      <c r="H197" s="804">
        <f>'II-I-MET'!F197</f>
        <v>1521329.4100000004</v>
      </c>
      <c r="I197" s="1308"/>
      <c r="J197" s="804">
        <f>'II-I-TBILLTDCS'!F197</f>
        <v>0</v>
      </c>
      <c r="K197" s="1308"/>
      <c r="L197" s="804">
        <f t="shared" si="7"/>
        <v>11160406.970000021</v>
      </c>
      <c r="M197" s="937"/>
    </row>
    <row r="198" spans="2:29" ht="15.75" thickBot="1" x14ac:dyDescent="0.3">
      <c r="B198" s="16">
        <f t="shared" si="8"/>
        <v>16</v>
      </c>
      <c r="C198" s="8"/>
      <c r="D198" s="233"/>
      <c r="E198" s="831"/>
      <c r="F198" s="805">
        <f>'II-I-DIST'!F198</f>
        <v>0</v>
      </c>
      <c r="G198" s="1308"/>
      <c r="H198" s="805">
        <f>'II-I-MET'!F198</f>
        <v>0</v>
      </c>
      <c r="I198" s="1308"/>
      <c r="J198" s="805">
        <f>'II-I-TBILLTDCS'!F198</f>
        <v>0</v>
      </c>
      <c r="K198" s="1308"/>
      <c r="L198" s="805"/>
    </row>
    <row r="199" spans="2:29" ht="15.75" thickBot="1" x14ac:dyDescent="0.3">
      <c r="B199" s="16">
        <f t="shared" si="8"/>
        <v>17</v>
      </c>
      <c r="C199" s="223" t="s">
        <v>504</v>
      </c>
      <c r="D199" s="224"/>
      <c r="E199" s="252" t="s">
        <v>86</v>
      </c>
      <c r="F199" s="812">
        <f>'II-I-DIST'!F199</f>
        <v>329554332.70999992</v>
      </c>
      <c r="G199" s="379"/>
      <c r="H199" s="812">
        <f>'II-I-MET'!F199</f>
        <v>45511526.899999984</v>
      </c>
      <c r="I199" s="379"/>
      <c r="J199" s="381">
        <f>'II-I-TBILLTDCS'!F199</f>
        <v>21845189.11999999</v>
      </c>
      <c r="K199" s="379"/>
      <c r="L199" s="315">
        <f t="shared" si="7"/>
        <v>396911048.7299999</v>
      </c>
      <c r="N199" t="b">
        <f ca="1">IF('II-I-Total'!$U$199=L199,TRUE)</f>
        <v>1</v>
      </c>
    </row>
    <row r="200" spans="2:29" x14ac:dyDescent="0.2"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2:29" ht="15" x14ac:dyDescent="0.25">
      <c r="B201" s="783"/>
      <c r="C201" s="783"/>
      <c r="D201" s="783"/>
      <c r="E201" s="783"/>
      <c r="F201" s="64"/>
      <c r="G201" s="105"/>
      <c r="H201" s="64"/>
      <c r="I201" s="105"/>
      <c r="J201" s="64"/>
      <c r="K201" s="105"/>
      <c r="L201" s="783"/>
    </row>
    <row r="202" spans="2:29" ht="15.75" thickBot="1" x14ac:dyDescent="0.3">
      <c r="B202" s="339"/>
      <c r="C202" s="304"/>
      <c r="D202" s="304"/>
      <c r="E202" s="783"/>
      <c r="F202" s="64"/>
      <c r="G202" s="64"/>
      <c r="H202" s="64"/>
      <c r="I202" s="64"/>
      <c r="J202" s="64"/>
      <c r="K202" s="64"/>
      <c r="L202" s="783"/>
    </row>
    <row r="203" spans="2:29" ht="15" x14ac:dyDescent="0.25">
      <c r="B203" s="829" t="str">
        <f>$B$4</f>
        <v>2025 RATE CASE</v>
      </c>
      <c r="C203" s="835"/>
      <c r="D203" s="836"/>
      <c r="E203" s="783"/>
      <c r="F203" s="11"/>
      <c r="H203" s="11"/>
      <c r="J203" s="11"/>
      <c r="K203"/>
      <c r="L203" s="783"/>
    </row>
    <row r="204" spans="2:29" ht="15" x14ac:dyDescent="0.25">
      <c r="B204" s="826" t="str">
        <f>$B$5</f>
        <v>ONCOR ELECTRIC DELIVERY COMPANY LLC</v>
      </c>
      <c r="C204" s="304"/>
      <c r="D204" s="837"/>
      <c r="E204" s="783"/>
      <c r="F204" s="11"/>
      <c r="H204" s="11"/>
      <c r="J204" s="11"/>
      <c r="K204"/>
      <c r="L204" s="783"/>
    </row>
    <row r="205" spans="2:29" ht="15" x14ac:dyDescent="0.25">
      <c r="B205" s="341" t="str">
        <f>$B$6</f>
        <v>II-I-2.1f:  CONSOLIDATED FUNCTIONALIZED COST OF SERVICE</v>
      </c>
      <c r="C205" s="304"/>
      <c r="D205" s="837"/>
      <c r="E205" s="783"/>
      <c r="F205" s="11"/>
      <c r="H205" s="11"/>
      <c r="J205" s="11"/>
      <c r="K205"/>
      <c r="L205" s="783"/>
    </row>
    <row r="206" spans="2:29" ht="15" x14ac:dyDescent="0.25">
      <c r="B206" s="341" t="str">
        <f>$B$7</f>
        <v>TEST YEAR ENDING 12/31/2024</v>
      </c>
      <c r="C206" s="304"/>
      <c r="D206" s="837"/>
      <c r="E206" s="304"/>
      <c r="F206" s="11"/>
      <c r="H206" s="11"/>
      <c r="J206" s="11"/>
      <c r="K206"/>
      <c r="L206" s="304"/>
    </row>
    <row r="207" spans="2:29" ht="15" x14ac:dyDescent="0.25">
      <c r="B207" s="341" t="str">
        <f>$B$8</f>
        <v>SPONSOR:  MATTHEW A. TROXLE</v>
      </c>
      <c r="C207" s="304"/>
      <c r="D207" s="837"/>
      <c r="E207" s="304"/>
      <c r="F207" s="11"/>
      <c r="H207" s="11"/>
      <c r="J207" s="11"/>
      <c r="K207"/>
      <c r="L207" s="304"/>
    </row>
    <row r="208" spans="2:29" ht="15.75" thickBot="1" x14ac:dyDescent="0.3">
      <c r="B208" s="863"/>
      <c r="C208" s="840"/>
      <c r="D208" s="841"/>
      <c r="E208" s="304"/>
      <c r="F208" s="11"/>
      <c r="H208" s="11"/>
      <c r="J208" s="11"/>
      <c r="K208"/>
      <c r="L208" s="304"/>
    </row>
    <row r="209" spans="2:29" x14ac:dyDescent="0.2">
      <c r="B209" s="12"/>
      <c r="C209" s="13"/>
      <c r="D209" s="177"/>
      <c r="E209" s="13"/>
      <c r="F209" s="12"/>
      <c r="G209" s="13"/>
      <c r="H209" s="12"/>
      <c r="I209" s="13"/>
      <c r="J209" s="12"/>
      <c r="K209" s="13"/>
      <c r="L209" s="855"/>
      <c r="M209" s="938"/>
      <c r="T209" s="321"/>
      <c r="U209" s="321"/>
      <c r="V209" s="321"/>
      <c r="W209" s="321"/>
    </row>
    <row r="210" spans="2:29" ht="15" x14ac:dyDescent="0.25">
      <c r="B210" s="14" t="s">
        <v>2</v>
      </c>
      <c r="C210" s="14" t="s">
        <v>349</v>
      </c>
      <c r="D210" s="180" t="s">
        <v>103</v>
      </c>
      <c r="E210" s="14" t="s">
        <v>350</v>
      </c>
      <c r="F210" s="226" t="str">
        <f>'II-I-DIST'!F210</f>
        <v>DIST</v>
      </c>
      <c r="G210" s="181" t="str">
        <f>'II-I-DIST'!H210</f>
        <v>Allocation</v>
      </c>
      <c r="H210" s="226" t="str">
        <f>'II-I-MET'!F210</f>
        <v>MET</v>
      </c>
      <c r="I210" s="181" t="str">
        <f>'II-I-MET'!H210</f>
        <v>Allocation</v>
      </c>
      <c r="J210" s="226" t="str">
        <f>'II-I-TBILLTDCS'!F210</f>
        <v>TBILLTDCS</v>
      </c>
      <c r="K210" s="181" t="str">
        <f>'II-I-TBILLTDCS'!H210</f>
        <v>Allocation</v>
      </c>
      <c r="L210" s="660" t="s">
        <v>434</v>
      </c>
      <c r="M210" s="932" t="s">
        <v>970</v>
      </c>
    </row>
    <row r="211" spans="2:29" x14ac:dyDescent="0.2">
      <c r="B211" s="14"/>
      <c r="C211" s="14"/>
      <c r="D211" s="181"/>
      <c r="E211" s="14"/>
      <c r="F211" s="14"/>
      <c r="G211" s="181" t="str">
        <f>'II-I-DIST'!H211</f>
        <v>Factor</v>
      </c>
      <c r="H211" s="14"/>
      <c r="I211" s="181" t="str">
        <f>'II-I-MET'!H211</f>
        <v>Factor</v>
      </c>
      <c r="J211" s="14"/>
      <c r="K211" s="181" t="str">
        <f>'II-I-TBILLTDCS'!H211</f>
        <v>Factor</v>
      </c>
      <c r="L211" s="660" t="s">
        <v>31</v>
      </c>
      <c r="M211" s="939"/>
    </row>
    <row r="212" spans="2:29" ht="15.75" thickBot="1" x14ac:dyDescent="0.25">
      <c r="B212" s="182"/>
      <c r="C212" s="860"/>
      <c r="D212" s="184"/>
      <c r="E212" s="184"/>
      <c r="F212" s="15" t="str">
        <f>'II-I-DIST'!F212</f>
        <v>(a)</v>
      </c>
      <c r="G212" s="15" t="str">
        <f>'II-I-DIST'!H212</f>
        <v>(c)</v>
      </c>
      <c r="H212" s="664" t="str">
        <f>'II-I-MET'!F212</f>
        <v>(a)</v>
      </c>
      <c r="I212" s="15" t="str">
        <f>'II-I-MET'!H212</f>
        <v>(c)</v>
      </c>
      <c r="J212" s="664" t="str">
        <f>'II-I-TBILLTDCS'!F212</f>
        <v>(a)</v>
      </c>
      <c r="K212" s="15" t="str">
        <f>'II-I-TBILLTDCS'!H212</f>
        <v>(c)</v>
      </c>
      <c r="L212" s="664" t="s">
        <v>19</v>
      </c>
      <c r="M212" s="934" t="s">
        <v>20</v>
      </c>
      <c r="X212" s="321"/>
      <c r="Y212" s="321"/>
    </row>
    <row r="213" spans="2:29" x14ac:dyDescent="0.2">
      <c r="B213" s="64"/>
      <c r="C213" s="96"/>
      <c r="D213" s="96"/>
      <c r="E213" s="251"/>
      <c r="F213" s="96"/>
      <c r="G213" s="251"/>
      <c r="H213" s="96"/>
      <c r="I213" s="251"/>
      <c r="J213" s="96"/>
      <c r="K213" s="251"/>
      <c r="L213" s="647"/>
    </row>
    <row r="214" spans="2:29" ht="72" customHeight="1" x14ac:dyDescent="0.2">
      <c r="B214" s="401">
        <v>1</v>
      </c>
      <c r="C214" s="1" t="s">
        <v>1237</v>
      </c>
      <c r="D214" s="1" t="s">
        <v>1230</v>
      </c>
      <c r="E214" s="16" t="s">
        <v>104</v>
      </c>
      <c r="F214" s="18">
        <f>'II-I-DIST'!F214</f>
        <v>68043568.759999901</v>
      </c>
      <c r="G214" s="647" t="str">
        <f>'II-I-DIST'!H214</f>
        <v>PLTGEN_N</v>
      </c>
      <c r="H214" s="18">
        <f>'II-I-MET'!F214</f>
        <v>16420909.21000002</v>
      </c>
      <c r="I214" s="45" t="str">
        <f>'II-I-MET'!H214</f>
        <v>PLTGEN_N</v>
      </c>
      <c r="J214" s="18">
        <f>'II-I-TBILLTDCS'!F214</f>
        <v>43509118.869999982</v>
      </c>
      <c r="K214" s="45" t="str">
        <f>'II-I-TBILLTDCS'!H214</f>
        <v>PLTGEN_N</v>
      </c>
      <c r="L214" s="802">
        <f t="shared" ref="L214:L215" si="9">F214+H214+J214</f>
        <v>127973596.83999991</v>
      </c>
      <c r="M214" s="942" t="str">
        <f>M139</f>
        <v>Computer Hardware/Software &amp; Communications Equipment related to DIST, MET, and TDCSBILL functions</v>
      </c>
      <c r="N214" t="b">
        <f ca="1">IF('II-I-Total'!$U$214=L214,TRUE)</f>
        <v>1</v>
      </c>
    </row>
    <row r="215" spans="2:29" ht="30" customHeight="1" x14ac:dyDescent="0.2">
      <c r="B215" s="401">
        <v>2</v>
      </c>
      <c r="C215" s="1" t="s">
        <v>1238</v>
      </c>
      <c r="D215" s="1" t="s">
        <v>1232</v>
      </c>
      <c r="E215" s="16"/>
      <c r="F215" s="18">
        <f>'II-I-DIST'!F215</f>
        <v>188210803.86999995</v>
      </c>
      <c r="G215" s="647" t="str">
        <f>'II-I-DIST'!H215</f>
        <v>PLTGEN_N</v>
      </c>
      <c r="H215" s="18">
        <f>'II-I-MET'!F215</f>
        <v>5189735.49</v>
      </c>
      <c r="I215" s="45" t="str">
        <f>'II-I-MET'!H215</f>
        <v>PLTGEN_N</v>
      </c>
      <c r="J215" s="18">
        <f>'II-I-TBILLTDCS'!F215</f>
        <v>364002.32</v>
      </c>
      <c r="K215" s="45" t="str">
        <f>'II-I-TBILLTDCS'!H215</f>
        <v>PLTGEN_N</v>
      </c>
      <c r="L215" s="802">
        <f t="shared" si="9"/>
        <v>193764541.67999995</v>
      </c>
      <c r="M215" s="942" t="s">
        <v>1318</v>
      </c>
      <c r="N215" t="b">
        <f ca="1">IF('II-I-Total'!$U$215=L215,TRUE)</f>
        <v>1</v>
      </c>
    </row>
    <row r="216" spans="2:29" s="321" customFormat="1" ht="15" x14ac:dyDescent="0.25">
      <c r="B216" s="16">
        <v>3</v>
      </c>
      <c r="C216" s="1" t="s">
        <v>1239</v>
      </c>
      <c r="D216" s="1" t="s">
        <v>103</v>
      </c>
      <c r="E216" s="1527"/>
      <c r="F216" s="18">
        <f>'II-I-DIST'!F216</f>
        <v>58294861.840000004</v>
      </c>
      <c r="G216" s="647" t="str">
        <f>'II-I-DIST'!H216</f>
        <v>PLTGEN_N</v>
      </c>
      <c r="H216" s="1121">
        <f>'II-I-MET'!F216</f>
        <v>11299012.679999974</v>
      </c>
      <c r="I216" s="45" t="str">
        <f>'II-I-MET'!H216</f>
        <v>PLTGEN_N</v>
      </c>
      <c r="J216" s="1121">
        <f>'II-I-TBILLTDCS'!F216</f>
        <v>7491197.5099999998</v>
      </c>
      <c r="K216" s="45" t="str">
        <f>'II-I-TBILLTDCS'!H216</f>
        <v>PLTGEN_N</v>
      </c>
      <c r="L216" s="802">
        <f>F216+H216+J216</f>
        <v>77085072.029999986</v>
      </c>
      <c r="M216" s="941" t="s">
        <v>1318</v>
      </c>
      <c r="N216" t="b">
        <f ca="1">IF('II-I-Total'!$U$216=L216,TRUE)</f>
        <v>1</v>
      </c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ht="15" x14ac:dyDescent="0.25">
      <c r="B217" s="16">
        <f t="shared" ref="B217:B225" si="10">B216+1</f>
        <v>4</v>
      </c>
      <c r="C217" s="8"/>
      <c r="D217" s="233" t="s">
        <v>444</v>
      </c>
      <c r="E217" s="1527"/>
      <c r="F217" s="805">
        <f>'II-I-DIST'!F217</f>
        <v>314549234.46999985</v>
      </c>
      <c r="G217" s="1527"/>
      <c r="H217" s="805">
        <f>'II-I-MET'!F217</f>
        <v>32909657.379999992</v>
      </c>
      <c r="I217" s="1527"/>
      <c r="J217" s="805">
        <f>'II-I-TBILLTDCS'!F217</f>
        <v>51364318.699999981</v>
      </c>
      <c r="K217" s="1527"/>
      <c r="L217" s="805">
        <f>F217+H217+J217</f>
        <v>398823210.54999983</v>
      </c>
    </row>
    <row r="218" spans="2:29" ht="15.75" thickBot="1" x14ac:dyDescent="0.3">
      <c r="B218" s="16">
        <f t="shared" si="10"/>
        <v>5</v>
      </c>
      <c r="C218" s="1"/>
      <c r="D218" s="233"/>
      <c r="E218" s="16"/>
      <c r="F218" s="18">
        <f>'II-I-DIST'!F218</f>
        <v>0</v>
      </c>
      <c r="G218" s="16"/>
      <c r="H218" s="18">
        <f>'II-I-MET'!F218</f>
        <v>0</v>
      </c>
      <c r="I218" s="16"/>
      <c r="J218" s="18">
        <f>'II-I-TBILLTDCS'!F218</f>
        <v>0</v>
      </c>
      <c r="K218" s="16"/>
      <c r="L218" s="803"/>
    </row>
    <row r="219" spans="2:29" ht="15.75" thickBot="1" x14ac:dyDescent="0.3">
      <c r="B219" s="16">
        <f t="shared" si="10"/>
        <v>6</v>
      </c>
      <c r="C219" s="223" t="s">
        <v>505</v>
      </c>
      <c r="D219" s="224"/>
      <c r="E219" s="252"/>
      <c r="F219" s="253">
        <f>'II-I-DIST'!F219</f>
        <v>314549234.46999985</v>
      </c>
      <c r="G219" s="379"/>
      <c r="H219" s="253">
        <f>'II-I-MET'!F219</f>
        <v>32909657.379999992</v>
      </c>
      <c r="I219" s="379"/>
      <c r="J219" s="253">
        <f>'II-I-TBILLTDCS'!F219</f>
        <v>51364318.699999981</v>
      </c>
      <c r="K219" s="379"/>
      <c r="L219" s="195">
        <f>F219+H219+J219</f>
        <v>398823210.54999983</v>
      </c>
    </row>
    <row r="220" spans="2:29" ht="15" thickBot="1" x14ac:dyDescent="0.25">
      <c r="B220" s="16">
        <f t="shared" si="10"/>
        <v>7</v>
      </c>
      <c r="C220" s="11"/>
      <c r="D220" s="11"/>
      <c r="E220" s="10"/>
      <c r="F220" s="11"/>
      <c r="G220" s="10"/>
      <c r="H220" s="11"/>
      <c r="I220" s="10"/>
      <c r="J220" s="11"/>
      <c r="K220" s="10"/>
      <c r="L220" s="571"/>
    </row>
    <row r="221" spans="2:29" ht="15.75" thickBot="1" x14ac:dyDescent="0.3">
      <c r="B221" s="16">
        <f t="shared" si="10"/>
        <v>8</v>
      </c>
      <c r="C221" s="223" t="s">
        <v>506</v>
      </c>
      <c r="D221" s="224"/>
      <c r="E221" s="252" t="s">
        <v>507</v>
      </c>
      <c r="F221" s="253">
        <f>'II-I-DIST'!F221</f>
        <v>644103567.17999983</v>
      </c>
      <c r="G221" s="379"/>
      <c r="H221" s="253">
        <f>'II-I-MET'!F221</f>
        <v>78421184.279999971</v>
      </c>
      <c r="I221" s="379"/>
      <c r="J221" s="253">
        <f>'II-I-TBILLTDCS'!F221</f>
        <v>73209507.819999963</v>
      </c>
      <c r="K221" s="379"/>
      <c r="L221" s="195">
        <f>F221+H221+J221</f>
        <v>795734259.27999973</v>
      </c>
    </row>
    <row r="222" spans="2:29" ht="15" thickBot="1" x14ac:dyDescent="0.25">
      <c r="B222" s="16">
        <f t="shared" si="10"/>
        <v>9</v>
      </c>
      <c r="C222" s="11"/>
      <c r="D222" s="11"/>
      <c r="E222" s="10"/>
      <c r="F222" s="11"/>
      <c r="G222" s="10"/>
      <c r="H222" s="11"/>
      <c r="I222" s="10"/>
      <c r="J222" s="11"/>
      <c r="K222" s="10"/>
      <c r="L222" s="571"/>
    </row>
    <row r="223" spans="2:29" ht="15.75" thickBot="1" x14ac:dyDescent="0.3">
      <c r="B223" s="16">
        <f t="shared" si="10"/>
        <v>10</v>
      </c>
      <c r="C223" s="223" t="s">
        <v>508</v>
      </c>
      <c r="D223" s="224"/>
      <c r="E223" s="252" t="s">
        <v>509</v>
      </c>
      <c r="F223" s="812">
        <f>'II-I-DIST'!F223</f>
        <v>20559929669.059998</v>
      </c>
      <c r="G223" s="379"/>
      <c r="H223" s="812">
        <f>'II-I-MET'!F223</f>
        <v>863729138.29999995</v>
      </c>
      <c r="I223" s="379"/>
      <c r="J223" s="812">
        <f>'II-I-TBILLTDCS'!F223</f>
        <v>408228069.49999988</v>
      </c>
      <c r="K223" s="379"/>
      <c r="L223" s="315">
        <f>F223+H223+J223</f>
        <v>21831886876.859997</v>
      </c>
    </row>
    <row r="224" spans="2:29" ht="15.75" thickBot="1" x14ac:dyDescent="0.3">
      <c r="B224" s="16">
        <f t="shared" si="10"/>
        <v>11</v>
      </c>
      <c r="C224" s="8"/>
      <c r="D224" s="1"/>
      <c r="E224" s="16"/>
      <c r="F224" s="1"/>
      <c r="G224" s="16"/>
      <c r="H224" s="1"/>
      <c r="I224" s="16"/>
      <c r="J224" s="1"/>
      <c r="K224" s="16"/>
      <c r="L224" s="647"/>
    </row>
    <row r="225" spans="2:25" ht="15.75" thickBot="1" x14ac:dyDescent="0.3">
      <c r="B225" s="16">
        <f t="shared" si="10"/>
        <v>12</v>
      </c>
      <c r="C225" s="223" t="s">
        <v>510</v>
      </c>
      <c r="D225" s="224"/>
      <c r="E225" s="252" t="s">
        <v>509</v>
      </c>
      <c r="F225" s="812">
        <f>'II-I-DIST'!F225</f>
        <v>20551283885.059998</v>
      </c>
      <c r="G225" s="379"/>
      <c r="H225" s="812">
        <f>'II-I-MET'!F225</f>
        <v>863404778.29999995</v>
      </c>
      <c r="I225" s="379"/>
      <c r="J225" s="812">
        <f>'II-I-TBILLTDCS'!F225</f>
        <v>408082743.49999988</v>
      </c>
      <c r="K225" s="379"/>
      <c r="L225" s="842">
        <f>F225+H225+J225</f>
        <v>21822771406.859997</v>
      </c>
    </row>
    <row r="226" spans="2:25" x14ac:dyDescent="0.2">
      <c r="B226" s="64"/>
      <c r="C226" s="64"/>
      <c r="D226" s="64"/>
      <c r="E226" s="64"/>
      <c r="F226" s="64"/>
      <c r="G226" s="64"/>
      <c r="H226" s="64"/>
      <c r="I226" s="64"/>
      <c r="J226" s="64"/>
      <c r="K226" s="64"/>
    </row>
    <row r="227" spans="2:25" ht="15" x14ac:dyDescent="0.25">
      <c r="B227" s="783"/>
      <c r="C227" s="783"/>
      <c r="D227" s="783"/>
      <c r="E227" s="783"/>
      <c r="F227" s="64"/>
      <c r="G227" s="105"/>
      <c r="H227" s="64"/>
      <c r="I227" s="105"/>
      <c r="J227" s="64"/>
      <c r="K227" s="105"/>
      <c r="L227" s="783"/>
    </row>
    <row r="228" spans="2:25" ht="15.75" thickBot="1" x14ac:dyDescent="0.3">
      <c r="C228" s="783"/>
      <c r="D228" s="783"/>
      <c r="E228" s="783"/>
      <c r="F228" s="64"/>
      <c r="G228" s="64"/>
      <c r="H228" s="64"/>
      <c r="I228" s="64"/>
      <c r="J228" s="64"/>
      <c r="K228" s="64"/>
      <c r="L228" s="783"/>
    </row>
    <row r="229" spans="2:25" ht="15" x14ac:dyDescent="0.25">
      <c r="B229" s="829" t="str">
        <f>$B$4</f>
        <v>2025 RATE CASE</v>
      </c>
      <c r="C229" s="835"/>
      <c r="D229" s="836"/>
      <c r="E229" s="783"/>
      <c r="F229" s="11"/>
      <c r="H229" s="11"/>
      <c r="J229" s="11"/>
      <c r="K229"/>
      <c r="L229" s="783"/>
    </row>
    <row r="230" spans="2:25" ht="15" x14ac:dyDescent="0.25">
      <c r="B230" s="826" t="str">
        <f>$B$5</f>
        <v>ONCOR ELECTRIC DELIVERY COMPANY LLC</v>
      </c>
      <c r="C230" s="304"/>
      <c r="D230" s="837"/>
      <c r="E230" s="783"/>
      <c r="F230" s="11"/>
      <c r="H230" s="11"/>
      <c r="J230" s="11"/>
      <c r="K230"/>
      <c r="L230" s="783"/>
    </row>
    <row r="231" spans="2:25" ht="15" x14ac:dyDescent="0.25">
      <c r="B231" s="341" t="str">
        <f>$B$6</f>
        <v>II-I-2.1f:  CONSOLIDATED FUNCTIONALIZED COST OF SERVICE</v>
      </c>
      <c r="C231" s="304"/>
      <c r="D231" s="837"/>
      <c r="E231" s="783"/>
      <c r="F231" s="11"/>
      <c r="H231" s="11"/>
      <c r="J231" s="11"/>
      <c r="K231"/>
      <c r="L231" s="783"/>
    </row>
    <row r="232" spans="2:25" ht="15" x14ac:dyDescent="0.25">
      <c r="B232" s="341" t="str">
        <f>$B$7</f>
        <v>TEST YEAR ENDING 12/31/2024</v>
      </c>
      <c r="C232" s="304"/>
      <c r="D232" s="837"/>
      <c r="E232" s="304"/>
      <c r="F232" s="11"/>
      <c r="H232" s="11"/>
      <c r="J232" s="11"/>
      <c r="K232"/>
      <c r="L232" s="304"/>
    </row>
    <row r="233" spans="2:25" ht="15" x14ac:dyDescent="0.25">
      <c r="B233" s="341" t="str">
        <f>$B$8</f>
        <v>SPONSOR:  MATTHEW A. TROXLE</v>
      </c>
      <c r="C233" s="304"/>
      <c r="D233" s="837"/>
      <c r="E233" s="304"/>
      <c r="F233" s="11"/>
      <c r="H233" s="11"/>
      <c r="J233" s="11"/>
      <c r="K233"/>
      <c r="L233" s="304"/>
    </row>
    <row r="234" spans="2:25" ht="15.75" thickBot="1" x14ac:dyDescent="0.3">
      <c r="B234" s="345"/>
      <c r="C234" s="840"/>
      <c r="D234" s="841"/>
      <c r="E234" s="304"/>
      <c r="F234" s="11"/>
      <c r="H234" s="11"/>
      <c r="J234" s="11"/>
      <c r="K234"/>
      <c r="L234" s="304"/>
      <c r="T234" s="321"/>
      <c r="U234" s="321"/>
      <c r="V234" s="321"/>
      <c r="W234" s="321"/>
    </row>
    <row r="235" spans="2:25" x14ac:dyDescent="0.2">
      <c r="B235" s="12"/>
      <c r="C235" s="13"/>
      <c r="D235" s="177"/>
      <c r="E235" s="13"/>
      <c r="F235" s="12"/>
      <c r="G235" s="13"/>
      <c r="H235" s="12"/>
      <c r="I235" s="13"/>
      <c r="J235" s="12"/>
      <c r="K235" s="13"/>
      <c r="L235" s="855"/>
      <c r="M235" s="938"/>
    </row>
    <row r="236" spans="2:25" ht="15" x14ac:dyDescent="0.25">
      <c r="B236" s="14" t="s">
        <v>2</v>
      </c>
      <c r="C236" s="14" t="s">
        <v>349</v>
      </c>
      <c r="D236" s="180" t="s">
        <v>511</v>
      </c>
      <c r="E236" s="14" t="s">
        <v>350</v>
      </c>
      <c r="F236" s="226" t="str">
        <f>'II-I-DIST'!F236</f>
        <v>DIST</v>
      </c>
      <c r="G236" s="181" t="str">
        <f>'II-I-DIST'!H236</f>
        <v>Allocation</v>
      </c>
      <c r="H236" s="226" t="str">
        <f>'II-I-MET'!F236</f>
        <v>MET</v>
      </c>
      <c r="I236" s="181" t="str">
        <f>'II-I-MET'!H236</f>
        <v>Allocation</v>
      </c>
      <c r="J236" s="226" t="str">
        <f>'II-I-TBILLTDCS'!F236</f>
        <v>TBILLTDCS</v>
      </c>
      <c r="K236" s="181" t="str">
        <f>'II-I-TBILLTDCS'!H236</f>
        <v>Allocation</v>
      </c>
      <c r="L236" s="660" t="s">
        <v>434</v>
      </c>
      <c r="M236" s="932" t="s">
        <v>970</v>
      </c>
    </row>
    <row r="237" spans="2:25" x14ac:dyDescent="0.2">
      <c r="B237" s="14"/>
      <c r="C237" s="14"/>
      <c r="D237" s="181"/>
      <c r="E237" s="14"/>
      <c r="F237" s="14"/>
      <c r="G237" s="181" t="str">
        <f>'II-I-DIST'!H237</f>
        <v>Factor</v>
      </c>
      <c r="H237" s="14"/>
      <c r="I237" s="181" t="str">
        <f>'II-I-MET'!H237</f>
        <v>Factor</v>
      </c>
      <c r="J237" s="14"/>
      <c r="K237" s="181" t="str">
        <f>'II-I-TBILLTDCS'!H237</f>
        <v>Factor</v>
      </c>
      <c r="L237" s="660" t="s">
        <v>31</v>
      </c>
      <c r="M237" s="939"/>
      <c r="X237" s="321"/>
      <c r="Y237" s="321"/>
    </row>
    <row r="238" spans="2:25" ht="15.75" thickBot="1" x14ac:dyDescent="0.25">
      <c r="B238" s="182"/>
      <c r="C238" s="860"/>
      <c r="D238" s="184"/>
      <c r="E238" s="184"/>
      <c r="F238" s="15" t="str">
        <f>'II-I-DIST'!F238</f>
        <v>(a)</v>
      </c>
      <c r="G238" s="15" t="str">
        <f>'II-I-DIST'!H238</f>
        <v>(c)</v>
      </c>
      <c r="H238" s="664" t="str">
        <f>'II-I-MET'!F238</f>
        <v>(a)</v>
      </c>
      <c r="I238" s="15" t="str">
        <f>'II-I-MET'!H238</f>
        <v>(c)</v>
      </c>
      <c r="J238" s="664" t="str">
        <f>'II-I-TBILLTDCS'!F238</f>
        <v>(a)</v>
      </c>
      <c r="K238" s="15" t="str">
        <f>'II-I-TBILLTDCS'!H238</f>
        <v>(c)</v>
      </c>
      <c r="L238" s="664" t="s">
        <v>19</v>
      </c>
      <c r="M238" s="934" t="s">
        <v>20</v>
      </c>
    </row>
    <row r="239" spans="2:25" x14ac:dyDescent="0.2">
      <c r="B239" s="64"/>
      <c r="C239" s="96"/>
      <c r="D239" s="96"/>
      <c r="E239" s="251"/>
      <c r="F239" s="96"/>
      <c r="G239" s="251"/>
      <c r="H239" s="96"/>
      <c r="I239" s="251"/>
      <c r="J239" s="96"/>
      <c r="K239" s="251"/>
      <c r="L239" s="647"/>
    </row>
    <row r="240" spans="2:25" ht="15" x14ac:dyDescent="0.25">
      <c r="B240" s="16">
        <f>B239+1</f>
        <v>1</v>
      </c>
      <c r="C240" s="8"/>
      <c r="D240" s="8" t="s">
        <v>511</v>
      </c>
      <c r="E240" s="831"/>
      <c r="F240" s="8"/>
      <c r="G240" s="1308"/>
      <c r="H240" s="8"/>
      <c r="I240" s="1308"/>
      <c r="J240" s="8"/>
      <c r="K240" s="1308"/>
      <c r="L240" s="8"/>
    </row>
    <row r="241" spans="2:29" s="321" customFormat="1" x14ac:dyDescent="0.2">
      <c r="B241" s="16">
        <f>B240+1</f>
        <v>2</v>
      </c>
      <c r="C241" s="1" t="s">
        <v>512</v>
      </c>
      <c r="D241" s="1" t="s">
        <v>111</v>
      </c>
      <c r="E241" s="16"/>
      <c r="F241" s="229">
        <f>'II-I-DIST'!F241</f>
        <v>0</v>
      </c>
      <c r="G241" s="45" t="str">
        <f>'II-I-DIST'!H241</f>
        <v>NCP XHV</v>
      </c>
      <c r="H241" s="97">
        <f>'II-I-MET'!F241</f>
        <v>0</v>
      </c>
      <c r="I241" s="45" t="str">
        <f>'II-I-MET'!H241</f>
        <v>NCP XHV</v>
      </c>
      <c r="J241" s="97">
        <f>'II-I-TBILLTDCS'!F241</f>
        <v>0</v>
      </c>
      <c r="K241" s="45" t="str">
        <f>'II-I-TBILLTDCS'!H241</f>
        <v>NCP XHV</v>
      </c>
      <c r="L241" s="802">
        <f>F241+H241+J241</f>
        <v>0</v>
      </c>
      <c r="M241" s="935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ht="15" x14ac:dyDescent="0.25">
      <c r="B242" s="16">
        <f>B241+1</f>
        <v>3</v>
      </c>
      <c r="C242" s="1"/>
      <c r="D242" s="233" t="s">
        <v>444</v>
      </c>
      <c r="E242" s="831"/>
      <c r="F242" s="805">
        <f>'II-I-DIST'!F242</f>
        <v>0</v>
      </c>
      <c r="G242" s="1308"/>
      <c r="H242" s="805">
        <f>'II-I-MET'!F242</f>
        <v>0</v>
      </c>
      <c r="I242" s="1308"/>
      <c r="J242" s="805">
        <f>'II-I-TBILLTDCS'!F242</f>
        <v>0</v>
      </c>
      <c r="K242" s="1308"/>
      <c r="L242" s="805">
        <f>F242+H242+J242</f>
        <v>0</v>
      </c>
    </row>
    <row r="243" spans="2:29" ht="15.75" thickBot="1" x14ac:dyDescent="0.3">
      <c r="B243" s="16">
        <f>B242+1</f>
        <v>4</v>
      </c>
      <c r="C243" s="1"/>
      <c r="D243" s="1"/>
      <c r="E243" s="831"/>
      <c r="F243" s="18">
        <f>'II-I-DIST'!F243</f>
        <v>0</v>
      </c>
      <c r="G243" s="1308"/>
      <c r="H243" s="18">
        <f>'II-I-MET'!F243</f>
        <v>0</v>
      </c>
      <c r="I243" s="1308"/>
      <c r="J243" s="18">
        <f>'II-I-TBILLTDCS'!F243</f>
        <v>0</v>
      </c>
      <c r="K243" s="1308"/>
      <c r="L243" s="803"/>
    </row>
    <row r="244" spans="2:29" ht="15.75" thickBot="1" x14ac:dyDescent="0.3">
      <c r="B244" s="16">
        <f>B243+1</f>
        <v>5</v>
      </c>
      <c r="C244" s="223" t="s">
        <v>513</v>
      </c>
      <c r="D244" s="224"/>
      <c r="E244" s="252" t="s">
        <v>112</v>
      </c>
      <c r="F244" s="812">
        <f>'II-I-DIST'!F244</f>
        <v>0</v>
      </c>
      <c r="G244" s="379"/>
      <c r="H244" s="812">
        <f>'II-I-MET'!F244</f>
        <v>0</v>
      </c>
      <c r="I244" s="379"/>
      <c r="J244" s="812">
        <f>'II-I-TBILLTDCS'!F244</f>
        <v>0</v>
      </c>
      <c r="K244" s="379"/>
      <c r="L244" s="842">
        <f>F244+H244+J244</f>
        <v>0</v>
      </c>
    </row>
    <row r="245" spans="2:29" ht="15.75" thickBot="1" x14ac:dyDescent="0.3">
      <c r="B245" s="783"/>
      <c r="C245" s="783"/>
      <c r="D245" s="783"/>
      <c r="E245" s="783"/>
      <c r="F245" s="64"/>
      <c r="G245" s="64"/>
      <c r="H245" s="64"/>
      <c r="I245" s="64"/>
      <c r="J245" s="64"/>
      <c r="K245" s="64"/>
      <c r="L245" s="783"/>
    </row>
    <row r="246" spans="2:29" ht="15" x14ac:dyDescent="0.25">
      <c r="B246" s="829" t="str">
        <f>$B$4</f>
        <v>2025 RATE CASE</v>
      </c>
      <c r="C246" s="835"/>
      <c r="D246" s="836"/>
      <c r="E246" s="783"/>
      <c r="F246" s="64"/>
      <c r="G246" s="105"/>
      <c r="H246" s="64"/>
      <c r="I246" s="105"/>
      <c r="J246" s="64"/>
      <c r="K246" s="105"/>
      <c r="L246" s="783"/>
    </row>
    <row r="247" spans="2:29" ht="15" x14ac:dyDescent="0.25">
      <c r="B247" s="826" t="str">
        <f>$B$5</f>
        <v>ONCOR ELECTRIC DELIVERY COMPANY LLC</v>
      </c>
      <c r="C247" s="304"/>
      <c r="D247" s="837"/>
      <c r="E247" s="783"/>
      <c r="F247" s="64"/>
      <c r="G247" s="64"/>
      <c r="H247" s="64"/>
      <c r="I247" s="64"/>
      <c r="J247" s="64"/>
      <c r="K247" s="64"/>
      <c r="L247" s="783"/>
    </row>
    <row r="248" spans="2:29" ht="15" x14ac:dyDescent="0.25">
      <c r="B248" s="341" t="str">
        <f>$B$6</f>
        <v>II-I-2.1f:  CONSOLIDATED FUNCTIONALIZED COST OF SERVICE</v>
      </c>
      <c r="C248" s="304"/>
      <c r="D248" s="837"/>
      <c r="E248" s="783"/>
      <c r="F248" s="11"/>
      <c r="G248" s="64"/>
      <c r="H248" s="11"/>
      <c r="I248" s="64"/>
      <c r="J248" s="11"/>
      <c r="K248" s="64"/>
      <c r="L248" s="783"/>
    </row>
    <row r="249" spans="2:29" ht="15" x14ac:dyDescent="0.25">
      <c r="B249" s="341" t="str">
        <f>$B$7</f>
        <v>TEST YEAR ENDING 12/31/2024</v>
      </c>
      <c r="C249" s="304"/>
      <c r="D249" s="837"/>
      <c r="E249" s="783"/>
      <c r="F249" s="11"/>
      <c r="G249" s="64"/>
      <c r="H249" s="11"/>
      <c r="I249" s="64"/>
      <c r="J249" s="11"/>
      <c r="K249" s="64"/>
      <c r="L249" s="783"/>
    </row>
    <row r="250" spans="2:29" ht="15.75" x14ac:dyDescent="0.25">
      <c r="B250" s="341" t="str">
        <f>$B$8</f>
        <v>SPONSOR:  MATTHEW A. TROXLE</v>
      </c>
      <c r="C250" s="752"/>
      <c r="D250" s="830"/>
      <c r="E250" s="64"/>
      <c r="F250" s="11"/>
      <c r="G250" s="64"/>
      <c r="H250" s="11"/>
      <c r="I250" s="64"/>
      <c r="J250" s="11"/>
      <c r="K250" s="64"/>
    </row>
    <row r="251" spans="2:29" ht="15.75" thickBot="1" x14ac:dyDescent="0.3">
      <c r="B251" s="345"/>
      <c r="C251" s="840"/>
      <c r="D251" s="841"/>
      <c r="E251" s="304"/>
      <c r="F251" s="11"/>
      <c r="G251" s="64"/>
      <c r="H251" s="11"/>
      <c r="I251" s="64"/>
      <c r="J251" s="11"/>
      <c r="K251" s="64"/>
      <c r="L251" s="304"/>
      <c r="T251" s="321"/>
      <c r="U251" s="321"/>
      <c r="V251" s="321"/>
      <c r="W251" s="321"/>
    </row>
    <row r="252" spans="2:29" x14ac:dyDescent="0.2">
      <c r="B252" s="12"/>
      <c r="C252" s="13"/>
      <c r="D252" s="13"/>
      <c r="E252" s="13"/>
      <c r="F252" s="12"/>
      <c r="G252" s="13"/>
      <c r="H252" s="12"/>
      <c r="I252" s="13"/>
      <c r="J252" s="12"/>
      <c r="K252" s="13"/>
      <c r="L252" s="855"/>
      <c r="M252" s="938"/>
      <c r="T252" s="321"/>
      <c r="U252" s="321"/>
      <c r="V252" s="321"/>
      <c r="W252" s="321"/>
    </row>
    <row r="253" spans="2:29" ht="15" x14ac:dyDescent="0.25">
      <c r="B253" s="14" t="s">
        <v>2</v>
      </c>
      <c r="C253" s="14" t="s">
        <v>349</v>
      </c>
      <c r="D253" s="226" t="s">
        <v>514</v>
      </c>
      <c r="E253" s="14" t="s">
        <v>350</v>
      </c>
      <c r="F253" s="226" t="str">
        <f>'II-I-DIST'!F253</f>
        <v>DIST</v>
      </c>
      <c r="G253" s="181" t="str">
        <f>'II-I-DIST'!H253</f>
        <v>Allocation</v>
      </c>
      <c r="H253" s="226" t="str">
        <f>'II-I-MET'!F253</f>
        <v>MET</v>
      </c>
      <c r="I253" s="181" t="str">
        <f>'II-I-MET'!H253</f>
        <v>Allocation</v>
      </c>
      <c r="J253" s="226" t="str">
        <f>'II-I-TBILLTDCS'!F253</f>
        <v>TBILLTDCS</v>
      </c>
      <c r="K253" s="181" t="str">
        <f>'II-I-TBILLTDCS'!H253</f>
        <v>Allocation</v>
      </c>
      <c r="L253" s="660" t="s">
        <v>434</v>
      </c>
      <c r="M253" s="932" t="s">
        <v>970</v>
      </c>
      <c r="T253" s="321"/>
      <c r="U253" s="321"/>
      <c r="V253" s="321"/>
      <c r="W253" s="321"/>
    </row>
    <row r="254" spans="2:29" x14ac:dyDescent="0.2">
      <c r="B254" s="14"/>
      <c r="C254" s="14"/>
      <c r="D254" s="14"/>
      <c r="E254" s="14"/>
      <c r="F254" s="14"/>
      <c r="G254" s="181" t="str">
        <f>'II-I-DIST'!H254</f>
        <v>Factor</v>
      </c>
      <c r="H254" s="14"/>
      <c r="I254" s="181" t="str">
        <f>'II-I-MET'!H254</f>
        <v>Factor</v>
      </c>
      <c r="J254" s="14"/>
      <c r="K254" s="181" t="str">
        <f>'II-I-TBILLTDCS'!H254</f>
        <v>Factor</v>
      </c>
      <c r="L254" s="660" t="s">
        <v>31</v>
      </c>
      <c r="M254" s="939"/>
      <c r="X254" s="321"/>
      <c r="Y254" s="321"/>
    </row>
    <row r="255" spans="2:29" ht="15.75" thickBot="1" x14ac:dyDescent="0.25">
      <c r="B255" s="182"/>
      <c r="C255" s="865"/>
      <c r="D255" s="184"/>
      <c r="E255" s="184"/>
      <c r="F255" s="15" t="str">
        <f>'II-I-DIST'!F255</f>
        <v>(a)</v>
      </c>
      <c r="G255" s="15" t="str">
        <f>'II-I-DIST'!H255</f>
        <v>(c)</v>
      </c>
      <c r="H255" s="664" t="str">
        <f>'II-I-MET'!F255</f>
        <v>(a)</v>
      </c>
      <c r="I255" s="15" t="str">
        <f>'II-I-MET'!H255</f>
        <v>(c)</v>
      </c>
      <c r="J255" s="664" t="str">
        <f>'II-I-TBILLTDCS'!F255</f>
        <v>(a)</v>
      </c>
      <c r="K255" s="15" t="str">
        <f>'II-I-TBILLTDCS'!H255</f>
        <v>(c)</v>
      </c>
      <c r="L255" s="664" t="s">
        <v>19</v>
      </c>
      <c r="M255" s="934" t="s">
        <v>20</v>
      </c>
      <c r="X255" s="321"/>
      <c r="Y255" s="321"/>
    </row>
    <row r="256" spans="2:29" x14ac:dyDescent="0.2">
      <c r="B256" s="64"/>
      <c r="C256" s="64"/>
      <c r="D256" s="96"/>
      <c r="E256" s="96"/>
      <c r="F256" s="227"/>
      <c r="G256" s="96"/>
      <c r="H256" s="227"/>
      <c r="I256" s="96"/>
      <c r="J256" s="227"/>
      <c r="K256" s="96"/>
      <c r="L256" s="803"/>
      <c r="T256" s="321"/>
      <c r="U256" s="321"/>
      <c r="V256" s="321"/>
      <c r="W256" s="321"/>
      <c r="X256" s="321"/>
      <c r="Y256" s="321"/>
    </row>
    <row r="257" spans="2:29" ht="15" x14ac:dyDescent="0.25">
      <c r="B257" s="16">
        <f t="shared" ref="B257:B264" si="11">B256+1</f>
        <v>1</v>
      </c>
      <c r="C257" s="8" t="s">
        <v>515</v>
      </c>
      <c r="D257" s="8"/>
      <c r="E257" s="831" t="s">
        <v>24</v>
      </c>
      <c r="F257" s="804"/>
      <c r="G257" s="1308"/>
      <c r="H257" s="804"/>
      <c r="I257" s="1308"/>
      <c r="J257" s="804"/>
      <c r="K257" s="1308"/>
      <c r="L257" s="8"/>
      <c r="T257" s="321"/>
      <c r="U257" s="321"/>
      <c r="V257" s="321"/>
      <c r="W257" s="321"/>
    </row>
    <row r="258" spans="2:29" s="321" customFormat="1" x14ac:dyDescent="0.2">
      <c r="B258" s="16">
        <f t="shared" si="11"/>
        <v>2</v>
      </c>
      <c r="C258" s="1" t="s">
        <v>25</v>
      </c>
      <c r="D258" s="1" t="s">
        <v>26</v>
      </c>
      <c r="E258" s="16"/>
      <c r="F258" s="98">
        <f>'II-I-DIST'!F258</f>
        <v>0</v>
      </c>
      <c r="G258" s="1" t="str">
        <f>'II-I-DIST'!H258</f>
        <v>PLT_N XINT</v>
      </c>
      <c r="H258" s="97">
        <f>'II-I-MET'!F258</f>
        <v>0</v>
      </c>
      <c r="I258" s="45" t="str">
        <f>'II-I-MET'!H258</f>
        <v>PLT_N XINT</v>
      </c>
      <c r="J258" s="97">
        <f>'II-I-TBILLTDCS'!F258</f>
        <v>0</v>
      </c>
      <c r="K258" s="45" t="str">
        <f>'II-I-TBILLTDCS'!H258</f>
        <v>PLT_N XINT</v>
      </c>
      <c r="L258" s="802">
        <f>F258+H258+J258</f>
        <v>0</v>
      </c>
      <c r="M258" s="935"/>
      <c r="R258"/>
      <c r="S258"/>
      <c r="X258"/>
      <c r="Y258"/>
      <c r="Z258"/>
      <c r="AA258"/>
      <c r="AB258"/>
      <c r="AC258"/>
    </row>
    <row r="259" spans="2:29" s="321" customFormat="1" x14ac:dyDescent="0.2">
      <c r="B259" s="16">
        <f t="shared" si="11"/>
        <v>3</v>
      </c>
      <c r="C259" s="1" t="s">
        <v>27</v>
      </c>
      <c r="D259" s="1" t="s">
        <v>28</v>
      </c>
      <c r="E259" s="16"/>
      <c r="F259" s="97">
        <f>'II-I-DIST'!F259</f>
        <v>0</v>
      </c>
      <c r="G259" s="45" t="str">
        <f>'II-I-DIST'!H259</f>
        <v>PLT_N XINT</v>
      </c>
      <c r="H259" s="97">
        <f>'II-I-MET'!F259</f>
        <v>0</v>
      </c>
      <c r="I259" s="45" t="str">
        <f>'II-I-MET'!H259</f>
        <v>PLT_N XINT</v>
      </c>
      <c r="J259" s="97">
        <f>'II-I-TBILLTDCS'!F259</f>
        <v>0</v>
      </c>
      <c r="K259" s="45" t="str">
        <f>'II-I-TBILLTDCS'!H259</f>
        <v>PLT_N XINT</v>
      </c>
      <c r="L259" s="802">
        <f>F259+H259+J259</f>
        <v>0</v>
      </c>
      <c r="M259" s="935"/>
      <c r="R259"/>
      <c r="S259"/>
      <c r="Z259"/>
      <c r="AA259"/>
      <c r="AB259"/>
      <c r="AC259"/>
    </row>
    <row r="260" spans="2:29" s="321" customFormat="1" ht="42.75" x14ac:dyDescent="0.2">
      <c r="B260" s="16">
        <f t="shared" si="11"/>
        <v>4</v>
      </c>
      <c r="C260" s="1" t="s">
        <v>29</v>
      </c>
      <c r="D260" s="1" t="s">
        <v>32</v>
      </c>
      <c r="E260" s="16"/>
      <c r="F260" s="97">
        <f>'II-I-DIST'!F260</f>
        <v>3204465.84</v>
      </c>
      <c r="G260" s="45" t="str">
        <f>'II-I-DIST'!H260</f>
        <v>PLT_N XINT</v>
      </c>
      <c r="H260" s="97">
        <f>'II-I-MET'!F260</f>
        <v>120220.51</v>
      </c>
      <c r="I260" s="45" t="str">
        <f>'II-I-MET'!H260</f>
        <v>PLT_N XINT</v>
      </c>
      <c r="J260" s="97">
        <f>'II-I-TBILLTDCS'!F260</f>
        <v>53863.5</v>
      </c>
      <c r="K260" s="45" t="str">
        <f>'II-I-TBILLTDCS'!H260</f>
        <v>PLT_N XINT</v>
      </c>
      <c r="L260" s="802">
        <f>F260+H260+J260</f>
        <v>3378549.8499999996</v>
      </c>
      <c r="M260" s="940" t="str">
        <f>M105</f>
        <v xml:space="preserve"> Classified on a composite basis derived from all tangible plant, since intangible plant is a common cost.</v>
      </c>
      <c r="R260"/>
      <c r="S260"/>
      <c r="Z260"/>
      <c r="AA260"/>
      <c r="AB260"/>
      <c r="AC260"/>
    </row>
    <row r="261" spans="2:29" ht="15" x14ac:dyDescent="0.25">
      <c r="B261" s="16">
        <f t="shared" si="11"/>
        <v>5</v>
      </c>
      <c r="C261" s="8"/>
      <c r="D261" s="233" t="s">
        <v>444</v>
      </c>
      <c r="E261" s="831"/>
      <c r="F261" s="816">
        <f>'II-I-DIST'!F261</f>
        <v>3204465.84</v>
      </c>
      <c r="G261" s="16"/>
      <c r="H261" s="816">
        <f>'II-I-MET'!F261</f>
        <v>120220.51</v>
      </c>
      <c r="I261" s="16"/>
      <c r="J261" s="816">
        <f>'II-I-TBILLTDCS'!F261</f>
        <v>53863.5</v>
      </c>
      <c r="K261" s="16"/>
      <c r="L261" s="816">
        <f>F261+H261+J261</f>
        <v>3378549.8499999996</v>
      </c>
      <c r="T261" s="321"/>
      <c r="U261" s="321"/>
      <c r="V261" s="321"/>
      <c r="W261" s="321"/>
      <c r="X261" s="321"/>
      <c r="Y261" s="321"/>
    </row>
    <row r="262" spans="2:29" ht="15" x14ac:dyDescent="0.25">
      <c r="B262" s="16">
        <f t="shared" si="11"/>
        <v>6</v>
      </c>
      <c r="C262" s="8" t="s">
        <v>524</v>
      </c>
      <c r="D262" s="8"/>
      <c r="E262" s="831" t="s">
        <v>24</v>
      </c>
      <c r="F262" s="805">
        <f>'II-I-DIST'!F262</f>
        <v>0</v>
      </c>
      <c r="G262" s="1308"/>
      <c r="H262" s="805">
        <f>'II-I-MET'!F262</f>
        <v>0</v>
      </c>
      <c r="I262" s="1308"/>
      <c r="J262" s="805">
        <f>'II-I-TBILLTDCS'!F262</f>
        <v>0</v>
      </c>
      <c r="K262" s="1308"/>
      <c r="L262" s="805"/>
      <c r="T262" s="321"/>
      <c r="U262" s="321"/>
      <c r="V262" s="321"/>
      <c r="W262" s="321"/>
      <c r="X262" s="321"/>
      <c r="Y262" s="321"/>
    </row>
    <row r="263" spans="2:29" s="321" customFormat="1" ht="15" x14ac:dyDescent="0.25">
      <c r="B263" s="16">
        <f t="shared" si="11"/>
        <v>7</v>
      </c>
      <c r="C263" s="1" t="s">
        <v>37</v>
      </c>
      <c r="D263" s="1" t="s">
        <v>38</v>
      </c>
      <c r="E263" s="831"/>
      <c r="F263" s="97">
        <f>'II-I-DIST'!F263</f>
        <v>0</v>
      </c>
      <c r="G263" s="26" t="str">
        <f>'II-I-DIST'!H263</f>
        <v>NCP XHV</v>
      </c>
      <c r="H263" s="97">
        <f>'II-I-MET'!F263</f>
        <v>0</v>
      </c>
      <c r="I263" s="26" t="str">
        <f>'II-I-MET'!H263</f>
        <v>NCP XHV</v>
      </c>
      <c r="J263" s="97">
        <f>'II-I-TBILLTDCS'!F263</f>
        <v>0</v>
      </c>
      <c r="K263" s="26" t="str">
        <f>'II-I-TBILLTDCS'!H263</f>
        <v>NCP XHV</v>
      </c>
      <c r="L263" s="802">
        <f>F263+H263+J263</f>
        <v>0</v>
      </c>
      <c r="M263" s="935"/>
      <c r="R263"/>
      <c r="S263"/>
      <c r="Z263"/>
      <c r="AA263"/>
      <c r="AB263"/>
      <c r="AC263"/>
    </row>
    <row r="264" spans="2:29" s="321" customFormat="1" x14ac:dyDescent="0.2">
      <c r="B264" s="16">
        <f t="shared" si="11"/>
        <v>8</v>
      </c>
      <c r="C264" s="1" t="s">
        <v>39</v>
      </c>
      <c r="D264" s="1" t="s">
        <v>40</v>
      </c>
      <c r="E264" s="16"/>
      <c r="F264" s="97">
        <f>'II-I-DIST'!F264</f>
        <v>0</v>
      </c>
      <c r="G264" s="26" t="str">
        <f>'II-I-DIST'!H264</f>
        <v>NCP XHV</v>
      </c>
      <c r="H264" s="97">
        <f>'II-I-MET'!F264</f>
        <v>0</v>
      </c>
      <c r="I264" s="26" t="str">
        <f>'II-I-MET'!H264</f>
        <v>NCP XHV</v>
      </c>
      <c r="J264" s="97">
        <f>'II-I-TBILLTDCS'!F264</f>
        <v>0</v>
      </c>
      <c r="K264" s="26" t="str">
        <f>'II-I-TBILLTDCS'!H264</f>
        <v>NCP XHV</v>
      </c>
      <c r="L264" s="802">
        <f>F264+H264+J264</f>
        <v>0</v>
      </c>
      <c r="M264" s="935"/>
      <c r="R264"/>
      <c r="S264"/>
      <c r="Z264"/>
      <c r="AA264"/>
      <c r="AB264"/>
      <c r="AC264"/>
    </row>
    <row r="265" spans="2:29" s="321" customFormat="1" ht="54" customHeight="1" x14ac:dyDescent="0.2">
      <c r="B265" s="16">
        <v>9</v>
      </c>
      <c r="C265" s="1" t="s">
        <v>1229</v>
      </c>
      <c r="D265" s="1" t="s">
        <v>1230</v>
      </c>
      <c r="E265" s="16"/>
      <c r="F265" s="229">
        <f>'II-I-DIST'!F265</f>
        <v>0</v>
      </c>
      <c r="G265" s="26" t="str">
        <f>'II-I-DIST'!H265</f>
        <v>PLTTRAN_N</v>
      </c>
      <c r="H265" s="229">
        <f>'II-I-MET'!F265</f>
        <v>0</v>
      </c>
      <c r="I265" s="26" t="str">
        <f>'II-I-MET'!H265</f>
        <v>PLTTRAN_N</v>
      </c>
      <c r="J265" s="229">
        <f>'II-I-TBILLTDCS'!F265</f>
        <v>0</v>
      </c>
      <c r="K265" s="26" t="str">
        <f>'II-I-TBILLTDCS'!H265</f>
        <v>PLTTRAN_N</v>
      </c>
      <c r="L265" s="802"/>
      <c r="M265" s="1476" t="str">
        <f>M110</f>
        <v>Computer Hardware/Software/Communication Equipment serving Transmission function only.</v>
      </c>
      <c r="R265"/>
      <c r="S265"/>
      <c r="Z265"/>
      <c r="AA265"/>
      <c r="AB265"/>
      <c r="AC265"/>
    </row>
    <row r="266" spans="2:29" s="321" customFormat="1" x14ac:dyDescent="0.2">
      <c r="B266" s="16">
        <v>10</v>
      </c>
      <c r="C266" s="1" t="s">
        <v>1231</v>
      </c>
      <c r="D266" s="1" t="s">
        <v>1232</v>
      </c>
      <c r="E266" s="16"/>
      <c r="F266" s="229">
        <f>'II-I-DIST'!F266</f>
        <v>0</v>
      </c>
      <c r="G266" s="26" t="str">
        <f>'II-I-DIST'!H266</f>
        <v>PLTTRAN_N</v>
      </c>
      <c r="H266" s="229">
        <f>'II-I-MET'!F266</f>
        <v>0</v>
      </c>
      <c r="I266" s="26" t="str">
        <f>'II-I-MET'!H266</f>
        <v>PLTTRAN_N</v>
      </c>
      <c r="J266" s="229">
        <f>'II-I-TBILLTDCS'!F266</f>
        <v>0</v>
      </c>
      <c r="K266" s="26" t="str">
        <f>'II-I-TBILLTDCS'!H266</f>
        <v>PLTTRAN_N</v>
      </c>
      <c r="L266" s="802"/>
      <c r="M266" s="942" t="s">
        <v>1338</v>
      </c>
      <c r="R266"/>
      <c r="S266"/>
      <c r="T266"/>
      <c r="U266"/>
      <c r="V266"/>
      <c r="W266"/>
      <c r="Z266"/>
      <c r="AA266"/>
      <c r="AB266"/>
      <c r="AC266"/>
    </row>
    <row r="267" spans="2:29" s="321" customFormat="1" x14ac:dyDescent="0.2">
      <c r="B267" s="16">
        <v>11</v>
      </c>
      <c r="C267" s="1" t="s">
        <v>1233</v>
      </c>
      <c r="D267" s="1" t="s">
        <v>103</v>
      </c>
      <c r="E267" s="16"/>
      <c r="F267" s="229">
        <f>'II-I-DIST'!F267</f>
        <v>0</v>
      </c>
      <c r="G267" s="26" t="str">
        <f>'II-I-DIST'!H267</f>
        <v>PLTTRAN_N</v>
      </c>
      <c r="H267" s="229">
        <f>'II-I-MET'!F267</f>
        <v>0</v>
      </c>
      <c r="I267" s="26" t="str">
        <f>'II-I-MET'!H267</f>
        <v>PLTTRAN_N</v>
      </c>
      <c r="J267" s="229">
        <f>'II-I-TBILLTDCS'!F267</f>
        <v>0</v>
      </c>
      <c r="K267" s="26" t="str">
        <f>'II-I-TBILLTDCS'!H267</f>
        <v>PLTTRAN_N</v>
      </c>
      <c r="L267" s="802"/>
      <c r="M267" s="942" t="s">
        <v>1338</v>
      </c>
      <c r="R267"/>
      <c r="S267"/>
      <c r="T267"/>
      <c r="U267"/>
      <c r="V267"/>
      <c r="W267"/>
      <c r="Z267"/>
      <c r="AA267"/>
      <c r="AB267"/>
      <c r="AC267"/>
    </row>
    <row r="268" spans="2:29" s="321" customFormat="1" ht="71.25" x14ac:dyDescent="0.2">
      <c r="B268" s="16">
        <v>12</v>
      </c>
      <c r="C268" s="1" t="s">
        <v>41</v>
      </c>
      <c r="D268" s="1" t="s">
        <v>42</v>
      </c>
      <c r="E268" s="16"/>
      <c r="F268" s="97">
        <f>'II-I-DIST'!F268</f>
        <v>0</v>
      </c>
      <c r="G268" s="26" t="str">
        <f>'II-I-DIST'!H268</f>
        <v>NCP XHV</v>
      </c>
      <c r="H268" s="97">
        <f>'II-I-MET'!F268</f>
        <v>0</v>
      </c>
      <c r="I268" s="26" t="str">
        <f>'II-I-MET'!H268</f>
        <v>NCP XHV</v>
      </c>
      <c r="J268" s="97">
        <f>'II-I-TBILLTDCS'!F268</f>
        <v>0</v>
      </c>
      <c r="K268" s="26" t="str">
        <f>'II-I-TBILLTDCS'!H268</f>
        <v>NCP XHV</v>
      </c>
      <c r="L268" s="802">
        <f>F268+H268+J268</f>
        <v>0</v>
      </c>
      <c r="M268" s="940" t="str">
        <f>M113</f>
        <v>Most transmission plant accounts are demand related, because the capacity of the equipment required  to serve the system load represents a fixed investment.</v>
      </c>
      <c r="R268"/>
      <c r="S268"/>
      <c r="T268"/>
      <c r="U268"/>
      <c r="V268"/>
      <c r="W268"/>
      <c r="Z268"/>
      <c r="AA268"/>
      <c r="AB268"/>
      <c r="AC268"/>
    </row>
    <row r="269" spans="2:29" s="321" customFormat="1" x14ac:dyDescent="0.2">
      <c r="B269" s="16">
        <v>13</v>
      </c>
      <c r="C269" s="1" t="s">
        <v>43</v>
      </c>
      <c r="D269" s="1" t="s">
        <v>44</v>
      </c>
      <c r="E269" s="16"/>
      <c r="F269" s="97">
        <f>'II-I-DIST'!F269</f>
        <v>134427843.09999999</v>
      </c>
      <c r="G269" s="26" t="str">
        <f>'II-I-DIST'!H269</f>
        <v>NCP XHV</v>
      </c>
      <c r="H269" s="97">
        <f>'II-I-MET'!F269</f>
        <v>0</v>
      </c>
      <c r="I269" s="26" t="str">
        <f>'II-I-MET'!H269</f>
        <v>NCP XHV</v>
      </c>
      <c r="J269" s="97">
        <f>'II-I-TBILLTDCS'!F269</f>
        <v>0</v>
      </c>
      <c r="K269" s="26" t="str">
        <f>'II-I-TBILLTDCS'!H269</f>
        <v>NCP XHV</v>
      </c>
      <c r="L269" s="802">
        <f>F269+H269+J269</f>
        <v>134427843.09999999</v>
      </c>
      <c r="M269" s="940"/>
      <c r="R269"/>
      <c r="S269"/>
      <c r="T269"/>
      <c r="U269"/>
      <c r="V269"/>
      <c r="W269"/>
      <c r="X269"/>
      <c r="Z269"/>
      <c r="AA269"/>
      <c r="AB269"/>
      <c r="AC269"/>
    </row>
    <row r="270" spans="2:29" s="321" customFormat="1" x14ac:dyDescent="0.2">
      <c r="B270" s="16">
        <v>14</v>
      </c>
      <c r="C270" s="1" t="s">
        <v>45</v>
      </c>
      <c r="D270" s="1" t="s">
        <v>46</v>
      </c>
      <c r="E270" s="16"/>
      <c r="F270" s="97">
        <f>'II-I-DIST'!F270</f>
        <v>0</v>
      </c>
      <c r="G270" s="26" t="str">
        <f>'II-I-DIST'!H270</f>
        <v>NCP XHV</v>
      </c>
      <c r="H270" s="97">
        <f>'II-I-MET'!F270</f>
        <v>0</v>
      </c>
      <c r="I270" s="26" t="str">
        <f>'II-I-MET'!H270</f>
        <v>NCP XHV</v>
      </c>
      <c r="J270" s="97">
        <f>'II-I-TBILLTDCS'!F270</f>
        <v>0</v>
      </c>
      <c r="K270" s="26" t="str">
        <f>'II-I-TBILLTDCS'!H270</f>
        <v>NCP XHV</v>
      </c>
      <c r="L270" s="802">
        <f>F270+H270+J270</f>
        <v>0</v>
      </c>
      <c r="M270" s="935"/>
      <c r="R270"/>
      <c r="S270"/>
      <c r="T270"/>
      <c r="U270"/>
      <c r="V270"/>
      <c r="W270"/>
      <c r="X270"/>
      <c r="Z270"/>
      <c r="AA270"/>
      <c r="AB270"/>
      <c r="AC270"/>
    </row>
    <row r="271" spans="2:29" s="321" customFormat="1" x14ac:dyDescent="0.2">
      <c r="B271" s="16">
        <v>15</v>
      </c>
      <c r="C271" s="1" t="s">
        <v>47</v>
      </c>
      <c r="D271" s="1" t="s">
        <v>48</v>
      </c>
      <c r="E271" s="16"/>
      <c r="F271" s="97">
        <f>'II-I-DIST'!F271</f>
        <v>0</v>
      </c>
      <c r="G271" s="26" t="str">
        <f>'II-I-DIST'!H271</f>
        <v>NCP XHV</v>
      </c>
      <c r="H271" s="97">
        <f>'II-I-MET'!F271</f>
        <v>0</v>
      </c>
      <c r="I271" s="26" t="str">
        <f>'II-I-MET'!H271</f>
        <v>NCP XHV</v>
      </c>
      <c r="J271" s="97">
        <f>'II-I-TBILLTDCS'!F271</f>
        <v>0</v>
      </c>
      <c r="K271" s="26" t="str">
        <f>'II-I-TBILLTDCS'!H271</f>
        <v>NCP XHV</v>
      </c>
      <c r="L271" s="802">
        <f t="shared" ref="L271:L327" si="12">F271+H271+J271</f>
        <v>0</v>
      </c>
      <c r="M271" s="935"/>
      <c r="R271"/>
      <c r="S271"/>
      <c r="T271"/>
      <c r="U271"/>
      <c r="V271"/>
      <c r="W271"/>
      <c r="X271"/>
      <c r="Z271"/>
      <c r="AA271"/>
      <c r="AB271"/>
      <c r="AC271"/>
    </row>
    <row r="272" spans="2:29" s="321" customFormat="1" x14ac:dyDescent="0.2">
      <c r="B272" s="16">
        <v>16</v>
      </c>
      <c r="C272" s="1" t="s">
        <v>49</v>
      </c>
      <c r="D272" s="1" t="s">
        <v>486</v>
      </c>
      <c r="E272" s="16"/>
      <c r="F272" s="97">
        <f>'II-I-DIST'!F272</f>
        <v>0</v>
      </c>
      <c r="G272" s="26" t="str">
        <f>'II-I-DIST'!H272</f>
        <v>NCP XHV</v>
      </c>
      <c r="H272" s="97">
        <f>'II-I-MET'!F272</f>
        <v>0</v>
      </c>
      <c r="I272" s="26" t="str">
        <f>'II-I-MET'!H272</f>
        <v>NCP XHV</v>
      </c>
      <c r="J272" s="97">
        <f>'II-I-TBILLTDCS'!F272</f>
        <v>0</v>
      </c>
      <c r="K272" s="26" t="str">
        <f>'II-I-TBILLTDCS'!H272</f>
        <v>NCP XHV</v>
      </c>
      <c r="L272" s="802">
        <f t="shared" si="12"/>
        <v>0</v>
      </c>
      <c r="M272" s="935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21" customFormat="1" x14ac:dyDescent="0.2">
      <c r="B273" s="16">
        <v>17</v>
      </c>
      <c r="C273" s="1" t="s">
        <v>51</v>
      </c>
      <c r="D273" s="647" t="s">
        <v>644</v>
      </c>
      <c r="E273" s="16"/>
      <c r="F273" s="97">
        <f>'II-I-DIST'!F273</f>
        <v>0</v>
      </c>
      <c r="G273" s="26" t="str">
        <f>'II-I-DIST'!H273</f>
        <v>NCP XHV</v>
      </c>
      <c r="H273" s="97">
        <f>'II-I-MET'!F273</f>
        <v>0</v>
      </c>
      <c r="I273" s="26" t="str">
        <f>'II-I-MET'!H273</f>
        <v>NCP XHV</v>
      </c>
      <c r="J273" s="97">
        <f>'II-I-TBILLTDCS'!F273</f>
        <v>0</v>
      </c>
      <c r="K273" s="26" t="str">
        <f>'II-I-TBILLTDCS'!H273</f>
        <v>NCP XHV</v>
      </c>
      <c r="L273" s="802">
        <f t="shared" si="12"/>
        <v>0</v>
      </c>
      <c r="M273" s="935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21" customFormat="1" x14ac:dyDescent="0.2">
      <c r="B274" s="16">
        <v>18</v>
      </c>
      <c r="C274" s="1" t="s">
        <v>53</v>
      </c>
      <c r="D274" s="29" t="s">
        <v>487</v>
      </c>
      <c r="E274" s="16"/>
      <c r="F274" s="97">
        <f>'II-I-DIST'!F274</f>
        <v>0</v>
      </c>
      <c r="G274" s="26" t="str">
        <f>'II-I-DIST'!H274</f>
        <v>NCP XHV</v>
      </c>
      <c r="H274" s="97">
        <f>'II-I-MET'!F274</f>
        <v>0</v>
      </c>
      <c r="I274" s="26" t="str">
        <f>'II-I-MET'!H274</f>
        <v>NCP XHV</v>
      </c>
      <c r="J274" s="97">
        <f>'II-I-TBILLTDCS'!F274</f>
        <v>0</v>
      </c>
      <c r="K274" s="26" t="str">
        <f>'II-I-TBILLTDCS'!H274</f>
        <v>NCP XHV</v>
      </c>
      <c r="L274" s="802">
        <f t="shared" si="12"/>
        <v>0</v>
      </c>
      <c r="M274" s="935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21" customFormat="1" x14ac:dyDescent="0.2">
      <c r="B275" s="16">
        <v>19</v>
      </c>
      <c r="C275" s="1" t="s">
        <v>55</v>
      </c>
      <c r="D275" s="1" t="s">
        <v>56</v>
      </c>
      <c r="E275" s="16"/>
      <c r="F275" s="97">
        <f>'II-I-DIST'!F275</f>
        <v>0</v>
      </c>
      <c r="G275" s="26" t="str">
        <f>'II-I-DIST'!H275</f>
        <v>NCP XHV</v>
      </c>
      <c r="H275" s="97">
        <f>'II-I-MET'!F275</f>
        <v>0</v>
      </c>
      <c r="I275" s="26" t="str">
        <f>'II-I-MET'!H275</f>
        <v>NCP XHV</v>
      </c>
      <c r="J275" s="97">
        <f>'II-I-TBILLTDCS'!F275</f>
        <v>0</v>
      </c>
      <c r="K275" s="26" t="str">
        <f>'II-I-TBILLTDCS'!H275</f>
        <v>NCP XHV</v>
      </c>
      <c r="L275" s="802">
        <f t="shared" si="12"/>
        <v>0</v>
      </c>
      <c r="M275" s="93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ht="15" x14ac:dyDescent="0.25">
      <c r="B276" s="16">
        <v>20</v>
      </c>
      <c r="C276" s="8"/>
      <c r="D276" s="233" t="s">
        <v>444</v>
      </c>
      <c r="E276" s="831"/>
      <c r="F276" s="805">
        <f>'II-I-DIST'!F276</f>
        <v>134427843.09999999</v>
      </c>
      <c r="G276" s="1308"/>
      <c r="H276" s="805">
        <f>'II-I-MET'!F276</f>
        <v>0</v>
      </c>
      <c r="I276" s="1308"/>
      <c r="J276" s="805">
        <f>'II-I-TBILLTDCS'!F276</f>
        <v>0</v>
      </c>
      <c r="K276" s="1308"/>
      <c r="L276" s="805">
        <f t="shared" si="12"/>
        <v>134427843.09999999</v>
      </c>
    </row>
    <row r="277" spans="2:29" ht="15.75" thickBot="1" x14ac:dyDescent="0.3">
      <c r="B277" s="783"/>
      <c r="C277" s="783"/>
      <c r="D277" s="783"/>
      <c r="E277" s="783"/>
      <c r="F277" s="805">
        <f>'II-I-DIST'!F277</f>
        <v>0</v>
      </c>
      <c r="G277" s="105"/>
      <c r="H277" s="805">
        <f>'II-I-MET'!F277</f>
        <v>0</v>
      </c>
      <c r="I277" s="105"/>
      <c r="J277" s="805">
        <f>'II-I-TBILLTDCS'!F277</f>
        <v>0</v>
      </c>
      <c r="K277" s="105"/>
      <c r="L277" s="783"/>
    </row>
    <row r="278" spans="2:29" ht="15" x14ac:dyDescent="0.25">
      <c r="B278" s="829" t="str">
        <f>$B$4</f>
        <v>2025 RATE CASE</v>
      </c>
      <c r="C278" s="835"/>
      <c r="D278" s="836"/>
      <c r="E278" s="783"/>
      <c r="F278" s="64"/>
      <c r="G278" s="105"/>
      <c r="H278" s="64"/>
      <c r="I278" s="105"/>
      <c r="J278" s="64"/>
      <c r="K278" s="105"/>
      <c r="L278" s="783"/>
    </row>
    <row r="279" spans="2:29" ht="15" x14ac:dyDescent="0.25">
      <c r="B279" s="826" t="str">
        <f>$B$5</f>
        <v>ONCOR ELECTRIC DELIVERY COMPANY LLC</v>
      </c>
      <c r="C279" s="304"/>
      <c r="D279" s="837"/>
      <c r="E279" s="783"/>
      <c r="F279" s="64"/>
      <c r="H279" s="64"/>
      <c r="J279" s="64"/>
      <c r="K279"/>
      <c r="L279" s="783"/>
    </row>
    <row r="280" spans="2:29" ht="15" x14ac:dyDescent="0.25">
      <c r="B280" s="341" t="str">
        <f>$B$6</f>
        <v>II-I-2.1f:  CONSOLIDATED FUNCTIONALIZED COST OF SERVICE</v>
      </c>
      <c r="C280" s="304"/>
      <c r="D280" s="837"/>
      <c r="E280" s="783"/>
      <c r="F280" s="11"/>
      <c r="H280" s="11"/>
      <c r="J280" s="11"/>
      <c r="K280"/>
      <c r="L280" s="783"/>
      <c r="T280" s="321"/>
      <c r="U280" s="321"/>
      <c r="V280" s="321"/>
      <c r="W280" s="321"/>
    </row>
    <row r="281" spans="2:29" ht="15" x14ac:dyDescent="0.25">
      <c r="B281" s="341" t="str">
        <f>$B$7</f>
        <v>TEST YEAR ENDING 12/31/2024</v>
      </c>
      <c r="C281" s="304"/>
      <c r="D281" s="837"/>
      <c r="E281" s="783"/>
      <c r="F281" s="11"/>
      <c r="H281" s="11"/>
      <c r="J281" s="11"/>
      <c r="K281"/>
      <c r="L281" s="783"/>
      <c r="T281" s="321"/>
      <c r="U281" s="321"/>
      <c r="V281" s="321"/>
      <c r="W281" s="321"/>
    </row>
    <row r="282" spans="2:29" ht="15.75" x14ac:dyDescent="0.25">
      <c r="B282" s="341" t="str">
        <f>$B$8</f>
        <v>SPONSOR:  MATTHEW A. TROXLE</v>
      </c>
      <c r="C282" s="752"/>
      <c r="D282" s="830"/>
      <c r="E282" s="64"/>
      <c r="F282" s="11"/>
      <c r="H282" s="11"/>
      <c r="J282" s="11"/>
      <c r="K282"/>
      <c r="T282" s="321"/>
      <c r="U282" s="321"/>
      <c r="V282" s="321"/>
      <c r="W282" s="321"/>
    </row>
    <row r="283" spans="2:29" ht="15.75" thickBot="1" x14ac:dyDescent="0.3">
      <c r="B283" s="345"/>
      <c r="C283" s="840"/>
      <c r="D283" s="841"/>
      <c r="E283" s="304"/>
      <c r="F283" s="11"/>
      <c r="H283" s="11"/>
      <c r="J283" s="11"/>
      <c r="K283"/>
      <c r="L283" s="304"/>
      <c r="T283" s="321"/>
      <c r="U283" s="321"/>
      <c r="V283" s="321"/>
      <c r="W283" s="321"/>
      <c r="X283" s="321"/>
    </row>
    <row r="284" spans="2:29" x14ac:dyDescent="0.2">
      <c r="B284" s="12"/>
      <c r="C284" s="13"/>
      <c r="D284" s="177"/>
      <c r="E284" s="13"/>
      <c r="F284" s="12"/>
      <c r="G284" s="13"/>
      <c r="H284" s="12"/>
      <c r="I284" s="13"/>
      <c r="J284" s="12"/>
      <c r="K284" s="13"/>
      <c r="L284" s="855"/>
      <c r="M284" s="938"/>
      <c r="T284" s="321"/>
      <c r="U284" s="321"/>
      <c r="V284" s="321"/>
      <c r="W284" s="321"/>
      <c r="X284" s="321"/>
    </row>
    <row r="285" spans="2:29" ht="15" x14ac:dyDescent="0.25">
      <c r="B285" s="14" t="s">
        <v>2</v>
      </c>
      <c r="C285" s="14" t="s">
        <v>349</v>
      </c>
      <c r="D285" s="180" t="s">
        <v>525</v>
      </c>
      <c r="E285" s="14" t="s">
        <v>350</v>
      </c>
      <c r="F285" s="226" t="str">
        <f>'II-I-DIST'!F285</f>
        <v>DIST</v>
      </c>
      <c r="G285" s="181" t="str">
        <f>'II-I-DIST'!H285</f>
        <v>Allocation</v>
      </c>
      <c r="H285" s="226" t="str">
        <f>'II-I-MET'!F285</f>
        <v>MET</v>
      </c>
      <c r="I285" s="181" t="str">
        <f>'II-I-MET'!H285</f>
        <v>Allocation</v>
      </c>
      <c r="J285" s="226" t="str">
        <f>'II-I-TBILLTDCS'!F285</f>
        <v>TBILLTDCS</v>
      </c>
      <c r="K285" s="181" t="str">
        <f>'II-I-TBILLTDCS'!H285</f>
        <v>Allocation</v>
      </c>
      <c r="L285" s="660" t="s">
        <v>434</v>
      </c>
      <c r="M285" s="932" t="s">
        <v>970</v>
      </c>
      <c r="T285" s="321"/>
      <c r="U285" s="321"/>
      <c r="V285" s="321"/>
      <c r="W285" s="321"/>
      <c r="X285" s="321"/>
    </row>
    <row r="286" spans="2:29" x14ac:dyDescent="0.2">
      <c r="B286" s="14"/>
      <c r="C286" s="14"/>
      <c r="D286" s="181"/>
      <c r="E286" s="14"/>
      <c r="F286" s="14">
        <f>'II-I-DIST'!F286</f>
        <v>0</v>
      </c>
      <c r="G286" s="181" t="str">
        <f>'II-I-DIST'!H286</f>
        <v>Factor</v>
      </c>
      <c r="H286" s="14">
        <f>'II-I-MET'!F286</f>
        <v>0</v>
      </c>
      <c r="I286" s="181" t="str">
        <f>'II-I-MET'!H286</f>
        <v>Factor</v>
      </c>
      <c r="J286" s="14">
        <f>'II-I-TBILLTDCS'!F286</f>
        <v>0</v>
      </c>
      <c r="K286" s="181" t="str">
        <f>'II-I-TBILLTDCS'!H286</f>
        <v>Factor</v>
      </c>
      <c r="L286" s="660" t="s">
        <v>31</v>
      </c>
      <c r="M286" s="939"/>
      <c r="T286" s="321"/>
      <c r="U286" s="321"/>
      <c r="V286" s="321"/>
      <c r="W286" s="321"/>
      <c r="X286" s="321"/>
      <c r="Y286" s="321"/>
    </row>
    <row r="287" spans="2:29" ht="15.75" thickBot="1" x14ac:dyDescent="0.25">
      <c r="B287" s="182"/>
      <c r="C287" s="860"/>
      <c r="D287" s="184"/>
      <c r="E287" s="184"/>
      <c r="F287" s="15" t="str">
        <f>'II-I-DIST'!F287</f>
        <v>(a)</v>
      </c>
      <c r="G287" s="15" t="str">
        <f>'II-I-DIST'!H287</f>
        <v>(c)</v>
      </c>
      <c r="H287" s="664" t="str">
        <f>'II-I-MET'!F287</f>
        <v>(a)</v>
      </c>
      <c r="I287" s="15" t="str">
        <f>'II-I-MET'!H287</f>
        <v>(c)</v>
      </c>
      <c r="J287" s="664" t="str">
        <f>'II-I-TBILLTDCS'!F287</f>
        <v>(a)</v>
      </c>
      <c r="K287" s="15" t="str">
        <f>'II-I-TBILLTDCS'!H287</f>
        <v>(c)</v>
      </c>
      <c r="L287" s="664" t="s">
        <v>19</v>
      </c>
      <c r="M287" s="934" t="s">
        <v>20</v>
      </c>
      <c r="T287" s="321"/>
      <c r="U287" s="321"/>
      <c r="V287" s="321"/>
      <c r="W287" s="321"/>
      <c r="X287" s="321"/>
      <c r="Y287" s="321"/>
    </row>
    <row r="288" spans="2:29" x14ac:dyDescent="0.2">
      <c r="B288" s="64"/>
      <c r="C288" s="64"/>
      <c r="D288" s="96"/>
      <c r="E288" s="96"/>
      <c r="F288" s="227"/>
      <c r="G288" s="96"/>
      <c r="H288" s="227"/>
      <c r="I288" s="96"/>
      <c r="J288" s="227"/>
      <c r="K288" s="96"/>
      <c r="L288" s="852"/>
      <c r="T288" s="321"/>
      <c r="U288" s="321"/>
      <c r="V288" s="321"/>
      <c r="W288" s="321"/>
      <c r="X288" s="321"/>
      <c r="Y288" s="321"/>
    </row>
    <row r="289" spans="2:29" ht="15" x14ac:dyDescent="0.25">
      <c r="B289" s="16">
        <v>1</v>
      </c>
      <c r="C289" s="8" t="s">
        <v>525</v>
      </c>
      <c r="D289" s="8"/>
      <c r="E289" s="831" t="s">
        <v>24</v>
      </c>
      <c r="F289" s="805"/>
      <c r="G289" s="1308"/>
      <c r="H289" s="805"/>
      <c r="I289" s="1308"/>
      <c r="J289" s="805"/>
      <c r="K289" s="1308"/>
      <c r="L289" s="805"/>
      <c r="T289" s="321"/>
      <c r="U289" s="321"/>
      <c r="V289" s="321"/>
      <c r="W289" s="321"/>
      <c r="X289" s="321"/>
      <c r="Y289" s="321"/>
    </row>
    <row r="290" spans="2:29" s="321" customFormat="1" ht="30" customHeight="1" x14ac:dyDescent="0.2">
      <c r="B290" s="16">
        <f t="shared" ref="B290:B292" si="13">B289+1</f>
        <v>2</v>
      </c>
      <c r="C290" s="1" t="s">
        <v>59</v>
      </c>
      <c r="D290" s="1" t="s">
        <v>40</v>
      </c>
      <c r="E290" s="16"/>
      <c r="F290" s="97">
        <f>'II-I-DIST'!F290</f>
        <v>9501839.8499999996</v>
      </c>
      <c r="G290" s="26" t="str">
        <f>'II-I-DIST'!H290</f>
        <v>PLT 362-373</v>
      </c>
      <c r="H290" s="97">
        <f>'II-I-MET'!F290</f>
        <v>0</v>
      </c>
      <c r="I290" s="26" t="str">
        <f>'II-I-MET'!H290</f>
        <v>PLT 362-373</v>
      </c>
      <c r="J290" s="97">
        <f>'II-I-TBILLTDCS'!F290</f>
        <v>0</v>
      </c>
      <c r="K290" s="26" t="str">
        <f>'II-I-TBILLTDCS'!H290</f>
        <v>PLT 362-373</v>
      </c>
      <c r="L290" s="802">
        <f t="shared" si="12"/>
        <v>9501839.8499999996</v>
      </c>
      <c r="M290" s="935" t="s">
        <v>974</v>
      </c>
      <c r="R290"/>
      <c r="S290"/>
      <c r="Z290"/>
      <c r="AA290"/>
      <c r="AB290"/>
      <c r="AC290"/>
    </row>
    <row r="291" spans="2:29" s="321" customFormat="1" ht="20.45" customHeight="1" x14ac:dyDescent="0.2">
      <c r="B291" s="16">
        <f>B290+1</f>
        <v>3</v>
      </c>
      <c r="C291" s="1" t="s">
        <v>60</v>
      </c>
      <c r="D291" s="29" t="s">
        <v>42</v>
      </c>
      <c r="E291" s="16"/>
      <c r="F291" s="97">
        <f>'II-I-DIST'!F291</f>
        <v>49998605.829999998</v>
      </c>
      <c r="G291" s="26" t="str">
        <f>'II-I-DIST'!H291</f>
        <v>PLT 362-373</v>
      </c>
      <c r="H291" s="97">
        <f>'II-I-MET'!F291</f>
        <v>0</v>
      </c>
      <c r="I291" s="26" t="str">
        <f>'II-I-MET'!H291</f>
        <v>PLT 362-373</v>
      </c>
      <c r="J291" s="97">
        <f>'II-I-TBILLTDCS'!F291</f>
        <v>0</v>
      </c>
      <c r="K291" s="26" t="str">
        <f>'II-I-TBILLTDCS'!H291</f>
        <v>PLT 362-373</v>
      </c>
      <c r="L291" s="802">
        <f t="shared" si="12"/>
        <v>49998605.829999998</v>
      </c>
      <c r="M291" s="935" t="s">
        <v>1353</v>
      </c>
      <c r="R291"/>
      <c r="S291"/>
      <c r="Z291"/>
      <c r="AA291"/>
      <c r="AB291"/>
      <c r="AC291"/>
    </row>
    <row r="292" spans="2:29" s="321" customFormat="1" ht="42.6" customHeight="1" x14ac:dyDescent="0.2">
      <c r="B292" s="16">
        <f t="shared" si="13"/>
        <v>4</v>
      </c>
      <c r="C292" s="1" t="s">
        <v>61</v>
      </c>
      <c r="D292" s="1" t="s">
        <v>44</v>
      </c>
      <c r="E292" s="16"/>
      <c r="F292" s="694">
        <f>'II-I-DIST'!F292</f>
        <v>506199349.29000002</v>
      </c>
      <c r="G292" s="650" t="str">
        <f>'II-I-DIST'!H292</f>
        <v>NCP XHV</v>
      </c>
      <c r="H292" s="97">
        <f>'II-I-MET'!F292</f>
        <v>0</v>
      </c>
      <c r="I292" s="26" t="str">
        <f>'II-I-MET'!H292</f>
        <v>NCP XHV</v>
      </c>
      <c r="J292" s="97">
        <f>'II-I-TBILLTDCS'!F292</f>
        <v>0</v>
      </c>
      <c r="K292" s="26" t="str">
        <f>'II-I-TBILLTDCS'!H292</f>
        <v>NCP XHV</v>
      </c>
      <c r="L292" s="802">
        <f t="shared" si="12"/>
        <v>506199349.29000002</v>
      </c>
      <c r="M292" s="935" t="s">
        <v>975</v>
      </c>
      <c r="R292"/>
      <c r="S292"/>
      <c r="Z292"/>
      <c r="AA292"/>
      <c r="AB292"/>
      <c r="AC292"/>
    </row>
    <row r="293" spans="2:29" s="321" customFormat="1" ht="47.25" customHeight="1" x14ac:dyDescent="0.2">
      <c r="B293" s="16">
        <v>5</v>
      </c>
      <c r="C293" s="1" t="s">
        <v>1234</v>
      </c>
      <c r="D293" s="1" t="s">
        <v>1230</v>
      </c>
      <c r="E293" s="16"/>
      <c r="F293" s="692">
        <f>'II-I-DIST'!F293</f>
        <v>0</v>
      </c>
      <c r="G293" s="650" t="str">
        <f>'II-I-DIST'!H293</f>
        <v>PLTDIST_N</v>
      </c>
      <c r="H293" s="229">
        <f>'II-I-MET'!F293</f>
        <v>0</v>
      </c>
      <c r="I293" s="26" t="str">
        <f>'II-I-MET'!H293</f>
        <v>PLTDIST_N</v>
      </c>
      <c r="J293" s="229">
        <f>'II-I-TBILLTDCS'!F293</f>
        <v>0</v>
      </c>
      <c r="K293" s="26" t="str">
        <f>'II-I-TBILLTDCS'!H293</f>
        <v>PLTDIST_N</v>
      </c>
      <c r="L293" s="802">
        <f t="shared" si="12"/>
        <v>0</v>
      </c>
      <c r="M293" s="1476" t="str">
        <f>M139</f>
        <v>Computer Hardware/Software &amp; Communications Equipment related to DIST, MET, and TDCSBILL functions</v>
      </c>
    </row>
    <row r="294" spans="2:29" s="321" customFormat="1" ht="19.5" customHeight="1" x14ac:dyDescent="0.2">
      <c r="B294" s="16">
        <v>6</v>
      </c>
      <c r="C294" s="1" t="s">
        <v>1235</v>
      </c>
      <c r="D294" s="1" t="s">
        <v>1232</v>
      </c>
      <c r="E294" s="16"/>
      <c r="F294" s="692">
        <f>'II-I-DIST'!F294</f>
        <v>90241525.159999996</v>
      </c>
      <c r="G294" s="650" t="str">
        <f>'II-I-DIST'!H294</f>
        <v>PLTDIST_N</v>
      </c>
      <c r="H294" s="229">
        <f>'II-I-MET'!F294</f>
        <v>89519192.670000002</v>
      </c>
      <c r="I294" s="26" t="str">
        <f>'II-I-MET'!H294</f>
        <v>PLTDIST_N</v>
      </c>
      <c r="J294" s="229">
        <f>'II-I-TBILLTDCS'!F294</f>
        <v>108843000.56</v>
      </c>
      <c r="K294" s="26" t="str">
        <f>'II-I-TBILLTDCS'!H294</f>
        <v>PLTDIST_N</v>
      </c>
      <c r="L294" s="802">
        <f t="shared" si="12"/>
        <v>288603718.38999999</v>
      </c>
      <c r="M294" s="935" t="s">
        <v>1353</v>
      </c>
    </row>
    <row r="295" spans="2:29" s="321" customFormat="1" ht="19.5" customHeight="1" x14ac:dyDescent="0.2">
      <c r="B295" s="16">
        <v>7</v>
      </c>
      <c r="C295" s="1" t="s">
        <v>1236</v>
      </c>
      <c r="D295" s="647" t="s">
        <v>1339</v>
      </c>
      <c r="E295" s="16"/>
      <c r="F295" s="229">
        <f>'II-I-DIST'!F295</f>
        <v>0</v>
      </c>
      <c r="G295" s="26" t="str">
        <f>'II-I-DIST'!H295</f>
        <v>PLTDIST_N</v>
      </c>
      <c r="H295" s="229">
        <f>'II-I-MET'!F295</f>
        <v>39392672.700000003</v>
      </c>
      <c r="I295" s="26" t="str">
        <f>'II-I-MET'!H295</f>
        <v>PLTDIST_N</v>
      </c>
      <c r="J295" s="229">
        <f>'II-I-TBILLTDCS'!F295</f>
        <v>0</v>
      </c>
      <c r="K295" s="26" t="str">
        <f>'II-I-TBILLTDCS'!H295</f>
        <v>PLTDIST_N</v>
      </c>
      <c r="L295" s="802">
        <f t="shared" si="12"/>
        <v>39392672.700000003</v>
      </c>
      <c r="M295" s="935" t="s">
        <v>1353</v>
      </c>
    </row>
    <row r="296" spans="2:29" s="321" customFormat="1" ht="33.75" customHeight="1" x14ac:dyDescent="0.2">
      <c r="B296" s="16">
        <v>8</v>
      </c>
      <c r="C296" s="1" t="s">
        <v>359</v>
      </c>
      <c r="D296" s="29" t="s">
        <v>489</v>
      </c>
      <c r="E296" s="16"/>
      <c r="F296" s="97">
        <f>'II-I-DIST'!F296</f>
        <v>1014653070.4718791</v>
      </c>
      <c r="G296" s="26" t="str">
        <f>'II-I-DIST'!H296</f>
        <v>NCP XSS</v>
      </c>
      <c r="H296" s="97">
        <f>'II-I-MET'!F296</f>
        <v>0</v>
      </c>
      <c r="I296" s="26" t="str">
        <f>'II-I-MET'!H296</f>
        <v>NCP XSS</v>
      </c>
      <c r="J296" s="97">
        <f>'II-I-TBILLTDCS'!F296</f>
        <v>0</v>
      </c>
      <c r="K296" s="26" t="str">
        <f>'II-I-TBILLTDCS'!H296</f>
        <v>NCP XSS</v>
      </c>
      <c r="L296" s="802">
        <f t="shared" si="12"/>
        <v>1014653070.4718791</v>
      </c>
      <c r="M296" s="935" t="s">
        <v>976</v>
      </c>
      <c r="R296"/>
      <c r="S296"/>
      <c r="Z296"/>
      <c r="AA296"/>
      <c r="AB296"/>
      <c r="AC296"/>
    </row>
    <row r="297" spans="2:29" s="321" customFormat="1" ht="26.25" customHeight="1" x14ac:dyDescent="0.2">
      <c r="B297" s="16">
        <v>9</v>
      </c>
      <c r="C297" s="1" t="s">
        <v>361</v>
      </c>
      <c r="D297" s="29" t="s">
        <v>490</v>
      </c>
      <c r="E297" s="16"/>
      <c r="F297" s="97">
        <f>'II-I-DIST'!F297</f>
        <v>187903577.88812062</v>
      </c>
      <c r="G297" s="26" t="str">
        <f>'II-I-DIST'!H297</f>
        <v>NCP SEC</v>
      </c>
      <c r="H297" s="97">
        <f>'II-I-MET'!F297</f>
        <v>0</v>
      </c>
      <c r="I297" s="26" t="str">
        <f>'II-I-MET'!H297</f>
        <v>NCP SEC</v>
      </c>
      <c r="J297" s="97">
        <f>'II-I-TBILLTDCS'!F297</f>
        <v>0</v>
      </c>
      <c r="K297" s="26" t="str">
        <f>'II-I-TBILLTDCS'!H297</f>
        <v>NCP SEC</v>
      </c>
      <c r="L297" s="802">
        <f t="shared" si="12"/>
        <v>187903577.88812062</v>
      </c>
      <c r="M297" s="935" t="s">
        <v>976</v>
      </c>
      <c r="R297"/>
      <c r="S297"/>
      <c r="Z297"/>
      <c r="AA297"/>
      <c r="AB297"/>
      <c r="AC297"/>
    </row>
    <row r="298" spans="2:29" s="321" customFormat="1" ht="32.25" customHeight="1" x14ac:dyDescent="0.2">
      <c r="B298" s="16">
        <v>10</v>
      </c>
      <c r="C298" s="1" t="s">
        <v>364</v>
      </c>
      <c r="D298" s="1" t="s">
        <v>491</v>
      </c>
      <c r="E298" s="16"/>
      <c r="F298" s="97">
        <f>'II-I-DIST'!F298</f>
        <v>601790975.08809602</v>
      </c>
      <c r="G298" s="26" t="str">
        <f>'II-I-DIST'!H298</f>
        <v>NCP XSS</v>
      </c>
      <c r="H298" s="97">
        <f>'II-I-MET'!F298</f>
        <v>0</v>
      </c>
      <c r="I298" s="26" t="str">
        <f>'II-I-MET'!H298</f>
        <v>NCP XSS</v>
      </c>
      <c r="J298" s="97">
        <f>'II-I-TBILLTDCS'!F298</f>
        <v>0</v>
      </c>
      <c r="K298" s="26" t="str">
        <f>'II-I-TBILLTDCS'!H298</f>
        <v>NCP XSS</v>
      </c>
      <c r="L298" s="802">
        <f t="shared" si="12"/>
        <v>601790975.08809602</v>
      </c>
      <c r="M298" s="935" t="s">
        <v>976</v>
      </c>
      <c r="R298"/>
      <c r="S298"/>
      <c r="Z298"/>
      <c r="AA298"/>
      <c r="AB298"/>
      <c r="AC298"/>
    </row>
    <row r="299" spans="2:29" s="321" customFormat="1" ht="30.75" customHeight="1" x14ac:dyDescent="0.2">
      <c r="B299" s="16">
        <v>11</v>
      </c>
      <c r="C299" s="1" t="s">
        <v>366</v>
      </c>
      <c r="D299" s="1" t="s">
        <v>492</v>
      </c>
      <c r="E299" s="16"/>
      <c r="F299" s="97">
        <f>'II-I-DIST'!F299</f>
        <v>87364481.331903979</v>
      </c>
      <c r="G299" s="26" t="str">
        <f>'II-I-DIST'!H299</f>
        <v>NCP SEC</v>
      </c>
      <c r="H299" s="97">
        <f>'II-I-MET'!F299</f>
        <v>0</v>
      </c>
      <c r="I299" s="26" t="str">
        <f>'II-I-MET'!H299</f>
        <v>NCP SEC</v>
      </c>
      <c r="J299" s="97">
        <f>'II-I-TBILLTDCS'!F299</f>
        <v>0</v>
      </c>
      <c r="K299" s="26" t="str">
        <f>'II-I-TBILLTDCS'!H299</f>
        <v>NCP SEC</v>
      </c>
      <c r="L299" s="802">
        <f t="shared" si="12"/>
        <v>87364481.331903979</v>
      </c>
      <c r="M299" s="935" t="s">
        <v>976</v>
      </c>
      <c r="R299"/>
      <c r="S299"/>
      <c r="Z299"/>
      <c r="AA299"/>
      <c r="AB299"/>
      <c r="AC299"/>
    </row>
    <row r="300" spans="2:29" s="321" customFormat="1" ht="33.75" customHeight="1" x14ac:dyDescent="0.2">
      <c r="B300" s="16">
        <v>12</v>
      </c>
      <c r="C300" s="1" t="s">
        <v>369</v>
      </c>
      <c r="D300" s="1" t="s">
        <v>370</v>
      </c>
      <c r="E300" s="16"/>
      <c r="F300" s="97">
        <f>'II-I-DIST'!F300</f>
        <v>362924857.21233314</v>
      </c>
      <c r="G300" s="26" t="str">
        <f>'II-I-DIST'!H300</f>
        <v>NCP XSS</v>
      </c>
      <c r="H300" s="97">
        <f>'II-I-MET'!F300</f>
        <v>0</v>
      </c>
      <c r="I300" s="26" t="str">
        <f>'II-I-MET'!H300</f>
        <v>NCP XSS</v>
      </c>
      <c r="J300" s="97">
        <f>'II-I-TBILLTDCS'!F300</f>
        <v>0</v>
      </c>
      <c r="K300" s="26" t="str">
        <f>'II-I-TBILLTDCS'!H300</f>
        <v>NCP XSS</v>
      </c>
      <c r="L300" s="802">
        <f t="shared" si="12"/>
        <v>362924857.21233314</v>
      </c>
      <c r="M300" s="935" t="s">
        <v>976</v>
      </c>
      <c r="R300"/>
      <c r="S300"/>
      <c r="T300"/>
      <c r="U300"/>
      <c r="V300"/>
      <c r="W300"/>
      <c r="Z300"/>
      <c r="AA300"/>
      <c r="AB300"/>
      <c r="AC300"/>
    </row>
    <row r="301" spans="2:29" s="321" customFormat="1" ht="36" customHeight="1" x14ac:dyDescent="0.2">
      <c r="B301" s="16">
        <v>13</v>
      </c>
      <c r="C301" s="1" t="s">
        <v>371</v>
      </c>
      <c r="D301" s="1" t="s">
        <v>372</v>
      </c>
      <c r="E301" s="16"/>
      <c r="F301" s="97">
        <f>'II-I-DIST'!F301</f>
        <v>187316242.59766677</v>
      </c>
      <c r="G301" s="26" t="str">
        <f>'II-I-DIST'!H301</f>
        <v>NCP SEC</v>
      </c>
      <c r="H301" s="97">
        <f>'II-I-MET'!F301</f>
        <v>0</v>
      </c>
      <c r="I301" s="26" t="str">
        <f>'II-I-MET'!H301</f>
        <v>NCP SEC</v>
      </c>
      <c r="J301" s="97">
        <f>'II-I-TBILLTDCS'!F301</f>
        <v>0</v>
      </c>
      <c r="K301" s="26" t="str">
        <f>'II-I-TBILLTDCS'!H301</f>
        <v>NCP SEC</v>
      </c>
      <c r="L301" s="802">
        <f t="shared" si="12"/>
        <v>187316242.59766677</v>
      </c>
      <c r="M301" s="935" t="s">
        <v>976</v>
      </c>
      <c r="N301" s="1" t="b">
        <f>'II-I-DIST'!$C$301=C301</f>
        <v>1</v>
      </c>
      <c r="R301"/>
      <c r="S301"/>
      <c r="T301"/>
      <c r="U301"/>
      <c r="V301"/>
      <c r="W301"/>
      <c r="Z301"/>
      <c r="AA301"/>
      <c r="AB301"/>
      <c r="AC301"/>
    </row>
    <row r="302" spans="2:29" s="321" customFormat="1" ht="36" customHeight="1" x14ac:dyDescent="0.2">
      <c r="B302" s="16">
        <v>14</v>
      </c>
      <c r="C302" s="1" t="s">
        <v>374</v>
      </c>
      <c r="D302" s="29" t="s">
        <v>493</v>
      </c>
      <c r="E302" s="28"/>
      <c r="F302" s="97">
        <f>'II-I-DIST'!F302</f>
        <v>551736249.74043524</v>
      </c>
      <c r="G302" s="26" t="str">
        <f>'II-I-DIST'!H302</f>
        <v>NCP XSS</v>
      </c>
      <c r="H302" s="97">
        <f>'II-I-MET'!F302</f>
        <v>0</v>
      </c>
      <c r="I302" s="26" t="str">
        <f>'II-I-MET'!H302</f>
        <v>NCP XSS</v>
      </c>
      <c r="J302" s="97">
        <f>'II-I-TBILLTDCS'!F302</f>
        <v>0</v>
      </c>
      <c r="K302" s="26" t="str">
        <f>'II-I-TBILLTDCS'!H302</f>
        <v>NCP XSS</v>
      </c>
      <c r="L302" s="802">
        <f t="shared" si="12"/>
        <v>551736249.74043524</v>
      </c>
      <c r="M302" s="935" t="s">
        <v>976</v>
      </c>
      <c r="N302" s="1" t="b">
        <f>'II-I-DIST'!$D$302=D302</f>
        <v>1</v>
      </c>
      <c r="R302"/>
      <c r="S302"/>
      <c r="Z302"/>
      <c r="AA302"/>
      <c r="AB302"/>
      <c r="AC302"/>
    </row>
    <row r="303" spans="2:29" s="321" customFormat="1" ht="34.5" customHeight="1" x14ac:dyDescent="0.2">
      <c r="B303" s="16">
        <v>15</v>
      </c>
      <c r="C303" s="1" t="s">
        <v>376</v>
      </c>
      <c r="D303" s="29" t="s">
        <v>494</v>
      </c>
      <c r="E303" s="28"/>
      <c r="F303" s="97">
        <f>'II-I-DIST'!F303</f>
        <v>139509208.03956473</v>
      </c>
      <c r="G303" s="26" t="str">
        <f>'II-I-DIST'!H303</f>
        <v>NCP SEC</v>
      </c>
      <c r="H303" s="97">
        <f>'II-I-MET'!F303</f>
        <v>0</v>
      </c>
      <c r="I303" s="26" t="str">
        <f>'II-I-MET'!H303</f>
        <v>NCP SEC</v>
      </c>
      <c r="J303" s="97">
        <f>'II-I-TBILLTDCS'!F303</f>
        <v>0</v>
      </c>
      <c r="K303" s="26" t="str">
        <f>'II-I-TBILLTDCS'!H303</f>
        <v>NCP SEC</v>
      </c>
      <c r="L303" s="802">
        <f t="shared" si="12"/>
        <v>139509208.03956473</v>
      </c>
      <c r="M303" s="935" t="s">
        <v>976</v>
      </c>
      <c r="R303"/>
      <c r="S303"/>
      <c r="T303"/>
      <c r="U303"/>
      <c r="V303"/>
      <c r="W303"/>
      <c r="X303"/>
      <c r="Z303"/>
      <c r="AA303"/>
      <c r="AB303"/>
      <c r="AC303"/>
    </row>
    <row r="304" spans="2:29" s="321" customFormat="1" ht="42.75" x14ac:dyDescent="0.2">
      <c r="B304" s="16">
        <v>16</v>
      </c>
      <c r="C304" s="1" t="s">
        <v>379</v>
      </c>
      <c r="D304" s="1" t="str">
        <f>'WP II-I-1.2'!D39</f>
        <v>Regulators, Protectors, Primary Transformers</v>
      </c>
      <c r="E304" s="16"/>
      <c r="F304" s="97">
        <f>'II-I-DIST'!F304</f>
        <v>52554365.188390315</v>
      </c>
      <c r="G304" s="26" t="str">
        <f>'II-I-DIST'!H304</f>
        <v>NCP XSS</v>
      </c>
      <c r="H304" s="97">
        <f>'II-I-MET'!F304</f>
        <v>0</v>
      </c>
      <c r="I304" s="26" t="str">
        <f>'II-I-MET'!H304</f>
        <v>NCP XSS</v>
      </c>
      <c r="J304" s="97">
        <f>'II-I-TBILLTDCS'!F304</f>
        <v>0</v>
      </c>
      <c r="K304" s="26" t="str">
        <f>'II-I-TBILLTDCS'!H304</f>
        <v>NCP XSS</v>
      </c>
      <c r="L304" s="802">
        <f t="shared" si="12"/>
        <v>52554365.188390315</v>
      </c>
      <c r="M304" s="935" t="s">
        <v>977</v>
      </c>
      <c r="R304"/>
      <c r="S304"/>
      <c r="T304"/>
      <c r="U304"/>
      <c r="V304"/>
      <c r="W304"/>
      <c r="X304"/>
      <c r="Z304"/>
      <c r="AA304"/>
      <c r="AB304"/>
      <c r="AC304"/>
    </row>
    <row r="305" spans="2:29" s="321" customFormat="1" ht="36.75" customHeight="1" x14ac:dyDescent="0.2">
      <c r="B305" s="16">
        <v>17</v>
      </c>
      <c r="C305" s="1" t="s">
        <v>381</v>
      </c>
      <c r="D305" s="1" t="str">
        <f>'WP II-I-1.2'!D40</f>
        <v>Secondary Transformers</v>
      </c>
      <c r="E305" s="16"/>
      <c r="F305" s="97">
        <f>'II-I-DIST'!F305</f>
        <v>668691543.73156512</v>
      </c>
      <c r="G305" s="26" t="str">
        <f>'II-I-DIST'!H305</f>
        <v>NCP SEC</v>
      </c>
      <c r="H305" s="97">
        <f>'II-I-MET'!F305</f>
        <v>0</v>
      </c>
      <c r="I305" s="26" t="str">
        <f>'II-I-MET'!H305</f>
        <v>NCP SEC</v>
      </c>
      <c r="J305" s="97">
        <f>'II-I-TBILLTDCS'!F305</f>
        <v>0</v>
      </c>
      <c r="K305" s="26" t="str">
        <f>'II-I-TBILLTDCS'!H305</f>
        <v>NCP SEC</v>
      </c>
      <c r="L305" s="802">
        <f t="shared" si="12"/>
        <v>668691543.73156512</v>
      </c>
      <c r="M305" s="935" t="s">
        <v>976</v>
      </c>
      <c r="R305"/>
      <c r="S305"/>
      <c r="T305"/>
      <c r="U305"/>
      <c r="V305"/>
      <c r="W305"/>
      <c r="Z305"/>
      <c r="AA305"/>
      <c r="AB305"/>
      <c r="AC305"/>
    </row>
    <row r="306" spans="2:29" s="321" customFormat="1" ht="27" customHeight="1" x14ac:dyDescent="0.2">
      <c r="B306" s="16">
        <v>18</v>
      </c>
      <c r="C306" s="1" t="s">
        <v>383</v>
      </c>
      <c r="D306" s="1" t="str">
        <f>'WP II-I-1.2'!D41</f>
        <v>Capacitors</v>
      </c>
      <c r="E306" s="16"/>
      <c r="F306" s="97">
        <f>'II-I-DIST'!F306</f>
        <v>40381281.260044515</v>
      </c>
      <c r="G306" s="26" t="str">
        <f>'II-I-DIST'!H306</f>
        <v>NCP ALL</v>
      </c>
      <c r="H306" s="97">
        <f>'II-I-MET'!F306</f>
        <v>0</v>
      </c>
      <c r="I306" s="26" t="str">
        <f>'II-I-MET'!H306</f>
        <v>NCP ALL</v>
      </c>
      <c r="J306" s="97">
        <f>'II-I-TBILLTDCS'!F306</f>
        <v>0</v>
      </c>
      <c r="K306" s="26" t="str">
        <f>'II-I-TBILLTDCS'!H306</f>
        <v>NCP ALL</v>
      </c>
      <c r="L306" s="802">
        <f t="shared" si="12"/>
        <v>40381281.260044515</v>
      </c>
      <c r="M306" s="935" t="s">
        <v>978</v>
      </c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21" customFormat="1" ht="42.75" x14ac:dyDescent="0.2">
      <c r="B307" s="16">
        <v>19</v>
      </c>
      <c r="C307" s="1" t="s">
        <v>72</v>
      </c>
      <c r="D307" s="29" t="s">
        <v>73</v>
      </c>
      <c r="E307" s="28"/>
      <c r="F307" s="97">
        <f>'II-I-DIST'!F307</f>
        <v>1237313769.03</v>
      </c>
      <c r="G307" s="26" t="str">
        <f>'II-I-DIST'!H307</f>
        <v>CUS W SEC</v>
      </c>
      <c r="H307" s="97">
        <f>'II-I-MET'!F307</f>
        <v>0</v>
      </c>
      <c r="I307" s="26" t="str">
        <f>'II-I-MET'!H307</f>
        <v>CUS W SEC</v>
      </c>
      <c r="J307" s="97">
        <f>'II-I-TBILLTDCS'!F307</f>
        <v>0</v>
      </c>
      <c r="K307" s="26" t="str">
        <f>'II-I-TBILLTDCS'!H307</f>
        <v>CUS W SEC</v>
      </c>
      <c r="L307" s="802">
        <f t="shared" si="12"/>
        <v>1237313769.03</v>
      </c>
      <c r="M307" s="935" t="s">
        <v>979</v>
      </c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21" customFormat="1" ht="42.75" x14ac:dyDescent="0.2">
      <c r="B308" s="16">
        <v>20</v>
      </c>
      <c r="C308" s="1" t="s">
        <v>74</v>
      </c>
      <c r="D308" s="1" t="s">
        <v>75</v>
      </c>
      <c r="E308" s="16"/>
      <c r="F308" s="97">
        <f>'II-I-DIST'!F308</f>
        <v>0</v>
      </c>
      <c r="G308" s="26" t="str">
        <f>'II-I-DIST'!H308</f>
        <v>CUS W ALL</v>
      </c>
      <c r="H308" s="97">
        <f>'II-I-MET'!F308</f>
        <v>298670487.00999999</v>
      </c>
      <c r="I308" s="26" t="str">
        <f>'II-I-MET'!H308</f>
        <v>CUS W ALL</v>
      </c>
      <c r="J308" s="97">
        <f>'II-I-TBILLTDCS'!F308</f>
        <v>0</v>
      </c>
      <c r="K308" s="26" t="str">
        <f>'II-I-TBILLTDCS'!H308</f>
        <v>CUS W ALL</v>
      </c>
      <c r="L308" s="802">
        <f t="shared" si="12"/>
        <v>298670487.00999999</v>
      </c>
      <c r="M308" s="935" t="s">
        <v>980</v>
      </c>
      <c r="R308"/>
      <c r="S308"/>
      <c r="T308"/>
      <c r="U308"/>
      <c r="V308"/>
      <c r="W308"/>
      <c r="X308"/>
      <c r="Z308"/>
      <c r="AA308"/>
      <c r="AB308"/>
      <c r="AC308"/>
    </row>
    <row r="309" spans="2:29" s="321" customFormat="1" x14ac:dyDescent="0.2">
      <c r="B309" s="16">
        <v>21</v>
      </c>
      <c r="C309" s="1" t="s">
        <v>76</v>
      </c>
      <c r="D309" s="1" t="s">
        <v>495</v>
      </c>
      <c r="E309" s="16"/>
      <c r="F309" s="97">
        <f>'II-I-DIST'!F309</f>
        <v>74784255.819999993</v>
      </c>
      <c r="G309" s="26" t="str">
        <f>'II-I-DIST'!H309</f>
        <v>NCP LGT</v>
      </c>
      <c r="H309" s="97">
        <f>'II-I-MET'!F309</f>
        <v>0</v>
      </c>
      <c r="I309" s="26" t="str">
        <f>'II-I-MET'!H309</f>
        <v>NCP LGT</v>
      </c>
      <c r="J309" s="97">
        <f>'II-I-TBILLTDCS'!F309</f>
        <v>0</v>
      </c>
      <c r="K309" s="26" t="str">
        <f>'II-I-TBILLTDCS'!H309</f>
        <v>NCP LGT</v>
      </c>
      <c r="L309" s="802">
        <f t="shared" si="12"/>
        <v>74784255.819999993</v>
      </c>
      <c r="M309" s="935" t="s">
        <v>981</v>
      </c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21" customFormat="1" x14ac:dyDescent="0.2">
      <c r="B310" s="16">
        <v>22</v>
      </c>
      <c r="C310" s="1" t="s">
        <v>78</v>
      </c>
      <c r="D310" s="1" t="s">
        <v>496</v>
      </c>
      <c r="E310" s="16"/>
      <c r="F310" s="97">
        <f>'II-I-DIST'!F310</f>
        <v>0</v>
      </c>
      <c r="G310" s="26" t="str">
        <f>'II-I-DIST'!H310</f>
        <v>CUS W ALL</v>
      </c>
      <c r="H310" s="97">
        <f>'II-I-MET'!F310</f>
        <v>0</v>
      </c>
      <c r="I310" s="26" t="str">
        <f>'II-I-MET'!H310</f>
        <v>CUS W ALL</v>
      </c>
      <c r="J310" s="97">
        <f>'II-I-TBILLTDCS'!F310</f>
        <v>0</v>
      </c>
      <c r="K310" s="26" t="str">
        <f>'II-I-TBILLTDCS'!H310</f>
        <v>CUS W ALL</v>
      </c>
      <c r="L310" s="802">
        <f t="shared" si="12"/>
        <v>0</v>
      </c>
      <c r="M310" s="935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21" customFormat="1" x14ac:dyDescent="0.2">
      <c r="B311" s="16">
        <v>23</v>
      </c>
      <c r="C311" s="1" t="s">
        <v>80</v>
      </c>
      <c r="D311" s="1" t="s">
        <v>84</v>
      </c>
      <c r="E311" s="16"/>
      <c r="F311" s="97">
        <f>'II-I-DIST'!F311</f>
        <v>379251735.44</v>
      </c>
      <c r="G311" s="26" t="str">
        <f>'II-I-DIST'!H311</f>
        <v>NCP LGT</v>
      </c>
      <c r="H311" s="97">
        <f>'II-I-MET'!F311</f>
        <v>0</v>
      </c>
      <c r="I311" s="26" t="str">
        <f>'II-I-MET'!H311</f>
        <v>NCP LGT</v>
      </c>
      <c r="J311" s="97">
        <f>'II-I-TBILLTDCS'!F311</f>
        <v>0</v>
      </c>
      <c r="K311" s="26" t="str">
        <f>'II-I-TBILLTDCS'!H311</f>
        <v>NCP LGT</v>
      </c>
      <c r="L311" s="802">
        <f t="shared" si="12"/>
        <v>379251735.44</v>
      </c>
      <c r="M311" s="935" t="s">
        <v>981</v>
      </c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ht="15" x14ac:dyDescent="0.25">
      <c r="B312" s="16">
        <v>24</v>
      </c>
      <c r="C312" s="64"/>
      <c r="D312" s="233" t="s">
        <v>444</v>
      </c>
      <c r="E312" s="121"/>
      <c r="F312" s="805">
        <f>'II-I-DIST'!F312</f>
        <v>6242116932.9699984</v>
      </c>
      <c r="G312" s="121"/>
      <c r="H312" s="805">
        <f>'II-I-MET'!F312</f>
        <v>427582352.38</v>
      </c>
      <c r="I312" s="121"/>
      <c r="J312" s="805">
        <f>'II-I-TBILLTDCS'!F312</f>
        <v>108843000.56</v>
      </c>
      <c r="K312" s="121"/>
      <c r="L312" s="805">
        <f t="shared" si="12"/>
        <v>6778542285.9099989</v>
      </c>
    </row>
    <row r="313" spans="2:29" x14ac:dyDescent="0.2">
      <c r="B313" s="16">
        <v>25</v>
      </c>
      <c r="C313" s="64"/>
      <c r="D313" s="1"/>
      <c r="E313" s="16"/>
      <c r="F313" s="18">
        <f>'II-I-DIST'!F313</f>
        <v>0</v>
      </c>
      <c r="G313" s="16"/>
      <c r="H313" s="18">
        <f>'II-I-MET'!F313</f>
        <v>0</v>
      </c>
      <c r="I313" s="16"/>
      <c r="J313" s="18">
        <f>'II-I-TBILLTDCS'!F313</f>
        <v>0</v>
      </c>
      <c r="K313" s="16"/>
      <c r="L313" s="647"/>
    </row>
    <row r="314" spans="2:29" s="321" customFormat="1" ht="13.5" customHeight="1" x14ac:dyDescent="0.25">
      <c r="B314" s="16">
        <v>26</v>
      </c>
      <c r="C314" s="45"/>
      <c r="D314" s="233"/>
      <c r="E314" s="16"/>
      <c r="F314" s="805">
        <f>'II-I-DIST'!F314</f>
        <v>1202556648.3599997</v>
      </c>
      <c r="G314" s="16"/>
      <c r="H314" s="805">
        <f>'II-I-MET'!F314</f>
        <v>0</v>
      </c>
      <c r="I314" s="16"/>
      <c r="J314" s="805">
        <f>'II-I-TBILLTDCS'!F314</f>
        <v>0</v>
      </c>
      <c r="K314" s="16"/>
      <c r="L314" s="805"/>
      <c r="M314" s="942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ht="15" x14ac:dyDescent="0.25">
      <c r="B315" s="16">
        <v>27</v>
      </c>
      <c r="C315" s="64"/>
      <c r="D315" s="233"/>
      <c r="E315" s="16"/>
      <c r="F315" s="805">
        <f>'II-I-DIST'!F315</f>
        <v>689155456.41999996</v>
      </c>
      <c r="G315" s="16"/>
      <c r="H315" s="805">
        <f>'II-I-MET'!F315</f>
        <v>0</v>
      </c>
      <c r="I315" s="16"/>
      <c r="J315" s="805">
        <f>'II-I-TBILLTDCS'!F315</f>
        <v>0</v>
      </c>
      <c r="K315" s="16"/>
      <c r="L315" s="805"/>
    </row>
    <row r="316" spans="2:29" ht="15" x14ac:dyDescent="0.25">
      <c r="B316" s="16">
        <v>28</v>
      </c>
      <c r="C316" s="64"/>
      <c r="D316" s="233"/>
      <c r="E316" s="16"/>
      <c r="F316" s="805">
        <f>'II-I-DIST'!F316</f>
        <v>550241099.80999994</v>
      </c>
      <c r="G316" s="16"/>
      <c r="H316" s="805">
        <f>'II-I-MET'!F316</f>
        <v>0</v>
      </c>
      <c r="I316" s="16"/>
      <c r="J316" s="805">
        <f>'II-I-TBILLTDCS'!F316</f>
        <v>0</v>
      </c>
      <c r="K316" s="16"/>
      <c r="L316" s="805"/>
    </row>
    <row r="317" spans="2:29" ht="15" x14ac:dyDescent="0.25">
      <c r="B317" s="16">
        <v>29</v>
      </c>
      <c r="C317" s="64"/>
      <c r="D317" s="233"/>
      <c r="E317" s="16"/>
      <c r="F317" s="805">
        <f>'II-I-DIST'!F317</f>
        <v>691245457.77999997</v>
      </c>
      <c r="G317" s="16"/>
      <c r="H317" s="805">
        <f>'II-I-MET'!F317</f>
        <v>0</v>
      </c>
      <c r="I317" s="16"/>
      <c r="J317" s="805">
        <f>'II-I-TBILLTDCS'!F317</f>
        <v>0</v>
      </c>
      <c r="K317" s="16"/>
      <c r="L317" s="805"/>
    </row>
    <row r="318" spans="2:29" ht="15" x14ac:dyDescent="0.25">
      <c r="B318" s="16">
        <v>30</v>
      </c>
      <c r="C318" s="64"/>
      <c r="D318" s="233"/>
      <c r="E318" s="16"/>
      <c r="F318" s="805">
        <f>'II-I-DIST'!F318</f>
        <v>761627190.18000007</v>
      </c>
      <c r="G318" s="16"/>
      <c r="H318" s="805">
        <f>'II-I-MET'!F318</f>
        <v>0</v>
      </c>
      <c r="I318" s="16"/>
      <c r="J318" s="805">
        <f>'II-I-TBILLTDCS'!F318</f>
        <v>0</v>
      </c>
      <c r="K318" s="16"/>
      <c r="L318" s="805"/>
    </row>
    <row r="319" spans="2:29" ht="15" thickBot="1" x14ac:dyDescent="0.25">
      <c r="B319" s="16">
        <v>31</v>
      </c>
      <c r="C319" s="64"/>
      <c r="D319" s="1"/>
      <c r="E319" s="16"/>
      <c r="F319" s="18">
        <f>'II-I-DIST'!F319</f>
        <v>0</v>
      </c>
      <c r="G319" s="16"/>
      <c r="H319" s="18">
        <f>'II-I-MET'!F319</f>
        <v>0</v>
      </c>
      <c r="I319" s="16"/>
      <c r="J319" s="18">
        <f>'II-I-TBILLTDCS'!F319</f>
        <v>0</v>
      </c>
      <c r="K319" s="16"/>
      <c r="L319" s="647"/>
    </row>
    <row r="320" spans="2:29" ht="15" x14ac:dyDescent="0.25">
      <c r="B320" s="16">
        <v>32</v>
      </c>
      <c r="C320" s="239" t="s">
        <v>526</v>
      </c>
      <c r="D320" s="240"/>
      <c r="E320" s="241" t="s">
        <v>24</v>
      </c>
      <c r="F320" s="817">
        <f>'II-I-DIST'!F320</f>
        <v>6379749241.9099979</v>
      </c>
      <c r="G320" s="372"/>
      <c r="H320" s="817">
        <f>'II-I-MET'!F320</f>
        <v>427702572.88999999</v>
      </c>
      <c r="I320" s="372"/>
      <c r="J320" s="817">
        <f>'II-I-TBILLTDCS'!F320</f>
        <v>108896864.06</v>
      </c>
      <c r="K320" s="372"/>
      <c r="L320" s="566">
        <f t="shared" si="12"/>
        <v>6916348678.8599987</v>
      </c>
    </row>
    <row r="321" spans="2:24" ht="15.75" thickBot="1" x14ac:dyDescent="0.3">
      <c r="B321" s="16">
        <v>33</v>
      </c>
      <c r="C321" s="245" t="s">
        <v>527</v>
      </c>
      <c r="D321" s="246"/>
      <c r="E321" s="247" t="s">
        <v>24</v>
      </c>
      <c r="F321" s="248">
        <f>'II-I-DIST'!F321</f>
        <v>6376544776.0699987</v>
      </c>
      <c r="G321" s="375"/>
      <c r="H321" s="248">
        <f>'II-I-MET'!F321</f>
        <v>427582352.38</v>
      </c>
      <c r="I321" s="375"/>
      <c r="J321" s="248">
        <f>'II-I-TBILLTDCS'!F321</f>
        <v>108843000.56</v>
      </c>
      <c r="K321" s="375"/>
      <c r="L321" s="378">
        <f t="shared" si="12"/>
        <v>6912970129.0099993</v>
      </c>
    </row>
    <row r="322" spans="2:24" ht="15.75" thickBot="1" x14ac:dyDescent="0.3">
      <c r="B322" s="16">
        <v>34</v>
      </c>
      <c r="C322" s="8"/>
      <c r="D322" s="8"/>
      <c r="E322" s="831"/>
      <c r="F322" s="805"/>
      <c r="G322" s="1308"/>
      <c r="H322" s="805"/>
      <c r="I322" s="1308"/>
      <c r="J322" s="805"/>
      <c r="K322" s="1308"/>
      <c r="L322" s="805"/>
    </row>
    <row r="323" spans="2:24" ht="15" x14ac:dyDescent="0.25">
      <c r="B323" s="16">
        <v>35</v>
      </c>
      <c r="C323" s="255" t="s">
        <v>528</v>
      </c>
      <c r="D323" s="240"/>
      <c r="E323" s="256"/>
      <c r="F323" s="817">
        <f>'II-I-DIST'!F323</f>
        <v>5441318.1600000001</v>
      </c>
      <c r="G323" s="383"/>
      <c r="H323" s="817">
        <f>'II-I-MET'!F323</f>
        <v>204139.49</v>
      </c>
      <c r="I323" s="383"/>
      <c r="J323" s="817">
        <f>'II-I-TBILLTDCS'!F323</f>
        <v>91462.5</v>
      </c>
      <c r="K323" s="383"/>
      <c r="L323" s="566">
        <f t="shared" si="12"/>
        <v>5736920.1500000004</v>
      </c>
    </row>
    <row r="324" spans="2:24" ht="15" x14ac:dyDescent="0.25">
      <c r="B324" s="16">
        <v>36</v>
      </c>
      <c r="C324" s="173" t="s">
        <v>529</v>
      </c>
      <c r="D324" s="225"/>
      <c r="E324" s="257"/>
      <c r="F324" s="258">
        <f>'II-I-DIST'!F324</f>
        <v>334548282.40999997</v>
      </c>
      <c r="G324" s="385"/>
      <c r="H324" s="258">
        <f>'II-I-MET'!F324</f>
        <v>0</v>
      </c>
      <c r="I324" s="385"/>
      <c r="J324" s="258">
        <f>'II-I-TBILLTDCS'!F324</f>
        <v>0</v>
      </c>
      <c r="K324" s="385"/>
      <c r="L324" s="259">
        <f t="shared" si="12"/>
        <v>334548282.40999997</v>
      </c>
    </row>
    <row r="325" spans="2:24" ht="15" x14ac:dyDescent="0.25">
      <c r="B325" s="16">
        <v>37</v>
      </c>
      <c r="C325" s="173" t="s">
        <v>530</v>
      </c>
      <c r="D325" s="225"/>
      <c r="E325" s="257"/>
      <c r="F325" s="258">
        <f>'II-I-DIST'!F325</f>
        <v>13196087259.400002</v>
      </c>
      <c r="G325" s="385"/>
      <c r="H325" s="258">
        <f>'II-I-MET'!F325</f>
        <v>357401241.63999999</v>
      </c>
      <c r="I325" s="385"/>
      <c r="J325" s="258">
        <f>'II-I-TBILLTDCS'!F325</f>
        <v>226030235.11999995</v>
      </c>
      <c r="K325" s="385"/>
      <c r="L325" s="259">
        <f t="shared" si="12"/>
        <v>13779518736.160002</v>
      </c>
    </row>
    <row r="326" spans="2:24" ht="15" x14ac:dyDescent="0.25">
      <c r="B326" s="16">
        <v>38</v>
      </c>
      <c r="C326" s="173" t="s">
        <v>531</v>
      </c>
      <c r="D326" s="225"/>
      <c r="E326" s="257"/>
      <c r="F326" s="258">
        <f>'II-I-DIST'!F326</f>
        <v>13530635541.810001</v>
      </c>
      <c r="G326" s="385"/>
      <c r="H326" s="258">
        <f>'II-I-MET'!F326</f>
        <v>357401241.63999999</v>
      </c>
      <c r="I326" s="385"/>
      <c r="J326" s="258">
        <f>'II-I-TBILLTDCS'!F326</f>
        <v>226030235.11999995</v>
      </c>
      <c r="K326" s="385"/>
      <c r="L326" s="259">
        <f t="shared" si="12"/>
        <v>14114067018.570002</v>
      </c>
    </row>
    <row r="327" spans="2:24" ht="15.75" thickBot="1" x14ac:dyDescent="0.3">
      <c r="B327" s="16">
        <v>39</v>
      </c>
      <c r="C327" s="262" t="s">
        <v>532</v>
      </c>
      <c r="D327" s="246"/>
      <c r="E327" s="263"/>
      <c r="F327" s="248">
        <f>'II-I-DIST'!F327</f>
        <v>13536076859.970001</v>
      </c>
      <c r="G327" s="387"/>
      <c r="H327" s="248">
        <f>'II-I-MET'!F327</f>
        <v>357605381.13</v>
      </c>
      <c r="I327" s="387"/>
      <c r="J327" s="248">
        <f>'II-I-TBILLTDCS'!F327</f>
        <v>226121697.61999995</v>
      </c>
      <c r="K327" s="387"/>
      <c r="L327" s="378">
        <f t="shared" si="12"/>
        <v>14119803938.720001</v>
      </c>
    </row>
    <row r="328" spans="2:24" x14ac:dyDescent="0.2">
      <c r="B328" s="64"/>
      <c r="C328" s="64"/>
      <c r="D328" s="64"/>
      <c r="E328" s="64"/>
      <c r="F328" s="64"/>
      <c r="G328" s="64"/>
      <c r="H328" s="64"/>
      <c r="I328" s="64"/>
      <c r="J328" s="64"/>
      <c r="K328" s="64"/>
    </row>
    <row r="329" spans="2:24" ht="15" x14ac:dyDescent="0.25">
      <c r="B329" s="783"/>
      <c r="C329" s="783"/>
      <c r="D329" s="783"/>
      <c r="E329" s="783"/>
      <c r="F329" s="17"/>
      <c r="G329" s="105"/>
      <c r="H329" s="17"/>
      <c r="I329" s="105"/>
      <c r="J329" s="17"/>
      <c r="K329" s="105"/>
      <c r="L329" s="783"/>
    </row>
    <row r="330" spans="2:24" ht="15.75" thickBot="1" x14ac:dyDescent="0.3">
      <c r="B330" s="783"/>
      <c r="C330" s="783"/>
      <c r="D330" s="783"/>
      <c r="E330" s="783"/>
      <c r="F330" s="17"/>
      <c r="G330" s="16"/>
      <c r="H330" s="17"/>
      <c r="I330" s="16"/>
      <c r="J330" s="17"/>
      <c r="K330" s="16"/>
      <c r="L330" s="783"/>
    </row>
    <row r="331" spans="2:24" ht="15" x14ac:dyDescent="0.25">
      <c r="B331" s="829" t="str">
        <f>$B$4</f>
        <v>2025 RATE CASE</v>
      </c>
      <c r="C331" s="835"/>
      <c r="D331" s="836"/>
      <c r="E331" s="783"/>
      <c r="F331" s="11"/>
      <c r="H331" s="11"/>
      <c r="J331" s="11"/>
      <c r="K331"/>
      <c r="L331" s="783"/>
    </row>
    <row r="332" spans="2:24" ht="15" x14ac:dyDescent="0.25">
      <c r="B332" s="826" t="str">
        <f>$B$5</f>
        <v>ONCOR ELECTRIC DELIVERY COMPANY LLC</v>
      </c>
      <c r="C332" s="304"/>
      <c r="D332" s="837"/>
      <c r="E332" s="783"/>
      <c r="F332" s="11"/>
      <c r="H332" s="11"/>
      <c r="J332" s="11"/>
      <c r="K332"/>
      <c r="L332" s="783"/>
    </row>
    <row r="333" spans="2:24" ht="15" x14ac:dyDescent="0.25">
      <c r="B333" s="341" t="str">
        <f>$B$6</f>
        <v>II-I-2.1f:  CONSOLIDATED FUNCTIONALIZED COST OF SERVICE</v>
      </c>
      <c r="C333" s="304"/>
      <c r="D333" s="837"/>
      <c r="E333" s="783"/>
      <c r="F333" s="11"/>
      <c r="H333" s="11"/>
      <c r="J333" s="11"/>
      <c r="K333"/>
      <c r="L333" s="783"/>
      <c r="T333" s="321"/>
      <c r="U333" s="321"/>
      <c r="V333" s="321"/>
      <c r="W333" s="321"/>
    </row>
    <row r="334" spans="2:24" ht="15.75" x14ac:dyDescent="0.25">
      <c r="B334" s="341" t="str">
        <f>$B$7</f>
        <v>TEST YEAR ENDING 12/31/2024</v>
      </c>
      <c r="C334" s="752"/>
      <c r="D334" s="830"/>
      <c r="E334" s="64"/>
      <c r="F334" s="11"/>
      <c r="H334" s="11"/>
      <c r="J334" s="11"/>
      <c r="K334"/>
      <c r="T334" s="321"/>
      <c r="U334" s="321"/>
      <c r="V334" s="321"/>
      <c r="W334" s="321"/>
    </row>
    <row r="335" spans="2:24" ht="15" x14ac:dyDescent="0.25">
      <c r="B335" s="341" t="str">
        <f>$B$8</f>
        <v>SPONSOR:  MATTHEW A. TROXLE</v>
      </c>
      <c r="C335" s="304"/>
      <c r="D335" s="837"/>
      <c r="E335" s="304"/>
      <c r="F335" s="11"/>
      <c r="H335" s="11"/>
      <c r="J335" s="11"/>
      <c r="K335"/>
      <c r="L335" s="304"/>
      <c r="T335" s="321"/>
      <c r="U335" s="321"/>
      <c r="V335" s="321"/>
      <c r="W335" s="321"/>
    </row>
    <row r="336" spans="2:24" ht="10.5" customHeight="1" thickBot="1" x14ac:dyDescent="0.3">
      <c r="B336" s="345"/>
      <c r="C336" s="843"/>
      <c r="D336" s="549"/>
      <c r="F336" s="11"/>
      <c r="H336" s="11"/>
      <c r="J336" s="11"/>
      <c r="K336"/>
      <c r="L336" s="571"/>
      <c r="T336" s="321"/>
      <c r="U336" s="321"/>
      <c r="V336" s="321"/>
      <c r="W336" s="321"/>
      <c r="X336" s="321"/>
    </row>
    <row r="337" spans="2:29" ht="12" customHeight="1" x14ac:dyDescent="0.2">
      <c r="B337" s="12"/>
      <c r="C337" s="13"/>
      <c r="D337" s="177"/>
      <c r="E337" s="13"/>
      <c r="F337" s="12"/>
      <c r="G337" s="13"/>
      <c r="H337" s="12"/>
      <c r="I337" s="13"/>
      <c r="J337" s="12"/>
      <c r="K337" s="13"/>
      <c r="L337" s="855"/>
      <c r="M337" s="938"/>
      <c r="T337" s="321"/>
      <c r="U337" s="321"/>
      <c r="V337" s="321"/>
      <c r="W337" s="321"/>
      <c r="X337" s="321"/>
    </row>
    <row r="338" spans="2:29" ht="15" x14ac:dyDescent="0.25">
      <c r="B338" s="14" t="s">
        <v>2</v>
      </c>
      <c r="C338" s="14" t="s">
        <v>349</v>
      </c>
      <c r="D338" s="180" t="s">
        <v>533</v>
      </c>
      <c r="E338" s="14" t="s">
        <v>350</v>
      </c>
      <c r="F338" s="226" t="str">
        <f>'II-I-DIST'!F338</f>
        <v>DIST</v>
      </c>
      <c r="G338" s="181" t="str">
        <f>'II-I-DIST'!H338</f>
        <v>Allocation</v>
      </c>
      <c r="H338" s="226" t="str">
        <f>'II-I-MET'!F338</f>
        <v>MET</v>
      </c>
      <c r="I338" s="181" t="str">
        <f>'II-I-MET'!H338</f>
        <v>Allocation</v>
      </c>
      <c r="J338" s="226" t="str">
        <f>'II-I-TBILLTDCS'!F338</f>
        <v>TBILLTDCS</v>
      </c>
      <c r="K338" s="181" t="str">
        <f>'II-I-TBILLTDCS'!H338</f>
        <v>Allocation</v>
      </c>
      <c r="L338" s="660" t="s">
        <v>434</v>
      </c>
      <c r="M338" s="932" t="s">
        <v>970</v>
      </c>
      <c r="T338" s="321"/>
      <c r="U338" s="321"/>
      <c r="V338" s="321"/>
      <c r="W338" s="321"/>
      <c r="X338" s="321"/>
    </row>
    <row r="339" spans="2:29" x14ac:dyDescent="0.2">
      <c r="B339" s="14"/>
      <c r="C339" s="14"/>
      <c r="D339" s="181"/>
      <c r="E339" s="14"/>
      <c r="F339" s="14"/>
      <c r="G339" s="181" t="str">
        <f>'II-I-DIST'!H339</f>
        <v>Factor</v>
      </c>
      <c r="H339" s="14"/>
      <c r="I339" s="181" t="str">
        <f>'II-I-MET'!H339</f>
        <v>Factor</v>
      </c>
      <c r="J339" s="14"/>
      <c r="K339" s="181" t="str">
        <f>'II-I-TBILLTDCS'!H339</f>
        <v>Factor</v>
      </c>
      <c r="L339" s="660" t="s">
        <v>31</v>
      </c>
      <c r="M339" s="939"/>
      <c r="T339" s="321"/>
      <c r="U339" s="321"/>
      <c r="V339" s="321"/>
      <c r="W339" s="321"/>
      <c r="X339" s="321"/>
      <c r="Y339" s="321"/>
    </row>
    <row r="340" spans="2:29" ht="15.75" thickBot="1" x14ac:dyDescent="0.25">
      <c r="B340" s="182"/>
      <c r="C340" s="860"/>
      <c r="D340" s="184"/>
      <c r="E340" s="184"/>
      <c r="F340" s="15" t="str">
        <f>'II-I-DIST'!F340</f>
        <v>(a)</v>
      </c>
      <c r="G340" s="15" t="str">
        <f>'II-I-DIST'!H340</f>
        <v>(c)</v>
      </c>
      <c r="H340" s="664" t="str">
        <f>'II-I-MET'!F340</f>
        <v>(a)</v>
      </c>
      <c r="I340" s="15" t="str">
        <f>'II-I-MET'!H340</f>
        <v>(c)</v>
      </c>
      <c r="J340" s="664" t="str">
        <f>'II-I-TBILLTDCS'!F340</f>
        <v>(a)</v>
      </c>
      <c r="K340" s="15" t="str">
        <f>'II-I-TBILLTDCS'!H340</f>
        <v>(c)</v>
      </c>
      <c r="L340" s="664" t="s">
        <v>19</v>
      </c>
      <c r="M340" s="934" t="s">
        <v>20</v>
      </c>
      <c r="T340" s="321"/>
      <c r="U340" s="321"/>
      <c r="V340" s="321"/>
      <c r="W340" s="321"/>
      <c r="X340" s="321"/>
      <c r="Y340" s="321"/>
    </row>
    <row r="341" spans="2:29" ht="10.5" customHeight="1" x14ac:dyDescent="0.2">
      <c r="B341" s="64"/>
      <c r="C341" s="16"/>
      <c r="D341" s="16"/>
      <c r="E341" s="16"/>
      <c r="F341" s="16"/>
      <c r="G341" s="16"/>
      <c r="H341" s="16"/>
      <c r="I341" s="16"/>
      <c r="J341" s="16"/>
      <c r="K341" s="16"/>
      <c r="L341" s="647"/>
      <c r="T341" s="321"/>
      <c r="U341" s="321"/>
      <c r="V341" s="321"/>
      <c r="W341" s="321"/>
      <c r="X341" s="321"/>
      <c r="Y341" s="321"/>
    </row>
    <row r="342" spans="2:29" ht="11.25" customHeight="1" x14ac:dyDescent="0.2">
      <c r="B342" s="16"/>
      <c r="C342" s="1"/>
      <c r="D342" s="1"/>
      <c r="E342" s="16"/>
      <c r="F342" s="17"/>
      <c r="G342" s="16"/>
      <c r="H342" s="17"/>
      <c r="I342" s="16"/>
      <c r="J342" s="17"/>
      <c r="K342" s="16"/>
      <c r="L342" s="692"/>
      <c r="T342" s="321"/>
      <c r="U342" s="321"/>
      <c r="V342" s="321"/>
      <c r="W342" s="321"/>
      <c r="X342" s="321"/>
      <c r="Y342" s="321"/>
    </row>
    <row r="343" spans="2:29" ht="15" x14ac:dyDescent="0.25">
      <c r="B343" s="16">
        <f t="shared" ref="B343:B368" si="14">B342+1</f>
        <v>1</v>
      </c>
      <c r="C343" s="8" t="s">
        <v>284</v>
      </c>
      <c r="D343" s="1"/>
      <c r="E343" s="831" t="s">
        <v>34</v>
      </c>
      <c r="F343" s="17"/>
      <c r="G343" s="1308"/>
      <c r="H343" s="17"/>
      <c r="I343" s="1308"/>
      <c r="J343" s="17"/>
      <c r="K343" s="1308"/>
      <c r="L343" s="647"/>
      <c r="X343" s="321"/>
      <c r="Y343" s="321"/>
    </row>
    <row r="344" spans="2:29" ht="15" x14ac:dyDescent="0.25">
      <c r="B344" s="16">
        <f t="shared" si="14"/>
        <v>2</v>
      </c>
      <c r="C344" s="8" t="s">
        <v>534</v>
      </c>
      <c r="D344" s="8"/>
      <c r="E344" s="831"/>
      <c r="F344" s="8"/>
      <c r="G344" s="1308"/>
      <c r="H344" s="8"/>
      <c r="I344" s="1308"/>
      <c r="J344" s="8"/>
      <c r="K344" s="1308"/>
      <c r="L344" s="8"/>
      <c r="T344" s="321"/>
      <c r="U344" s="321"/>
      <c r="V344" s="321"/>
      <c r="W344" s="321"/>
      <c r="X344" s="321"/>
      <c r="Y344" s="321"/>
    </row>
    <row r="345" spans="2:29" s="321" customFormat="1" ht="82.5" customHeight="1" x14ac:dyDescent="0.2">
      <c r="B345" s="16">
        <f t="shared" si="14"/>
        <v>3</v>
      </c>
      <c r="C345" s="1" t="s">
        <v>87</v>
      </c>
      <c r="D345" s="1" t="s">
        <v>38</v>
      </c>
      <c r="E345" s="16"/>
      <c r="F345" s="97">
        <f>'II-I-DIST'!F345</f>
        <v>0</v>
      </c>
      <c r="G345" s="45" t="str">
        <f>'II-I-DIST'!H345</f>
        <v>PLTOPER_N</v>
      </c>
      <c r="H345" s="97">
        <f>'II-I-MET'!F345</f>
        <v>0</v>
      </c>
      <c r="I345" s="45" t="str">
        <f>'II-I-MET'!H345</f>
        <v>PLTOPER_N</v>
      </c>
      <c r="J345" s="97">
        <f>'II-I-TBILLTDCS'!F345</f>
        <v>0</v>
      </c>
      <c r="K345" s="45" t="str">
        <f>'II-I-TBILLTDCS'!H345</f>
        <v>PAYROLL XAG</v>
      </c>
      <c r="L345" s="802">
        <f t="shared" ref="L345:L386" si="15">F345+H345+J345</f>
        <v>0</v>
      </c>
      <c r="M345" s="935" t="str">
        <f>M184</f>
        <v xml:space="preserve"> Related to, and supporting all operating plant facilities; classified on a composite basis using  operating plant or Labor excluding A&amp;G.  The DIST and MET functions are allocated based on operating  plant, and the TDCS function is allocated based on Labor less A&amp;G.</v>
      </c>
      <c r="R345"/>
      <c r="S345"/>
      <c r="Z345"/>
      <c r="AA345"/>
      <c r="AB345"/>
      <c r="AC345"/>
    </row>
    <row r="346" spans="2:29" s="321" customFormat="1" ht="15" x14ac:dyDescent="0.25">
      <c r="B346" s="16">
        <f t="shared" si="14"/>
        <v>4</v>
      </c>
      <c r="C346" s="1" t="s">
        <v>88</v>
      </c>
      <c r="D346" s="1" t="s">
        <v>40</v>
      </c>
      <c r="E346" s="831"/>
      <c r="F346" s="97">
        <f>'II-I-DIST'!F346</f>
        <v>18457.990000000002</v>
      </c>
      <c r="G346" s="45" t="str">
        <f>'II-I-DIST'!H346</f>
        <v>PLTOPER_N</v>
      </c>
      <c r="H346" s="97">
        <f>'II-I-MET'!F346</f>
        <v>799.17</v>
      </c>
      <c r="I346" s="45" t="str">
        <f>'II-I-MET'!H346</f>
        <v>PLTOPER_N</v>
      </c>
      <c r="J346" s="97">
        <f>'II-I-TBILLTDCS'!F346</f>
        <v>315.04000000000002</v>
      </c>
      <c r="K346" s="45" t="str">
        <f>'II-I-TBILLTDCS'!H346</f>
        <v>PAYROLL XAG</v>
      </c>
      <c r="L346" s="802">
        <f t="shared" si="15"/>
        <v>19572.2</v>
      </c>
      <c r="M346" s="935" t="str">
        <f>M185</f>
        <v xml:space="preserve"> See Above</v>
      </c>
      <c r="R346"/>
      <c r="S346"/>
      <c r="X346"/>
      <c r="Z346"/>
      <c r="AA346"/>
      <c r="AB346"/>
      <c r="AC346"/>
    </row>
    <row r="347" spans="2:29" s="321" customFormat="1" ht="15" x14ac:dyDescent="0.25">
      <c r="B347" s="16">
        <f t="shared" si="14"/>
        <v>5</v>
      </c>
      <c r="C347" s="1" t="s">
        <v>89</v>
      </c>
      <c r="D347" s="1" t="s">
        <v>42</v>
      </c>
      <c r="E347" s="831"/>
      <c r="F347" s="97">
        <f>'II-I-DIST'!F347</f>
        <v>21370930.170000002</v>
      </c>
      <c r="G347" s="45" t="str">
        <f>'II-I-DIST'!H347</f>
        <v>PLTOPER_N</v>
      </c>
      <c r="H347" s="97">
        <f>'II-I-MET'!F347</f>
        <v>2970219.48</v>
      </c>
      <c r="I347" s="45" t="str">
        <f>'II-I-MET'!H347</f>
        <v>PLTOPER_N</v>
      </c>
      <c r="J347" s="97">
        <f>'II-I-TBILLTDCS'!F347</f>
        <v>1393656.98</v>
      </c>
      <c r="K347" s="45" t="str">
        <f>'II-I-TBILLTDCS'!H347</f>
        <v>PAYROLL XAG</v>
      </c>
      <c r="L347" s="802">
        <f t="shared" si="15"/>
        <v>25734806.630000003</v>
      </c>
      <c r="M347" s="935" t="str">
        <f>M186</f>
        <v xml:space="preserve"> See Above</v>
      </c>
      <c r="R347"/>
      <c r="S347"/>
      <c r="T347"/>
      <c r="U347"/>
      <c r="V347"/>
      <c r="W347"/>
      <c r="Z347"/>
      <c r="AA347"/>
      <c r="AB347"/>
      <c r="AC347"/>
    </row>
    <row r="348" spans="2:29" s="321" customFormat="1" ht="15" x14ac:dyDescent="0.25">
      <c r="B348" s="16">
        <f t="shared" si="14"/>
        <v>6</v>
      </c>
      <c r="C348" s="1" t="s">
        <v>90</v>
      </c>
      <c r="D348" s="1" t="s">
        <v>91</v>
      </c>
      <c r="E348" s="831"/>
      <c r="F348" s="97">
        <f>'II-I-DIST'!F348</f>
        <v>2172899.64</v>
      </c>
      <c r="G348" s="45" t="str">
        <f>'II-I-DIST'!H348</f>
        <v>PLTOPER_N</v>
      </c>
      <c r="H348" s="97">
        <f>'II-I-MET'!F348</f>
        <v>240727.43</v>
      </c>
      <c r="I348" s="45" t="str">
        <f>'II-I-MET'!H348</f>
        <v>PLTOPER_N</v>
      </c>
      <c r="J348" s="97">
        <f>'II-I-TBILLTDCS'!F348</f>
        <v>164071.5</v>
      </c>
      <c r="K348" s="45" t="str">
        <f>'II-I-TBILLTDCS'!H348</f>
        <v>PAYROLL XAG</v>
      </c>
      <c r="L348" s="802">
        <f t="shared" si="15"/>
        <v>2577698.5700000003</v>
      </c>
      <c r="M348" s="935" t="str">
        <f>M187</f>
        <v xml:space="preserve"> See Above</v>
      </c>
      <c r="R348"/>
      <c r="S348"/>
      <c r="T348"/>
      <c r="U348"/>
      <c r="V348"/>
      <c r="W348"/>
      <c r="Z348"/>
      <c r="AA348"/>
      <c r="AB348"/>
      <c r="AC348"/>
    </row>
    <row r="349" spans="2:29" s="321" customFormat="1" ht="15" x14ac:dyDescent="0.25">
      <c r="B349" s="16">
        <f t="shared" si="14"/>
        <v>7</v>
      </c>
      <c r="C349" s="1" t="s">
        <v>92</v>
      </c>
      <c r="D349" s="1" t="s">
        <v>94</v>
      </c>
      <c r="E349" s="831"/>
      <c r="F349" s="97">
        <f>'II-I-DIST'!F349</f>
        <v>1911250.96</v>
      </c>
      <c r="G349" s="45" t="str">
        <f>'II-I-DIST'!H349</f>
        <v>PLTOPER_N</v>
      </c>
      <c r="H349" s="97">
        <f>'II-I-MET'!F349</f>
        <v>0</v>
      </c>
      <c r="I349" s="45" t="str">
        <f>'II-I-MET'!H349</f>
        <v>PLTOPER_N</v>
      </c>
      <c r="J349" s="97">
        <f>'II-I-TBILLTDCS'!F349</f>
        <v>0</v>
      </c>
      <c r="K349" s="45" t="str">
        <f>'II-I-TBILLTDCS'!H349</f>
        <v>PAYROLL XAG</v>
      </c>
      <c r="L349" s="802">
        <f t="shared" si="15"/>
        <v>1911250.96</v>
      </c>
      <c r="M349" s="935" t="s">
        <v>983</v>
      </c>
      <c r="R349"/>
      <c r="S349"/>
      <c r="T349"/>
      <c r="U349"/>
      <c r="V349"/>
      <c r="W349"/>
      <c r="Y349"/>
      <c r="Z349"/>
      <c r="AA349"/>
      <c r="AB349"/>
      <c r="AC349"/>
    </row>
    <row r="350" spans="2:29" s="321" customFormat="1" ht="15" x14ac:dyDescent="0.25">
      <c r="B350" s="16">
        <f t="shared" si="14"/>
        <v>8</v>
      </c>
      <c r="C350" s="1" t="s">
        <v>95</v>
      </c>
      <c r="D350" s="1" t="s">
        <v>500</v>
      </c>
      <c r="E350" s="831"/>
      <c r="F350" s="97">
        <f>'II-I-DIST'!F350</f>
        <v>897247.06</v>
      </c>
      <c r="G350" s="45" t="str">
        <f>'II-I-DIST'!H350</f>
        <v>PLTOPER_N</v>
      </c>
      <c r="H350" s="97">
        <f>'II-I-MET'!F350</f>
        <v>85306.45</v>
      </c>
      <c r="I350" s="45" t="str">
        <f>'II-I-MET'!H350</f>
        <v>PLTOPER_N</v>
      </c>
      <c r="J350" s="97">
        <f>'II-I-TBILLTDCS'!F350</f>
        <v>0</v>
      </c>
      <c r="K350" s="45" t="str">
        <f>'II-I-TBILLTDCS'!H350</f>
        <v>PAYROLL XAG</v>
      </c>
      <c r="L350" s="802">
        <f t="shared" si="15"/>
        <v>982553.51</v>
      </c>
      <c r="M350" s="935" t="s">
        <v>983</v>
      </c>
      <c r="R350"/>
      <c r="S350"/>
      <c r="T350"/>
      <c r="U350"/>
      <c r="V350"/>
      <c r="W350"/>
      <c r="X350"/>
      <c r="Z350"/>
      <c r="AA350"/>
      <c r="AB350"/>
      <c r="AC350"/>
    </row>
    <row r="351" spans="2:29" s="321" customFormat="1" ht="15" x14ac:dyDescent="0.25">
      <c r="B351" s="16">
        <f t="shared" si="14"/>
        <v>9</v>
      </c>
      <c r="C351" s="1" t="s">
        <v>97</v>
      </c>
      <c r="D351" s="1" t="s">
        <v>501</v>
      </c>
      <c r="E351" s="831"/>
      <c r="F351" s="97">
        <f>'II-I-DIST'!F351</f>
        <v>5513977.5</v>
      </c>
      <c r="G351" s="45" t="str">
        <f>'II-I-DIST'!H351</f>
        <v>PLTOPER_N</v>
      </c>
      <c r="H351" s="97">
        <f>'II-I-MET'!F351</f>
        <v>452222.55</v>
      </c>
      <c r="I351" s="45" t="str">
        <f>'II-I-MET'!H351</f>
        <v>PLTOPER_N</v>
      </c>
      <c r="J351" s="97">
        <f>'II-I-TBILLTDCS'!F351</f>
        <v>0</v>
      </c>
      <c r="K351" s="45" t="str">
        <f>'II-I-TBILLTDCS'!H351</f>
        <v>PAYROLL XAG</v>
      </c>
      <c r="L351" s="802">
        <f t="shared" si="15"/>
        <v>5966200.0499999998</v>
      </c>
      <c r="M351" s="935" t="s">
        <v>983</v>
      </c>
      <c r="R351"/>
      <c r="S351"/>
      <c r="T351"/>
      <c r="U351"/>
      <c r="V351"/>
      <c r="W351"/>
      <c r="X351"/>
      <c r="Z351"/>
      <c r="AA351"/>
      <c r="AB351"/>
      <c r="AC351"/>
    </row>
    <row r="352" spans="2:29" s="321" customFormat="1" ht="15" x14ac:dyDescent="0.25">
      <c r="B352" s="16">
        <f t="shared" si="14"/>
        <v>10</v>
      </c>
      <c r="C352" s="1" t="s">
        <v>99</v>
      </c>
      <c r="D352" s="1" t="s">
        <v>100</v>
      </c>
      <c r="E352" s="831"/>
      <c r="F352" s="97">
        <f>'II-I-DIST'!F352</f>
        <v>4724590.0999999996</v>
      </c>
      <c r="G352" s="45" t="str">
        <f>'II-I-DIST'!H352</f>
        <v>PLTOPER_N</v>
      </c>
      <c r="H352" s="97">
        <f>'II-I-MET'!F352</f>
        <v>537112.02</v>
      </c>
      <c r="I352" s="45" t="str">
        <f>'II-I-MET'!H352</f>
        <v>PLTOPER_N</v>
      </c>
      <c r="J352" s="97">
        <f>'II-I-TBILLTDCS'!F352</f>
        <v>0</v>
      </c>
      <c r="K352" s="45" t="str">
        <f>'II-I-TBILLTDCS'!H352</f>
        <v>PAYROLL XAG</v>
      </c>
      <c r="L352" s="802">
        <f t="shared" si="15"/>
        <v>5261702.1199999992</v>
      </c>
      <c r="M352" s="935" t="s">
        <v>983</v>
      </c>
      <c r="R352"/>
      <c r="S352"/>
      <c r="T352"/>
      <c r="U352"/>
      <c r="V352"/>
      <c r="W352"/>
      <c r="X352"/>
      <c r="Z352"/>
      <c r="AA352"/>
      <c r="AB352"/>
      <c r="AC352"/>
    </row>
    <row r="353" spans="2:29" s="321" customFormat="1" ht="15" x14ac:dyDescent="0.25">
      <c r="B353" s="16">
        <f t="shared" si="14"/>
        <v>11</v>
      </c>
      <c r="C353" s="1" t="s">
        <v>101</v>
      </c>
      <c r="D353" s="1" t="s">
        <v>102</v>
      </c>
      <c r="E353" s="831"/>
      <c r="F353" s="97">
        <f>'II-I-DIST'!F353</f>
        <v>1865874.33</v>
      </c>
      <c r="G353" s="45" t="str">
        <f>'II-I-DIST'!H353</f>
        <v>PLTOPER_N</v>
      </c>
      <c r="H353" s="97">
        <f>'II-I-MET'!F353</f>
        <v>193798.38</v>
      </c>
      <c r="I353" s="45" t="str">
        <f>'II-I-MET'!H353</f>
        <v>PLTOPER_N</v>
      </c>
      <c r="J353" s="97">
        <f>'II-I-TBILLTDCS'!F353</f>
        <v>0</v>
      </c>
      <c r="K353" s="45" t="str">
        <f>'II-I-TBILLTDCS'!H353</f>
        <v>PAYROLL XAG</v>
      </c>
      <c r="L353" s="802">
        <f t="shared" si="15"/>
        <v>2059672.71</v>
      </c>
      <c r="M353" s="935" t="s">
        <v>983</v>
      </c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21" customFormat="1" ht="15" x14ac:dyDescent="0.25">
      <c r="B354" s="16">
        <f t="shared" si="14"/>
        <v>12</v>
      </c>
      <c r="C354" s="8"/>
      <c r="D354" s="233" t="s">
        <v>444</v>
      </c>
      <c r="E354" s="831"/>
      <c r="F354" s="816">
        <f>'II-I-DIST'!F354</f>
        <v>38475227.75</v>
      </c>
      <c r="G354" s="1308"/>
      <c r="H354" s="816">
        <f>'II-I-MET'!F354</f>
        <v>4480185.4799999995</v>
      </c>
      <c r="I354" s="1308"/>
      <c r="J354" s="816">
        <f>'II-I-TBILLTDCS'!F354</f>
        <v>1558043.52</v>
      </c>
      <c r="K354" s="1308"/>
      <c r="L354" s="816">
        <f t="shared" si="15"/>
        <v>44513456.75</v>
      </c>
      <c r="M354" s="935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ht="15" x14ac:dyDescent="0.25">
      <c r="B355" s="16">
        <f t="shared" si="14"/>
        <v>13</v>
      </c>
      <c r="C355" s="1"/>
      <c r="D355" s="233"/>
      <c r="E355" s="831"/>
      <c r="F355" s="805">
        <f>'II-I-DIST'!F355</f>
        <v>0</v>
      </c>
      <c r="G355" s="1308"/>
      <c r="H355" s="805">
        <f>'II-I-MET'!F355</f>
        <v>0</v>
      </c>
      <c r="I355" s="1308"/>
      <c r="J355" s="805">
        <f>'II-I-TBILLTDCS'!F355</f>
        <v>0</v>
      </c>
      <c r="K355" s="1308"/>
      <c r="L355" s="816">
        <f t="shared" si="15"/>
        <v>0</v>
      </c>
    </row>
    <row r="356" spans="2:29" s="321" customFormat="1" ht="70.5" customHeight="1" x14ac:dyDescent="0.25">
      <c r="B356" s="16">
        <v>14</v>
      </c>
      <c r="C356" s="1" t="s">
        <v>1237</v>
      </c>
      <c r="D356" s="650" t="s">
        <v>1230</v>
      </c>
      <c r="E356" s="1527"/>
      <c r="F356" s="229">
        <f>'II-I-DIST'!F356</f>
        <v>27983615.629999999</v>
      </c>
      <c r="G356" s="45" t="str">
        <f>'II-I-DIST'!H356</f>
        <v>PLTGEN_N</v>
      </c>
      <c r="H356" s="805">
        <f>'II-I-MET'!F356</f>
        <v>6754448.7999999998</v>
      </c>
      <c r="I356" s="620" t="str">
        <f>'II-I-MET'!H356</f>
        <v>PLTGEN_N</v>
      </c>
      <c r="J356" s="805">
        <f>'II-I-TBILLTDCS'!F356</f>
        <v>17896701.699999999</v>
      </c>
      <c r="K356" s="45" t="str">
        <f>'II-I-TBILLTDCS'!H356</f>
        <v>PLTGEN_N</v>
      </c>
      <c r="L356" s="727">
        <f t="shared" si="15"/>
        <v>52634766.129999995</v>
      </c>
      <c r="M356" s="942" t="str">
        <f>M214</f>
        <v>Computer Hardware/Software &amp; Communications Equipment related to DIST, MET, and TDCSBILL functions</v>
      </c>
    </row>
    <row r="357" spans="2:29" s="321" customFormat="1" ht="15" x14ac:dyDescent="0.25">
      <c r="B357" s="16">
        <v>15</v>
      </c>
      <c r="C357" s="1" t="s">
        <v>1238</v>
      </c>
      <c r="D357" s="650" t="s">
        <v>1232</v>
      </c>
      <c r="E357" s="1527"/>
      <c r="F357" s="229">
        <f>'II-I-DIST'!F357</f>
        <v>51821898.32</v>
      </c>
      <c r="G357" s="45" t="str">
        <f>'II-I-DIST'!H357</f>
        <v>PLTGEN_N</v>
      </c>
      <c r="H357" s="805">
        <f>'II-I-MET'!F357</f>
        <v>1428939.99</v>
      </c>
      <c r="I357" s="620" t="str">
        <f>'II-I-MET'!H357</f>
        <v>PLTGEN_N</v>
      </c>
      <c r="J357" s="805">
        <f>'II-I-TBILLTDCS'!F357</f>
        <v>100224.27</v>
      </c>
      <c r="K357" s="45" t="str">
        <f>'II-I-TBILLTDCS'!H357</f>
        <v>PLTGEN_N</v>
      </c>
      <c r="L357" s="727">
        <f t="shared" si="15"/>
        <v>53351062.580000006</v>
      </c>
      <c r="M357" s="942" t="s">
        <v>983</v>
      </c>
    </row>
    <row r="358" spans="2:29" s="321" customFormat="1" ht="15" x14ac:dyDescent="0.25">
      <c r="B358" s="16">
        <v>16</v>
      </c>
      <c r="C358" s="1" t="s">
        <v>1239</v>
      </c>
      <c r="D358" s="1" t="s">
        <v>103</v>
      </c>
      <c r="E358" s="1527"/>
      <c r="F358" s="229">
        <f>'II-I-DIST'!F358</f>
        <v>9583076.1699999999</v>
      </c>
      <c r="G358" s="45" t="str">
        <f>'II-I-DIST'!H358</f>
        <v>PLTGEN_N</v>
      </c>
      <c r="H358" s="229">
        <f>'II-I-MET'!F358</f>
        <v>2013076.53</v>
      </c>
      <c r="I358" s="45" t="str">
        <f>'II-I-MET'!H358</f>
        <v>PLTGEN_N</v>
      </c>
      <c r="J358" s="229">
        <f>'II-I-TBILLTDCS'!F358</f>
        <v>1372485.37</v>
      </c>
      <c r="K358" s="45" t="str">
        <f>'II-I-TBILLTDCS'!H358</f>
        <v>PLTGEN_N</v>
      </c>
      <c r="L358" s="802">
        <f t="shared" si="15"/>
        <v>12968638.07</v>
      </c>
      <c r="M358" s="942" t="s">
        <v>983</v>
      </c>
    </row>
    <row r="359" spans="2:29" s="321" customFormat="1" ht="114.75" x14ac:dyDescent="0.25">
      <c r="B359" s="16">
        <f t="shared" si="14"/>
        <v>17</v>
      </c>
      <c r="C359" s="1" t="s">
        <v>105</v>
      </c>
      <c r="D359" s="1" t="s">
        <v>502</v>
      </c>
      <c r="E359" s="831"/>
      <c r="F359" s="97">
        <f>'II-I-DIST'!F359</f>
        <v>1226435.93</v>
      </c>
      <c r="G359" s="45" t="str">
        <f>'II-I-DIST'!H359</f>
        <v>PLTOPER_N</v>
      </c>
      <c r="H359" s="97">
        <f>'II-I-MET'!F359</f>
        <v>211936.69</v>
      </c>
      <c r="I359" s="45" t="str">
        <f>'II-I-MET'!H359</f>
        <v>PLTOPER_N</v>
      </c>
      <c r="J359" s="97">
        <f>'II-I-TBILLTDCS'!F359</f>
        <v>0</v>
      </c>
      <c r="K359" s="45" t="str">
        <f>'II-I-TBILLTDCS'!H359</f>
        <v>PAYROLL XAG</v>
      </c>
      <c r="L359" s="802">
        <f t="shared" si="15"/>
        <v>1438372.6199999999</v>
      </c>
      <c r="M359" s="935" t="s">
        <v>1106</v>
      </c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21" customFormat="1" ht="15" x14ac:dyDescent="0.25">
      <c r="B360" s="16">
        <f t="shared" si="14"/>
        <v>18</v>
      </c>
      <c r="C360" s="1" t="s">
        <v>107</v>
      </c>
      <c r="D360" s="1" t="s">
        <v>535</v>
      </c>
      <c r="E360" s="831"/>
      <c r="F360" s="97">
        <f>'II-I-DIST'!F360</f>
        <v>0</v>
      </c>
      <c r="G360" s="45" t="str">
        <f>'II-I-DIST'!H360</f>
        <v>PLTOPER_N</v>
      </c>
      <c r="H360" s="97">
        <f>'II-I-MET'!F360</f>
        <v>0</v>
      </c>
      <c r="I360" s="45" t="str">
        <f>'II-I-MET'!H360</f>
        <v>PLTOPER_N</v>
      </c>
      <c r="J360" s="97">
        <f>'II-I-TBILLTDCS'!F360</f>
        <v>0</v>
      </c>
      <c r="K360" s="45" t="str">
        <f>'II-I-TBILLTDCS'!H360</f>
        <v>PAYROLL XAG</v>
      </c>
      <c r="L360" s="802">
        <f t="shared" si="15"/>
        <v>0</v>
      </c>
      <c r="M360" s="935" t="s">
        <v>1338</v>
      </c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ht="15" x14ac:dyDescent="0.25">
      <c r="B361" s="16">
        <f t="shared" si="14"/>
        <v>19</v>
      </c>
      <c r="C361" s="8"/>
      <c r="D361" s="233" t="s">
        <v>444</v>
      </c>
      <c r="E361" s="831"/>
      <c r="F361" s="805">
        <f>'II-I-DIST'!F361</f>
        <v>90615026.050000012</v>
      </c>
      <c r="G361" s="1308"/>
      <c r="H361" s="805">
        <f>'II-I-MET'!F361</f>
        <v>10408402.01</v>
      </c>
      <c r="I361" s="1308"/>
      <c r="J361" s="805">
        <f>'II-I-TBILLTDCS'!F361</f>
        <v>19369411.34</v>
      </c>
      <c r="K361" s="1308"/>
      <c r="L361" s="805">
        <f t="shared" si="15"/>
        <v>120392839.40000002</v>
      </c>
    </row>
    <row r="362" spans="2:29" ht="15" thickBot="1" x14ac:dyDescent="0.25">
      <c r="B362" s="16">
        <f t="shared" si="14"/>
        <v>20</v>
      </c>
      <c r="C362" s="1"/>
      <c r="D362" s="1"/>
      <c r="E362" s="16"/>
      <c r="F362" s="17">
        <f>'II-I-DIST'!F362</f>
        <v>0</v>
      </c>
      <c r="G362" s="16"/>
      <c r="H362" s="17">
        <f>'II-I-MET'!F362</f>
        <v>0</v>
      </c>
      <c r="I362" s="16"/>
      <c r="J362" s="17">
        <f>'II-I-TBILLTDCS'!F362</f>
        <v>0</v>
      </c>
      <c r="K362" s="16"/>
      <c r="L362" s="647"/>
    </row>
    <row r="363" spans="2:29" ht="15" x14ac:dyDescent="0.25">
      <c r="B363" s="16">
        <f t="shared" si="14"/>
        <v>21</v>
      </c>
      <c r="C363" s="255" t="s">
        <v>536</v>
      </c>
      <c r="D363" s="240"/>
      <c r="E363" s="241"/>
      <c r="F363" s="264">
        <f>'II-I-DIST'!F363</f>
        <v>129090253.80000001</v>
      </c>
      <c r="G363" s="372"/>
      <c r="H363" s="264">
        <f>'II-I-MET'!F363</f>
        <v>14888587.489999998</v>
      </c>
      <c r="I363" s="372"/>
      <c r="J363" s="264">
        <f>'II-I-TBILLTDCS'!F363</f>
        <v>20927454.859999999</v>
      </c>
      <c r="K363" s="372"/>
      <c r="L363" s="243">
        <f t="shared" si="15"/>
        <v>164906296.15000004</v>
      </c>
    </row>
    <row r="364" spans="2:29" ht="15.75" thickBot="1" x14ac:dyDescent="0.3">
      <c r="B364" s="16">
        <f t="shared" si="14"/>
        <v>22</v>
      </c>
      <c r="C364" s="262" t="s">
        <v>537</v>
      </c>
      <c r="D364" s="246"/>
      <c r="E364" s="263"/>
      <c r="F364" s="248">
        <f>'II-I-DIST'!F364</f>
        <v>515013313.37999982</v>
      </c>
      <c r="G364" s="387"/>
      <c r="H364" s="248">
        <f>'II-I-MET'!F364</f>
        <v>63532596.789999977</v>
      </c>
      <c r="I364" s="387"/>
      <c r="J364" s="248">
        <f>'II-I-TBILLTDCS'!F364</f>
        <v>52282052.959999964</v>
      </c>
      <c r="K364" s="387"/>
      <c r="L364" s="378">
        <f t="shared" si="15"/>
        <v>630827963.12999976</v>
      </c>
    </row>
    <row r="365" spans="2:29" ht="15" thickBot="1" x14ac:dyDescent="0.25">
      <c r="B365" s="16">
        <f t="shared" si="14"/>
        <v>23</v>
      </c>
      <c r="C365" s="1"/>
      <c r="D365" s="29"/>
      <c r="E365" s="265"/>
      <c r="F365" s="17">
        <f>'II-I-DIST'!F365</f>
        <v>0</v>
      </c>
      <c r="G365" s="265"/>
      <c r="H365" s="17">
        <f>'II-I-MET'!F365</f>
        <v>0</v>
      </c>
      <c r="I365" s="265"/>
      <c r="J365" s="17">
        <f>'II-I-TBILLTDCS'!F365</f>
        <v>0</v>
      </c>
      <c r="K365" s="265"/>
      <c r="L365" s="802"/>
    </row>
    <row r="366" spans="2:29" ht="15.75" thickBot="1" x14ac:dyDescent="0.3">
      <c r="B366" s="16">
        <f t="shared" si="14"/>
        <v>24</v>
      </c>
      <c r="C366" s="223" t="s">
        <v>538</v>
      </c>
      <c r="D366" s="224"/>
      <c r="E366" s="266"/>
      <c r="F366" s="812">
        <f>'II-I-DIST'!F366</f>
        <v>14051090173.35</v>
      </c>
      <c r="G366" s="390"/>
      <c r="H366" s="812">
        <f>'II-I-MET'!F366</f>
        <v>421137977.91999996</v>
      </c>
      <c r="I366" s="390"/>
      <c r="J366" s="812">
        <f>'II-I-TBILLTDCS'!F366</f>
        <v>278403750.57999992</v>
      </c>
      <c r="K366" s="390"/>
      <c r="L366" s="315">
        <f t="shared" si="15"/>
        <v>14750631901.85</v>
      </c>
    </row>
    <row r="367" spans="2:29" ht="15.75" thickBot="1" x14ac:dyDescent="0.3">
      <c r="B367" s="16">
        <f t="shared" si="14"/>
        <v>25</v>
      </c>
      <c r="C367" s="8"/>
      <c r="D367" s="8"/>
      <c r="E367" s="233"/>
      <c r="F367" s="805">
        <f>'II-I-DIST'!F367</f>
        <v>0</v>
      </c>
      <c r="G367" s="233"/>
      <c r="H367" s="805">
        <f>'II-I-MET'!F367</f>
        <v>0</v>
      </c>
      <c r="I367" s="233"/>
      <c r="J367" s="805">
        <f>'II-I-TBILLTDCS'!F367</f>
        <v>0</v>
      </c>
      <c r="K367" s="233"/>
      <c r="L367" s="805"/>
    </row>
    <row r="368" spans="2:29" ht="15.75" thickBot="1" x14ac:dyDescent="0.3">
      <c r="B368" s="16">
        <f t="shared" si="14"/>
        <v>26</v>
      </c>
      <c r="C368" s="223" t="s">
        <v>539</v>
      </c>
      <c r="D368" s="224"/>
      <c r="E368" s="266"/>
      <c r="F368" s="812">
        <f>'II-I-DIST'!F368</f>
        <v>14045648855.190001</v>
      </c>
      <c r="G368" s="390"/>
      <c r="H368" s="812">
        <f>'II-I-MET'!F368</f>
        <v>420933838.42999995</v>
      </c>
      <c r="I368" s="390"/>
      <c r="J368" s="812">
        <f>'II-I-TBILLTDCS'!F368</f>
        <v>278312288.07999992</v>
      </c>
      <c r="K368" s="390"/>
      <c r="L368" s="315">
        <f t="shared" si="15"/>
        <v>14744894981.700001</v>
      </c>
    </row>
    <row r="369" spans="2:25" x14ac:dyDescent="0.2">
      <c r="B369" s="64"/>
      <c r="C369" s="64"/>
      <c r="D369" s="64"/>
      <c r="E369" s="64"/>
      <c r="F369" s="64"/>
      <c r="G369" s="64"/>
      <c r="H369" s="64"/>
      <c r="I369" s="64"/>
      <c r="J369" s="64"/>
      <c r="K369" s="64"/>
    </row>
    <row r="370" spans="2:25" ht="15" x14ac:dyDescent="0.25">
      <c r="B370" s="783"/>
      <c r="C370" s="783"/>
      <c r="D370" s="783"/>
      <c r="E370" s="783"/>
      <c r="F370" s="64"/>
      <c r="G370" s="105"/>
      <c r="H370" s="64"/>
      <c r="I370" s="105"/>
      <c r="J370" s="64"/>
      <c r="K370" s="105"/>
      <c r="L370" s="783"/>
    </row>
    <row r="371" spans="2:25" ht="15.75" thickBot="1" x14ac:dyDescent="0.3">
      <c r="B371" s="783"/>
      <c r="C371" s="783"/>
      <c r="D371" s="783"/>
      <c r="E371" s="783"/>
      <c r="F371" s="64"/>
      <c r="G371" s="64"/>
      <c r="H371" s="64"/>
      <c r="I371" s="64"/>
      <c r="J371" s="64"/>
      <c r="K371" s="64"/>
      <c r="L371" s="783"/>
      <c r="T371" s="321"/>
      <c r="U371" s="321"/>
      <c r="V371" s="321"/>
      <c r="W371" s="321"/>
    </row>
    <row r="372" spans="2:25" ht="15" x14ac:dyDescent="0.25">
      <c r="B372" s="829" t="str">
        <f>$B$4</f>
        <v>2025 RATE CASE</v>
      </c>
      <c r="C372" s="835"/>
      <c r="D372" s="836"/>
      <c r="E372" s="783"/>
      <c r="F372" s="267"/>
      <c r="H372" s="267"/>
      <c r="J372" s="267"/>
      <c r="K372"/>
      <c r="L372" s="783"/>
    </row>
    <row r="373" spans="2:25" ht="15" x14ac:dyDescent="0.25">
      <c r="B373" s="826" t="str">
        <f>$B$5</f>
        <v>ONCOR ELECTRIC DELIVERY COMPANY LLC</v>
      </c>
      <c r="C373" s="304"/>
      <c r="D373" s="837"/>
      <c r="E373" s="783"/>
      <c r="F373" s="267"/>
      <c r="H373" s="267"/>
      <c r="J373" s="267"/>
      <c r="K373"/>
      <c r="L373" s="783"/>
    </row>
    <row r="374" spans="2:25" ht="15" x14ac:dyDescent="0.25">
      <c r="B374" s="341" t="str">
        <f>$B$6</f>
        <v>II-I-2.1f:  CONSOLIDATED FUNCTIONALIZED COST OF SERVICE</v>
      </c>
      <c r="C374" s="304"/>
      <c r="D374" s="837"/>
      <c r="E374" s="783"/>
      <c r="F374" s="267"/>
      <c r="H374" s="267"/>
      <c r="J374" s="267"/>
      <c r="K374"/>
      <c r="L374" s="783"/>
      <c r="X374" s="321"/>
    </row>
    <row r="375" spans="2:25" ht="15" x14ac:dyDescent="0.25">
      <c r="B375" s="341" t="str">
        <f>$B$7</f>
        <v>TEST YEAR ENDING 12/31/2024</v>
      </c>
      <c r="C375" s="304"/>
      <c r="D375" s="837"/>
      <c r="E375" s="304"/>
      <c r="F375" s="267"/>
      <c r="H375" s="267"/>
      <c r="J375" s="267"/>
      <c r="K375"/>
      <c r="L375" s="304"/>
    </row>
    <row r="376" spans="2:25" ht="15" x14ac:dyDescent="0.25">
      <c r="B376" s="341" t="str">
        <f>$B$8</f>
        <v>SPONSOR:  MATTHEW A. TROXLE</v>
      </c>
      <c r="C376" s="304"/>
      <c r="D376" s="837"/>
      <c r="E376" s="304"/>
      <c r="F376" s="267"/>
      <c r="H376" s="267"/>
      <c r="J376" s="267"/>
      <c r="K376"/>
      <c r="L376" s="304"/>
    </row>
    <row r="377" spans="2:25" ht="15.75" thickBot="1" x14ac:dyDescent="0.3">
      <c r="B377" s="345"/>
      <c r="C377" s="840"/>
      <c r="D377" s="841"/>
      <c r="E377" s="304"/>
      <c r="F377" s="267"/>
      <c r="H377" s="267"/>
      <c r="J377" s="267"/>
      <c r="K377"/>
      <c r="L377" s="304"/>
    </row>
    <row r="378" spans="2:25" x14ac:dyDescent="0.2">
      <c r="B378" s="12"/>
      <c r="C378" s="13"/>
      <c r="D378" s="177"/>
      <c r="E378" s="13"/>
      <c r="F378" s="12"/>
      <c r="G378" s="13"/>
      <c r="H378" s="12"/>
      <c r="I378" s="13"/>
      <c r="J378" s="12"/>
      <c r="K378" s="13"/>
      <c r="L378" s="855"/>
      <c r="M378" s="938"/>
    </row>
    <row r="379" spans="2:25" ht="15" x14ac:dyDescent="0.25">
      <c r="B379" s="14" t="s">
        <v>2</v>
      </c>
      <c r="C379" s="14" t="s">
        <v>349</v>
      </c>
      <c r="D379" s="180" t="s">
        <v>113</v>
      </c>
      <c r="E379" s="14" t="s">
        <v>350</v>
      </c>
      <c r="F379" s="226" t="str">
        <f>'II-I-DIST'!F379</f>
        <v>DIST</v>
      </c>
      <c r="G379" s="181" t="str">
        <f>'II-I-DIST'!H379</f>
        <v>Allocation</v>
      </c>
      <c r="H379" s="226" t="str">
        <f>'II-I-MET'!F379</f>
        <v>MET</v>
      </c>
      <c r="I379" s="181" t="str">
        <f>'II-I-MET'!H379</f>
        <v>Allocation</v>
      </c>
      <c r="J379" s="226" t="str">
        <f>'II-I-TBILLTDCS'!F379</f>
        <v>TBILLTDCS</v>
      </c>
      <c r="K379" s="181" t="str">
        <f>'II-I-TBILLTDCS'!H379</f>
        <v>Allocation</v>
      </c>
      <c r="L379" s="660" t="s">
        <v>434</v>
      </c>
      <c r="M379" s="932" t="s">
        <v>970</v>
      </c>
      <c r="Y379" s="321"/>
    </row>
    <row r="380" spans="2:25" x14ac:dyDescent="0.2">
      <c r="B380" s="14"/>
      <c r="C380" s="14"/>
      <c r="D380" s="181"/>
      <c r="E380" s="14"/>
      <c r="F380" s="14"/>
      <c r="G380" s="181" t="str">
        <f>'II-I-DIST'!H380</f>
        <v>Factor</v>
      </c>
      <c r="H380" s="14"/>
      <c r="I380" s="181" t="str">
        <f>'II-I-MET'!H380</f>
        <v>Factor</v>
      </c>
      <c r="J380" s="14"/>
      <c r="K380" s="181" t="str">
        <f>'II-I-TBILLTDCS'!H380</f>
        <v>Factor</v>
      </c>
      <c r="L380" s="660" t="s">
        <v>31</v>
      </c>
      <c r="M380" s="939"/>
    </row>
    <row r="381" spans="2:25" ht="15.75" thickBot="1" x14ac:dyDescent="0.25">
      <c r="B381" s="182"/>
      <c r="C381" s="860"/>
      <c r="D381" s="184"/>
      <c r="E381" s="184"/>
      <c r="F381" s="15" t="str">
        <f>'II-I-DIST'!F381</f>
        <v>(a)</v>
      </c>
      <c r="G381" s="15" t="str">
        <f>'II-I-DIST'!H381</f>
        <v>(c)</v>
      </c>
      <c r="H381" s="664" t="str">
        <f>'II-I-MET'!F381</f>
        <v>(a)</v>
      </c>
      <c r="I381" s="15" t="str">
        <f>'II-I-MET'!H381</f>
        <v>(c)</v>
      </c>
      <c r="J381" s="664" t="str">
        <f>'II-I-TBILLTDCS'!F381</f>
        <v>(a)</v>
      </c>
      <c r="K381" s="15" t="str">
        <f>'II-I-TBILLTDCS'!H381</f>
        <v>(c)</v>
      </c>
      <c r="L381" s="664" t="s">
        <v>19</v>
      </c>
      <c r="M381" s="934" t="s">
        <v>20</v>
      </c>
    </row>
    <row r="382" spans="2:25" x14ac:dyDescent="0.2">
      <c r="B382" s="64"/>
      <c r="C382" s="268"/>
      <c r="D382" s="268"/>
      <c r="E382" s="268"/>
      <c r="F382" s="268"/>
      <c r="G382" s="268"/>
      <c r="H382" s="268"/>
      <c r="I382" s="268"/>
      <c r="J382" s="268"/>
      <c r="K382" s="268"/>
      <c r="L382" s="611"/>
    </row>
    <row r="383" spans="2:25" ht="15" x14ac:dyDescent="0.25">
      <c r="B383" s="16">
        <f t="shared" ref="B383:B388" si="16">B382+1</f>
        <v>1</v>
      </c>
      <c r="C383" s="269" t="s">
        <v>110</v>
      </c>
      <c r="D383" s="34"/>
      <c r="E383" s="806"/>
      <c r="F383" s="807"/>
      <c r="G383" s="806"/>
      <c r="H383" s="807"/>
      <c r="I383" s="806"/>
      <c r="J383" s="807"/>
      <c r="K383" s="806"/>
      <c r="L383" s="34"/>
    </row>
    <row r="384" spans="2:25" ht="15" x14ac:dyDescent="0.25">
      <c r="B384" s="16">
        <f t="shared" si="16"/>
        <v>2</v>
      </c>
      <c r="C384" s="269"/>
      <c r="D384" s="41"/>
      <c r="E384" s="202"/>
      <c r="F384" s="202"/>
      <c r="G384" s="202"/>
      <c r="H384" s="202"/>
      <c r="I384" s="202"/>
      <c r="J384" s="202"/>
      <c r="K384" s="202"/>
      <c r="L384" s="611"/>
    </row>
    <row r="385" spans="2:29" s="321" customFormat="1" ht="29.25" x14ac:dyDescent="0.25">
      <c r="B385" s="16">
        <f t="shared" si="16"/>
        <v>3</v>
      </c>
      <c r="C385" s="41" t="s">
        <v>540</v>
      </c>
      <c r="D385" s="41" t="s">
        <v>113</v>
      </c>
      <c r="E385" s="36" t="s">
        <v>114</v>
      </c>
      <c r="F385" s="97">
        <f>'II-I-DIST'!F385</f>
        <v>6705448.3699999982</v>
      </c>
      <c r="G385" s="45" t="str">
        <f>'II-I-DIST'!H385</f>
        <v>NCP XHV</v>
      </c>
      <c r="H385" s="97">
        <f>'II-I-MET'!F385</f>
        <v>0</v>
      </c>
      <c r="I385" s="45" t="str">
        <f>'II-I-MET'!H385</f>
        <v>NCP XHV</v>
      </c>
      <c r="J385" s="97">
        <f>'II-I-TBILLTDCS'!F385</f>
        <v>0</v>
      </c>
      <c r="K385" s="45" t="str">
        <f>'II-I-TBILLTDCS'!H385</f>
        <v>NCP XHV</v>
      </c>
      <c r="L385" s="802">
        <f t="shared" si="15"/>
        <v>6705448.3699999982</v>
      </c>
      <c r="M385" s="935" t="s">
        <v>984</v>
      </c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ht="15" x14ac:dyDescent="0.25">
      <c r="B386" s="16">
        <f t="shared" si="16"/>
        <v>4</v>
      </c>
      <c r="C386" s="34"/>
      <c r="D386" s="42" t="s">
        <v>444</v>
      </c>
      <c r="E386" s="807"/>
      <c r="F386" s="807">
        <f>'II-I-DIST'!F386</f>
        <v>6705448.3699999982</v>
      </c>
      <c r="G386" s="807"/>
      <c r="H386" s="807">
        <f>'II-I-MET'!F386</f>
        <v>0</v>
      </c>
      <c r="I386" s="807"/>
      <c r="J386" s="807">
        <f>'II-I-TBILLTDCS'!F386</f>
        <v>0</v>
      </c>
      <c r="K386" s="807"/>
      <c r="L386" s="807">
        <f t="shared" si="15"/>
        <v>6705448.3699999982</v>
      </c>
    </row>
    <row r="387" spans="2:29" ht="15" thickBot="1" x14ac:dyDescent="0.25">
      <c r="B387" s="16">
        <f t="shared" si="16"/>
        <v>5</v>
      </c>
      <c r="C387" s="41"/>
      <c r="D387" s="41"/>
      <c r="E387" s="202"/>
      <c r="F387" s="202">
        <f>'II-I-DIST'!F387</f>
        <v>0</v>
      </c>
      <c r="G387" s="202"/>
      <c r="H387" s="202">
        <f>'II-I-MET'!F387</f>
        <v>0</v>
      </c>
      <c r="I387" s="202"/>
      <c r="J387" s="202">
        <f>'II-I-TBILLTDCS'!F387</f>
        <v>0</v>
      </c>
      <c r="K387" s="202"/>
      <c r="L387" s="611"/>
    </row>
    <row r="388" spans="2:29" ht="15.75" thickBot="1" x14ac:dyDescent="0.3">
      <c r="B388" s="16">
        <f t="shared" si="16"/>
        <v>6</v>
      </c>
      <c r="C388" s="270" t="s">
        <v>541</v>
      </c>
      <c r="D388" s="271"/>
      <c r="E388" s="272" t="s">
        <v>114</v>
      </c>
      <c r="F388" s="814">
        <f>'II-I-DIST'!F388</f>
        <v>6705448.3699999982</v>
      </c>
      <c r="G388" s="392"/>
      <c r="H388" s="814">
        <f>'II-I-MET'!F388</f>
        <v>0</v>
      </c>
      <c r="I388" s="392"/>
      <c r="J388" s="814">
        <f>'II-I-TBILLTDCS'!F388</f>
        <v>0</v>
      </c>
      <c r="K388" s="392"/>
      <c r="L388" s="218"/>
    </row>
    <row r="389" spans="2:29" x14ac:dyDescent="0.2">
      <c r="B389" s="64"/>
      <c r="C389" s="64"/>
      <c r="D389" s="64"/>
      <c r="E389" s="64"/>
      <c r="F389" s="64"/>
      <c r="G389" s="64"/>
      <c r="H389" s="64"/>
      <c r="I389" s="64"/>
      <c r="J389" s="64"/>
      <c r="K389" s="64"/>
    </row>
    <row r="390" spans="2:29" ht="15" x14ac:dyDescent="0.25">
      <c r="B390" s="783"/>
      <c r="C390" s="783"/>
      <c r="D390" s="783"/>
      <c r="E390" s="783"/>
      <c r="F390" s="64"/>
      <c r="G390" s="105"/>
      <c r="H390" s="64"/>
      <c r="I390" s="105"/>
      <c r="J390" s="64"/>
      <c r="K390" s="105"/>
      <c r="L390" s="783"/>
    </row>
    <row r="391" spans="2:29" ht="15.75" thickBot="1" x14ac:dyDescent="0.3">
      <c r="B391" s="783"/>
      <c r="C391" s="783"/>
      <c r="D391" s="783"/>
      <c r="E391" s="783"/>
      <c r="F391" s="64"/>
      <c r="G391" s="64"/>
      <c r="H391" s="64"/>
      <c r="I391" s="64"/>
      <c r="J391" s="64"/>
      <c r="K391" s="64"/>
      <c r="L391" s="783"/>
    </row>
    <row r="392" spans="2:29" ht="15" x14ac:dyDescent="0.25">
      <c r="B392" s="829" t="str">
        <f>$B$4</f>
        <v>2025 RATE CASE</v>
      </c>
      <c r="C392" s="835"/>
      <c r="D392" s="836"/>
      <c r="E392" s="783"/>
      <c r="F392" s="267"/>
      <c r="H392" s="267"/>
      <c r="J392" s="267"/>
      <c r="K392"/>
      <c r="L392" s="783"/>
    </row>
    <row r="393" spans="2:29" ht="15" x14ac:dyDescent="0.25">
      <c r="B393" s="826" t="str">
        <f>$B$5</f>
        <v>ONCOR ELECTRIC DELIVERY COMPANY LLC</v>
      </c>
      <c r="C393" s="304"/>
      <c r="D393" s="837"/>
      <c r="E393" s="783"/>
      <c r="F393" s="267"/>
      <c r="H393" s="267"/>
      <c r="J393" s="267"/>
      <c r="K393"/>
      <c r="L393" s="783"/>
    </row>
    <row r="394" spans="2:29" ht="15" x14ac:dyDescent="0.25">
      <c r="B394" s="341" t="str">
        <f>$B$6</f>
        <v>II-I-2.1f:  CONSOLIDATED FUNCTIONALIZED COST OF SERVICE</v>
      </c>
      <c r="C394" s="304"/>
      <c r="D394" s="837"/>
      <c r="E394" s="783"/>
      <c r="F394" s="267"/>
      <c r="H394" s="267"/>
      <c r="J394" s="267"/>
      <c r="K394"/>
      <c r="L394" s="783"/>
    </row>
    <row r="395" spans="2:29" ht="15" x14ac:dyDescent="0.25">
      <c r="B395" s="341" t="str">
        <f>$B$7</f>
        <v>TEST YEAR ENDING 12/31/2024</v>
      </c>
      <c r="C395" s="304"/>
      <c r="D395" s="837"/>
      <c r="E395" s="304"/>
      <c r="F395" s="267"/>
      <c r="H395" s="267"/>
      <c r="J395" s="267"/>
      <c r="K395"/>
      <c r="L395" s="304"/>
    </row>
    <row r="396" spans="2:29" ht="15" x14ac:dyDescent="0.25">
      <c r="B396" s="341" t="str">
        <f>$B$8</f>
        <v>SPONSOR:  MATTHEW A. TROXLE</v>
      </c>
      <c r="C396" s="304"/>
      <c r="D396" s="837"/>
      <c r="E396" s="304"/>
      <c r="F396" s="267"/>
      <c r="H396" s="267"/>
      <c r="J396" s="267"/>
      <c r="K396"/>
      <c r="L396" s="304"/>
    </row>
    <row r="397" spans="2:29" ht="15.75" thickBot="1" x14ac:dyDescent="0.3">
      <c r="B397" s="345"/>
      <c r="C397" s="840"/>
      <c r="D397" s="841"/>
      <c r="E397" s="304"/>
      <c r="F397" s="267"/>
      <c r="H397" s="267"/>
      <c r="J397" s="267"/>
      <c r="K397"/>
      <c r="L397" s="304"/>
      <c r="T397" s="321"/>
      <c r="U397" s="321"/>
      <c r="V397" s="321"/>
      <c r="W397" s="321"/>
    </row>
    <row r="398" spans="2:29" x14ac:dyDescent="0.2">
      <c r="B398" s="12"/>
      <c r="C398" s="13"/>
      <c r="D398" s="13"/>
      <c r="E398" s="13"/>
      <c r="F398" s="12"/>
      <c r="G398" s="13"/>
      <c r="H398" s="12"/>
      <c r="I398" s="13"/>
      <c r="J398" s="12"/>
      <c r="K398" s="13"/>
      <c r="L398" s="855"/>
      <c r="M398" s="938"/>
    </row>
    <row r="399" spans="2:29" ht="15" x14ac:dyDescent="0.25">
      <c r="B399" s="14" t="s">
        <v>2</v>
      </c>
      <c r="C399" s="14" t="s">
        <v>349</v>
      </c>
      <c r="D399" s="226" t="s">
        <v>542</v>
      </c>
      <c r="E399" s="14" t="s">
        <v>350</v>
      </c>
      <c r="F399" s="226" t="str">
        <f>'II-I-DIST'!F399</f>
        <v>DIST</v>
      </c>
      <c r="G399" s="181" t="str">
        <f>'II-I-DIST'!H399</f>
        <v>Allocation</v>
      </c>
      <c r="H399" s="226" t="str">
        <f>'II-I-MET'!F399</f>
        <v>MET</v>
      </c>
      <c r="I399" s="181" t="str">
        <f>'II-I-MET'!H399</f>
        <v>Allocation</v>
      </c>
      <c r="J399" s="226" t="str">
        <f>'II-I-TBILLTDCS'!F399</f>
        <v>TBILLTDCS</v>
      </c>
      <c r="K399" s="181" t="str">
        <f>'II-I-TBILLTDCS'!H399</f>
        <v>Allocation</v>
      </c>
      <c r="L399" s="660" t="s">
        <v>434</v>
      </c>
      <c r="M399" s="932" t="s">
        <v>970</v>
      </c>
    </row>
    <row r="400" spans="2:29" x14ac:dyDescent="0.2">
      <c r="B400" s="14"/>
      <c r="C400" s="14"/>
      <c r="D400" s="14"/>
      <c r="E400" s="14"/>
      <c r="F400" s="14"/>
      <c r="G400" s="181" t="str">
        <f>'II-I-DIST'!H400</f>
        <v>Factor</v>
      </c>
      <c r="H400" s="14">
        <f>'II-I-MET'!F400</f>
        <v>0</v>
      </c>
      <c r="I400" s="181" t="str">
        <f>'II-I-MET'!H400</f>
        <v>Factor</v>
      </c>
      <c r="J400" s="14">
        <f>'II-I-TBILLTDCS'!F400</f>
        <v>0</v>
      </c>
      <c r="K400" s="181" t="str">
        <f>'II-I-TBILLTDCS'!H400</f>
        <v>Factor</v>
      </c>
      <c r="L400" s="660" t="s">
        <v>31</v>
      </c>
      <c r="M400" s="939"/>
      <c r="X400" s="321"/>
    </row>
    <row r="401" spans="2:29" ht="15.75" thickBot="1" x14ac:dyDescent="0.25">
      <c r="B401" s="182"/>
      <c r="C401" s="865"/>
      <c r="D401" s="184"/>
      <c r="E401" s="184"/>
      <c r="F401" s="15" t="str">
        <f>'II-I-DIST'!F401</f>
        <v>(a)</v>
      </c>
      <c r="G401" s="15" t="str">
        <f>'II-I-DIST'!H401</f>
        <v>(c)</v>
      </c>
      <c r="H401" s="664" t="str">
        <f>'II-I-MET'!F401</f>
        <v>(a)</v>
      </c>
      <c r="I401" s="15" t="str">
        <f>'II-I-MET'!H401</f>
        <v>(c)</v>
      </c>
      <c r="J401" s="664" t="str">
        <f>'II-I-TBILLTDCS'!F401</f>
        <v>(a)</v>
      </c>
      <c r="K401" s="15" t="str">
        <f>'II-I-TBILLTDCS'!H401</f>
        <v>(c)</v>
      </c>
      <c r="L401" s="664" t="s">
        <v>19</v>
      </c>
      <c r="M401" s="934" t="s">
        <v>20</v>
      </c>
    </row>
    <row r="402" spans="2:29" x14ac:dyDescent="0.2">
      <c r="B402" s="64"/>
      <c r="C402" s="268"/>
      <c r="D402" s="268"/>
      <c r="E402" s="268"/>
      <c r="F402" s="268"/>
      <c r="G402" s="268"/>
      <c r="H402" s="268"/>
      <c r="I402" s="268"/>
      <c r="J402" s="268"/>
      <c r="K402" s="268"/>
      <c r="L402" s="611"/>
    </row>
    <row r="403" spans="2:29" ht="15" x14ac:dyDescent="0.25">
      <c r="B403" s="16">
        <f t="shared" ref="B403:B413" si="17">B402+1</f>
        <v>1</v>
      </c>
      <c r="C403" s="269" t="s">
        <v>110</v>
      </c>
      <c r="D403" s="34"/>
      <c r="E403" s="806"/>
      <c r="F403" s="818"/>
      <c r="G403" s="806"/>
      <c r="H403" s="818"/>
      <c r="I403" s="806"/>
      <c r="J403" s="818"/>
      <c r="K403" s="806"/>
      <c r="L403" s="42"/>
    </row>
    <row r="404" spans="2:29" ht="15" x14ac:dyDescent="0.25">
      <c r="B404" s="16">
        <f t="shared" si="17"/>
        <v>2</v>
      </c>
      <c r="C404" s="269"/>
      <c r="D404" s="41"/>
      <c r="E404" s="202"/>
      <c r="F404" s="274"/>
      <c r="G404" s="202"/>
      <c r="H404" s="274"/>
      <c r="I404" s="202"/>
      <c r="J404" s="274"/>
      <c r="K404" s="202"/>
      <c r="L404" s="619"/>
    </row>
    <row r="405" spans="2:29" ht="15" x14ac:dyDescent="0.25">
      <c r="B405" s="16">
        <f t="shared" si="17"/>
        <v>3</v>
      </c>
      <c r="C405" s="41"/>
      <c r="D405" s="41" t="s">
        <v>131</v>
      </c>
      <c r="E405" s="806" t="s">
        <v>475</v>
      </c>
      <c r="F405" s="97">
        <f>'II-I-DIST'!F405</f>
        <v>0</v>
      </c>
      <c r="G405" s="45" t="str">
        <f>'II-I-DIST'!H405</f>
        <v>N / A</v>
      </c>
      <c r="H405" s="97">
        <f>'II-I-MET'!F405</f>
        <v>0</v>
      </c>
      <c r="I405" s="45" t="str">
        <f>'II-I-MET'!H405</f>
        <v>N / A</v>
      </c>
      <c r="J405" s="97">
        <f>'II-I-TBILLTDCS'!F405</f>
        <v>0</v>
      </c>
      <c r="K405" s="45" t="str">
        <f>'II-I-TBILLTDCS'!H405</f>
        <v>N / A</v>
      </c>
      <c r="L405" s="802">
        <f>F405+H405+J405</f>
        <v>0</v>
      </c>
      <c r="Y405" s="321"/>
    </row>
    <row r="406" spans="2:29" ht="15" x14ac:dyDescent="0.25">
      <c r="B406" s="16">
        <f t="shared" si="17"/>
        <v>4</v>
      </c>
      <c r="C406" s="41"/>
      <c r="D406" s="41" t="s">
        <v>543</v>
      </c>
      <c r="E406" s="806"/>
      <c r="F406" s="97">
        <f>'II-I-DIST'!F406</f>
        <v>0</v>
      </c>
      <c r="G406" s="45" t="str">
        <f>'II-I-DIST'!H406</f>
        <v>N / A</v>
      </c>
      <c r="H406" s="97">
        <f>'II-I-MET'!F406</f>
        <v>0</v>
      </c>
      <c r="I406" s="45" t="str">
        <f>'II-I-MET'!H406</f>
        <v>N / A</v>
      </c>
      <c r="J406" s="97">
        <f>'II-I-TBILLTDCS'!F406</f>
        <v>0</v>
      </c>
      <c r="K406" s="45" t="str">
        <f>'II-I-TBILLTDCS'!H406</f>
        <v>N / A</v>
      </c>
      <c r="L406" s="802">
        <f>F406+H406+J406</f>
        <v>0</v>
      </c>
    </row>
    <row r="407" spans="2:29" ht="15" x14ac:dyDescent="0.25">
      <c r="B407" s="16">
        <f t="shared" si="17"/>
        <v>5</v>
      </c>
      <c r="C407" s="41"/>
      <c r="D407" s="41" t="s">
        <v>544</v>
      </c>
      <c r="E407" s="806"/>
      <c r="F407" s="97">
        <f>'II-I-DIST'!F407</f>
        <v>0</v>
      </c>
      <c r="G407" s="45" t="str">
        <f>'II-I-DIST'!H407</f>
        <v>N / A</v>
      </c>
      <c r="H407" s="97">
        <f>'II-I-MET'!F407</f>
        <v>0</v>
      </c>
      <c r="I407" s="45" t="str">
        <f>'II-I-MET'!H407</f>
        <v>N / A</v>
      </c>
      <c r="J407" s="97">
        <f>'II-I-TBILLTDCS'!F407</f>
        <v>0</v>
      </c>
      <c r="K407" s="45" t="str">
        <f>'II-I-TBILLTDCS'!H407</f>
        <v>N / A</v>
      </c>
      <c r="L407" s="802">
        <f>F407+H407+J407</f>
        <v>0</v>
      </c>
    </row>
    <row r="408" spans="2:29" ht="15.75" thickBot="1" x14ac:dyDescent="0.3">
      <c r="B408" s="16">
        <f t="shared" si="17"/>
        <v>6</v>
      </c>
      <c r="C408" s="41"/>
      <c r="D408" s="41"/>
      <c r="E408" s="806"/>
      <c r="F408" s="25">
        <f>'II-I-DIST'!F408</f>
        <v>0</v>
      </c>
      <c r="G408" s="806">
        <f>'II-I-DIST'!H408</f>
        <v>0</v>
      </c>
      <c r="H408" s="25">
        <f>'II-I-MET'!F408</f>
        <v>0</v>
      </c>
      <c r="I408" s="806">
        <f>'II-I-MET'!H408</f>
        <v>0</v>
      </c>
      <c r="J408" s="25">
        <f>'II-I-TBILLTDCS'!F408</f>
        <v>0</v>
      </c>
      <c r="K408" s="806">
        <f>'II-I-TBILLTDCS'!H408</f>
        <v>0</v>
      </c>
      <c r="L408" s="802">
        <f>F408+H408+J408</f>
        <v>0</v>
      </c>
    </row>
    <row r="409" spans="2:29" ht="15.75" thickBot="1" x14ac:dyDescent="0.3">
      <c r="B409" s="16">
        <f t="shared" si="17"/>
        <v>7</v>
      </c>
      <c r="C409" s="276" t="s">
        <v>545</v>
      </c>
      <c r="D409" s="271"/>
      <c r="E409" s="272" t="s">
        <v>475</v>
      </c>
      <c r="F409" s="277">
        <f>'II-I-DIST'!F409</f>
        <v>0</v>
      </c>
      <c r="G409" s="392">
        <f>'II-I-DIST'!H409</f>
        <v>0</v>
      </c>
      <c r="H409" s="277">
        <f>'II-I-MET'!F409</f>
        <v>0</v>
      </c>
      <c r="I409" s="392">
        <f>'II-I-MET'!H409</f>
        <v>0</v>
      </c>
      <c r="J409" s="277">
        <f>'II-I-TBILLTDCS'!F409</f>
        <v>0</v>
      </c>
      <c r="K409" s="392">
        <f>'II-I-TBILLTDCS'!H409</f>
        <v>0</v>
      </c>
      <c r="L409" s="396">
        <f>F409+H409+J409</f>
        <v>0</v>
      </c>
    </row>
    <row r="410" spans="2:29" x14ac:dyDescent="0.2">
      <c r="B410" s="16">
        <f t="shared" si="17"/>
        <v>8</v>
      </c>
      <c r="C410" s="41"/>
      <c r="D410" s="41"/>
      <c r="E410" s="202"/>
      <c r="F410" s="274">
        <f>'II-I-DIST'!F410</f>
        <v>0</v>
      </c>
      <c r="G410" s="202">
        <f>'II-I-DIST'!H410</f>
        <v>0</v>
      </c>
      <c r="H410" s="274">
        <f>'II-I-MET'!F410</f>
        <v>0</v>
      </c>
      <c r="I410" s="202">
        <f>'II-I-MET'!H410</f>
        <v>0</v>
      </c>
      <c r="J410" s="274">
        <f>'II-I-TBILLTDCS'!F410</f>
        <v>0</v>
      </c>
      <c r="K410" s="202">
        <f>'II-I-TBILLTDCS'!H410</f>
        <v>0</v>
      </c>
      <c r="L410" s="619"/>
    </row>
    <row r="411" spans="2:29" s="321" customFormat="1" ht="29.25" x14ac:dyDescent="0.25">
      <c r="B411" s="16">
        <f t="shared" si="17"/>
        <v>9</v>
      </c>
      <c r="C411" s="34" t="s">
        <v>546</v>
      </c>
      <c r="D411" s="42"/>
      <c r="E411" s="806" t="s">
        <v>125</v>
      </c>
      <c r="F411" s="229">
        <f>'II-I-DIST'!F411</f>
        <v>-1434321915.47</v>
      </c>
      <c r="G411" s="45" t="str">
        <f>'II-I-DIST'!H411</f>
        <v>PLANT</v>
      </c>
      <c r="H411" s="97">
        <f>'II-I-MET'!F411</f>
        <v>-11971648.140000001</v>
      </c>
      <c r="I411" s="45" t="str">
        <f>'II-I-MET'!H411</f>
        <v>PLANT</v>
      </c>
      <c r="J411" s="97">
        <f>'II-I-TBILLTDCS'!F411</f>
        <v>-52031200.460000001</v>
      </c>
      <c r="K411" s="45" t="str">
        <f>'II-I-TBILLTDCS'!H411</f>
        <v>PLANT</v>
      </c>
      <c r="L411" s="804">
        <f>F411+H411+J411</f>
        <v>-1498324764.0700002</v>
      </c>
      <c r="M411" s="935" t="s">
        <v>985</v>
      </c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ht="15" thickBot="1" x14ac:dyDescent="0.25">
      <c r="B412" s="16">
        <f t="shared" si="17"/>
        <v>10</v>
      </c>
      <c r="C412" s="41"/>
      <c r="D412" s="41"/>
      <c r="E412" s="202"/>
      <c r="F412" s="274">
        <f>'II-I-DIST'!F412</f>
        <v>0</v>
      </c>
      <c r="G412" s="202"/>
      <c r="H412" s="274">
        <f>'II-I-MET'!F412</f>
        <v>0</v>
      </c>
      <c r="I412" s="202"/>
      <c r="J412" s="274">
        <f>'II-I-TBILLTDCS'!F412</f>
        <v>0</v>
      </c>
      <c r="K412" s="202"/>
      <c r="L412" s="619"/>
    </row>
    <row r="413" spans="2:29" ht="15.75" thickBot="1" x14ac:dyDescent="0.3">
      <c r="B413" s="16">
        <f t="shared" si="17"/>
        <v>11</v>
      </c>
      <c r="C413" s="276" t="s">
        <v>547</v>
      </c>
      <c r="D413" s="271"/>
      <c r="E413" s="272"/>
      <c r="F413" s="1202">
        <f>'II-I-DIST'!F413</f>
        <v>-1434321915.47</v>
      </c>
      <c r="G413" s="392"/>
      <c r="H413" s="277">
        <f>'II-I-MET'!F413</f>
        <v>-11971648.140000001</v>
      </c>
      <c r="I413" s="392"/>
      <c r="J413" s="277">
        <f>'II-I-TBILLTDCS'!F413</f>
        <v>-52031200.460000001</v>
      </c>
      <c r="K413" s="392"/>
      <c r="L413" s="396">
        <f>F413+H413+J413</f>
        <v>-1498324764.0700002</v>
      </c>
    </row>
    <row r="414" spans="2:29" x14ac:dyDescent="0.2">
      <c r="B414" s="64"/>
      <c r="C414" s="64"/>
      <c r="D414" s="64"/>
      <c r="E414" s="64"/>
      <c r="F414" s="222"/>
      <c r="G414" s="64"/>
      <c r="H414" s="222"/>
      <c r="I414" s="64"/>
      <c r="J414" s="222"/>
      <c r="K414" s="64"/>
      <c r="L414" s="646"/>
    </row>
    <row r="415" spans="2:29" ht="15" x14ac:dyDescent="0.25">
      <c r="B415" s="783"/>
      <c r="C415" s="783"/>
      <c r="D415" s="783"/>
      <c r="E415" s="783"/>
      <c r="F415" s="222"/>
      <c r="G415" s="105"/>
      <c r="H415" s="222"/>
      <c r="I415" s="105"/>
      <c r="J415" s="222"/>
      <c r="K415" s="105"/>
      <c r="L415" s="783"/>
    </row>
    <row r="416" spans="2:29" ht="15.75" thickBot="1" x14ac:dyDescent="0.3">
      <c r="B416" s="783"/>
      <c r="C416" s="783"/>
      <c r="D416" s="783"/>
      <c r="E416" s="783"/>
      <c r="F416" s="222"/>
      <c r="G416" s="64"/>
      <c r="H416" s="222"/>
      <c r="I416" s="64"/>
      <c r="J416" s="222"/>
      <c r="K416" s="64"/>
      <c r="L416" s="783"/>
    </row>
    <row r="417" spans="2:29" ht="15" x14ac:dyDescent="0.25">
      <c r="B417" s="829" t="str">
        <f>$B$4</f>
        <v>2025 RATE CASE</v>
      </c>
      <c r="C417" s="835"/>
      <c r="D417" s="836"/>
      <c r="E417" s="783"/>
      <c r="F417" s="267"/>
      <c r="H417" s="267"/>
      <c r="J417" s="267"/>
      <c r="K417"/>
      <c r="L417" s="783"/>
      <c r="T417" s="321"/>
      <c r="U417" s="321"/>
      <c r="V417" s="321"/>
      <c r="W417" s="321"/>
    </row>
    <row r="418" spans="2:29" ht="15" x14ac:dyDescent="0.25">
      <c r="B418" s="826" t="str">
        <f>$B$5</f>
        <v>ONCOR ELECTRIC DELIVERY COMPANY LLC</v>
      </c>
      <c r="C418" s="304"/>
      <c r="D418" s="837"/>
      <c r="E418" s="783"/>
      <c r="F418" s="267"/>
      <c r="H418" s="267"/>
      <c r="J418" s="267"/>
      <c r="K418"/>
      <c r="L418" s="783"/>
      <c r="T418" s="321"/>
      <c r="U418" s="321"/>
      <c r="V418" s="321"/>
      <c r="W418" s="321"/>
    </row>
    <row r="419" spans="2:29" ht="15" x14ac:dyDescent="0.25">
      <c r="B419" s="341" t="str">
        <f>$B$6</f>
        <v>II-I-2.1f:  CONSOLIDATED FUNCTIONALIZED COST OF SERVICE</v>
      </c>
      <c r="C419" s="304"/>
      <c r="D419" s="837"/>
      <c r="E419" s="783"/>
      <c r="F419" s="267"/>
      <c r="H419" s="267"/>
      <c r="J419" s="267"/>
      <c r="K419"/>
      <c r="L419" s="783"/>
    </row>
    <row r="420" spans="2:29" ht="15" x14ac:dyDescent="0.25">
      <c r="B420" s="341" t="str">
        <f>$B$7</f>
        <v>TEST YEAR ENDING 12/31/2024</v>
      </c>
      <c r="C420" s="304"/>
      <c r="D420" s="837"/>
      <c r="E420" s="304"/>
      <c r="F420" s="267"/>
      <c r="H420" s="267"/>
      <c r="J420" s="267"/>
      <c r="K420"/>
      <c r="L420" s="304"/>
      <c r="X420" s="321"/>
    </row>
    <row r="421" spans="2:29" ht="15" x14ac:dyDescent="0.25">
      <c r="B421" s="341" t="str">
        <f>$B$8</f>
        <v>SPONSOR:  MATTHEW A. TROXLE</v>
      </c>
      <c r="C421" s="304"/>
      <c r="D421" s="837"/>
      <c r="E421" s="304"/>
      <c r="F421" s="267"/>
      <c r="H421" s="267"/>
      <c r="J421" s="267"/>
      <c r="K421"/>
      <c r="L421" s="304"/>
      <c r="X421" s="321"/>
    </row>
    <row r="422" spans="2:29" ht="15.75" thickBot="1" x14ac:dyDescent="0.3">
      <c r="B422" s="345"/>
      <c r="C422" s="840"/>
      <c r="D422" s="841"/>
      <c r="E422" s="304"/>
      <c r="F422" s="267"/>
      <c r="H422" s="267"/>
      <c r="J422" s="267"/>
      <c r="K422"/>
      <c r="L422" s="304"/>
    </row>
    <row r="423" spans="2:29" x14ac:dyDescent="0.2">
      <c r="B423" s="12"/>
      <c r="C423" s="13"/>
      <c r="D423" s="177"/>
      <c r="E423" s="13"/>
      <c r="F423" s="12"/>
      <c r="G423" s="13"/>
      <c r="H423" s="12"/>
      <c r="I423" s="13"/>
      <c r="J423" s="12"/>
      <c r="K423" s="13"/>
      <c r="L423" s="855"/>
      <c r="M423" s="938"/>
    </row>
    <row r="424" spans="2:29" ht="15" x14ac:dyDescent="0.25">
      <c r="B424" s="14" t="s">
        <v>2</v>
      </c>
      <c r="C424" s="14" t="s">
        <v>349</v>
      </c>
      <c r="D424" s="180" t="s">
        <v>548</v>
      </c>
      <c r="E424" s="14" t="s">
        <v>350</v>
      </c>
      <c r="F424" s="226" t="str">
        <f>'II-I-DIST'!F424</f>
        <v>DIST</v>
      </c>
      <c r="G424" s="181" t="str">
        <f>'II-I-DIST'!H424</f>
        <v>Allocation</v>
      </c>
      <c r="H424" s="226" t="str">
        <f>'II-I-MET'!F424</f>
        <v>MET</v>
      </c>
      <c r="I424" s="181" t="str">
        <f>'II-I-MET'!H424</f>
        <v>Allocation</v>
      </c>
      <c r="J424" s="226" t="str">
        <f>'II-I-TBILLTDCS'!F424</f>
        <v>TBILLTDCS</v>
      </c>
      <c r="K424" s="181" t="str">
        <f>'II-I-TBILLTDCS'!H424</f>
        <v>Allocation</v>
      </c>
      <c r="L424" s="660" t="s">
        <v>434</v>
      </c>
      <c r="M424" s="932" t="s">
        <v>970</v>
      </c>
    </row>
    <row r="425" spans="2:29" x14ac:dyDescent="0.2">
      <c r="B425" s="14"/>
      <c r="C425" s="14"/>
      <c r="D425" s="181"/>
      <c r="E425" s="14"/>
      <c r="F425" s="14"/>
      <c r="G425" s="181" t="str">
        <f>'II-I-DIST'!H425</f>
        <v>Factor</v>
      </c>
      <c r="H425" s="14"/>
      <c r="I425" s="181" t="str">
        <f>'II-I-MET'!H425</f>
        <v>Factor</v>
      </c>
      <c r="J425" s="14"/>
      <c r="K425" s="181" t="str">
        <f>'II-I-TBILLTDCS'!H425</f>
        <v>Factor</v>
      </c>
      <c r="L425" s="660" t="s">
        <v>31</v>
      </c>
      <c r="M425" s="939"/>
      <c r="Y425" s="321"/>
    </row>
    <row r="426" spans="2:29" ht="15.75" thickBot="1" x14ac:dyDescent="0.25">
      <c r="B426" s="182"/>
      <c r="C426" s="860"/>
      <c r="D426" s="184"/>
      <c r="E426" s="184"/>
      <c r="F426" s="15" t="str">
        <f>'II-I-DIST'!F426</f>
        <v>(a)</v>
      </c>
      <c r="G426" s="15" t="str">
        <f>'II-I-DIST'!H426</f>
        <v>(c)</v>
      </c>
      <c r="H426" s="664" t="str">
        <f>'II-I-MET'!F426</f>
        <v>(a)</v>
      </c>
      <c r="I426" s="15" t="str">
        <f>'II-I-MET'!H426</f>
        <v>(c)</v>
      </c>
      <c r="J426" s="664" t="str">
        <f>'II-I-TBILLTDCS'!F426</f>
        <v>(a)</v>
      </c>
      <c r="K426" s="15" t="str">
        <f>'II-I-TBILLTDCS'!H426</f>
        <v>(c)</v>
      </c>
      <c r="L426" s="664" t="s">
        <v>19</v>
      </c>
      <c r="M426" s="934" t="s">
        <v>20</v>
      </c>
      <c r="Y426" s="321"/>
    </row>
    <row r="427" spans="2:29" ht="15" x14ac:dyDescent="0.25">
      <c r="B427" s="64"/>
      <c r="C427" s="33"/>
      <c r="D427" s="41"/>
      <c r="E427" s="202"/>
      <c r="F427" s="281">
        <f>'II-I-DIST'!F427</f>
        <v>0</v>
      </c>
      <c r="G427" s="202">
        <f>'II-I-DIST'!H427</f>
        <v>0</v>
      </c>
      <c r="H427" s="281">
        <f>'II-I-MET'!F427</f>
        <v>0</v>
      </c>
      <c r="I427" s="202">
        <f>'II-I-MET'!H427</f>
        <v>0</v>
      </c>
      <c r="J427" s="281">
        <f>'II-I-TBILLTDCS'!F427</f>
        <v>0</v>
      </c>
      <c r="K427" s="202">
        <f>'II-I-TBILLTDCS'!H427</f>
        <v>0</v>
      </c>
      <c r="L427" s="611"/>
    </row>
    <row r="428" spans="2:29" ht="15" x14ac:dyDescent="0.25">
      <c r="B428" s="16">
        <f t="shared" ref="B428:B435" si="18">B427+1</f>
        <v>1</v>
      </c>
      <c r="C428" s="269" t="s">
        <v>110</v>
      </c>
      <c r="D428" s="41"/>
      <c r="E428" s="202"/>
      <c r="F428" s="281">
        <f>'II-I-DIST'!F428</f>
        <v>0</v>
      </c>
      <c r="G428" s="202">
        <f>'II-I-DIST'!H428</f>
        <v>0</v>
      </c>
      <c r="H428" s="281">
        <f>'II-I-MET'!F428</f>
        <v>0</v>
      </c>
      <c r="I428" s="202">
        <f>'II-I-MET'!H428</f>
        <v>0</v>
      </c>
      <c r="J428" s="281">
        <f>'II-I-TBILLTDCS'!F428</f>
        <v>0</v>
      </c>
      <c r="K428" s="202">
        <f>'II-I-TBILLTDCS'!H428</f>
        <v>0</v>
      </c>
      <c r="L428" s="611"/>
    </row>
    <row r="429" spans="2:29" ht="15" x14ac:dyDescent="0.25">
      <c r="B429" s="16">
        <f t="shared" si="18"/>
        <v>2</v>
      </c>
      <c r="C429" s="53" t="s">
        <v>549</v>
      </c>
      <c r="D429" s="42"/>
      <c r="E429" s="41"/>
      <c r="F429" s="41"/>
      <c r="G429" s="41"/>
      <c r="H429" s="41"/>
      <c r="I429" s="41"/>
      <c r="J429" s="41"/>
      <c r="K429" s="41"/>
      <c r="L429" s="611"/>
    </row>
    <row r="430" spans="2:29" ht="15" x14ac:dyDescent="0.25">
      <c r="B430" s="16">
        <f t="shared" si="18"/>
        <v>3</v>
      </c>
      <c r="C430" s="41"/>
      <c r="D430" s="34" t="s">
        <v>548</v>
      </c>
      <c r="E430" s="806" t="s">
        <v>116</v>
      </c>
      <c r="F430" s="41"/>
      <c r="G430" s="806"/>
      <c r="H430" s="41"/>
      <c r="I430" s="806"/>
      <c r="J430" s="41"/>
      <c r="K430" s="806"/>
      <c r="L430" s="611"/>
    </row>
    <row r="431" spans="2:29" s="321" customFormat="1" ht="28.5" x14ac:dyDescent="0.2">
      <c r="B431" s="16">
        <f t="shared" si="18"/>
        <v>4</v>
      </c>
      <c r="C431" s="41">
        <v>154</v>
      </c>
      <c r="D431" s="41" t="s">
        <v>550</v>
      </c>
      <c r="E431" s="41"/>
      <c r="F431" s="97">
        <f>'II-I-DIST'!F431</f>
        <v>138215277.31999999</v>
      </c>
      <c r="G431" s="45" t="str">
        <f>'II-I-DIST'!H431</f>
        <v>PLANT</v>
      </c>
      <c r="H431" s="97">
        <f>'II-I-MET'!F431</f>
        <v>1087596.75</v>
      </c>
      <c r="I431" s="45" t="str">
        <f>'II-I-MET'!H431</f>
        <v>PLANT</v>
      </c>
      <c r="J431" s="97">
        <f>'II-I-TBILLTDCS'!F431</f>
        <v>0</v>
      </c>
      <c r="K431" s="45" t="str">
        <f>'II-I-TBILLTDCS'!H431</f>
        <v>PLANT</v>
      </c>
      <c r="L431" s="802">
        <f>F431+H431+J431</f>
        <v>139302874.06999999</v>
      </c>
      <c r="M431" s="935" t="s">
        <v>985</v>
      </c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21" customFormat="1" x14ac:dyDescent="0.2">
      <c r="B432" s="16">
        <f t="shared" si="18"/>
        <v>5</v>
      </c>
      <c r="C432" s="41">
        <v>163</v>
      </c>
      <c r="D432" s="41" t="s">
        <v>551</v>
      </c>
      <c r="E432" s="202"/>
      <c r="F432" s="97">
        <f>'II-I-DIST'!F432</f>
        <v>19742788.43</v>
      </c>
      <c r="G432" s="45" t="str">
        <f>'II-I-DIST'!H432</f>
        <v>PLANT</v>
      </c>
      <c r="H432" s="97">
        <f>'II-I-MET'!F432</f>
        <v>154202.72</v>
      </c>
      <c r="I432" s="45" t="str">
        <f>'II-I-MET'!H432</f>
        <v>PLANT</v>
      </c>
      <c r="J432" s="97">
        <f>'II-I-TBILLTDCS'!F432</f>
        <v>0</v>
      </c>
      <c r="K432" s="45" t="str">
        <f>'II-I-TBILLTDCS'!H432</f>
        <v>PLANT</v>
      </c>
      <c r="L432" s="802">
        <f>F432+H432+J432</f>
        <v>19896991.149999999</v>
      </c>
      <c r="M432" s="935" t="s">
        <v>983</v>
      </c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5" ht="15" x14ac:dyDescent="0.25">
      <c r="B433" s="16">
        <f t="shared" si="18"/>
        <v>6</v>
      </c>
      <c r="C433" s="34"/>
      <c r="D433" s="42" t="s">
        <v>444</v>
      </c>
      <c r="E433" s="807"/>
      <c r="F433" s="807">
        <f>'II-I-DIST'!F433</f>
        <v>157958065.75</v>
      </c>
      <c r="G433" s="807"/>
      <c r="H433" s="807">
        <f>'II-I-MET'!F433</f>
        <v>1241799.47</v>
      </c>
      <c r="I433" s="807"/>
      <c r="J433" s="807">
        <f>'II-I-TBILLTDCS'!F433</f>
        <v>0</v>
      </c>
      <c r="K433" s="807"/>
      <c r="L433" s="807">
        <f>F433+H433+J433</f>
        <v>159199865.22</v>
      </c>
    </row>
    <row r="434" spans="2:25" ht="15" thickBot="1" x14ac:dyDescent="0.25">
      <c r="B434" s="16">
        <f t="shared" si="18"/>
        <v>7</v>
      </c>
      <c r="C434" s="41"/>
      <c r="D434" s="275"/>
      <c r="E434" s="202"/>
      <c r="F434" s="202">
        <f>'II-I-DIST'!F434</f>
        <v>0</v>
      </c>
      <c r="G434" s="202"/>
      <c r="H434" s="202">
        <f>'II-I-MET'!F434</f>
        <v>0</v>
      </c>
      <c r="I434" s="202"/>
      <c r="J434" s="202">
        <f>'II-I-TBILLTDCS'!F434</f>
        <v>0</v>
      </c>
      <c r="K434" s="202"/>
      <c r="L434" s="611"/>
    </row>
    <row r="435" spans="2:25" ht="15.75" thickBot="1" x14ac:dyDescent="0.3">
      <c r="B435" s="16">
        <f t="shared" si="18"/>
        <v>8</v>
      </c>
      <c r="C435" s="270" t="s">
        <v>552</v>
      </c>
      <c r="D435" s="271"/>
      <c r="E435" s="272" t="s">
        <v>116</v>
      </c>
      <c r="F435" s="814">
        <f>'II-I-DIST'!F435</f>
        <v>157958065.75</v>
      </c>
      <c r="G435" s="392"/>
      <c r="H435" s="814">
        <f>'II-I-MET'!F435</f>
        <v>1241799.47</v>
      </c>
      <c r="I435" s="392"/>
      <c r="J435" s="814">
        <f>'II-I-TBILLTDCS'!F435</f>
        <v>0</v>
      </c>
      <c r="K435" s="392"/>
      <c r="L435" s="218">
        <f>F435+H435+J435</f>
        <v>159199865.22</v>
      </c>
    </row>
    <row r="436" spans="2:25" x14ac:dyDescent="0.2">
      <c r="B436" s="64"/>
      <c r="C436" s="64"/>
      <c r="D436" s="64"/>
      <c r="E436" s="64"/>
      <c r="F436" s="64"/>
      <c r="G436" s="64"/>
      <c r="H436" s="64"/>
      <c r="I436" s="64"/>
      <c r="J436" s="64"/>
      <c r="K436" s="64"/>
    </row>
    <row r="437" spans="2:25" ht="15" x14ac:dyDescent="0.25">
      <c r="B437" s="783"/>
      <c r="C437" s="783"/>
      <c r="D437" s="783"/>
      <c r="E437" s="783"/>
      <c r="F437" s="64"/>
      <c r="G437" s="105"/>
      <c r="H437" s="64"/>
      <c r="I437" s="105"/>
      <c r="J437" s="64"/>
      <c r="K437" s="105"/>
      <c r="L437" s="783"/>
    </row>
    <row r="438" spans="2:25" ht="15.75" thickBot="1" x14ac:dyDescent="0.3">
      <c r="B438" s="783"/>
      <c r="C438" s="783"/>
      <c r="D438" s="783"/>
      <c r="E438" s="783"/>
      <c r="F438" s="64"/>
      <c r="G438" s="64"/>
      <c r="H438" s="64"/>
      <c r="I438" s="64"/>
      <c r="J438" s="64"/>
      <c r="K438" s="64"/>
      <c r="L438" s="783"/>
      <c r="T438" s="321"/>
      <c r="U438" s="321"/>
      <c r="V438" s="321"/>
      <c r="W438" s="321"/>
    </row>
    <row r="439" spans="2:25" ht="15" x14ac:dyDescent="0.25">
      <c r="B439" s="829" t="str">
        <f>$B$4</f>
        <v>2025 RATE CASE</v>
      </c>
      <c r="C439" s="835"/>
      <c r="D439" s="836"/>
      <c r="E439" s="783"/>
      <c r="F439" s="267"/>
      <c r="H439" s="267"/>
      <c r="J439" s="267"/>
      <c r="K439"/>
      <c r="L439" s="783"/>
    </row>
    <row r="440" spans="2:25" ht="15" x14ac:dyDescent="0.25">
      <c r="B440" s="826" t="str">
        <f>$B$5</f>
        <v>ONCOR ELECTRIC DELIVERY COMPANY LLC</v>
      </c>
      <c r="C440" s="304"/>
      <c r="D440" s="837"/>
      <c r="E440" s="783"/>
      <c r="F440" s="267"/>
      <c r="H440" s="267"/>
      <c r="J440" s="267"/>
      <c r="K440"/>
      <c r="L440" s="783"/>
    </row>
    <row r="441" spans="2:25" ht="15" x14ac:dyDescent="0.25">
      <c r="B441" s="341" t="str">
        <f>$B$6</f>
        <v>II-I-2.1f:  CONSOLIDATED FUNCTIONALIZED COST OF SERVICE</v>
      </c>
      <c r="C441" s="304"/>
      <c r="D441" s="837"/>
      <c r="E441" s="783"/>
      <c r="F441" s="267"/>
      <c r="H441" s="267"/>
      <c r="J441" s="267"/>
      <c r="K441"/>
      <c r="L441" s="783"/>
      <c r="X441" s="321"/>
    </row>
    <row r="442" spans="2:25" ht="15" x14ac:dyDescent="0.25">
      <c r="B442" s="341" t="str">
        <f>$B$7</f>
        <v>TEST YEAR ENDING 12/31/2024</v>
      </c>
      <c r="C442" s="304"/>
      <c r="D442" s="837"/>
      <c r="E442" s="304"/>
      <c r="F442" s="267"/>
      <c r="H442" s="267"/>
      <c r="J442" s="267"/>
      <c r="K442"/>
      <c r="L442" s="304"/>
    </row>
    <row r="443" spans="2:25" ht="15" x14ac:dyDescent="0.25">
      <c r="B443" s="341" t="str">
        <f>$B$8</f>
        <v>SPONSOR:  MATTHEW A. TROXLE</v>
      </c>
      <c r="C443" s="304"/>
      <c r="D443" s="837"/>
      <c r="E443" s="304"/>
      <c r="F443" s="267"/>
      <c r="H443" s="267"/>
      <c r="J443" s="267"/>
      <c r="K443"/>
      <c r="L443" s="304"/>
    </row>
    <row r="444" spans="2:25" ht="15.75" thickBot="1" x14ac:dyDescent="0.3">
      <c r="B444" s="345"/>
      <c r="C444" s="840"/>
      <c r="D444" s="841"/>
      <c r="E444" s="304"/>
      <c r="F444" s="267"/>
      <c r="H444" s="267"/>
      <c r="J444" s="267"/>
      <c r="K444"/>
      <c r="L444" s="304"/>
    </row>
    <row r="445" spans="2:25" x14ac:dyDescent="0.2">
      <c r="B445" s="12"/>
      <c r="C445" s="13"/>
      <c r="D445" s="13"/>
      <c r="E445" s="13"/>
      <c r="F445" s="12"/>
      <c r="G445" s="13"/>
      <c r="H445" s="12"/>
      <c r="I445" s="13"/>
      <c r="J445" s="12"/>
      <c r="K445" s="13"/>
      <c r="L445" s="855"/>
      <c r="M445" s="938"/>
    </row>
    <row r="446" spans="2:25" ht="15" x14ac:dyDescent="0.25">
      <c r="B446" s="14" t="s">
        <v>2</v>
      </c>
      <c r="C446" s="14" t="s">
        <v>349</v>
      </c>
      <c r="D446" s="226" t="s">
        <v>118</v>
      </c>
      <c r="E446" s="14" t="s">
        <v>350</v>
      </c>
      <c r="F446" s="226" t="str">
        <f>'II-I-DIST'!F446</f>
        <v>DIST</v>
      </c>
      <c r="G446" s="181" t="str">
        <f>'II-I-DIST'!H446</f>
        <v>Allocation</v>
      </c>
      <c r="H446" s="226" t="str">
        <f>'II-I-MET'!F446</f>
        <v>MET</v>
      </c>
      <c r="I446" s="181" t="str">
        <f>'II-I-MET'!H446</f>
        <v>Allocation</v>
      </c>
      <c r="J446" s="226" t="str">
        <f>'II-I-TBILLTDCS'!F446</f>
        <v>TBILLTDCS</v>
      </c>
      <c r="K446" s="181" t="str">
        <f>'II-I-TBILLTDCS'!H446</f>
        <v>Allocation</v>
      </c>
      <c r="L446" s="660" t="s">
        <v>434</v>
      </c>
      <c r="M446" s="932" t="s">
        <v>970</v>
      </c>
      <c r="Y446" s="321"/>
    </row>
    <row r="447" spans="2:25" x14ac:dyDescent="0.2">
      <c r="B447" s="14"/>
      <c r="C447" s="14"/>
      <c r="D447" s="14"/>
      <c r="E447" s="14"/>
      <c r="F447" s="14"/>
      <c r="G447" s="181" t="str">
        <f>'II-I-DIST'!H447</f>
        <v>Factor</v>
      </c>
      <c r="H447" s="14"/>
      <c r="I447" s="181" t="str">
        <f>'II-I-MET'!H447</f>
        <v>Factor</v>
      </c>
      <c r="J447" s="14"/>
      <c r="K447" s="181" t="str">
        <f>'II-I-TBILLTDCS'!H447</f>
        <v>Factor</v>
      </c>
      <c r="L447" s="660" t="s">
        <v>31</v>
      </c>
      <c r="M447" s="939"/>
    </row>
    <row r="448" spans="2:25" ht="15.75" thickBot="1" x14ac:dyDescent="0.25">
      <c r="B448" s="182"/>
      <c r="C448" s="183"/>
      <c r="D448" s="184"/>
      <c r="E448" s="184"/>
      <c r="F448" s="15" t="str">
        <f>'II-I-DIST'!F448</f>
        <v>(a)</v>
      </c>
      <c r="G448" s="15" t="str">
        <f>'II-I-DIST'!H448</f>
        <v>(c)</v>
      </c>
      <c r="H448" s="664" t="str">
        <f>'II-I-MET'!F448</f>
        <v>(a)</v>
      </c>
      <c r="I448" s="15" t="str">
        <f>'II-I-MET'!H448</f>
        <v>(c)</v>
      </c>
      <c r="J448" s="664" t="str">
        <f>'II-I-TBILLTDCS'!F448</f>
        <v>(a)</v>
      </c>
      <c r="K448" s="15" t="str">
        <f>'II-I-TBILLTDCS'!H448</f>
        <v>(c)</v>
      </c>
      <c r="L448" s="664" t="s">
        <v>19</v>
      </c>
      <c r="M448" s="934" t="s">
        <v>20</v>
      </c>
    </row>
    <row r="449" spans="2:29" x14ac:dyDescent="0.2">
      <c r="B449" s="64"/>
      <c r="C449" s="268"/>
      <c r="D449" s="268"/>
      <c r="E449" s="268"/>
      <c r="F449" s="268"/>
      <c r="G449" s="268"/>
      <c r="H449" s="268"/>
      <c r="I449" s="268"/>
      <c r="J449" s="268"/>
      <c r="K449" s="268"/>
      <c r="L449" s="611"/>
    </row>
    <row r="450" spans="2:29" ht="15" x14ac:dyDescent="0.25">
      <c r="B450" s="16">
        <f t="shared" ref="B450:B455" si="19">B449+1</f>
        <v>1</v>
      </c>
      <c r="C450" s="269" t="s">
        <v>110</v>
      </c>
      <c r="D450" s="41"/>
      <c r="E450" s="41"/>
      <c r="F450" s="41"/>
      <c r="G450" s="41"/>
      <c r="H450" s="41"/>
      <c r="I450" s="41"/>
      <c r="J450" s="41"/>
      <c r="K450" s="41"/>
      <c r="L450" s="611"/>
    </row>
    <row r="451" spans="2:29" ht="15" x14ac:dyDescent="0.25">
      <c r="B451" s="16">
        <f t="shared" si="19"/>
        <v>2</v>
      </c>
      <c r="C451" s="283" t="s">
        <v>549</v>
      </c>
      <c r="D451" s="34"/>
      <c r="E451" s="806" t="s">
        <v>119</v>
      </c>
      <c r="F451" s="284"/>
      <c r="G451" s="806"/>
      <c r="H451" s="284"/>
      <c r="I451" s="806"/>
      <c r="J451" s="284"/>
      <c r="K451" s="806"/>
      <c r="L451" s="820"/>
    </row>
    <row r="452" spans="2:29" s="321" customFormat="1" ht="28.5" x14ac:dyDescent="0.2">
      <c r="B452" s="16">
        <f t="shared" si="19"/>
        <v>3</v>
      </c>
      <c r="C452" s="41"/>
      <c r="D452" s="41" t="s">
        <v>118</v>
      </c>
      <c r="E452" s="41"/>
      <c r="F452" s="97">
        <f>'II-I-DIST'!F452</f>
        <v>-25613472.190000005</v>
      </c>
      <c r="G452" s="45" t="str">
        <f>'II-I-DIST'!H452</f>
        <v>O&amp;M</v>
      </c>
      <c r="H452" s="97">
        <f>'II-I-MET'!F452</f>
        <v>-298798.5199999999</v>
      </c>
      <c r="I452" s="45" t="str">
        <f>'II-I-MET'!H452</f>
        <v>O&amp;M</v>
      </c>
      <c r="J452" s="97">
        <f>'II-I-TBILLTDCS'!F452</f>
        <v>175757.58000000461</v>
      </c>
      <c r="K452" s="45" t="str">
        <f>'II-I-TBILLTDCS'!H452</f>
        <v>O&amp;M</v>
      </c>
      <c r="L452" s="802">
        <f>F452+H452+J452</f>
        <v>-25736513.129999999</v>
      </c>
      <c r="M452" s="935" t="s">
        <v>986</v>
      </c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ht="15" x14ac:dyDescent="0.25">
      <c r="B453" s="16">
        <f t="shared" si="19"/>
        <v>4</v>
      </c>
      <c r="C453" s="34"/>
      <c r="D453" s="42" t="s">
        <v>444</v>
      </c>
      <c r="E453" s="807"/>
      <c r="F453" s="807">
        <f>'II-I-DIST'!F453</f>
        <v>-25613472.190000005</v>
      </c>
      <c r="G453" s="807"/>
      <c r="H453" s="807">
        <f>'II-I-MET'!F453</f>
        <v>-298798.5199999999</v>
      </c>
      <c r="I453" s="807"/>
      <c r="J453" s="807">
        <f>'II-I-TBILLTDCS'!F453</f>
        <v>175757.58000000461</v>
      </c>
      <c r="K453" s="807"/>
      <c r="L453" s="807">
        <f>F453+H453+J453</f>
        <v>-25736513.129999999</v>
      </c>
    </row>
    <row r="454" spans="2:29" ht="15" thickBot="1" x14ac:dyDescent="0.25">
      <c r="B454" s="16">
        <f t="shared" si="19"/>
        <v>5</v>
      </c>
      <c r="C454" s="41"/>
      <c r="D454" s="275"/>
      <c r="E454" s="202"/>
      <c r="F454" s="202">
        <f>'II-I-DIST'!F454</f>
        <v>0</v>
      </c>
      <c r="G454" s="202"/>
      <c r="H454" s="202">
        <f>'II-I-MET'!F454</f>
        <v>0</v>
      </c>
      <c r="I454" s="202"/>
      <c r="J454" s="202">
        <f>'II-I-TBILLTDCS'!F454</f>
        <v>0</v>
      </c>
      <c r="K454" s="202"/>
      <c r="L454" s="611"/>
    </row>
    <row r="455" spans="2:29" ht="15.75" thickBot="1" x14ac:dyDescent="0.3">
      <c r="B455" s="16">
        <f t="shared" si="19"/>
        <v>6</v>
      </c>
      <c r="C455" s="270" t="s">
        <v>553</v>
      </c>
      <c r="D455" s="271"/>
      <c r="E455" s="272" t="s">
        <v>119</v>
      </c>
      <c r="F455" s="814">
        <f>'II-I-DIST'!F455</f>
        <v>-25613472.190000005</v>
      </c>
      <c r="G455" s="392"/>
      <c r="H455" s="814">
        <f>'II-I-MET'!F455</f>
        <v>-298798.5199999999</v>
      </c>
      <c r="I455" s="392"/>
      <c r="J455" s="814">
        <f>'II-I-TBILLTDCS'!F455</f>
        <v>175757.58000000461</v>
      </c>
      <c r="K455" s="392"/>
      <c r="L455" s="218">
        <f>F455+H455+J455</f>
        <v>-25736513.129999999</v>
      </c>
    </row>
    <row r="456" spans="2:29" x14ac:dyDescent="0.2">
      <c r="B456" s="64"/>
      <c r="C456" s="64"/>
      <c r="D456" s="64"/>
      <c r="E456" s="64"/>
      <c r="F456" s="64"/>
      <c r="G456" s="64"/>
      <c r="H456" s="64"/>
      <c r="I456" s="64"/>
      <c r="J456" s="64"/>
      <c r="K456" s="64"/>
    </row>
    <row r="457" spans="2:29" ht="15" x14ac:dyDescent="0.25">
      <c r="B457" s="783"/>
      <c r="C457" s="783"/>
      <c r="D457" s="783"/>
      <c r="E457" s="783"/>
      <c r="F457" s="64"/>
      <c r="G457" s="105"/>
      <c r="H457" s="64"/>
      <c r="I457" s="105"/>
      <c r="J457" s="64"/>
      <c r="K457" s="105"/>
      <c r="L457" s="783"/>
    </row>
    <row r="458" spans="2:29" ht="15.75" thickBot="1" x14ac:dyDescent="0.3">
      <c r="B458" s="783"/>
      <c r="C458" s="783"/>
      <c r="D458" s="783"/>
      <c r="E458" s="783"/>
      <c r="F458" s="64"/>
      <c r="G458" s="64"/>
      <c r="H458" s="64"/>
      <c r="I458" s="64"/>
      <c r="J458" s="64"/>
      <c r="K458" s="64"/>
      <c r="L458" s="783"/>
    </row>
    <row r="459" spans="2:29" ht="15" x14ac:dyDescent="0.25">
      <c r="B459" s="829" t="str">
        <f>$B$4</f>
        <v>2025 RATE CASE</v>
      </c>
      <c r="C459" s="835"/>
      <c r="D459" s="836"/>
      <c r="E459" s="783"/>
      <c r="F459" s="267"/>
      <c r="H459" s="267"/>
      <c r="J459" s="267"/>
      <c r="K459"/>
      <c r="L459" s="783"/>
      <c r="T459" s="321"/>
      <c r="U459" s="321"/>
      <c r="V459" s="321"/>
      <c r="W459" s="321"/>
    </row>
    <row r="460" spans="2:29" ht="15" x14ac:dyDescent="0.25">
      <c r="B460" s="826" t="str">
        <f>$B$5</f>
        <v>ONCOR ELECTRIC DELIVERY COMPANY LLC</v>
      </c>
      <c r="C460" s="304"/>
      <c r="D460" s="837"/>
      <c r="E460" s="783"/>
      <c r="F460" s="267"/>
      <c r="H460" s="267"/>
      <c r="J460" s="267"/>
      <c r="K460"/>
      <c r="L460" s="783"/>
    </row>
    <row r="461" spans="2:29" ht="15" x14ac:dyDescent="0.25">
      <c r="B461" s="341" t="str">
        <f>$B$6</f>
        <v>II-I-2.1f:  CONSOLIDATED FUNCTIONALIZED COST OF SERVICE</v>
      </c>
      <c r="C461" s="304"/>
      <c r="D461" s="837"/>
      <c r="E461" s="783"/>
      <c r="F461" s="267"/>
      <c r="H461" s="267"/>
      <c r="J461" s="267"/>
      <c r="K461"/>
      <c r="L461" s="783"/>
    </row>
    <row r="462" spans="2:29" ht="15" x14ac:dyDescent="0.25">
      <c r="B462" s="341" t="str">
        <f>$B$7</f>
        <v>TEST YEAR ENDING 12/31/2024</v>
      </c>
      <c r="C462" s="304"/>
      <c r="D462" s="837"/>
      <c r="E462" s="304"/>
      <c r="F462" s="267"/>
      <c r="H462" s="267"/>
      <c r="J462" s="267"/>
      <c r="K462"/>
      <c r="L462" s="304"/>
      <c r="X462" s="321"/>
    </row>
    <row r="463" spans="2:29" ht="15" x14ac:dyDescent="0.25">
      <c r="B463" s="341" t="str">
        <f>$B$8</f>
        <v>SPONSOR:  MATTHEW A. TROXLE</v>
      </c>
      <c r="C463" s="304"/>
      <c r="D463" s="837"/>
      <c r="E463" s="304"/>
      <c r="F463" s="267"/>
      <c r="H463" s="267"/>
      <c r="J463" s="267"/>
      <c r="K463"/>
      <c r="L463" s="304"/>
    </row>
    <row r="464" spans="2:29" ht="15.75" thickBot="1" x14ac:dyDescent="0.3">
      <c r="B464" s="345"/>
      <c r="C464" s="840"/>
      <c r="D464" s="841"/>
      <c r="E464" s="304"/>
      <c r="F464" s="267"/>
      <c r="H464" s="267"/>
      <c r="J464" s="267"/>
      <c r="K464"/>
      <c r="L464" s="304"/>
    </row>
    <row r="465" spans="2:29" x14ac:dyDescent="0.2">
      <c r="B465" s="12"/>
      <c r="C465" s="13"/>
      <c r="D465" s="177"/>
      <c r="E465" s="13"/>
      <c r="F465" s="12"/>
      <c r="G465" s="13"/>
      <c r="H465" s="12"/>
      <c r="I465" s="13"/>
      <c r="J465" s="12"/>
      <c r="K465" s="13"/>
      <c r="L465" s="855"/>
      <c r="M465" s="938"/>
    </row>
    <row r="466" spans="2:29" ht="15" x14ac:dyDescent="0.25">
      <c r="B466" s="14" t="s">
        <v>2</v>
      </c>
      <c r="C466" s="14" t="s">
        <v>349</v>
      </c>
      <c r="D466" s="180" t="s">
        <v>120</v>
      </c>
      <c r="E466" s="14" t="s">
        <v>350</v>
      </c>
      <c r="F466" s="226" t="str">
        <f>'II-I-DIST'!F466</f>
        <v>DIST</v>
      </c>
      <c r="G466" s="181" t="str">
        <f>'II-I-DIST'!H466</f>
        <v>Allocation</v>
      </c>
      <c r="H466" s="226" t="str">
        <f>'II-I-MET'!F466</f>
        <v>MET</v>
      </c>
      <c r="I466" s="181" t="str">
        <f>'II-I-MET'!H466</f>
        <v>Allocation</v>
      </c>
      <c r="J466" s="226" t="str">
        <f>'II-I-TBILLTDCS'!F466</f>
        <v>TBILLTDCS</v>
      </c>
      <c r="K466" s="181" t="str">
        <f>'II-I-TBILLTDCS'!H466</f>
        <v>Allocation</v>
      </c>
      <c r="L466" s="660" t="s">
        <v>434</v>
      </c>
      <c r="M466" s="932" t="s">
        <v>970</v>
      </c>
    </row>
    <row r="467" spans="2:29" x14ac:dyDescent="0.2">
      <c r="B467" s="14"/>
      <c r="C467" s="14"/>
      <c r="D467" s="181"/>
      <c r="E467" s="14"/>
      <c r="F467" s="14"/>
      <c r="G467" s="181" t="str">
        <f>'II-I-DIST'!H467</f>
        <v>Factor</v>
      </c>
      <c r="H467" s="14"/>
      <c r="I467" s="181" t="str">
        <f>'II-I-MET'!H467</f>
        <v>Factor</v>
      </c>
      <c r="J467" s="14"/>
      <c r="K467" s="181" t="str">
        <f>'II-I-TBILLTDCS'!H467</f>
        <v>Factor</v>
      </c>
      <c r="L467" s="660" t="s">
        <v>31</v>
      </c>
      <c r="M467" s="939"/>
      <c r="Y467" s="321"/>
    </row>
    <row r="468" spans="2:29" ht="15.75" thickBot="1" x14ac:dyDescent="0.25">
      <c r="B468" s="182"/>
      <c r="C468" s="860"/>
      <c r="D468" s="184"/>
      <c r="E468" s="184"/>
      <c r="F468" s="15" t="str">
        <f>'II-I-DIST'!F468</f>
        <v>(a)</v>
      </c>
      <c r="G468" s="15" t="str">
        <f>'II-I-DIST'!H468</f>
        <v>(c)</v>
      </c>
      <c r="H468" s="664" t="str">
        <f>'II-I-MET'!F468</f>
        <v>(a)</v>
      </c>
      <c r="I468" s="15" t="str">
        <f>'II-I-MET'!H468</f>
        <v>(c)</v>
      </c>
      <c r="J468" s="664" t="str">
        <f>'II-I-TBILLTDCS'!F468</f>
        <v>(a)</v>
      </c>
      <c r="K468" s="15" t="str">
        <f>'II-I-TBILLTDCS'!H468</f>
        <v>(c)</v>
      </c>
      <c r="L468" s="664" t="s">
        <v>19</v>
      </c>
      <c r="M468" s="934" t="s">
        <v>20</v>
      </c>
    </row>
    <row r="469" spans="2:29" x14ac:dyDescent="0.2">
      <c r="B469" s="64"/>
      <c r="C469" s="268"/>
      <c r="D469" s="268"/>
      <c r="E469" s="268"/>
      <c r="F469" s="268"/>
      <c r="G469" s="268"/>
      <c r="H469" s="268"/>
      <c r="I469" s="268"/>
      <c r="J469" s="268"/>
      <c r="K469" s="268"/>
      <c r="L469" s="611"/>
    </row>
    <row r="470" spans="2:29" ht="15" x14ac:dyDescent="0.25">
      <c r="B470" s="16">
        <f t="shared" ref="B470:B478" si="20">B469+1</f>
        <v>1</v>
      </c>
      <c r="C470" s="269" t="s">
        <v>110</v>
      </c>
      <c r="D470" s="34"/>
      <c r="E470" s="806"/>
      <c r="F470" s="807"/>
      <c r="G470" s="806"/>
      <c r="H470" s="807"/>
      <c r="I470" s="806"/>
      <c r="J470" s="807"/>
      <c r="K470" s="806"/>
      <c r="L470" s="34"/>
    </row>
    <row r="471" spans="2:29" ht="15" x14ac:dyDescent="0.25">
      <c r="B471" s="16">
        <f t="shared" si="20"/>
        <v>2</v>
      </c>
      <c r="C471" s="283" t="s">
        <v>549</v>
      </c>
      <c r="D471" s="42"/>
      <c r="E471" s="202"/>
      <c r="F471" s="202"/>
      <c r="G471" s="202"/>
      <c r="H471" s="202"/>
      <c r="I471" s="202"/>
      <c r="J471" s="202"/>
      <c r="K471" s="202"/>
      <c r="L471" s="611"/>
    </row>
    <row r="472" spans="2:29" ht="15" x14ac:dyDescent="0.25">
      <c r="B472" s="16">
        <f t="shared" si="20"/>
        <v>3</v>
      </c>
      <c r="C472" s="34">
        <v>165</v>
      </c>
      <c r="D472" s="283" t="s">
        <v>120</v>
      </c>
      <c r="E472" s="806" t="s">
        <v>121</v>
      </c>
      <c r="F472" s="807"/>
      <c r="G472" s="806"/>
      <c r="H472" s="807"/>
      <c r="I472" s="806"/>
      <c r="J472" s="807"/>
      <c r="K472" s="806"/>
      <c r="L472" s="34"/>
    </row>
    <row r="473" spans="2:29" s="321" customFormat="1" ht="42.75" x14ac:dyDescent="0.2">
      <c r="B473" s="16">
        <f t="shared" si="20"/>
        <v>4</v>
      </c>
      <c r="C473" s="41"/>
      <c r="D473" s="41" t="s">
        <v>120</v>
      </c>
      <c r="E473" s="821"/>
      <c r="F473" s="97">
        <f>'II-I-DIST'!F473</f>
        <v>127742955.85948826</v>
      </c>
      <c r="G473" s="45" t="str">
        <f>'II-I-DIST'!H473</f>
        <v>ENERGY ICL</v>
      </c>
      <c r="H473" s="97">
        <f>'II-I-MET'!F473</f>
        <v>584939.38897891541</v>
      </c>
      <c r="I473" s="45" t="str">
        <f>'II-I-MET'!H473</f>
        <v>ENERGY ICL</v>
      </c>
      <c r="J473" s="97">
        <f>'II-I-TBILLTDCS'!F473</f>
        <v>529501.175314861</v>
      </c>
      <c r="K473" s="45" t="str">
        <f>'II-I-TBILLTDCS'!H473</f>
        <v>ENERGY ICL</v>
      </c>
      <c r="L473" s="802">
        <f>F473+H473+J473</f>
        <v>128857396.42378204</v>
      </c>
      <c r="M473" s="957" t="s">
        <v>1114</v>
      </c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ht="15" x14ac:dyDescent="0.25">
      <c r="B474" s="16">
        <f t="shared" si="20"/>
        <v>5</v>
      </c>
      <c r="C474" s="34"/>
      <c r="D474" s="42" t="s">
        <v>444</v>
      </c>
      <c r="E474" s="822"/>
      <c r="F474" s="807">
        <f>'II-I-DIST'!F474</f>
        <v>127742955.85948826</v>
      </c>
      <c r="G474" s="807"/>
      <c r="H474" s="807">
        <f>'II-I-MET'!F474</f>
        <v>584939.38897891541</v>
      </c>
      <c r="I474" s="807"/>
      <c r="J474" s="807">
        <f>'II-I-TBILLTDCS'!F474</f>
        <v>529501.175314861</v>
      </c>
      <c r="K474" s="807"/>
      <c r="L474" s="807">
        <f>F474+H474+J474</f>
        <v>128857396.42378204</v>
      </c>
    </row>
    <row r="475" spans="2:29" ht="15.75" thickBot="1" x14ac:dyDescent="0.3">
      <c r="B475" s="16">
        <f t="shared" si="20"/>
        <v>6</v>
      </c>
      <c r="C475" s="34"/>
      <c r="D475" s="42"/>
      <c r="E475" s="822"/>
      <c r="F475" s="288">
        <f>'II-I-DIST'!F475</f>
        <v>0</v>
      </c>
      <c r="G475" s="807"/>
      <c r="H475" s="288">
        <f>'II-I-MET'!F475</f>
        <v>0</v>
      </c>
      <c r="I475" s="807"/>
      <c r="J475" s="288">
        <f>'II-I-TBILLTDCS'!F475</f>
        <v>0</v>
      </c>
      <c r="K475" s="807"/>
      <c r="L475" s="289"/>
    </row>
    <row r="476" spans="2:29" ht="15.75" thickBot="1" x14ac:dyDescent="0.3">
      <c r="B476" s="16">
        <f t="shared" si="20"/>
        <v>7</v>
      </c>
      <c r="C476" s="276" t="s">
        <v>554</v>
      </c>
      <c r="D476" s="271"/>
      <c r="E476" s="272" t="s">
        <v>121</v>
      </c>
      <c r="F476" s="814">
        <f>'II-I-DIST'!F476</f>
        <v>127742955.85948826</v>
      </c>
      <c r="G476" s="392"/>
      <c r="H476" s="814">
        <f>'II-I-MET'!F476</f>
        <v>584939.38897891541</v>
      </c>
      <c r="I476" s="392"/>
      <c r="J476" s="814">
        <f>'II-I-TBILLTDCS'!F476</f>
        <v>529501.175314861</v>
      </c>
      <c r="K476" s="392"/>
      <c r="L476" s="218">
        <f>F476+H476+J476</f>
        <v>128857396.42378204</v>
      </c>
    </row>
    <row r="477" spans="2:29" ht="15" thickBot="1" x14ac:dyDescent="0.25">
      <c r="B477" s="16">
        <f t="shared" si="20"/>
        <v>8</v>
      </c>
      <c r="C477" s="41"/>
      <c r="D477" s="275"/>
      <c r="E477" s="821"/>
      <c r="F477" s="202">
        <f>'II-I-DIST'!F477</f>
        <v>0</v>
      </c>
      <c r="G477" s="813"/>
      <c r="H477" s="202">
        <f>'II-I-MET'!F477</f>
        <v>0</v>
      </c>
      <c r="I477" s="813"/>
      <c r="J477" s="202">
        <f>'II-I-TBILLTDCS'!F477</f>
        <v>0</v>
      </c>
      <c r="K477" s="813"/>
      <c r="L477" s="813"/>
    </row>
    <row r="478" spans="2:29" ht="15.75" thickBot="1" x14ac:dyDescent="0.3">
      <c r="B478" s="16">
        <f t="shared" si="20"/>
        <v>9</v>
      </c>
      <c r="C478" s="276" t="s">
        <v>555</v>
      </c>
      <c r="D478" s="271"/>
      <c r="E478" s="272" t="s">
        <v>556</v>
      </c>
      <c r="F478" s="814">
        <f>'II-I-DIST'!F478</f>
        <v>260087549.41948825</v>
      </c>
      <c r="G478" s="392"/>
      <c r="H478" s="814">
        <f>'II-I-MET'!F478</f>
        <v>1527940.3389789155</v>
      </c>
      <c r="I478" s="392"/>
      <c r="J478" s="814">
        <f>'II-I-TBILLTDCS'!F478</f>
        <v>705258.75531486562</v>
      </c>
      <c r="K478" s="392"/>
      <c r="L478" s="218">
        <f>F478+H478+J478</f>
        <v>262320748.51378202</v>
      </c>
    </row>
    <row r="479" spans="2:29" x14ac:dyDescent="0.2">
      <c r="B479" s="64"/>
      <c r="C479" s="64"/>
      <c r="D479" s="64"/>
      <c r="E479" s="64"/>
      <c r="F479" s="64"/>
      <c r="G479" s="64"/>
      <c r="H479" s="64"/>
      <c r="I479" s="64"/>
      <c r="J479" s="64"/>
      <c r="K479" s="64"/>
    </row>
    <row r="480" spans="2:29" ht="15" x14ac:dyDescent="0.25">
      <c r="B480" s="783"/>
      <c r="C480" s="783"/>
      <c r="D480" s="783"/>
      <c r="E480" s="783"/>
      <c r="F480" s="64"/>
      <c r="G480" s="105"/>
      <c r="H480" s="64"/>
      <c r="I480" s="105"/>
      <c r="J480" s="64"/>
      <c r="K480" s="105"/>
      <c r="L480" s="783"/>
      <c r="T480" s="321"/>
      <c r="U480" s="321"/>
      <c r="V480" s="321"/>
      <c r="W480" s="321"/>
    </row>
    <row r="481" spans="2:29" ht="15.75" thickBot="1" x14ac:dyDescent="0.3">
      <c r="B481" s="783"/>
      <c r="C481" s="783"/>
      <c r="D481" s="783"/>
      <c r="E481" s="783"/>
      <c r="F481" s="64"/>
      <c r="G481" s="64"/>
      <c r="H481" s="64"/>
      <c r="I481" s="64"/>
      <c r="J481" s="64"/>
      <c r="K481" s="64"/>
      <c r="L481" s="783"/>
      <c r="T481" s="321"/>
      <c r="U481" s="321"/>
      <c r="V481" s="321"/>
      <c r="W481" s="321"/>
    </row>
    <row r="482" spans="2:29" ht="15" x14ac:dyDescent="0.25">
      <c r="B482" s="829" t="str">
        <f>$B$4</f>
        <v>2025 RATE CASE</v>
      </c>
      <c r="C482" s="835"/>
      <c r="D482" s="836"/>
      <c r="E482" s="783"/>
      <c r="F482" s="267"/>
      <c r="H482" s="267"/>
      <c r="J482" s="267"/>
      <c r="K482"/>
      <c r="L482" s="783"/>
      <c r="T482" s="321"/>
      <c r="U482" s="321"/>
      <c r="V482" s="321"/>
      <c r="W482" s="321"/>
    </row>
    <row r="483" spans="2:29" ht="15" x14ac:dyDescent="0.25">
      <c r="B483" s="826" t="str">
        <f>$B$5</f>
        <v>ONCOR ELECTRIC DELIVERY COMPANY LLC</v>
      </c>
      <c r="C483" s="304"/>
      <c r="D483" s="837"/>
      <c r="E483" s="783"/>
      <c r="F483" s="267"/>
      <c r="H483" s="267"/>
      <c r="J483" s="267"/>
      <c r="K483"/>
      <c r="L483" s="783"/>
      <c r="T483" s="321"/>
      <c r="U483" s="321"/>
      <c r="V483" s="321"/>
      <c r="W483" s="321"/>
      <c r="X483" s="321"/>
    </row>
    <row r="484" spans="2:29" ht="15" x14ac:dyDescent="0.25">
      <c r="B484" s="341" t="str">
        <f>$B$6</f>
        <v>II-I-2.1f:  CONSOLIDATED FUNCTIONALIZED COST OF SERVICE</v>
      </c>
      <c r="C484" s="304"/>
      <c r="D484" s="837"/>
      <c r="E484" s="783"/>
      <c r="F484" s="267"/>
      <c r="H484" s="267"/>
      <c r="J484" s="267"/>
      <c r="K484"/>
      <c r="L484" s="783"/>
      <c r="T484" s="321"/>
      <c r="U484" s="321"/>
      <c r="V484" s="321"/>
      <c r="W484" s="321"/>
      <c r="X484" s="321"/>
    </row>
    <row r="485" spans="2:29" ht="15" x14ac:dyDescent="0.25">
      <c r="B485" s="341" t="str">
        <f>$B$7</f>
        <v>TEST YEAR ENDING 12/31/2024</v>
      </c>
      <c r="C485" s="304"/>
      <c r="D485" s="837"/>
      <c r="E485" s="304"/>
      <c r="F485" s="267"/>
      <c r="H485" s="267"/>
      <c r="J485" s="267"/>
      <c r="K485"/>
      <c r="L485" s="304"/>
      <c r="X485" s="321"/>
    </row>
    <row r="486" spans="2:29" ht="15" x14ac:dyDescent="0.25">
      <c r="B486" s="341" t="str">
        <f>$B$8</f>
        <v>SPONSOR:  MATTHEW A. TROXLE</v>
      </c>
      <c r="C486" s="304"/>
      <c r="D486" s="837"/>
      <c r="E486" s="304"/>
      <c r="F486" s="267"/>
      <c r="H486" s="267"/>
      <c r="J486" s="267"/>
      <c r="K486"/>
      <c r="L486" s="304"/>
      <c r="X486" s="321"/>
    </row>
    <row r="487" spans="2:29" ht="15.75" thickBot="1" x14ac:dyDescent="0.3">
      <c r="B487" s="345"/>
      <c r="C487" s="840"/>
      <c r="D487" s="841"/>
      <c r="E487" s="304"/>
      <c r="F487" s="267"/>
      <c r="H487" s="267"/>
      <c r="J487" s="267"/>
      <c r="K487"/>
      <c r="L487" s="304"/>
      <c r="X487" s="321"/>
    </row>
    <row r="488" spans="2:29" x14ac:dyDescent="0.2">
      <c r="B488" s="12"/>
      <c r="C488" s="13"/>
      <c r="D488" s="177"/>
      <c r="E488" s="13"/>
      <c r="F488" s="12"/>
      <c r="G488" s="13"/>
      <c r="H488" s="12"/>
      <c r="I488" s="13"/>
      <c r="J488" s="12"/>
      <c r="K488" s="13"/>
      <c r="L488" s="855"/>
      <c r="M488" s="938"/>
      <c r="Y488" s="321"/>
    </row>
    <row r="489" spans="2:29" ht="15" x14ac:dyDescent="0.25">
      <c r="B489" s="14" t="s">
        <v>2</v>
      </c>
      <c r="C489" s="14" t="s">
        <v>349</v>
      </c>
      <c r="D489" s="180" t="s">
        <v>122</v>
      </c>
      <c r="E489" s="14" t="s">
        <v>350</v>
      </c>
      <c r="F489" s="226" t="str">
        <f>'II-I-DIST'!F489</f>
        <v>DIST</v>
      </c>
      <c r="G489" s="181" t="str">
        <f>'II-I-DIST'!H489</f>
        <v>Allocation</v>
      </c>
      <c r="H489" s="226" t="str">
        <f>'II-I-MET'!F489</f>
        <v>MET</v>
      </c>
      <c r="I489" s="181" t="str">
        <f>'II-I-MET'!H489</f>
        <v>Allocation</v>
      </c>
      <c r="J489" s="226" t="str">
        <f>'II-I-TBILLTDCS'!F489</f>
        <v>TBILLTDCS</v>
      </c>
      <c r="K489" s="181" t="str">
        <f>'II-I-TBILLTDCS'!H489</f>
        <v>Allocation</v>
      </c>
      <c r="L489" s="660" t="s">
        <v>434</v>
      </c>
      <c r="M489" s="932" t="s">
        <v>970</v>
      </c>
      <c r="Y489" s="321"/>
    </row>
    <row r="490" spans="2:29" x14ac:dyDescent="0.2">
      <c r="B490" s="14"/>
      <c r="C490" s="14"/>
      <c r="D490" s="181"/>
      <c r="E490" s="14"/>
      <c r="F490" s="14"/>
      <c r="G490" s="181" t="str">
        <f>'II-I-DIST'!H490</f>
        <v>Factor</v>
      </c>
      <c r="H490" s="14"/>
      <c r="I490" s="181" t="str">
        <f>'II-I-MET'!H490</f>
        <v>Factor</v>
      </c>
      <c r="J490" s="14"/>
      <c r="K490" s="181" t="str">
        <f>'II-I-TBILLTDCS'!H490</f>
        <v>Factor</v>
      </c>
      <c r="L490" s="660" t="s">
        <v>31</v>
      </c>
      <c r="M490" s="939"/>
      <c r="Y490" s="321"/>
    </row>
    <row r="491" spans="2:29" ht="15.75" thickBot="1" x14ac:dyDescent="0.25">
      <c r="B491" s="182"/>
      <c r="C491" s="860"/>
      <c r="D491" s="184"/>
      <c r="E491" s="184"/>
      <c r="F491" s="15" t="str">
        <f>'II-I-DIST'!F491</f>
        <v>(a)</v>
      </c>
      <c r="G491" s="15" t="str">
        <f>'II-I-DIST'!H491</f>
        <v>(c)</v>
      </c>
      <c r="H491" s="664" t="str">
        <f>'II-I-MET'!F491</f>
        <v>(a)</v>
      </c>
      <c r="I491" s="15" t="str">
        <f>'II-I-MET'!H491</f>
        <v>(c)</v>
      </c>
      <c r="J491" s="664" t="str">
        <f>'II-I-TBILLTDCS'!F491</f>
        <v>(a)</v>
      </c>
      <c r="K491" s="15" t="str">
        <f>'II-I-TBILLTDCS'!H491</f>
        <v>(c)</v>
      </c>
      <c r="L491" s="664" t="s">
        <v>19</v>
      </c>
      <c r="M491" s="934" t="s">
        <v>20</v>
      </c>
      <c r="Y491" s="321"/>
    </row>
    <row r="492" spans="2:29" x14ac:dyDescent="0.2">
      <c r="B492" s="64"/>
      <c r="C492" s="268"/>
      <c r="D492" s="268"/>
      <c r="E492" s="268"/>
      <c r="F492" s="268"/>
      <c r="G492" s="268"/>
      <c r="H492" s="268"/>
      <c r="I492" s="268"/>
      <c r="J492" s="268"/>
      <c r="K492" s="268"/>
      <c r="L492" s="611"/>
      <c r="Y492" s="321"/>
    </row>
    <row r="493" spans="2:29" ht="15" x14ac:dyDescent="0.25">
      <c r="B493" s="16">
        <f t="shared" ref="B493:B495" si="21">B492+1</f>
        <v>1</v>
      </c>
      <c r="C493" s="269" t="s">
        <v>557</v>
      </c>
      <c r="D493" s="34"/>
      <c r="E493" s="806" t="s">
        <v>123</v>
      </c>
      <c r="F493" s="807"/>
      <c r="G493" s="806"/>
      <c r="H493" s="807"/>
      <c r="I493" s="806"/>
      <c r="J493" s="807"/>
      <c r="K493" s="806"/>
      <c r="L493" s="34"/>
    </row>
    <row r="494" spans="2:29" s="321" customFormat="1" ht="15" x14ac:dyDescent="0.25">
      <c r="B494" s="16">
        <f t="shared" si="21"/>
        <v>2</v>
      </c>
      <c r="C494" s="269"/>
      <c r="D494" s="611" t="s">
        <v>1108</v>
      </c>
      <c r="E494" s="202"/>
      <c r="F494" s="694">
        <f>'II-I-DIST'!F494</f>
        <v>-1971551.94</v>
      </c>
      <c r="G494" s="647" t="str">
        <f>'II-I-DIST'!H494</f>
        <v>NCP ALL</v>
      </c>
      <c r="H494" s="97">
        <f>'II-I-MET'!F494</f>
        <v>0</v>
      </c>
      <c r="I494" s="45" t="str">
        <f>'II-I-MET'!H494</f>
        <v>NCP ALL</v>
      </c>
      <c r="J494" s="98">
        <f>'II-I-TBILLTDCS'!F494</f>
        <v>0</v>
      </c>
      <c r="K494" s="45" t="str">
        <f>'II-I-TBILLTDCS'!H494</f>
        <v>NCP ALL</v>
      </c>
      <c r="L494" s="813">
        <f t="shared" ref="L494:L501" si="22">F494+H494+J494</f>
        <v>-1971551.94</v>
      </c>
      <c r="M494" s="935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21" customFormat="1" ht="29.25" x14ac:dyDescent="0.25">
      <c r="B495" s="16">
        <f t="shared" si="21"/>
        <v>3</v>
      </c>
      <c r="C495" s="41"/>
      <c r="D495" s="41"/>
      <c r="E495" s="806"/>
      <c r="F495" s="97">
        <f>'II-I-DIST'!F495</f>
        <v>0</v>
      </c>
      <c r="G495" s="45"/>
      <c r="H495" s="97">
        <f>'II-I-MET'!F495</f>
        <v>0</v>
      </c>
      <c r="I495" s="45"/>
      <c r="J495" s="98">
        <f>'II-I-TBILLTDCS'!F495</f>
        <v>0</v>
      </c>
      <c r="K495" s="45"/>
      <c r="L495" s="802">
        <f t="shared" si="22"/>
        <v>0</v>
      </c>
      <c r="M495" s="935" t="s">
        <v>987</v>
      </c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21" customFormat="1" ht="15" x14ac:dyDescent="0.25">
      <c r="B496" s="16">
        <v>4</v>
      </c>
      <c r="C496" s="41"/>
      <c r="D496" s="589" t="s">
        <v>1280</v>
      </c>
      <c r="E496" s="806"/>
      <c r="F496" s="229">
        <f>'II-I-DIST'!F496</f>
        <v>-6409.94</v>
      </c>
      <c r="G496" s="1" t="str">
        <f>'II-I-DIST'!H496</f>
        <v>NCP ALL</v>
      </c>
      <c r="H496" s="97">
        <f>'II-I-MET'!F496</f>
        <v>-302530.2</v>
      </c>
      <c r="I496" s="45" t="str">
        <f>'II-I-MET'!H496</f>
        <v>NCP ALL</v>
      </c>
      <c r="J496" s="98">
        <f>'II-I-TBILLTDCS'!F496</f>
        <v>0</v>
      </c>
      <c r="K496" s="1" t="str">
        <f>'II-I-TBILLTDCS'!H496</f>
        <v>NCP ALL</v>
      </c>
      <c r="L496" s="802">
        <f t="shared" si="22"/>
        <v>-308940.14</v>
      </c>
      <c r="M496" s="935"/>
      <c r="N496" s="611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21" customFormat="1" ht="15" x14ac:dyDescent="0.25">
      <c r="B497" s="16">
        <v>5</v>
      </c>
      <c r="C497" s="41"/>
      <c r="D497" s="611"/>
      <c r="E497" s="806"/>
      <c r="F497" s="229">
        <f>'II-I-DIST'!F497</f>
        <v>0</v>
      </c>
      <c r="G497" s="1"/>
      <c r="H497" s="97">
        <f>'II-I-MET'!F497</f>
        <v>0</v>
      </c>
      <c r="I497" s="45"/>
      <c r="J497" s="98">
        <f>'II-I-TBILLTDCS'!F497</f>
        <v>0</v>
      </c>
      <c r="K497" s="462"/>
      <c r="L497" s="802">
        <f t="shared" ref="L497:L498" si="23">F497+H497+J497</f>
        <v>0</v>
      </c>
      <c r="M497" s="935"/>
      <c r="N497" s="611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21" customFormat="1" ht="15" x14ac:dyDescent="0.25">
      <c r="B498" s="16">
        <v>6</v>
      </c>
      <c r="C498" s="41"/>
      <c r="D498" s="611"/>
      <c r="E498" s="806"/>
      <c r="F498" s="229">
        <f>'II-I-DIST'!F498</f>
        <v>0</v>
      </c>
      <c r="G498" s="1309"/>
      <c r="H498" s="97">
        <f>'II-I-MET'!F498</f>
        <v>0</v>
      </c>
      <c r="I498" s="45"/>
      <c r="J498" s="98">
        <f>'II-I-TBILLTDCS'!F498</f>
        <v>0</v>
      </c>
      <c r="K498" s="462"/>
      <c r="L498" s="802">
        <f t="shared" si="23"/>
        <v>0</v>
      </c>
      <c r="M498" s="935"/>
      <c r="N498" s="611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ht="15" x14ac:dyDescent="0.25">
      <c r="B499" s="16">
        <v>7</v>
      </c>
      <c r="C499" s="34"/>
      <c r="D499" s="42" t="s">
        <v>444</v>
      </c>
      <c r="E499" s="822"/>
      <c r="F499" s="807">
        <f>'II-I-DIST'!F499</f>
        <v>-1977961.88</v>
      </c>
      <c r="G499" s="807"/>
      <c r="H499" s="807">
        <f>'II-I-MET'!F499</f>
        <v>-302530.2</v>
      </c>
      <c r="I499" s="807"/>
      <c r="J499" s="807">
        <f>'II-I-TBILLTDCS'!F499</f>
        <v>0</v>
      </c>
      <c r="K499" s="822"/>
      <c r="L499" s="807">
        <f t="shared" si="22"/>
        <v>-2280492.08</v>
      </c>
    </row>
    <row r="500" spans="2:29" ht="15.75" thickBot="1" x14ac:dyDescent="0.3">
      <c r="B500" s="16">
        <v>8</v>
      </c>
      <c r="C500" s="34"/>
      <c r="D500" s="42"/>
      <c r="E500" s="806"/>
      <c r="F500" s="807">
        <f>'II-I-DIST'!F500</f>
        <v>0</v>
      </c>
      <c r="G500" s="806"/>
      <c r="H500" s="807">
        <f>'II-I-MET'!F500</f>
        <v>0</v>
      </c>
      <c r="I500" s="806"/>
      <c r="J500" s="807">
        <f>'II-I-TBILLTDCS'!F500</f>
        <v>0</v>
      </c>
      <c r="K500" s="806"/>
      <c r="L500" s="807">
        <f t="shared" si="22"/>
        <v>0</v>
      </c>
    </row>
    <row r="501" spans="2:29" ht="15.75" thickBot="1" x14ac:dyDescent="0.3">
      <c r="B501" s="16">
        <v>9</v>
      </c>
      <c r="C501" s="276" t="s">
        <v>558</v>
      </c>
      <c r="D501" s="271"/>
      <c r="E501" s="272"/>
      <c r="F501" s="814">
        <f>'II-I-DIST'!F501</f>
        <v>-1011548813.8105117</v>
      </c>
      <c r="G501" s="392"/>
      <c r="H501" s="814">
        <f>'II-I-MET'!F501</f>
        <v>-9504438.5310210846</v>
      </c>
      <c r="I501" s="392"/>
      <c r="J501" s="814">
        <f>'II-I-TBILLTDCS'!F501</f>
        <v>-51325941.704685137</v>
      </c>
      <c r="K501" s="392"/>
      <c r="L501" s="218">
        <f t="shared" si="22"/>
        <v>-1072379194.0462179</v>
      </c>
      <c r="T501" s="321"/>
      <c r="U501" s="321"/>
      <c r="V501" s="321"/>
      <c r="W501" s="321"/>
    </row>
    <row r="502" spans="2:29" x14ac:dyDescent="0.2">
      <c r="B502" s="64"/>
      <c r="C502" s="64"/>
      <c r="D502" s="64"/>
      <c r="E502" s="64"/>
      <c r="F502" s="64"/>
      <c r="G502" s="64"/>
      <c r="H502" s="64"/>
      <c r="I502" s="64"/>
      <c r="J502" s="64"/>
      <c r="K502" s="64"/>
    </row>
    <row r="503" spans="2:29" ht="15" x14ac:dyDescent="0.25">
      <c r="B503" s="783"/>
      <c r="C503" s="783"/>
      <c r="D503" s="783"/>
      <c r="E503" s="783"/>
      <c r="F503" s="64"/>
      <c r="G503" s="105"/>
      <c r="H503" s="64"/>
      <c r="I503" s="105"/>
      <c r="J503" s="64"/>
      <c r="K503" s="105"/>
      <c r="L503" s="783"/>
    </row>
    <row r="504" spans="2:29" ht="15.75" thickBot="1" x14ac:dyDescent="0.3">
      <c r="B504" s="783"/>
      <c r="C504" s="783"/>
      <c r="D504" s="783"/>
      <c r="E504" s="783"/>
      <c r="F504" s="64"/>
      <c r="G504" s="64"/>
      <c r="H504" s="64"/>
      <c r="I504" s="64"/>
      <c r="J504" s="64"/>
      <c r="K504" s="64"/>
      <c r="L504" s="783"/>
      <c r="T504" s="321"/>
      <c r="U504" s="321"/>
      <c r="V504" s="321"/>
      <c r="W504" s="321"/>
      <c r="X504" s="321"/>
    </row>
    <row r="505" spans="2:29" ht="15" x14ac:dyDescent="0.25">
      <c r="B505" s="829" t="str">
        <f>$B$4</f>
        <v>2025 RATE CASE</v>
      </c>
      <c r="C505" s="835"/>
      <c r="D505" s="836"/>
      <c r="E505" s="783"/>
      <c r="F505" s="267"/>
      <c r="H505" s="267"/>
      <c r="J505" s="267"/>
      <c r="K505"/>
      <c r="L505" s="783"/>
      <c r="T505" s="321"/>
      <c r="U505" s="321"/>
      <c r="V505" s="321"/>
      <c r="W505" s="321"/>
    </row>
    <row r="506" spans="2:29" ht="15" x14ac:dyDescent="0.25">
      <c r="B506" s="826" t="str">
        <f>$B$5</f>
        <v>ONCOR ELECTRIC DELIVERY COMPANY LLC</v>
      </c>
      <c r="C506" s="304"/>
      <c r="D506" s="837"/>
      <c r="E506" s="783"/>
      <c r="F506" s="267"/>
      <c r="H506" s="267"/>
      <c r="J506" s="267"/>
      <c r="K506"/>
      <c r="L506" s="783"/>
    </row>
    <row r="507" spans="2:29" ht="15" x14ac:dyDescent="0.25">
      <c r="B507" s="341" t="str">
        <f>$B$6</f>
        <v>II-I-2.1f:  CONSOLIDATED FUNCTIONALIZED COST OF SERVICE</v>
      </c>
      <c r="C507" s="304"/>
      <c r="D507" s="837"/>
      <c r="E507" s="783"/>
      <c r="F507" s="267"/>
      <c r="H507" s="267"/>
      <c r="J507" s="267"/>
      <c r="K507"/>
      <c r="L507" s="783"/>
      <c r="X507" s="321"/>
    </row>
    <row r="508" spans="2:29" ht="15" x14ac:dyDescent="0.25">
      <c r="B508" s="341" t="str">
        <f>$B$7</f>
        <v>TEST YEAR ENDING 12/31/2024</v>
      </c>
      <c r="C508" s="304"/>
      <c r="D508" s="837"/>
      <c r="E508" s="304"/>
      <c r="F508" s="267"/>
      <c r="H508" s="267"/>
      <c r="J508" s="267"/>
      <c r="K508"/>
      <c r="L508" s="304"/>
      <c r="X508" s="321"/>
    </row>
    <row r="509" spans="2:29" ht="15" x14ac:dyDescent="0.25">
      <c r="B509" s="341" t="str">
        <f>$B$8</f>
        <v>SPONSOR:  MATTHEW A. TROXLE</v>
      </c>
      <c r="C509" s="304"/>
      <c r="D509" s="837"/>
      <c r="E509" s="304"/>
      <c r="F509" s="267"/>
      <c r="H509" s="267"/>
      <c r="J509" s="267"/>
      <c r="K509"/>
      <c r="L509" s="304"/>
      <c r="Y509" s="321"/>
    </row>
    <row r="510" spans="2:29" ht="15.75" thickBot="1" x14ac:dyDescent="0.3">
      <c r="B510" s="345"/>
      <c r="C510" s="840"/>
      <c r="D510" s="841"/>
      <c r="E510" s="304"/>
      <c r="F510" s="267"/>
      <c r="H510" s="267"/>
      <c r="J510" s="267"/>
      <c r="K510"/>
      <c r="L510" s="304"/>
    </row>
    <row r="511" spans="2:29" x14ac:dyDescent="0.2">
      <c r="B511" s="12"/>
      <c r="C511" s="13"/>
      <c r="D511" s="177"/>
      <c r="E511" s="13"/>
      <c r="F511" s="12"/>
      <c r="G511" s="13"/>
      <c r="H511" s="12"/>
      <c r="I511" s="13"/>
      <c r="J511" s="12"/>
      <c r="K511" s="13"/>
      <c r="L511" s="855"/>
      <c r="M511" s="938"/>
    </row>
    <row r="512" spans="2:29" ht="15" x14ac:dyDescent="0.25">
      <c r="B512" s="14" t="s">
        <v>2</v>
      </c>
      <c r="C512" s="14" t="s">
        <v>349</v>
      </c>
      <c r="D512" s="180" t="s">
        <v>559</v>
      </c>
      <c r="E512" s="14" t="s">
        <v>350</v>
      </c>
      <c r="F512" s="226" t="str">
        <f>'II-I-DIST'!F512</f>
        <v>DIST</v>
      </c>
      <c r="G512" s="181" t="str">
        <f>'II-I-DIST'!H512</f>
        <v>Allocation</v>
      </c>
      <c r="H512" s="226" t="str">
        <f>'II-I-MET'!F512</f>
        <v>MET</v>
      </c>
      <c r="I512" s="181" t="str">
        <f>'II-I-MET'!H512</f>
        <v>Allocation</v>
      </c>
      <c r="J512" s="226" t="str">
        <f>'II-I-TBILLTDCS'!F512</f>
        <v>TBILLTDCS</v>
      </c>
      <c r="K512" s="181" t="str">
        <f>'II-I-TBILLTDCS'!H512</f>
        <v>Allocation</v>
      </c>
      <c r="L512" s="660" t="s">
        <v>434</v>
      </c>
      <c r="M512" s="932" t="s">
        <v>970</v>
      </c>
      <c r="Y512" s="321"/>
    </row>
    <row r="513" spans="2:37" x14ac:dyDescent="0.2">
      <c r="B513" s="14"/>
      <c r="C513" s="14"/>
      <c r="D513" s="181"/>
      <c r="E513" s="14"/>
      <c r="F513" s="14"/>
      <c r="G513" s="181" t="str">
        <f>'II-I-DIST'!H513</f>
        <v>Factor</v>
      </c>
      <c r="H513" s="14"/>
      <c r="I513" s="181" t="str">
        <f>'II-I-MET'!H513</f>
        <v>Factor</v>
      </c>
      <c r="J513" s="14"/>
      <c r="K513" s="181" t="str">
        <f>'II-I-TBILLTDCS'!H513</f>
        <v>Factor</v>
      </c>
      <c r="L513" s="660" t="s">
        <v>31</v>
      </c>
      <c r="M513" s="939"/>
      <c r="Y513" s="321"/>
    </row>
    <row r="514" spans="2:37" ht="15.75" thickBot="1" x14ac:dyDescent="0.25">
      <c r="B514" s="182"/>
      <c r="C514" s="860"/>
      <c r="D514" s="184"/>
      <c r="E514" s="184"/>
      <c r="F514" s="15" t="str">
        <f>'II-I-DIST'!F514</f>
        <v>(a)</v>
      </c>
      <c r="G514" s="15" t="str">
        <f>'II-I-DIST'!H514</f>
        <v>(c)</v>
      </c>
      <c r="H514" s="664" t="str">
        <f>'II-I-MET'!F514</f>
        <v>(a)</v>
      </c>
      <c r="I514" s="15" t="str">
        <f>'II-I-MET'!H514</f>
        <v>(c)</v>
      </c>
      <c r="J514" s="664" t="str">
        <f>'II-I-TBILLTDCS'!F514</f>
        <v>(a)</v>
      </c>
      <c r="K514" s="15" t="str">
        <f>'II-I-TBILLTDCS'!H514</f>
        <v>(c)</v>
      </c>
      <c r="L514" s="664" t="s">
        <v>19</v>
      </c>
      <c r="M514" s="934" t="s">
        <v>20</v>
      </c>
    </row>
    <row r="515" spans="2:37" s="321" customFormat="1" x14ac:dyDescent="0.2">
      <c r="B515" s="45"/>
      <c r="C515" s="268"/>
      <c r="D515" s="268"/>
      <c r="E515" s="268"/>
      <c r="F515" s="268"/>
      <c r="G515" s="268"/>
      <c r="H515" s="268"/>
      <c r="I515" s="268"/>
      <c r="J515" s="268"/>
      <c r="K515" s="268"/>
      <c r="L515" s="611"/>
      <c r="M515" s="942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37" ht="15" x14ac:dyDescent="0.25">
      <c r="B516" s="16">
        <f t="shared" ref="B516:B573" si="24">B515+1</f>
        <v>1</v>
      </c>
      <c r="C516" s="269" t="s">
        <v>110</v>
      </c>
      <c r="D516" s="41"/>
      <c r="E516" s="41"/>
      <c r="F516" s="41"/>
      <c r="G516" s="41"/>
      <c r="H516" s="41"/>
      <c r="I516" s="41"/>
      <c r="J516" s="41"/>
      <c r="K516" s="41"/>
      <c r="L516" s="611"/>
    </row>
    <row r="517" spans="2:37" ht="15" x14ac:dyDescent="0.25">
      <c r="B517" s="16">
        <f t="shared" si="24"/>
        <v>2</v>
      </c>
      <c r="C517" s="34" t="s">
        <v>560</v>
      </c>
      <c r="D517" s="42"/>
      <c r="E517" s="806" t="s">
        <v>127</v>
      </c>
      <c r="F517" s="823"/>
      <c r="G517" s="806"/>
      <c r="H517" s="823"/>
      <c r="I517" s="806"/>
      <c r="J517" s="823"/>
      <c r="K517" s="806"/>
      <c r="L517" s="34"/>
    </row>
    <row r="518" spans="2:37" ht="15" x14ac:dyDescent="0.25">
      <c r="B518" s="16">
        <f t="shared" si="24"/>
        <v>3</v>
      </c>
      <c r="C518" s="34" t="s">
        <v>561</v>
      </c>
      <c r="D518" s="42"/>
      <c r="E518" s="806"/>
      <c r="F518" s="823"/>
      <c r="G518" s="806"/>
      <c r="H518" s="823"/>
      <c r="I518" s="806"/>
      <c r="J518" s="823"/>
      <c r="K518" s="806"/>
      <c r="L518" s="34"/>
      <c r="N518" s="751"/>
      <c r="O518" s="620"/>
      <c r="P518" s="321"/>
      <c r="Q518" s="321"/>
      <c r="AD518" s="321"/>
      <c r="AE518" s="321"/>
      <c r="AF518" s="321"/>
      <c r="AG518" s="321"/>
      <c r="AH518" s="321"/>
      <c r="AI518" s="321"/>
      <c r="AJ518" s="321"/>
      <c r="AK518" s="321"/>
    </row>
    <row r="519" spans="2:37" s="321" customFormat="1" ht="12.75" customHeight="1" x14ac:dyDescent="0.2">
      <c r="B519" s="645">
        <v>4</v>
      </c>
      <c r="C519" s="620">
        <v>189</v>
      </c>
      <c r="D519" s="620" t="s">
        <v>1119</v>
      </c>
      <c r="E519" s="813"/>
      <c r="F519" s="229">
        <f>'II-I-DIST'!F519</f>
        <v>0</v>
      </c>
      <c r="G519" s="1" t="str">
        <f>'II-I-DIST'!H519</f>
        <v>PLANT</v>
      </c>
      <c r="H519" s="97">
        <f>'II-I-MET'!F519</f>
        <v>0</v>
      </c>
      <c r="I519" s="45" t="str">
        <f>'II-I-MET'!H519</f>
        <v>PLANT</v>
      </c>
      <c r="J519" s="97">
        <f>'II-I-TBILLTDCS'!F519</f>
        <v>0</v>
      </c>
      <c r="K519" s="45" t="str">
        <f>'II-I-TBILLTDCS'!H519</f>
        <v>PLANT</v>
      </c>
      <c r="L519" s="802">
        <f t="shared" ref="L519:L555" si="25">F519+H519+J519</f>
        <v>0</v>
      </c>
      <c r="M519" s="935"/>
      <c r="N519" s="751">
        <f>'WP II-I-1.1'!$J$132-' WP II-I-1.4'!L496-' WP II-I-1.4'!F496</f>
        <v>0</v>
      </c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37" s="321" customFormat="1" x14ac:dyDescent="0.2">
      <c r="B520" s="645">
        <v>5</v>
      </c>
      <c r="C520" s="620">
        <v>182</v>
      </c>
      <c r="D520" s="620" t="s">
        <v>1242</v>
      </c>
      <c r="E520" s="1007"/>
      <c r="F520" s="229">
        <f>'II-I-DIST'!F520</f>
        <v>493721</v>
      </c>
      <c r="G520" s="1" t="str">
        <f>'II-I-DIST'!H520</f>
        <v>PLTDIST_N</v>
      </c>
      <c r="H520" s="229">
        <f>'II-I-MET'!F520</f>
        <v>0</v>
      </c>
      <c r="I520" s="45" t="str">
        <f>'II-I-MET'!H520</f>
        <v>PLTDIST_N</v>
      </c>
      <c r="J520" s="229">
        <f>'II-I-TBILLTDCS'!F520</f>
        <v>0</v>
      </c>
      <c r="K520" s="45" t="str">
        <f>'II-I-TBILLTDCS'!H520</f>
        <v>PLTDIST_N</v>
      </c>
      <c r="L520" s="802">
        <f t="shared" si="25"/>
        <v>493721</v>
      </c>
      <c r="M520" s="942"/>
      <c r="N520" s="751" t="b">
        <f>IF(' WP II-I-1.4'!L520=L520,TRUE)</f>
        <v>1</v>
      </c>
    </row>
    <row r="521" spans="2:37" s="321" customFormat="1" x14ac:dyDescent="0.2">
      <c r="B521" s="645">
        <v>6</v>
      </c>
      <c r="C521" s="620">
        <v>182</v>
      </c>
      <c r="D521" s="620" t="s">
        <v>1243</v>
      </c>
      <c r="E521" s="1007"/>
      <c r="F521" s="668">
        <f>'II-I-DIST'!F521</f>
        <v>727219.48</v>
      </c>
      <c r="G521" s="647" t="str">
        <f>'II-I-DIST'!H521</f>
        <v>PLTDIST_N</v>
      </c>
      <c r="H521" s="229">
        <f>'II-I-MET'!F521</f>
        <v>0</v>
      </c>
      <c r="I521" s="45" t="str">
        <f>'II-I-MET'!H521</f>
        <v>PLTDIST_N</v>
      </c>
      <c r="J521" s="229">
        <f>'II-I-TBILLTDCS'!F521</f>
        <v>0</v>
      </c>
      <c r="K521" s="45" t="str">
        <f>'II-I-TBILLTDCS'!H521</f>
        <v>PLTDIST_N</v>
      </c>
      <c r="L521" s="802">
        <f t="shared" si="25"/>
        <v>727219.48</v>
      </c>
      <c r="M521" s="942"/>
      <c r="N521" s="751" t="b">
        <f>IF(' WP II-I-1.4'!L521=L521,TRUE)</f>
        <v>1</v>
      </c>
    </row>
    <row r="522" spans="2:37" s="321" customFormat="1" x14ac:dyDescent="0.2">
      <c r="B522" s="645">
        <v>7</v>
      </c>
      <c r="C522" s="620">
        <v>182</v>
      </c>
      <c r="D522" s="620" t="s">
        <v>1244</v>
      </c>
      <c r="E522" s="1007"/>
      <c r="F522" s="229">
        <f>'II-I-DIST'!F522</f>
        <v>0</v>
      </c>
      <c r="G522" s="1" t="str">
        <f>'II-I-DIST'!H522</f>
        <v>PLANT</v>
      </c>
      <c r="H522" s="229">
        <f>'II-I-MET'!F522</f>
        <v>0</v>
      </c>
      <c r="I522" s="45" t="str">
        <f>'II-I-MET'!H522</f>
        <v>PLANT</v>
      </c>
      <c r="J522" s="229">
        <f>'II-I-TBILLTDCS'!F522</f>
        <v>0</v>
      </c>
      <c r="K522" s="45" t="str">
        <f>'II-I-TBILLTDCS'!H522</f>
        <v>PLANT</v>
      </c>
      <c r="L522" s="802">
        <f t="shared" si="25"/>
        <v>0</v>
      </c>
      <c r="N522" s="751" t="b">
        <f>IF(' WP II-I-1.4'!L522=L522,TRUE)</f>
        <v>1</v>
      </c>
    </row>
    <row r="523" spans="2:37" s="321" customFormat="1" x14ac:dyDescent="0.2">
      <c r="B523" s="645">
        <v>8</v>
      </c>
      <c r="C523" s="620">
        <v>182</v>
      </c>
      <c r="D523" s="620" t="s">
        <v>1245</v>
      </c>
      <c r="E523" s="1007"/>
      <c r="F523" s="229">
        <f>'II-I-DIST'!F523</f>
        <v>0</v>
      </c>
      <c r="G523" s="1" t="str">
        <f>'II-I-DIST'!H523</f>
        <v>PLTDIST_N</v>
      </c>
      <c r="H523" s="229">
        <f>'II-I-MET'!F523</f>
        <v>0</v>
      </c>
      <c r="I523" s="45" t="str">
        <f>'II-I-MET'!H523</f>
        <v>PLTDIST_N</v>
      </c>
      <c r="J523" s="229">
        <f>'II-I-TBILLTDCS'!F523</f>
        <v>0</v>
      </c>
      <c r="K523" s="45" t="str">
        <f>'II-I-TBILLTDCS'!H523</f>
        <v>PLTDIST_N</v>
      </c>
      <c r="L523" s="802">
        <f t="shared" si="25"/>
        <v>0</v>
      </c>
      <c r="N523" s="751" t="b">
        <f>IF(' WP II-I-1.4'!L523=L523,TRUE)</f>
        <v>1</v>
      </c>
    </row>
    <row r="524" spans="2:37" s="321" customFormat="1" x14ac:dyDescent="0.2">
      <c r="B524" s="645">
        <v>9</v>
      </c>
      <c r="C524" s="620">
        <v>182</v>
      </c>
      <c r="D524" s="620" t="s">
        <v>1246</v>
      </c>
      <c r="E524" s="1007"/>
      <c r="F524" s="229">
        <f>'II-I-DIST'!F524</f>
        <v>213256.8</v>
      </c>
      <c r="G524" s="1" t="str">
        <f>'II-I-DIST'!H524</f>
        <v>PLANT</v>
      </c>
      <c r="H524" s="229">
        <f>'II-I-MET'!F524</f>
        <v>0</v>
      </c>
      <c r="I524" s="45" t="str">
        <f>'II-I-MET'!H524</f>
        <v>PLANT</v>
      </c>
      <c r="J524" s="229">
        <f>'II-I-TBILLTDCS'!F524</f>
        <v>0</v>
      </c>
      <c r="K524" s="45" t="str">
        <f>'II-I-TBILLTDCS'!H524</f>
        <v>PLANT</v>
      </c>
      <c r="L524" s="802">
        <f t="shared" si="25"/>
        <v>213256.8</v>
      </c>
      <c r="N524" s="751" t="b">
        <f>IF(' WP II-I-1.4'!L524=L524,TRUE)</f>
        <v>1</v>
      </c>
    </row>
    <row r="525" spans="2:37" s="321" customFormat="1" x14ac:dyDescent="0.2">
      <c r="B525" s="645">
        <v>10</v>
      </c>
      <c r="C525" s="620">
        <v>182</v>
      </c>
      <c r="D525" s="620" t="s">
        <v>1247</v>
      </c>
      <c r="E525" s="1007"/>
      <c r="F525" s="229">
        <f>'II-I-DIST'!F525</f>
        <v>0</v>
      </c>
      <c r="G525" s="1" t="str">
        <f>'II-I-DIST'!H525</f>
        <v>PLANT_xWHL</v>
      </c>
      <c r="H525" s="229">
        <f>'II-I-MET'!F525</f>
        <v>0</v>
      </c>
      <c r="I525" s="45" t="str">
        <f>'II-I-MET'!H525</f>
        <v>PLANT_xWHL</v>
      </c>
      <c r="J525" s="229">
        <f>'II-I-TBILLTDCS'!F525</f>
        <v>0</v>
      </c>
      <c r="K525" s="45" t="str">
        <f>'II-I-TBILLTDCS'!H525</f>
        <v>PLANT_xWHL</v>
      </c>
      <c r="L525" s="802">
        <f t="shared" si="25"/>
        <v>0</v>
      </c>
      <c r="M525" s="1476"/>
      <c r="N525" s="751" t="b">
        <f>IF(' WP II-I-1.4'!L525=L525,TRUE)</f>
        <v>1</v>
      </c>
    </row>
    <row r="526" spans="2:37" s="321" customFormat="1" x14ac:dyDescent="0.2">
      <c r="B526" s="645">
        <v>11</v>
      </c>
      <c r="C526" s="620">
        <v>182</v>
      </c>
      <c r="D526" s="620" t="s">
        <v>1248</v>
      </c>
      <c r="E526" s="1007"/>
      <c r="F526" s="229">
        <f>'II-I-DIST'!F526</f>
        <v>0</v>
      </c>
      <c r="G526" s="1" t="str">
        <f>'II-I-DIST'!H526</f>
        <v>PLTDIST_N xWHL</v>
      </c>
      <c r="H526" s="229">
        <f>'II-I-MET'!F526</f>
        <v>0</v>
      </c>
      <c r="I526" s="45" t="str">
        <f>'II-I-MET'!H526</f>
        <v>PLTDIST_N xWHL</v>
      </c>
      <c r="J526" s="229">
        <f>'II-I-TBILLTDCS'!F526</f>
        <v>5231900.28</v>
      </c>
      <c r="K526" s="45" t="str">
        <f>'II-I-TBILLTDCS'!H526</f>
        <v>PLTDIST_N xWHL</v>
      </c>
      <c r="L526" s="802">
        <f t="shared" si="25"/>
        <v>5231900.28</v>
      </c>
      <c r="M526" s="942"/>
      <c r="N526" s="751" t="b">
        <f>IF(' WP II-I-1.4'!L526=L526,TRUE)</f>
        <v>1</v>
      </c>
    </row>
    <row r="527" spans="2:37" s="321" customFormat="1" x14ac:dyDescent="0.2">
      <c r="B527" s="645">
        <v>12</v>
      </c>
      <c r="C527" s="620">
        <v>182</v>
      </c>
      <c r="D527" s="620" t="s">
        <v>1249</v>
      </c>
      <c r="E527" s="813"/>
      <c r="F527" s="229">
        <f>'II-I-DIST'!F527</f>
        <v>0</v>
      </c>
      <c r="G527" s="1" t="str">
        <f>'II-I-DIST'!H527</f>
        <v>PLTDIST_N xWHL</v>
      </c>
      <c r="H527" s="229">
        <f>'II-I-MET'!F527</f>
        <v>0</v>
      </c>
      <c r="I527" s="45" t="str">
        <f>'II-I-MET'!H527</f>
        <v>PLTDIST_N xWHL</v>
      </c>
      <c r="J527" s="229">
        <f>'II-I-TBILLTDCS'!F527</f>
        <v>2661400.7999999998</v>
      </c>
      <c r="K527" s="45" t="str">
        <f>'II-I-TBILLTDCS'!H527</f>
        <v>PLTDIST_N xWHL</v>
      </c>
      <c r="L527" s="802">
        <f t="shared" si="25"/>
        <v>2661400.7999999998</v>
      </c>
      <c r="M527" s="942"/>
      <c r="N527" s="751" t="b">
        <f>IF(' WP II-I-1.4'!L527=L527,TRUE)</f>
        <v>1</v>
      </c>
    </row>
    <row r="528" spans="2:37" s="321" customFormat="1" x14ac:dyDescent="0.2">
      <c r="B528" s="645">
        <v>13</v>
      </c>
      <c r="C528" s="620">
        <v>182</v>
      </c>
      <c r="D528" s="620" t="s">
        <v>1250</v>
      </c>
      <c r="E528" s="1007"/>
      <c r="F528" s="229">
        <f>'II-I-DIST'!F528</f>
        <v>19230434.850000001</v>
      </c>
      <c r="G528" s="1" t="str">
        <f>'II-I-DIST'!H528</f>
        <v>PLANT_xWHL</v>
      </c>
      <c r="H528" s="229">
        <f>'II-I-MET'!F528</f>
        <v>1056229.6200000001</v>
      </c>
      <c r="I528" s="45" t="str">
        <f>'II-I-MET'!H528</f>
        <v>PLANT_xWHL</v>
      </c>
      <c r="J528" s="229">
        <f>'II-I-TBILLTDCS'!F528</f>
        <v>863133.80999999959</v>
      </c>
      <c r="K528" s="620" t="str">
        <f>'II-I-TBILLTDCS'!H528</f>
        <v>PLANT_xWHL</v>
      </c>
      <c r="L528" s="802">
        <f t="shared" si="25"/>
        <v>21149798.280000001</v>
      </c>
      <c r="N528" s="751" t="b">
        <f>IF(' WP II-I-1.4'!L528=L528,TRUE)</f>
        <v>1</v>
      </c>
    </row>
    <row r="529" spans="2:37" s="321" customFormat="1" x14ac:dyDescent="0.2">
      <c r="B529" s="645">
        <v>14</v>
      </c>
      <c r="C529" s="589">
        <v>182</v>
      </c>
      <c r="D529" s="589" t="s">
        <v>1251</v>
      </c>
      <c r="E529" s="1007"/>
      <c r="F529" s="229">
        <f>'II-I-DIST'!F529</f>
        <v>2056413.07</v>
      </c>
      <c r="G529" s="1" t="str">
        <f>'II-I-DIST'!H529</f>
        <v>PLANT_xWHL</v>
      </c>
      <c r="H529" s="97">
        <f>'II-I-MET'!F529</f>
        <v>88897.44</v>
      </c>
      <c r="I529" s="45" t="str">
        <f>'II-I-MET'!H529</f>
        <v>PLANT_xWHL</v>
      </c>
      <c r="J529" s="97">
        <f>'II-I-TBILLTDCS'!F529</f>
        <v>80472.110000000044</v>
      </c>
      <c r="K529" s="45" t="str">
        <f>'II-I-TBILLTDCS'!H529</f>
        <v>PLANT_xWHL</v>
      </c>
      <c r="L529" s="802">
        <f t="shared" si="25"/>
        <v>2225782.62</v>
      </c>
      <c r="N529" s="305" t="b">
        <f>IF(' WP II-I-1.4'!L529=L529,TRUE)</f>
        <v>1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 spans="2:37" s="321" customFormat="1" x14ac:dyDescent="0.2">
      <c r="B530" s="16">
        <v>15</v>
      </c>
      <c r="C530" s="620">
        <v>182</v>
      </c>
      <c r="D530" s="620" t="s">
        <v>128</v>
      </c>
      <c r="E530" s="1007"/>
      <c r="F530" s="229">
        <f>'II-I-DIST'!F530</f>
        <v>38234998.909999996</v>
      </c>
      <c r="G530" s="1" t="str">
        <f>'II-I-DIST'!H530</f>
        <v>PAYROLL</v>
      </c>
      <c r="H530" s="229">
        <f>'II-I-MET'!F530</f>
        <v>9012931</v>
      </c>
      <c r="I530" s="45" t="str">
        <f>'II-I-MET'!H530</f>
        <v>PAYROLL</v>
      </c>
      <c r="J530" s="229">
        <f>'II-I-TBILLTDCS'!F530</f>
        <v>2538145.9800000042</v>
      </c>
      <c r="K530" s="45" t="str">
        <f>'II-I-TBILLTDCS'!H530</f>
        <v>PAYROLL</v>
      </c>
      <c r="L530" s="802">
        <f t="shared" si="25"/>
        <v>49786075.890000001</v>
      </c>
      <c r="M530" s="935" t="s">
        <v>988</v>
      </c>
      <c r="N530" s="305" t="b">
        <f>IF(' WP II-I-1.4'!L530=L530,TRUE)</f>
        <v>1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 spans="2:37" s="321" customFormat="1" x14ac:dyDescent="0.2">
      <c r="B531" s="16">
        <v>16</v>
      </c>
      <c r="C531" s="620">
        <v>182</v>
      </c>
      <c r="D531" s="620" t="s">
        <v>129</v>
      </c>
      <c r="E531" s="1007"/>
      <c r="F531" s="229">
        <f>'II-I-DIST'!F531</f>
        <v>-27035354.199999999</v>
      </c>
      <c r="G531" s="1" t="str">
        <f>'II-I-DIST'!H531</f>
        <v>PAYROLL</v>
      </c>
      <c r="H531" s="229">
        <f>'II-I-MET'!F531</f>
        <v>-7559811.7300000004</v>
      </c>
      <c r="I531" s="45" t="str">
        <f>'II-I-MET'!H531</f>
        <v>PAYROLL</v>
      </c>
      <c r="J531" s="229">
        <f>'II-I-TBILLTDCS'!F531</f>
        <v>-309878.14999999851</v>
      </c>
      <c r="K531" s="45" t="str">
        <f>'II-I-TBILLTDCS'!H531</f>
        <v>PAYROLL</v>
      </c>
      <c r="L531" s="802">
        <f t="shared" si="25"/>
        <v>-34905044.079999998</v>
      </c>
      <c r="M531" s="935" t="s">
        <v>988</v>
      </c>
      <c r="N531" s="305" t="b">
        <f>IF(' WP II-I-1.4'!L531=L531,TRUE)</f>
        <v>1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 spans="2:37" s="321" customFormat="1" ht="28.5" x14ac:dyDescent="0.2">
      <c r="B532" s="16">
        <v>17</v>
      </c>
      <c r="C532" s="589">
        <v>182</v>
      </c>
      <c r="D532" s="589" t="s">
        <v>1171</v>
      </c>
      <c r="E532" s="1007"/>
      <c r="F532" s="229">
        <f>'II-I-DIST'!F532</f>
        <v>0</v>
      </c>
      <c r="G532" s="647" t="str">
        <f>'II-I-DIST'!H532</f>
        <v>OPEB TOTAL</v>
      </c>
      <c r="H532" s="97">
        <f>'II-I-MET'!F532</f>
        <v>0</v>
      </c>
      <c r="I532" s="45" t="str">
        <f>'II-I-MET'!H532</f>
        <v>OPEB TOTAL</v>
      </c>
      <c r="J532" s="97">
        <f>'II-I-TBILLTDCS'!F532</f>
        <v>0</v>
      </c>
      <c r="K532" s="45" t="str">
        <f>'II-I-TBILLTDCS'!H532</f>
        <v>OPEB TOTAL</v>
      </c>
      <c r="L532" s="802">
        <f t="shared" si="25"/>
        <v>0</v>
      </c>
      <c r="M532" s="935" t="s">
        <v>989</v>
      </c>
      <c r="N532" s="305" t="b">
        <f>IF(' WP II-I-1.4'!L532=L532,TRUE)</f>
        <v>1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 spans="2:37" s="321" customFormat="1" x14ac:dyDescent="0.2">
      <c r="B533" s="16">
        <v>18</v>
      </c>
      <c r="C533" s="589">
        <v>182</v>
      </c>
      <c r="D533" s="589" t="s">
        <v>1172</v>
      </c>
      <c r="E533" s="1007"/>
      <c r="F533" s="229">
        <f>'II-I-DIST'!F533</f>
        <v>0</v>
      </c>
      <c r="G533" s="647" t="str">
        <f>'II-I-DIST'!H533</f>
        <v>PLANT</v>
      </c>
      <c r="H533" s="97">
        <f>'II-I-MET'!F533</f>
        <v>0</v>
      </c>
      <c r="I533" s="45" t="str">
        <f>'II-I-MET'!H533</f>
        <v>PLANT</v>
      </c>
      <c r="J533" s="97">
        <f>'II-I-TBILLTDCS'!F533</f>
        <v>0</v>
      </c>
      <c r="K533" s="45" t="str">
        <f>'II-I-TBILLTDCS'!H533</f>
        <v>PLANT</v>
      </c>
      <c r="L533" s="802">
        <f t="shared" si="25"/>
        <v>0</v>
      </c>
      <c r="M533" s="935"/>
      <c r="N533" s="305" t="b">
        <f>IF(' WP II-I-1.4'!L533=L533,TRUE)</f>
        <v>1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 spans="2:37" s="321" customFormat="1" x14ac:dyDescent="0.2">
      <c r="B534" s="16">
        <v>19</v>
      </c>
      <c r="C534" s="589">
        <v>182</v>
      </c>
      <c r="D534" s="589" t="s">
        <v>1252</v>
      </c>
      <c r="E534" s="1007"/>
      <c r="F534" s="229">
        <f>'II-I-DIST'!F534</f>
        <v>0</v>
      </c>
      <c r="G534" s="647" t="str">
        <f>'II-I-DIST'!H534</f>
        <v>OPEB TOTAL</v>
      </c>
      <c r="H534" s="97">
        <f>'II-I-MET'!F534</f>
        <v>0</v>
      </c>
      <c r="I534" s="45" t="str">
        <f>'II-I-MET'!H534</f>
        <v>OPEB TOTAL</v>
      </c>
      <c r="J534" s="97">
        <f>'II-I-TBILLTDCS'!F534</f>
        <v>0</v>
      </c>
      <c r="K534" s="45" t="str">
        <f>'II-I-TBILLTDCS'!H534</f>
        <v>OPEB TOTAL</v>
      </c>
      <c r="L534" s="802">
        <f t="shared" si="25"/>
        <v>0</v>
      </c>
      <c r="N534" s="305" t="b">
        <f>IF(' WP II-I-1.4'!L534=L534,TRUE)</f>
        <v>1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 spans="2:37" s="321" customFormat="1" x14ac:dyDescent="0.2">
      <c r="B535" s="16">
        <v>20</v>
      </c>
      <c r="C535" s="589">
        <v>182</v>
      </c>
      <c r="D535" s="589" t="s">
        <v>1253</v>
      </c>
      <c r="E535" s="813"/>
      <c r="F535" s="229">
        <f>'II-I-DIST'!F535</f>
        <v>0</v>
      </c>
      <c r="G535" s="1" t="str">
        <f>'II-I-DIST'!H535</f>
        <v>PLT 370</v>
      </c>
      <c r="H535" s="97">
        <f>'II-I-MET'!F535</f>
        <v>57624800.789999999</v>
      </c>
      <c r="I535" s="45" t="str">
        <f>'II-I-MET'!H535</f>
        <v>PLT 370</v>
      </c>
      <c r="J535" s="97">
        <f>'II-I-TBILLTDCS'!F535</f>
        <v>0</v>
      </c>
      <c r="K535" s="45" t="str">
        <f>'II-I-TBILLTDCS'!H535</f>
        <v>PLT 370</v>
      </c>
      <c r="L535" s="802">
        <f t="shared" si="25"/>
        <v>57624800.789999999</v>
      </c>
      <c r="N535" s="305" t="b">
        <f>IF(' WP II-I-1.4'!L535=L535,TRUE)</f>
        <v>1</v>
      </c>
      <c r="Q535"/>
      <c r="R535"/>
      <c r="S535"/>
      <c r="T535" s="620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 spans="2:37" s="321" customFormat="1" x14ac:dyDescent="0.2">
      <c r="B536" s="16">
        <v>21</v>
      </c>
      <c r="C536" s="620">
        <v>182</v>
      </c>
      <c r="D536" s="620" t="s">
        <v>1254</v>
      </c>
      <c r="E536" s="813"/>
      <c r="F536" s="229">
        <f>'II-I-DIST'!F536</f>
        <v>50356914.099999994</v>
      </c>
      <c r="G536" s="1" t="str">
        <f>'II-I-DIST'!H536</f>
        <v>PLANT</v>
      </c>
      <c r="H536" s="229">
        <f>'II-I-MET'!F536</f>
        <v>0</v>
      </c>
      <c r="I536" s="45" t="str">
        <f>'II-I-MET'!H536</f>
        <v>PLANT</v>
      </c>
      <c r="J536" s="229">
        <f>'II-I-TBILLTDCS'!F536</f>
        <v>0</v>
      </c>
      <c r="K536" s="45" t="str">
        <f>'II-I-TBILLTDCS'!H536</f>
        <v>PLANT</v>
      </c>
      <c r="L536" s="802">
        <f t="shared" si="25"/>
        <v>50356914.099999994</v>
      </c>
      <c r="M536" s="935"/>
      <c r="N536" s="305" t="b">
        <f>IF(' WP II-I-1.4'!L536=L536,TRUE)</f>
        <v>1</v>
      </c>
      <c r="Q536"/>
      <c r="R536"/>
      <c r="S536"/>
      <c r="T536" s="620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 spans="2:37" s="321" customFormat="1" x14ac:dyDescent="0.2">
      <c r="B537" s="16">
        <v>22</v>
      </c>
      <c r="C537" s="620">
        <v>182</v>
      </c>
      <c r="D537" s="620" t="s">
        <v>1255</v>
      </c>
      <c r="E537" s="1007"/>
      <c r="F537" s="229">
        <f>'II-I-DIST'!F537</f>
        <v>27940735.449999999</v>
      </c>
      <c r="G537" s="1" t="str">
        <f>'II-I-DIST'!H537</f>
        <v>PLANT</v>
      </c>
      <c r="H537" s="229">
        <f>'II-I-MET'!F537</f>
        <v>0</v>
      </c>
      <c r="I537" s="45" t="str">
        <f>'II-I-MET'!H537</f>
        <v>PLANT</v>
      </c>
      <c r="J537" s="229">
        <f>'II-I-TBILLTDCS'!F537</f>
        <v>0</v>
      </c>
      <c r="K537" s="45" t="str">
        <f>'II-I-TBILLTDCS'!H537</f>
        <v>PLANT</v>
      </c>
      <c r="L537" s="802">
        <f t="shared" si="25"/>
        <v>27940735.449999999</v>
      </c>
      <c r="M537" s="935"/>
      <c r="N537" s="305" t="b">
        <f>IF(' WP II-I-1.4'!L537=L537,TRUE)</f>
        <v>1</v>
      </c>
      <c r="Q537"/>
      <c r="R537"/>
      <c r="S537"/>
      <c r="T537" s="620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 spans="2:37" s="321" customFormat="1" ht="29.25" x14ac:dyDescent="0.25">
      <c r="B538" s="16">
        <v>23</v>
      </c>
      <c r="C538" s="118">
        <v>182</v>
      </c>
      <c r="D538" s="118" t="s">
        <v>1256</v>
      </c>
      <c r="E538" s="806"/>
      <c r="F538" s="229">
        <f>'II-I-DIST'!F538</f>
        <v>419733.02</v>
      </c>
      <c r="G538" s="1" t="str">
        <f>'II-I-DIST'!H538</f>
        <v>PLANT</v>
      </c>
      <c r="H538" s="229">
        <f>'II-I-MET'!F538</f>
        <v>0</v>
      </c>
      <c r="I538" s="45" t="str">
        <f>'II-I-MET'!H538</f>
        <v>PLANT</v>
      </c>
      <c r="J538" s="229">
        <f>'II-I-TBILLTDCS'!F538</f>
        <v>0</v>
      </c>
      <c r="K538" s="45" t="str">
        <f>'II-I-TBILLTDCS'!H538</f>
        <v>PLANT</v>
      </c>
      <c r="L538" s="802">
        <f t="shared" si="25"/>
        <v>419733.02</v>
      </c>
      <c r="M538" s="1316" t="s">
        <v>985</v>
      </c>
      <c r="N538" s="305" t="b">
        <f>IF(' WP II-I-1.4'!L538=L538,TRUE)</f>
        <v>1</v>
      </c>
      <c r="Q538"/>
      <c r="R538"/>
      <c r="S538"/>
      <c r="T538" s="620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 spans="2:37" s="321" customFormat="1" ht="29.45" customHeight="1" x14ac:dyDescent="0.2">
      <c r="B539" s="16">
        <v>24</v>
      </c>
      <c r="C539" s="620">
        <v>182</v>
      </c>
      <c r="D539" s="620" t="s">
        <v>1257</v>
      </c>
      <c r="E539" s="1007"/>
      <c r="F539" s="229">
        <f>'II-I-DIST'!F539</f>
        <v>0</v>
      </c>
      <c r="G539" s="1" t="str">
        <f>'II-I-DIST'!H539</f>
        <v>PLANT</v>
      </c>
      <c r="H539" s="97">
        <f>'II-I-MET'!F539</f>
        <v>0</v>
      </c>
      <c r="I539" s="45" t="str">
        <f>'II-I-MET'!H539</f>
        <v>PLANT</v>
      </c>
      <c r="J539" s="97">
        <f>'II-I-TBILLTDCS'!F539</f>
        <v>0</v>
      </c>
      <c r="K539" s="45" t="str">
        <f>'II-I-TBILLTDCS'!H539</f>
        <v>PLANT</v>
      </c>
      <c r="L539" s="802">
        <f t="shared" si="25"/>
        <v>0</v>
      </c>
      <c r="N539" s="305" t="b">
        <f>IF(' WP II-I-1.4'!L539=L539,TRUE)</f>
        <v>1</v>
      </c>
      <c r="Q539"/>
      <c r="R539"/>
      <c r="S539"/>
      <c r="T539" s="620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 spans="2:37" s="321" customFormat="1" x14ac:dyDescent="0.2">
      <c r="B540" s="16">
        <v>25</v>
      </c>
      <c r="C540" s="620">
        <v>182</v>
      </c>
      <c r="D540" s="620" t="s">
        <v>1258</v>
      </c>
      <c r="E540" s="1007"/>
      <c r="F540" s="229">
        <f>'II-I-DIST'!F540</f>
        <v>410261.63999999966</v>
      </c>
      <c r="G540" s="1" t="str">
        <f>'II-I-DIST'!H540</f>
        <v>PLANT</v>
      </c>
      <c r="H540" s="97">
        <f>'II-I-MET'!F540</f>
        <v>0</v>
      </c>
      <c r="I540" s="45" t="str">
        <f>'II-I-MET'!H540</f>
        <v>PLANT</v>
      </c>
      <c r="J540" s="97">
        <f>'II-I-TBILLTDCS'!F540</f>
        <v>0</v>
      </c>
      <c r="K540" s="45" t="str">
        <f>'II-I-TBILLTDCS'!H540</f>
        <v>PLANT</v>
      </c>
      <c r="L540" s="802">
        <f t="shared" si="25"/>
        <v>410261.63999999966</v>
      </c>
      <c r="M540" s="935"/>
      <c r="N540" s="305" t="b">
        <f>IF(' WP II-I-1.4'!L540=L540,TRUE)</f>
        <v>1</v>
      </c>
      <c r="Q540"/>
      <c r="R540"/>
      <c r="S540"/>
      <c r="T540" s="62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 spans="2:37" s="321" customFormat="1" x14ac:dyDescent="0.2">
      <c r="B541" s="16">
        <v>26</v>
      </c>
      <c r="C541" s="620">
        <v>182</v>
      </c>
      <c r="D541" s="620" t="s">
        <v>1259</v>
      </c>
      <c r="E541" s="1007"/>
      <c r="F541" s="229">
        <f>'II-I-DIST'!F541</f>
        <v>32906.64000000013</v>
      </c>
      <c r="G541" s="1" t="str">
        <f>'II-I-DIST'!H541</f>
        <v>PLANT</v>
      </c>
      <c r="H541" s="97">
        <f>'II-I-MET'!F541</f>
        <v>0</v>
      </c>
      <c r="I541" s="45" t="str">
        <f>'II-I-MET'!H541</f>
        <v>PLANT</v>
      </c>
      <c r="J541" s="97">
        <f>'II-I-TBILLTDCS'!F541</f>
        <v>0</v>
      </c>
      <c r="K541" s="45" t="str">
        <f>'II-I-TBILLTDCS'!H541</f>
        <v>PLANT</v>
      </c>
      <c r="L541" s="802">
        <f t="shared" si="25"/>
        <v>32906.64000000013</v>
      </c>
      <c r="M541" s="935"/>
      <c r="N541" s="305" t="b">
        <f>IF(' WP II-I-1.4'!L541=L541,TRUE)</f>
        <v>1</v>
      </c>
      <c r="Q541"/>
      <c r="R541"/>
      <c r="S541"/>
      <c r="T541" s="620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 spans="2:37" s="321" customFormat="1" x14ac:dyDescent="0.2">
      <c r="B542" s="16">
        <v>27</v>
      </c>
      <c r="C542" s="620">
        <v>186</v>
      </c>
      <c r="D542" s="620" t="s">
        <v>1260</v>
      </c>
      <c r="E542" s="1007"/>
      <c r="F542" s="229">
        <f>'II-I-DIST'!F542</f>
        <v>319335368.44999999</v>
      </c>
      <c r="G542" s="1" t="str">
        <f>'II-I-DIST'!H542</f>
        <v>PLANT</v>
      </c>
      <c r="H542" s="97">
        <f>'II-I-MET'!F542</f>
        <v>0</v>
      </c>
      <c r="I542" s="45" t="str">
        <f>'II-I-MET'!H542</f>
        <v>PLANT</v>
      </c>
      <c r="J542" s="97">
        <f>'II-I-TBILLTDCS'!F542</f>
        <v>0</v>
      </c>
      <c r="K542" s="45" t="str">
        <f>'II-I-TBILLTDCS'!H542</f>
        <v>PLANT</v>
      </c>
      <c r="L542" s="802">
        <f t="shared" si="25"/>
        <v>319335368.44999999</v>
      </c>
      <c r="M542" s="935"/>
      <c r="N542" s="305" t="b">
        <f>IF(' WP II-I-1.4'!L542=L542,TRUE)</f>
        <v>1</v>
      </c>
      <c r="Q542"/>
      <c r="R542"/>
      <c r="S542"/>
      <c r="T542" s="620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 spans="2:37" s="321" customFormat="1" x14ac:dyDescent="0.2">
      <c r="B543" s="16">
        <v>28</v>
      </c>
      <c r="C543" s="620">
        <v>186</v>
      </c>
      <c r="D543" s="620" t="s">
        <v>1261</v>
      </c>
      <c r="E543" s="1007"/>
      <c r="F543" s="229">
        <f>'II-I-DIST'!F543</f>
        <v>726291097.57999992</v>
      </c>
      <c r="G543" s="1" t="str">
        <f>'II-I-DIST'!H543</f>
        <v>PLANT</v>
      </c>
      <c r="H543" s="97">
        <f>'II-I-MET'!F543</f>
        <v>0</v>
      </c>
      <c r="I543" s="45" t="str">
        <f>'II-I-MET'!H543</f>
        <v>PLANT</v>
      </c>
      <c r="J543" s="97">
        <f>'II-I-TBILLTDCS'!F543</f>
        <v>0</v>
      </c>
      <c r="K543" s="45" t="str">
        <f>'II-I-TBILLTDCS'!H543</f>
        <v>PLANT</v>
      </c>
      <c r="L543" s="802">
        <f t="shared" si="25"/>
        <v>726291097.57999992</v>
      </c>
      <c r="M543" s="935"/>
      <c r="N543" s="305" t="b">
        <f>IF(' WP II-I-1.4'!L543=L543,TRUE)</f>
        <v>1</v>
      </c>
      <c r="Q543"/>
      <c r="R543"/>
      <c r="S543"/>
      <c r="T543" s="620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 spans="2:37" s="321" customFormat="1" x14ac:dyDescent="0.2">
      <c r="B544" s="16">
        <v>29</v>
      </c>
      <c r="C544" s="620">
        <v>186</v>
      </c>
      <c r="D544" s="620" t="s">
        <v>1120</v>
      </c>
      <c r="E544" s="1007"/>
      <c r="F544" s="229">
        <f>'II-I-DIST'!F544</f>
        <v>0</v>
      </c>
      <c r="G544" s="1" t="str">
        <f>'II-I-DIST'!H544</f>
        <v>PAYROLL</v>
      </c>
      <c r="H544" s="97">
        <f>'II-I-MET'!F544</f>
        <v>0</v>
      </c>
      <c r="I544" s="45" t="str">
        <f>'II-I-MET'!H544</f>
        <v>PAYROLL</v>
      </c>
      <c r="J544" s="97">
        <f>'II-I-TBILLTDCS'!F544</f>
        <v>0</v>
      </c>
      <c r="K544" s="45" t="str">
        <f>'II-I-TBILLTDCS'!H544</f>
        <v>PAYROLL</v>
      </c>
      <c r="L544" s="802">
        <f t="shared" si="25"/>
        <v>0</v>
      </c>
      <c r="M544" s="935"/>
      <c r="N544" s="305" t="b">
        <f>IF(' WP II-I-1.4'!L544=L544,TRUE)</f>
        <v>1</v>
      </c>
      <c r="Q544"/>
      <c r="R544"/>
      <c r="S544"/>
      <c r="T544" s="620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 spans="2:37" s="321" customFormat="1" x14ac:dyDescent="0.2">
      <c r="B545" s="16">
        <v>30</v>
      </c>
      <c r="C545" s="620">
        <v>186</v>
      </c>
      <c r="D545" s="620" t="s">
        <v>1262</v>
      </c>
      <c r="E545" s="1007"/>
      <c r="F545" s="229">
        <f>'II-I-DIST'!F545</f>
        <v>0</v>
      </c>
      <c r="G545" s="1" t="str">
        <f>'II-I-DIST'!H545</f>
        <v>PLT 370</v>
      </c>
      <c r="H545" s="97">
        <f>'II-I-MET'!F545</f>
        <v>0</v>
      </c>
      <c r="I545" s="45" t="str">
        <f>'II-I-MET'!H545</f>
        <v>PLT 370</v>
      </c>
      <c r="J545" s="97">
        <f>'II-I-TBILLTDCS'!F545</f>
        <v>0</v>
      </c>
      <c r="K545" s="45" t="str">
        <f>'II-I-TBILLTDCS'!H545</f>
        <v>PLT 370</v>
      </c>
      <c r="L545" s="802">
        <f t="shared" si="25"/>
        <v>0</v>
      </c>
      <c r="M545" s="935"/>
      <c r="N545" s="305" t="b">
        <f>IF(' WP II-I-1.4'!L545=L545,TRUE)</f>
        <v>1</v>
      </c>
      <c r="Q545"/>
      <c r="R545"/>
      <c r="S545"/>
      <c r="T545" s="620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 spans="2:37" s="321" customFormat="1" ht="16.5" customHeight="1" x14ac:dyDescent="0.25">
      <c r="B546" s="16">
        <v>31</v>
      </c>
      <c r="C546" s="321">
        <v>186</v>
      </c>
      <c r="D546" s="321" t="s">
        <v>1263</v>
      </c>
      <c r="E546" s="806"/>
      <c r="F546" s="229">
        <f>'II-I-DIST'!F546</f>
        <v>0</v>
      </c>
      <c r="G546" s="1" t="str">
        <f>'II-I-DIST'!H546</f>
        <v>PLANT</v>
      </c>
      <c r="H546" s="229">
        <f>'II-I-MET'!F546</f>
        <v>0</v>
      </c>
      <c r="I546" s="45" t="str">
        <f>'II-I-MET'!H546</f>
        <v>PLANT</v>
      </c>
      <c r="J546" s="229">
        <f>'II-I-TBILLTDCS'!F546</f>
        <v>0</v>
      </c>
      <c r="K546" s="45" t="str">
        <f>'II-I-TBILLTDCS'!H546</f>
        <v>PLANT</v>
      </c>
      <c r="L546" s="802">
        <f t="shared" si="25"/>
        <v>0</v>
      </c>
      <c r="M546" s="935"/>
      <c r="N546" s="305" t="b">
        <f>IF(' WP II-I-1.4'!L546=L546,TRUE)</f>
        <v>1</v>
      </c>
      <c r="Q546"/>
      <c r="R546"/>
      <c r="S546"/>
      <c r="T546" s="620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 spans="2:37" s="321" customFormat="1" ht="21" customHeight="1" x14ac:dyDescent="0.25">
      <c r="B547" s="16">
        <v>32</v>
      </c>
      <c r="C547" s="321">
        <v>186</v>
      </c>
      <c r="D547" s="321" t="s">
        <v>1264</v>
      </c>
      <c r="E547" s="806"/>
      <c r="F547" s="229">
        <f>'II-I-DIST'!F547</f>
        <v>0</v>
      </c>
      <c r="G547" s="1" t="str">
        <f>'II-I-DIST'!H547</f>
        <v>PLANT</v>
      </c>
      <c r="H547" s="229">
        <f>'II-I-MET'!F547</f>
        <v>0</v>
      </c>
      <c r="I547" s="45" t="str">
        <f>'II-I-MET'!H547</f>
        <v>PLANT</v>
      </c>
      <c r="J547" s="229">
        <f>'II-I-TBILLTDCS'!F547</f>
        <v>0</v>
      </c>
      <c r="K547" s="45" t="str">
        <f>'II-I-TBILLTDCS'!H547</f>
        <v>PLANT</v>
      </c>
      <c r="L547" s="802">
        <f t="shared" si="25"/>
        <v>0</v>
      </c>
      <c r="M547" s="935"/>
      <c r="N547" s="305" t="b">
        <f>IF(' WP II-I-1.4'!L547=L547,TRUE)</f>
        <v>1</v>
      </c>
      <c r="Q547"/>
      <c r="R547"/>
      <c r="S547"/>
      <c r="T547" s="620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 spans="2:37" s="321" customFormat="1" ht="29.25" customHeight="1" x14ac:dyDescent="0.25">
      <c r="B548" s="16">
        <v>33</v>
      </c>
      <c r="C548" s="321">
        <v>186</v>
      </c>
      <c r="D548" s="321" t="s">
        <v>1265</v>
      </c>
      <c r="E548" s="806"/>
      <c r="F548" s="229">
        <f>'II-I-DIST'!F548</f>
        <v>0</v>
      </c>
      <c r="G548" s="1" t="str">
        <f>'II-I-DIST'!H548</f>
        <v>PLANT</v>
      </c>
      <c r="H548" s="229">
        <f>'II-I-MET'!F548</f>
        <v>0</v>
      </c>
      <c r="I548" s="45" t="str">
        <f>'II-I-MET'!H548</f>
        <v>PLANT</v>
      </c>
      <c r="J548" s="229">
        <f>'II-I-TBILLTDCS'!F548</f>
        <v>0</v>
      </c>
      <c r="K548" s="45" t="str">
        <f>'II-I-TBILLTDCS'!H548</f>
        <v>PLANT</v>
      </c>
      <c r="L548" s="802">
        <f t="shared" si="25"/>
        <v>0</v>
      </c>
      <c r="M548" s="935" t="s">
        <v>985</v>
      </c>
      <c r="N548" s="305" t="b">
        <f>IF(' WP II-I-1.4'!L548=L548,TRUE)</f>
        <v>1</v>
      </c>
      <c r="Q548"/>
      <c r="R548"/>
      <c r="S548"/>
      <c r="T548" s="620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 spans="2:37" ht="19.5" customHeight="1" x14ac:dyDescent="0.25">
      <c r="B549" s="16">
        <v>34</v>
      </c>
      <c r="C549" s="611">
        <v>186</v>
      </c>
      <c r="D549" s="611" t="s">
        <v>1266</v>
      </c>
      <c r="E549" s="806"/>
      <c r="F549" s="229">
        <f>'II-I-DIST'!F549</f>
        <v>0</v>
      </c>
      <c r="G549" s="1" t="str">
        <f>'II-I-DIST'!H549</f>
        <v>PLANT</v>
      </c>
      <c r="H549" s="229">
        <f>'II-I-MET'!F549</f>
        <v>0</v>
      </c>
      <c r="I549" s="45" t="str">
        <f>'II-I-MET'!H549</f>
        <v>PLANT</v>
      </c>
      <c r="J549" s="229">
        <f>'II-I-TBILLTDCS'!F549</f>
        <v>0</v>
      </c>
      <c r="K549" s="45" t="str">
        <f>'II-I-TBILLTDCS'!H549</f>
        <v>PLANT</v>
      </c>
      <c r="L549" s="802">
        <f t="shared" si="25"/>
        <v>0</v>
      </c>
      <c r="N549" s="305" t="b">
        <f>IF(' WP II-I-1.4'!L549=L549,TRUE)</f>
        <v>1</v>
      </c>
      <c r="T549" s="620"/>
      <c r="U549" s="321"/>
      <c r="V549" s="321"/>
      <c r="W549" s="321"/>
      <c r="X549" s="321"/>
      <c r="Y549" s="321"/>
      <c r="AD549" s="321"/>
      <c r="AE549" s="321"/>
      <c r="AF549" s="321"/>
      <c r="AG549" s="321"/>
      <c r="AH549" s="321"/>
      <c r="AI549" s="321"/>
      <c r="AJ549" s="321"/>
      <c r="AK549" s="321"/>
    </row>
    <row r="550" spans="2:37" ht="19.5" customHeight="1" x14ac:dyDescent="0.25">
      <c r="B550" s="16">
        <v>35</v>
      </c>
      <c r="C550" s="611">
        <v>186</v>
      </c>
      <c r="D550" s="611" t="s">
        <v>1267</v>
      </c>
      <c r="E550" s="806"/>
      <c r="F550" s="229">
        <f>'II-I-DIST'!F550</f>
        <v>0</v>
      </c>
      <c r="G550" s="1" t="str">
        <f>'II-I-DIST'!H550</f>
        <v>PLANT</v>
      </c>
      <c r="H550" s="229">
        <f>'II-I-MET'!F550</f>
        <v>0</v>
      </c>
      <c r="I550" s="45" t="str">
        <f>'II-I-MET'!H550</f>
        <v>PLANT</v>
      </c>
      <c r="J550" s="229">
        <f>'II-I-TBILLTDCS'!F550</f>
        <v>0</v>
      </c>
      <c r="K550" s="45" t="str">
        <f>'II-I-TBILLTDCS'!H550</f>
        <v>PLANT</v>
      </c>
      <c r="L550" s="802">
        <f t="shared" si="25"/>
        <v>0</v>
      </c>
      <c r="N550" s="305" t="b">
        <f>IF(' WP II-I-1.4'!L550=L550,TRUE)</f>
        <v>1</v>
      </c>
      <c r="T550" s="620"/>
      <c r="U550" s="321"/>
      <c r="V550" s="321"/>
      <c r="W550" s="321"/>
      <c r="X550" s="321"/>
      <c r="Y550" s="321"/>
      <c r="AD550" s="321"/>
      <c r="AE550" s="321"/>
      <c r="AF550" s="321"/>
      <c r="AG550" s="321"/>
      <c r="AH550" s="321"/>
      <c r="AI550" s="321"/>
      <c r="AJ550" s="321"/>
      <c r="AK550" s="321"/>
    </row>
    <row r="551" spans="2:37" ht="19.5" customHeight="1" x14ac:dyDescent="0.25">
      <c r="B551" s="16">
        <v>36</v>
      </c>
      <c r="C551" s="611">
        <v>186</v>
      </c>
      <c r="D551" s="611" t="s">
        <v>1326</v>
      </c>
      <c r="E551" s="806"/>
      <c r="F551" s="229">
        <f>'II-I-DIST'!F551</f>
        <v>4823828.9400000004</v>
      </c>
      <c r="G551" s="1" t="str">
        <f>'II-I-DIST'!H551</f>
        <v>PLANT</v>
      </c>
      <c r="H551" s="229">
        <f>'II-I-MET'!F551</f>
        <v>0</v>
      </c>
      <c r="I551" s="45" t="str">
        <f>'II-I-MET'!H551</f>
        <v>PLANT</v>
      </c>
      <c r="J551" s="229">
        <f>'II-I-TBILLTDCS'!F551</f>
        <v>0</v>
      </c>
      <c r="K551" s="45" t="str">
        <f>'II-I-TBILLTDCS'!H551</f>
        <v>PLANT</v>
      </c>
      <c r="L551" s="802">
        <f t="shared" si="25"/>
        <v>4823828.9400000004</v>
      </c>
      <c r="N551" s="305" t="b">
        <f>IF(' WP II-I-1.4'!L551=L551,TRUE)</f>
        <v>1</v>
      </c>
      <c r="T551" s="620"/>
      <c r="U551" s="321"/>
      <c r="V551" s="321"/>
      <c r="W551" s="321"/>
      <c r="X551" s="321"/>
      <c r="Y551" s="321"/>
      <c r="AD551" s="321"/>
      <c r="AE551" s="321"/>
      <c r="AF551" s="321"/>
      <c r="AG551" s="321"/>
      <c r="AH551" s="321"/>
      <c r="AI551" s="321"/>
      <c r="AJ551" s="321"/>
      <c r="AK551" s="321"/>
    </row>
    <row r="552" spans="2:37" ht="19.5" customHeight="1" x14ac:dyDescent="0.25">
      <c r="B552" s="16">
        <v>37</v>
      </c>
      <c r="C552" s="611">
        <v>187</v>
      </c>
      <c r="D552" s="611" t="s">
        <v>1268</v>
      </c>
      <c r="E552" s="806"/>
      <c r="F552" s="229">
        <f>'II-I-DIST'!F552</f>
        <v>0</v>
      </c>
      <c r="G552" s="1" t="str">
        <f>'II-I-DIST'!H552</f>
        <v>PLANT</v>
      </c>
      <c r="H552" s="229">
        <f>'II-I-MET'!F552</f>
        <v>0</v>
      </c>
      <c r="I552" s="45" t="str">
        <f>'II-I-MET'!H552</f>
        <v>PLANT</v>
      </c>
      <c r="J552" s="229">
        <f>'II-I-TBILLTDCS'!F552</f>
        <v>0</v>
      </c>
      <c r="K552" s="45" t="str">
        <f>'II-I-TBILLTDCS'!H552</f>
        <v>PLANT</v>
      </c>
      <c r="L552" s="802">
        <f t="shared" si="25"/>
        <v>0</v>
      </c>
      <c r="N552" s="305" t="b">
        <f>IF(' WP II-I-1.4'!L552=L552,TRUE)</f>
        <v>1</v>
      </c>
      <c r="T552" s="620"/>
      <c r="U552" s="321"/>
      <c r="V552" s="321"/>
      <c r="W552" s="321"/>
      <c r="X552" s="321"/>
      <c r="Y552" s="321"/>
      <c r="AD552" s="321"/>
      <c r="AE552" s="321"/>
      <c r="AF552" s="321"/>
      <c r="AG552" s="321"/>
      <c r="AH552" s="321"/>
      <c r="AI552" s="321"/>
      <c r="AJ552" s="321"/>
      <c r="AK552" s="321"/>
    </row>
    <row r="553" spans="2:37" ht="19.5" customHeight="1" x14ac:dyDescent="0.25">
      <c r="B553" s="16">
        <v>38</v>
      </c>
      <c r="C553" s="611">
        <v>186</v>
      </c>
      <c r="D553" s="611" t="s">
        <v>1327</v>
      </c>
      <c r="E553" s="806"/>
      <c r="F553" s="229">
        <f>'II-I-DIST'!F553</f>
        <v>146499.54999999999</v>
      </c>
      <c r="G553" s="1" t="str">
        <f>'II-I-DIST'!H553</f>
        <v>PLANT</v>
      </c>
      <c r="H553" s="229">
        <f>'II-I-MET'!F553</f>
        <v>0</v>
      </c>
      <c r="I553" s="45" t="str">
        <f>'II-I-MET'!H553</f>
        <v>PLANT</v>
      </c>
      <c r="J553" s="229">
        <f>'II-I-TBILLTDCS'!F553</f>
        <v>0</v>
      </c>
      <c r="K553" s="45" t="str">
        <f>'II-I-TBILLTDCS'!H553</f>
        <v>PLANT</v>
      </c>
      <c r="L553" s="802">
        <f t="shared" si="25"/>
        <v>146499.54999999999</v>
      </c>
      <c r="N553" s="305" t="b">
        <f>IF(' WP II-I-1.4'!L553=L553,TRUE)</f>
        <v>1</v>
      </c>
      <c r="T553" s="620"/>
      <c r="U553" s="321"/>
      <c r="V553" s="321"/>
      <c r="W553" s="321"/>
      <c r="X553" s="321"/>
      <c r="Y553" s="321"/>
      <c r="AD553" s="321"/>
      <c r="AE553" s="321"/>
      <c r="AF553" s="321"/>
      <c r="AG553" s="321"/>
      <c r="AH553" s="321"/>
      <c r="AI553" s="321"/>
      <c r="AJ553" s="321"/>
      <c r="AK553" s="321"/>
    </row>
    <row r="554" spans="2:37" ht="19.5" customHeight="1" x14ac:dyDescent="0.25">
      <c r="B554" s="16">
        <v>39</v>
      </c>
      <c r="C554" s="611">
        <v>186</v>
      </c>
      <c r="D554" s="611" t="s">
        <v>1270</v>
      </c>
      <c r="E554" s="806"/>
      <c r="F554" s="229">
        <f>'II-I-DIST'!F554</f>
        <v>0</v>
      </c>
      <c r="G554" s="1" t="str">
        <f>'II-I-DIST'!H554</f>
        <v>PLANT</v>
      </c>
      <c r="H554" s="229">
        <f>'II-I-MET'!F554</f>
        <v>0</v>
      </c>
      <c r="I554" s="45" t="str">
        <f>'II-I-MET'!H554</f>
        <v>PLANT</v>
      </c>
      <c r="J554" s="229">
        <f>'II-I-TBILLTDCS'!F554</f>
        <v>0</v>
      </c>
      <c r="K554" s="45" t="str">
        <f>'II-I-TBILLTDCS'!H554</f>
        <v>PLANT</v>
      </c>
      <c r="L554" s="802">
        <f t="shared" si="25"/>
        <v>0</v>
      </c>
      <c r="N554" s="305" t="b">
        <f>IF(' WP II-I-1.4'!L554=L554,TRUE)</f>
        <v>1</v>
      </c>
      <c r="T554" s="620"/>
      <c r="U554" s="321"/>
      <c r="V554" s="321"/>
      <c r="W554" s="321"/>
      <c r="X554" s="321"/>
      <c r="Y554" s="321"/>
      <c r="AD554" s="321"/>
      <c r="AE554" s="321"/>
      <c r="AF554" s="321"/>
      <c r="AG554" s="321"/>
      <c r="AH554" s="321"/>
      <c r="AI554" s="321"/>
      <c r="AJ554" s="321"/>
      <c r="AK554" s="321"/>
    </row>
    <row r="555" spans="2:37" ht="15" x14ac:dyDescent="0.25">
      <c r="B555" s="16">
        <v>40</v>
      </c>
      <c r="C555" s="611">
        <v>186</v>
      </c>
      <c r="D555" s="611" t="s">
        <v>1271</v>
      </c>
      <c r="E555" s="806"/>
      <c r="F555" s="229">
        <f>'II-I-DIST'!F555</f>
        <v>0</v>
      </c>
      <c r="G555" s="62" t="str">
        <f>'II-I-DIST'!H555</f>
        <v>PLANT</v>
      </c>
      <c r="H555" s="1110">
        <f>'II-I-MET'!F555</f>
        <v>0</v>
      </c>
      <c r="I555" s="45" t="str">
        <f>'II-I-MET'!H555</f>
        <v>PLANT</v>
      </c>
      <c r="J555" s="1110">
        <f>'II-I-TBILLTDCS'!F555</f>
        <v>0</v>
      </c>
      <c r="K555" s="45" t="str">
        <f>'II-I-TBILLTDCS'!H555</f>
        <v>PLANT</v>
      </c>
      <c r="L555" s="802">
        <f t="shared" si="25"/>
        <v>0</v>
      </c>
      <c r="N555" s="305" t="b">
        <f>IF(' WP II-I-1.4'!L555=L555,TRUE)</f>
        <v>1</v>
      </c>
      <c r="T555" s="620"/>
      <c r="U555" s="321"/>
      <c r="V555" s="321"/>
      <c r="W555" s="321"/>
      <c r="X555" s="321"/>
      <c r="Y555" s="321"/>
      <c r="AD555" s="321"/>
      <c r="AE555" s="321"/>
      <c r="AF555" s="321"/>
      <c r="AG555" s="321"/>
      <c r="AH555" s="321"/>
      <c r="AI555" s="321"/>
      <c r="AJ555" s="321"/>
      <c r="AK555" s="321"/>
    </row>
    <row r="556" spans="2:37" ht="15" x14ac:dyDescent="0.25">
      <c r="B556" s="16">
        <f t="shared" si="24"/>
        <v>41</v>
      </c>
      <c r="C556" s="41"/>
      <c r="D556" s="1299" t="s">
        <v>562</v>
      </c>
      <c r="E556" s="806"/>
      <c r="F556" s="807">
        <f>'II-I-DIST'!F556</f>
        <v>1163678035.28</v>
      </c>
      <c r="G556" s="806">
        <f>'II-I-DIST'!H556</f>
        <v>0</v>
      </c>
      <c r="H556" s="807">
        <f>'II-I-MET'!F556</f>
        <v>60223047.119999997</v>
      </c>
      <c r="I556" s="806">
        <f>'II-I-MET'!H556</f>
        <v>0</v>
      </c>
      <c r="J556" s="807">
        <f>'II-I-TBILLTDCS'!F556</f>
        <v>11065174.830000006</v>
      </c>
      <c r="K556" s="806">
        <f>'II-I-TBILLTDCS'!H556</f>
        <v>0</v>
      </c>
      <c r="L556" s="807">
        <f>SUM(L519:L555)</f>
        <v>1234966257.2299998</v>
      </c>
      <c r="N556" s="305" t="b">
        <f>IF(' WP II-I-1.4'!L556=L556,TRUE)</f>
        <v>1</v>
      </c>
      <c r="O556" s="611"/>
      <c r="P556" s="611"/>
      <c r="T556" s="620"/>
      <c r="U556" s="321"/>
      <c r="V556" s="321"/>
      <c r="W556" s="321"/>
      <c r="X556" s="321"/>
      <c r="Y556" s="321"/>
      <c r="AD556" s="321"/>
      <c r="AE556" s="321"/>
      <c r="AF556" s="321"/>
      <c r="AG556" s="321"/>
      <c r="AH556" s="321"/>
      <c r="AI556" s="321"/>
      <c r="AJ556" s="321"/>
      <c r="AK556" s="321"/>
    </row>
    <row r="557" spans="2:37" ht="15" x14ac:dyDescent="0.25">
      <c r="B557" s="16">
        <f>B556+1</f>
        <v>42</v>
      </c>
      <c r="C557" s="41"/>
      <c r="D557" s="1006"/>
      <c r="E557" s="806"/>
      <c r="F557" s="202">
        <f>'II-I-DIST'!F557</f>
        <v>0</v>
      </c>
      <c r="G557" s="806">
        <f>'II-I-DIST'!H557</f>
        <v>0</v>
      </c>
      <c r="H557" s="202">
        <f>'II-I-MET'!F557</f>
        <v>0</v>
      </c>
      <c r="I557" s="806">
        <f>'II-I-MET'!H557</f>
        <v>0</v>
      </c>
      <c r="J557" s="202">
        <f>'II-I-TBILLTDCS'!F557</f>
        <v>0</v>
      </c>
      <c r="K557" s="806">
        <f>'II-I-TBILLTDCS'!H557</f>
        <v>0</v>
      </c>
      <c r="L557" s="813"/>
      <c r="N557" s="305"/>
      <c r="O557" s="611"/>
      <c r="P557" s="611"/>
      <c r="T557" s="620"/>
      <c r="U557" s="321"/>
      <c r="V557" s="321"/>
      <c r="W557" s="321"/>
      <c r="X557" s="321"/>
      <c r="Y557" s="321"/>
      <c r="AD557" s="321"/>
      <c r="AE557" s="321"/>
      <c r="AF557" s="321"/>
      <c r="AG557" s="321"/>
      <c r="AH557" s="321"/>
      <c r="AI557" s="321"/>
      <c r="AJ557" s="321"/>
      <c r="AK557" s="321"/>
    </row>
    <row r="558" spans="2:37" ht="15" x14ac:dyDescent="0.25">
      <c r="B558" s="16">
        <f t="shared" si="24"/>
        <v>43</v>
      </c>
      <c r="C558" s="34" t="s">
        <v>130</v>
      </c>
      <c r="D558" s="41"/>
      <c r="E558" s="806"/>
      <c r="F558" s="17">
        <f>'II-I-DIST'!F558</f>
        <v>0</v>
      </c>
      <c r="G558" s="806">
        <f>'II-I-DIST'!H558</f>
        <v>0</v>
      </c>
      <c r="H558" s="17">
        <f>'II-I-MET'!F558</f>
        <v>0</v>
      </c>
      <c r="I558" s="806">
        <f>'II-I-MET'!H558</f>
        <v>0</v>
      </c>
      <c r="J558" s="17">
        <f>'II-I-TBILLTDCS'!F558</f>
        <v>0</v>
      </c>
      <c r="K558" s="806">
        <f>'II-I-TBILLTDCS'!H558</f>
        <v>0</v>
      </c>
      <c r="L558" s="802"/>
      <c r="N558" s="305"/>
      <c r="O558" s="619"/>
      <c r="P558" s="611"/>
      <c r="T558" s="620"/>
      <c r="U558" s="321"/>
      <c r="V558" s="321"/>
      <c r="W558" s="321"/>
      <c r="X558" s="321"/>
      <c r="Y558" s="321"/>
      <c r="AD558" s="321"/>
      <c r="AE558" s="321"/>
      <c r="AF558" s="321"/>
      <c r="AG558" s="321"/>
      <c r="AH558" s="321"/>
      <c r="AI558" s="321"/>
      <c r="AJ558" s="321"/>
      <c r="AK558" s="321"/>
    </row>
    <row r="559" spans="2:37" s="321" customFormat="1" x14ac:dyDescent="0.2">
      <c r="B559" s="16">
        <v>44</v>
      </c>
      <c r="C559" s="611">
        <v>254</v>
      </c>
      <c r="D559" s="611" t="s">
        <v>1173</v>
      </c>
      <c r="E559" s="611"/>
      <c r="F559" s="229">
        <f>'II-I-DIST'!F559</f>
        <v>0</v>
      </c>
      <c r="G559" s="45" t="str">
        <f>'II-I-DIST'!H559</f>
        <v>PLANT</v>
      </c>
      <c r="H559" s="97">
        <f>'II-I-MET'!F559</f>
        <v>0</v>
      </c>
      <c r="I559" s="45" t="str">
        <f>'II-I-MET'!H559</f>
        <v>PLANT</v>
      </c>
      <c r="J559" s="97">
        <f>'II-I-TBILLTDCS'!F559</f>
        <v>0</v>
      </c>
      <c r="K559" s="45" t="str">
        <f>'II-I-TBILLTDCS'!H559</f>
        <v>PLANT</v>
      </c>
      <c r="L559" s="802">
        <f t="shared" ref="L559:L622" si="26">F559+H559+J559</f>
        <v>0</v>
      </c>
      <c r="M559" s="935"/>
      <c r="N559" s="305" t="b">
        <f>IF(' WP II-I-1.4'!L559=L559,TRUE)</f>
        <v>1</v>
      </c>
      <c r="O559" s="611"/>
      <c r="P559" s="611"/>
      <c r="Q559"/>
      <c r="R559"/>
      <c r="S559"/>
      <c r="T559" s="620"/>
      <c r="Z559"/>
      <c r="AA559"/>
      <c r="AB559"/>
      <c r="AC559"/>
    </row>
    <row r="560" spans="2:37" s="321" customFormat="1" x14ac:dyDescent="0.2">
      <c r="B560" s="16">
        <v>45</v>
      </c>
      <c r="C560" s="611" t="s">
        <v>1121</v>
      </c>
      <c r="D560" s="611" t="s">
        <v>926</v>
      </c>
      <c r="E560" s="611"/>
      <c r="F560" s="229">
        <f>'II-I-DIST'!F560</f>
        <v>0</v>
      </c>
      <c r="G560" s="45" t="str">
        <f>'II-I-DIST'!H560</f>
        <v>PLANT_xWHL</v>
      </c>
      <c r="H560" s="97">
        <f>'II-I-MET'!F560</f>
        <v>0</v>
      </c>
      <c r="I560" s="45" t="str">
        <f>'II-I-MET'!H560</f>
        <v>PLANT_xWHL</v>
      </c>
      <c r="J560" s="97">
        <f>'II-I-TBILLTDCS'!F560</f>
        <v>0</v>
      </c>
      <c r="K560" s="45" t="str">
        <f>'II-I-TBILLTDCS'!H560</f>
        <v>PLANT_xWHL</v>
      </c>
      <c r="L560" s="802">
        <f t="shared" si="26"/>
        <v>0</v>
      </c>
      <c r="M560" s="935"/>
      <c r="N560" s="305" t="b">
        <f>IF(' WP II-I-1.4'!L560=L560,TRUE)</f>
        <v>1</v>
      </c>
      <c r="O560" s="611"/>
      <c r="P560" s="611"/>
      <c r="Q560"/>
      <c r="R560"/>
      <c r="S560"/>
      <c r="T560" s="620"/>
      <c r="Z560"/>
      <c r="AA560"/>
      <c r="AB560"/>
      <c r="AC560"/>
    </row>
    <row r="561" spans="2:37" s="321" customFormat="1" x14ac:dyDescent="0.2">
      <c r="B561" s="16">
        <v>46</v>
      </c>
      <c r="C561" s="611">
        <v>254</v>
      </c>
      <c r="D561" s="611" t="s">
        <v>1272</v>
      </c>
      <c r="E561" s="611"/>
      <c r="F561" s="229">
        <f>'II-I-DIST'!F561</f>
        <v>-8947664.1099999994</v>
      </c>
      <c r="G561" s="45" t="str">
        <f>'II-I-DIST'!H561</f>
        <v>PLT INT_N</v>
      </c>
      <c r="H561" s="229">
        <f>'II-I-MET'!F561</f>
        <v>0</v>
      </c>
      <c r="I561" s="45" t="str">
        <f>'II-I-MET'!H561</f>
        <v>PLT INT_N</v>
      </c>
      <c r="J561" s="229">
        <f>'II-I-TBILLTDCS'!F561</f>
        <v>0</v>
      </c>
      <c r="K561" s="45" t="str">
        <f>'II-I-TBILLTDCS'!H561</f>
        <v>PLT INT_N</v>
      </c>
      <c r="L561" s="802">
        <f t="shared" si="26"/>
        <v>-8947664.1099999994</v>
      </c>
      <c r="M561" s="957" t="s">
        <v>1319</v>
      </c>
      <c r="N561" s="305" t="b">
        <f>IF(' WP II-I-1.4'!L561=L561,TRUE)</f>
        <v>1</v>
      </c>
      <c r="O561" s="611"/>
      <c r="P561" s="611"/>
      <c r="Q561"/>
      <c r="R561"/>
      <c r="S561"/>
      <c r="T561" s="620"/>
      <c r="Z561"/>
      <c r="AA561"/>
      <c r="AB561"/>
      <c r="AC561"/>
    </row>
    <row r="562" spans="2:37" s="321" customFormat="1" x14ac:dyDescent="0.2">
      <c r="B562" s="16">
        <v>47</v>
      </c>
      <c r="C562" s="41">
        <v>254</v>
      </c>
      <c r="D562" s="41" t="s">
        <v>1273</v>
      </c>
      <c r="E562" s="41"/>
      <c r="F562" s="229">
        <f>'II-I-DIST'!F562</f>
        <v>-4987970.08</v>
      </c>
      <c r="G562" s="45" t="str">
        <f>'II-I-DIST'!H562</f>
        <v>PLT INT_N</v>
      </c>
      <c r="H562" s="229">
        <f>'II-I-MET'!F562</f>
        <v>0</v>
      </c>
      <c r="I562" s="45" t="str">
        <f>'II-I-MET'!H562</f>
        <v>PLT INT_N</v>
      </c>
      <c r="J562" s="229">
        <f>'II-I-TBILLTDCS'!F562</f>
        <v>0</v>
      </c>
      <c r="K562" s="45" t="str">
        <f>'II-I-TBILLTDCS'!H562</f>
        <v>PLT INT_N</v>
      </c>
      <c r="L562" s="802">
        <f t="shared" si="26"/>
        <v>-4987970.08</v>
      </c>
      <c r="M562" s="957" t="s">
        <v>1320</v>
      </c>
      <c r="N562" s="305" t="b">
        <f>IF(' WP II-I-1.4'!L562=L562,TRUE)</f>
        <v>1</v>
      </c>
      <c r="O562" s="611"/>
      <c r="P562" s="611"/>
      <c r="Q562"/>
      <c r="R562"/>
      <c r="S562"/>
      <c r="Z562"/>
      <c r="AA562"/>
      <c r="AB562"/>
      <c r="AC562"/>
    </row>
    <row r="563" spans="2:37" s="321" customFormat="1" x14ac:dyDescent="0.2">
      <c r="B563" s="16">
        <v>48</v>
      </c>
      <c r="C563" s="41">
        <v>254</v>
      </c>
      <c r="D563" s="41" t="s">
        <v>1274</v>
      </c>
      <c r="E563" s="41"/>
      <c r="F563" s="229">
        <f>'II-I-DIST'!F563</f>
        <v>0</v>
      </c>
      <c r="G563" s="45" t="str">
        <f>'II-I-DIST'!H563</f>
        <v>PLANT</v>
      </c>
      <c r="H563" s="229">
        <f>'II-I-MET'!F563</f>
        <v>0</v>
      </c>
      <c r="I563" s="45" t="str">
        <f>'II-I-MET'!H563</f>
        <v>PLANT</v>
      </c>
      <c r="J563" s="229">
        <f>'II-I-TBILLTDCS'!F563</f>
        <v>0</v>
      </c>
      <c r="K563" s="45" t="str">
        <f>'II-I-TBILLTDCS'!H563</f>
        <v>PLANT</v>
      </c>
      <c r="L563" s="802">
        <f t="shared" si="26"/>
        <v>0</v>
      </c>
      <c r="M563" s="935"/>
      <c r="N563" s="305" t="b">
        <f>IF(' WP II-I-1.4'!L563=L563,TRUE)</f>
        <v>1</v>
      </c>
      <c r="O563" s="611"/>
      <c r="P563" s="611"/>
      <c r="Q563"/>
      <c r="R563"/>
      <c r="S563"/>
      <c r="Z563"/>
      <c r="AA563"/>
      <c r="AB563"/>
      <c r="AC563"/>
    </row>
    <row r="564" spans="2:37" s="321" customFormat="1" x14ac:dyDescent="0.2">
      <c r="B564" s="16">
        <v>49</v>
      </c>
      <c r="C564" s="611">
        <v>254</v>
      </c>
      <c r="D564" s="611" t="s">
        <v>1174</v>
      </c>
      <c r="E564" s="611"/>
      <c r="F564" s="229">
        <f>'II-I-DIST'!F564</f>
        <v>0</v>
      </c>
      <c r="G564" s="45" t="str">
        <f>'II-I-DIST'!H564</f>
        <v>PLT 370</v>
      </c>
      <c r="H564" s="229">
        <f>'II-I-MET'!F564</f>
        <v>0</v>
      </c>
      <c r="I564" s="45" t="str">
        <f>'II-I-MET'!H564</f>
        <v>PLT 370</v>
      </c>
      <c r="J564" s="229">
        <f>'II-I-TBILLTDCS'!F564</f>
        <v>0</v>
      </c>
      <c r="K564" s="45" t="str">
        <f>'II-I-TBILLTDCS'!H564</f>
        <v>PLANT</v>
      </c>
      <c r="L564" s="802">
        <f t="shared" si="26"/>
        <v>0</v>
      </c>
      <c r="M564" s="935"/>
      <c r="N564" s="305" t="b">
        <f>IF(' WP II-I-1.4'!L564=L564,TRUE)</f>
        <v>1</v>
      </c>
      <c r="O564" s="611"/>
      <c r="P564" s="611"/>
      <c r="Q564"/>
      <c r="R564"/>
      <c r="S564"/>
      <c r="Z564"/>
      <c r="AA564"/>
      <c r="AB564"/>
      <c r="AC564"/>
    </row>
    <row r="565" spans="2:37" s="321" customFormat="1" x14ac:dyDescent="0.2">
      <c r="B565" s="16">
        <v>50</v>
      </c>
      <c r="C565" s="611">
        <v>254</v>
      </c>
      <c r="D565" s="611" t="s">
        <v>1175</v>
      </c>
      <c r="E565" s="611"/>
      <c r="F565" s="229">
        <f>'II-I-DIST'!F565</f>
        <v>0</v>
      </c>
      <c r="G565" s="45" t="str">
        <f>'II-I-DIST'!H565</f>
        <v>PLANT</v>
      </c>
      <c r="H565" s="229">
        <f>'II-I-MET'!F565</f>
        <v>0</v>
      </c>
      <c r="I565" s="45" t="str">
        <f>'II-I-MET'!H565</f>
        <v>PLANT</v>
      </c>
      <c r="J565" s="229">
        <f>'II-I-TBILLTDCS'!F565</f>
        <v>0</v>
      </c>
      <c r="K565" s="45" t="str">
        <f>'II-I-TBILLTDCS'!H565</f>
        <v>PLANT</v>
      </c>
      <c r="L565" s="802">
        <f t="shared" si="26"/>
        <v>0</v>
      </c>
      <c r="M565" s="935"/>
      <c r="N565" s="305" t="b">
        <f>IF(' WP II-I-1.4'!L565=L565,TRUE)</f>
        <v>1</v>
      </c>
      <c r="O565" s="611"/>
      <c r="P565" s="611"/>
      <c r="Q565"/>
      <c r="R565"/>
      <c r="S565"/>
      <c r="Z565"/>
      <c r="AA565"/>
      <c r="AB565"/>
      <c r="AC565"/>
    </row>
    <row r="566" spans="2:37" s="321" customFormat="1" x14ac:dyDescent="0.2">
      <c r="B566" s="16">
        <v>51</v>
      </c>
      <c r="C566" s="41">
        <v>254</v>
      </c>
      <c r="D566" s="41" t="s">
        <v>1275</v>
      </c>
      <c r="E566" s="41"/>
      <c r="F566" s="229">
        <f>'II-I-DIST'!F566</f>
        <v>0</v>
      </c>
      <c r="G566" s="45" t="str">
        <f>'II-I-DIST'!H566</f>
        <v>PLANT</v>
      </c>
      <c r="H566" s="229">
        <f>'II-I-MET'!F566</f>
        <v>0</v>
      </c>
      <c r="I566" s="45" t="str">
        <f>'II-I-MET'!H566</f>
        <v>PLANT</v>
      </c>
      <c r="J566" s="229">
        <f>'II-I-TBILLTDCS'!F566</f>
        <v>0</v>
      </c>
      <c r="K566" s="45" t="str">
        <f>'II-I-TBILLTDCS'!H566</f>
        <v>PLANT</v>
      </c>
      <c r="L566" s="802">
        <f t="shared" si="26"/>
        <v>0</v>
      </c>
      <c r="M566" s="935"/>
      <c r="N566" s="305" t="b">
        <f>IF(' WP II-I-1.4'!L566=L566,TRUE)</f>
        <v>1</v>
      </c>
      <c r="O566" s="611"/>
      <c r="P566" s="611"/>
      <c r="Q566"/>
      <c r="R566"/>
      <c r="S566"/>
      <c r="Z566"/>
      <c r="AA566"/>
      <c r="AB566"/>
      <c r="AC566"/>
    </row>
    <row r="567" spans="2:37" s="321" customFormat="1" x14ac:dyDescent="0.2">
      <c r="B567" s="16">
        <v>52</v>
      </c>
      <c r="C567" s="611">
        <v>254</v>
      </c>
      <c r="D567" s="611" t="s">
        <v>1276</v>
      </c>
      <c r="E567" s="611"/>
      <c r="F567" s="229">
        <f>'II-I-DIST'!F567</f>
        <v>54569.880000000114</v>
      </c>
      <c r="G567" s="45" t="str">
        <f>'II-I-DIST'!H567</f>
        <v>PLANT</v>
      </c>
      <c r="H567" s="229">
        <f>'II-I-MET'!F567</f>
        <v>0</v>
      </c>
      <c r="I567" s="45" t="str">
        <f>'II-I-MET'!H567</f>
        <v>PLANT</v>
      </c>
      <c r="J567" s="229">
        <f>'II-I-TBILLTDCS'!F567</f>
        <v>0</v>
      </c>
      <c r="K567" s="45" t="str">
        <f>'II-I-TBILLTDCS'!H567</f>
        <v>PLANT</v>
      </c>
      <c r="L567" s="802">
        <f t="shared" si="26"/>
        <v>54569.880000000114</v>
      </c>
      <c r="M567" s="935"/>
      <c r="N567" s="305" t="b">
        <f>IF(' WP II-I-1.4'!L567=L567,TRUE)</f>
        <v>1</v>
      </c>
      <c r="O567" s="611"/>
      <c r="P567" s="611"/>
      <c r="Q567"/>
      <c r="R567"/>
      <c r="S567"/>
      <c r="Z567"/>
      <c r="AA567"/>
      <c r="AB567"/>
      <c r="AC567"/>
    </row>
    <row r="568" spans="2:37" s="321" customFormat="1" x14ac:dyDescent="0.2">
      <c r="B568" s="16">
        <v>53</v>
      </c>
      <c r="C568" s="611">
        <v>254</v>
      </c>
      <c r="D568" s="611" t="s">
        <v>1277</v>
      </c>
      <c r="E568" s="611"/>
      <c r="F568" s="229">
        <f>'II-I-DIST'!F568</f>
        <v>1583754.909999989</v>
      </c>
      <c r="G568" s="45" t="str">
        <f>'II-I-DIST'!H568</f>
        <v>PLANT</v>
      </c>
      <c r="H568" s="229">
        <f>'II-I-MET'!F568</f>
        <v>0</v>
      </c>
      <c r="I568" s="45" t="str">
        <f>'II-I-MET'!H568</f>
        <v>PLANT</v>
      </c>
      <c r="J568" s="229">
        <f>'II-I-TBILLTDCS'!F568</f>
        <v>0</v>
      </c>
      <c r="K568" s="45" t="str">
        <f>'II-I-TBILLTDCS'!H568</f>
        <v>PLANT</v>
      </c>
      <c r="L568" s="802">
        <f t="shared" si="26"/>
        <v>1583754.909999989</v>
      </c>
      <c r="M568" s="935"/>
      <c r="N568" s="305" t="b">
        <f>IF(' WP II-I-1.4'!L568=L568,TRUE)</f>
        <v>1</v>
      </c>
      <c r="O568" s="611"/>
      <c r="P568" s="611"/>
      <c r="Q568"/>
      <c r="R568"/>
      <c r="S568"/>
      <c r="Z568"/>
      <c r="AA568"/>
      <c r="AB568"/>
      <c r="AC568"/>
    </row>
    <row r="569" spans="2:37" s="321" customFormat="1" x14ac:dyDescent="0.2">
      <c r="B569" s="16">
        <v>54</v>
      </c>
      <c r="C569" s="611">
        <v>254</v>
      </c>
      <c r="D569" s="611" t="s">
        <v>1278</v>
      </c>
      <c r="E569" s="611"/>
      <c r="F569" s="229">
        <f>'II-I-DIST'!F569</f>
        <v>-25859.240000000005</v>
      </c>
      <c r="G569" s="45" t="str">
        <f>'II-I-DIST'!H569</f>
        <v>PLANT</v>
      </c>
      <c r="H569" s="229">
        <f>'II-I-MET'!F569</f>
        <v>0</v>
      </c>
      <c r="I569" s="45" t="str">
        <f>'II-I-MET'!H569</f>
        <v>PLANT</v>
      </c>
      <c r="J569" s="229">
        <f>'II-I-TBILLTDCS'!F569</f>
        <v>0</v>
      </c>
      <c r="K569" s="45" t="str">
        <f>'II-I-TBILLTDCS'!H569</f>
        <v>PLANT</v>
      </c>
      <c r="L569" s="802">
        <f t="shared" si="26"/>
        <v>-25859.240000000005</v>
      </c>
      <c r="M569" s="935"/>
      <c r="N569" s="305" t="b">
        <f>IF(' WP II-I-1.4'!L569=L569,TRUE)</f>
        <v>1</v>
      </c>
      <c r="O569" s="611"/>
      <c r="P569" s="611"/>
      <c r="Q569"/>
      <c r="R569"/>
      <c r="S569"/>
      <c r="Z569"/>
      <c r="AA569"/>
      <c r="AB569"/>
      <c r="AC569"/>
    </row>
    <row r="570" spans="2:37" s="321" customFormat="1" ht="28.5" x14ac:dyDescent="0.2">
      <c r="B570" s="16">
        <v>55</v>
      </c>
      <c r="C570" s="41">
        <v>254</v>
      </c>
      <c r="D570" s="41" t="s">
        <v>1279</v>
      </c>
      <c r="E570" s="41"/>
      <c r="F570" s="23">
        <f>'II-I-DIST'!F570</f>
        <v>-11752973.43</v>
      </c>
      <c r="G570" s="1" t="str">
        <f>'II-I-DIST'!H570</f>
        <v>PLANT</v>
      </c>
      <c r="H570" s="229">
        <f>'II-I-MET'!F570</f>
        <v>-3564248.35</v>
      </c>
      <c r="I570" s="45" t="str">
        <f>'II-I-MET'!H570</f>
        <v>PLANT</v>
      </c>
      <c r="J570" s="229">
        <f>'II-I-TBILLTDCS'!F570</f>
        <v>411033.34000000032</v>
      </c>
      <c r="K570" s="45" t="str">
        <f>'II-I-TBILLTDCS'!H570</f>
        <v>PLANT</v>
      </c>
      <c r="L570" s="802">
        <f t="shared" si="26"/>
        <v>-14906188.439999999</v>
      </c>
      <c r="M570" s="957" t="s">
        <v>1321</v>
      </c>
      <c r="N570" s="305" t="b">
        <f>IF(' WP II-I-1.4'!L570=L570,TRUE)</f>
        <v>1</v>
      </c>
      <c r="O570" s="611"/>
      <c r="P570" s="611"/>
      <c r="Q570"/>
      <c r="R570"/>
      <c r="S570"/>
      <c r="Z570"/>
      <c r="AA570"/>
      <c r="AB570"/>
      <c r="AC570"/>
    </row>
    <row r="571" spans="2:37" s="321" customFormat="1" ht="15" x14ac:dyDescent="0.25">
      <c r="B571" s="16">
        <v>56</v>
      </c>
      <c r="C571" s="611">
        <v>254</v>
      </c>
      <c r="D571" s="611" t="s">
        <v>1176</v>
      </c>
      <c r="E571" s="1007"/>
      <c r="F571" s="191">
        <f>'II-I-DIST'!F571</f>
        <v>-23922318.68</v>
      </c>
      <c r="G571" s="8" t="str">
        <f>'II-I-DIST'!H571</f>
        <v>PLANT</v>
      </c>
      <c r="H571" s="97">
        <f>'II-I-MET'!F571</f>
        <v>-6689323.3200000003</v>
      </c>
      <c r="I571" s="45" t="str">
        <f>'II-I-MET'!H571</f>
        <v>PLANT</v>
      </c>
      <c r="J571" s="97">
        <f>'II-I-TBILLTDCS'!F571</f>
        <v>-274196.65999999642</v>
      </c>
      <c r="K571" s="45" t="str">
        <f>'II-I-TBILLTDCS'!H571</f>
        <v>PLANT</v>
      </c>
      <c r="L571" s="802">
        <f t="shared" si="26"/>
        <v>-30885838.659999996</v>
      </c>
      <c r="N571" s="305" t="b">
        <f>IF(' WP II-I-1.4'!L571=L571,TRUE)</f>
        <v>1</v>
      </c>
      <c r="O571" s="611"/>
      <c r="P571" s="611"/>
      <c r="Q571"/>
      <c r="R571"/>
      <c r="S571"/>
      <c r="Z571"/>
      <c r="AA571"/>
      <c r="AB571"/>
      <c r="AC571"/>
    </row>
    <row r="572" spans="2:37" s="321" customFormat="1" x14ac:dyDescent="0.2">
      <c r="B572" s="16">
        <v>57</v>
      </c>
      <c r="C572" s="611">
        <v>257</v>
      </c>
      <c r="D572" s="1153" t="s">
        <v>1122</v>
      </c>
      <c r="E572" s="1007"/>
      <c r="F572" s="229">
        <f>'II-I-DIST'!F572</f>
        <v>0</v>
      </c>
      <c r="G572" s="45" t="str">
        <f>'II-I-DIST'!H572</f>
        <v>PLANT</v>
      </c>
      <c r="H572" s="97">
        <f>'II-I-MET'!F572</f>
        <v>0</v>
      </c>
      <c r="I572" s="45" t="str">
        <f>'II-I-MET'!H572</f>
        <v>PLANT</v>
      </c>
      <c r="J572" s="97">
        <f>'II-I-TBILLTDCS'!F572</f>
        <v>0</v>
      </c>
      <c r="K572" s="45" t="str">
        <f>'II-I-TBILLTDCS'!H572</f>
        <v>PLANT</v>
      </c>
      <c r="L572" s="802">
        <f t="shared" ref="L572" si="27">F572+H572+J572</f>
        <v>0</v>
      </c>
      <c r="M572" s="935"/>
      <c r="N572" s="305" t="b">
        <f>IF(' WP II-I-1.4'!L572=L572,TRUE)</f>
        <v>1</v>
      </c>
      <c r="O572" s="611"/>
      <c r="P572" s="611"/>
      <c r="Q572"/>
      <c r="R572"/>
      <c r="S572"/>
      <c r="T572"/>
      <c r="U572"/>
      <c r="V572"/>
      <c r="W572"/>
      <c r="Z572"/>
      <c r="AA572"/>
      <c r="AB572"/>
      <c r="AC572"/>
    </row>
    <row r="573" spans="2:37" ht="15" x14ac:dyDescent="0.25">
      <c r="B573" s="16">
        <f t="shared" si="24"/>
        <v>58</v>
      </c>
      <c r="C573" s="611"/>
      <c r="D573" s="780" t="s">
        <v>563</v>
      </c>
      <c r="E573" s="1007"/>
      <c r="F573" s="807">
        <f>'II-I-DIST'!F573</f>
        <v>-47998460.750000007</v>
      </c>
      <c r="G573" s="45"/>
      <c r="H573" s="97">
        <f>'II-I-MET'!F573</f>
        <v>-10253571.67</v>
      </c>
      <c r="I573" s="806"/>
      <c r="J573" s="97">
        <f>'II-I-TBILLTDCS'!F573</f>
        <v>136836.68000000389</v>
      </c>
      <c r="K573" s="806"/>
      <c r="L573" s="802">
        <f t="shared" ref="L573" si="28">F573+H573+J573</f>
        <v>-58115195.740000002</v>
      </c>
      <c r="N573" s="305" t="b">
        <f>IF(' WP II-I-1.4'!L573=L573,TRUE)</f>
        <v>1</v>
      </c>
      <c r="O573" s="611"/>
      <c r="P573" s="611"/>
      <c r="X573" s="321"/>
      <c r="Y573" s="321"/>
      <c r="AD573" s="321"/>
      <c r="AE573" s="321"/>
      <c r="AF573" s="321"/>
      <c r="AG573" s="321"/>
      <c r="AH573" s="321"/>
      <c r="AI573" s="321"/>
      <c r="AJ573" s="321"/>
      <c r="AK573" s="321"/>
    </row>
    <row r="574" spans="2:37" ht="15.75" thickBot="1" x14ac:dyDescent="0.3">
      <c r="B574" s="16">
        <v>59</v>
      </c>
      <c r="C574" s="41"/>
      <c r="D574" s="42"/>
      <c r="E574" s="806"/>
      <c r="F574" s="807">
        <f>'II-I-DIST'!F574</f>
        <v>0</v>
      </c>
      <c r="G574" s="806"/>
      <c r="H574" s="97">
        <f>'II-I-MET'!F574</f>
        <v>0</v>
      </c>
      <c r="I574" s="806"/>
      <c r="J574" s="97">
        <f>'II-I-TBILLTDCS'!F574</f>
        <v>0</v>
      </c>
      <c r="K574" s="806"/>
      <c r="L574" s="802"/>
      <c r="N574" s="305" t="b">
        <f>IF(' WP II-I-1.4'!L574=L574,TRUE)</f>
        <v>1</v>
      </c>
      <c r="O574" s="611"/>
      <c r="P574" s="611"/>
      <c r="X574" s="321"/>
      <c r="Y574" s="321"/>
      <c r="AD574" s="321"/>
      <c r="AE574" s="321"/>
      <c r="AF574" s="321"/>
      <c r="AG574" s="321"/>
      <c r="AH574" s="321"/>
      <c r="AI574" s="321"/>
      <c r="AJ574" s="321"/>
      <c r="AK574" s="321"/>
    </row>
    <row r="575" spans="2:37" ht="15.75" thickBot="1" x14ac:dyDescent="0.3">
      <c r="B575" s="16">
        <v>60</v>
      </c>
      <c r="C575" s="291" t="s">
        <v>564</v>
      </c>
      <c r="D575" s="814"/>
      <c r="E575" s="272" t="s">
        <v>127</v>
      </c>
      <c r="F575" s="814">
        <f>'II-I-DIST'!F575</f>
        <v>1115679574.53</v>
      </c>
      <c r="G575" s="392"/>
      <c r="H575" s="814">
        <f>'II-I-MET'!F575</f>
        <v>49969475.449999996</v>
      </c>
      <c r="I575" s="392"/>
      <c r="J575" s="814">
        <f>'II-I-TBILLTDCS'!F575</f>
        <v>11202011.510000009</v>
      </c>
      <c r="K575" s="392"/>
      <c r="L575" s="218">
        <f t="shared" si="26"/>
        <v>1176851061.49</v>
      </c>
      <c r="N575" s="305" t="b">
        <f>IF(' WP II-I-1.4'!L575=L575,TRUE)</f>
        <v>1</v>
      </c>
      <c r="O575" s="611"/>
      <c r="P575" s="611"/>
      <c r="Y575" s="321"/>
      <c r="AD575" s="321"/>
      <c r="AE575" s="321"/>
      <c r="AF575" s="321"/>
      <c r="AG575" s="321"/>
      <c r="AH575" s="321"/>
      <c r="AI575" s="321"/>
      <c r="AJ575" s="321"/>
      <c r="AK575" s="321"/>
    </row>
    <row r="576" spans="2:37" ht="15" x14ac:dyDescent="0.25">
      <c r="B576" s="16"/>
      <c r="C576" s="41"/>
      <c r="D576" s="42"/>
      <c r="E576" s="806"/>
      <c r="F576" s="202"/>
      <c r="G576" s="806"/>
      <c r="H576" s="202"/>
      <c r="I576" s="806"/>
      <c r="J576" s="202"/>
      <c r="K576" s="806"/>
      <c r="L576" s="813"/>
      <c r="N576" s="751"/>
      <c r="O576" s="619"/>
      <c r="P576" s="611"/>
      <c r="Y576" s="321"/>
      <c r="AD576" s="321"/>
      <c r="AE576" s="321"/>
      <c r="AF576" s="321"/>
      <c r="AG576" s="321"/>
      <c r="AH576" s="321"/>
      <c r="AI576" s="321"/>
      <c r="AJ576" s="321"/>
      <c r="AK576" s="321"/>
    </row>
    <row r="577" spans="2:37" ht="15" x14ac:dyDescent="0.25">
      <c r="B577" s="783"/>
      <c r="C577" s="783"/>
      <c r="D577" s="783"/>
      <c r="E577" s="783"/>
      <c r="F577" s="202"/>
      <c r="G577" s="105"/>
      <c r="H577" s="202"/>
      <c r="I577" s="105"/>
      <c r="J577" s="202"/>
      <c r="K577" s="105"/>
      <c r="L577" s="783"/>
      <c r="N577" s="751"/>
      <c r="O577" s="619"/>
      <c r="P577" s="611"/>
      <c r="T577" s="321"/>
      <c r="U577" s="321"/>
      <c r="V577" s="321"/>
      <c r="W577" s="321"/>
      <c r="Y577" s="321"/>
      <c r="AD577" s="321"/>
      <c r="AE577" s="321"/>
      <c r="AF577" s="321"/>
      <c r="AG577" s="321"/>
      <c r="AH577" s="321"/>
      <c r="AI577" s="321"/>
      <c r="AJ577" s="321"/>
      <c r="AK577" s="321"/>
    </row>
    <row r="578" spans="2:37" ht="15.75" thickBot="1" x14ac:dyDescent="0.3">
      <c r="B578" s="783"/>
      <c r="C578" s="783"/>
      <c r="D578" s="783"/>
      <c r="E578" s="783"/>
      <c r="F578" s="202"/>
      <c r="G578" s="806"/>
      <c r="H578" s="202"/>
      <c r="I578" s="806"/>
      <c r="J578" s="202"/>
      <c r="K578" s="806"/>
      <c r="L578" s="783"/>
      <c r="N578" s="751"/>
      <c r="O578" s="619"/>
      <c r="P578" s="611"/>
      <c r="T578" s="321"/>
      <c r="U578" s="321"/>
      <c r="V578" s="321"/>
      <c r="W578" s="321"/>
      <c r="Y578" s="321"/>
      <c r="AD578" s="321"/>
      <c r="AE578" s="321"/>
      <c r="AF578" s="321"/>
      <c r="AG578" s="321"/>
      <c r="AH578" s="321"/>
      <c r="AI578" s="321"/>
      <c r="AJ578" s="321"/>
      <c r="AK578" s="321"/>
    </row>
    <row r="579" spans="2:37" ht="15" x14ac:dyDescent="0.25">
      <c r="B579" s="829" t="str">
        <f>$B$4</f>
        <v>2025 RATE CASE</v>
      </c>
      <c r="C579" s="835"/>
      <c r="D579" s="836"/>
      <c r="E579" s="783"/>
      <c r="F579" s="267"/>
      <c r="H579" s="267"/>
      <c r="J579" s="267"/>
      <c r="K579"/>
      <c r="L579" s="783"/>
      <c r="N579" s="751"/>
      <c r="O579" s="611"/>
      <c r="P579" s="611"/>
      <c r="T579" s="321"/>
      <c r="U579" s="321"/>
      <c r="V579" s="321"/>
      <c r="W579" s="321"/>
      <c r="Y579" s="321"/>
      <c r="AD579" s="321"/>
      <c r="AE579" s="321"/>
      <c r="AF579" s="321"/>
      <c r="AG579" s="321"/>
      <c r="AH579" s="321"/>
      <c r="AI579" s="321"/>
      <c r="AJ579" s="321"/>
      <c r="AK579" s="321"/>
    </row>
    <row r="580" spans="2:37" ht="15" x14ac:dyDescent="0.25">
      <c r="B580" s="826" t="str">
        <f>$B$5</f>
        <v>ONCOR ELECTRIC DELIVERY COMPANY LLC</v>
      </c>
      <c r="C580" s="304"/>
      <c r="D580" s="837"/>
      <c r="E580" s="783"/>
      <c r="F580" s="267"/>
      <c r="H580" s="267"/>
      <c r="J580" s="267"/>
      <c r="K580"/>
      <c r="L580" s="783"/>
      <c r="N580" s="751"/>
      <c r="O580" s="619"/>
      <c r="P580" s="611"/>
      <c r="T580" s="321"/>
      <c r="U580" s="321"/>
      <c r="V580" s="321"/>
      <c r="W580" s="321"/>
      <c r="X580" s="321"/>
      <c r="Y580" s="321"/>
      <c r="AD580" s="321"/>
      <c r="AE580" s="321"/>
      <c r="AF580" s="321"/>
      <c r="AG580" s="321"/>
      <c r="AH580" s="321"/>
      <c r="AI580" s="321"/>
      <c r="AJ580" s="321"/>
      <c r="AK580" s="321"/>
    </row>
    <row r="581" spans="2:37" ht="15" x14ac:dyDescent="0.25">
      <c r="B581" s="341" t="str">
        <f>$B$6</f>
        <v>II-I-2.1f:  CONSOLIDATED FUNCTIONALIZED COST OF SERVICE</v>
      </c>
      <c r="C581" s="304"/>
      <c r="D581" s="837"/>
      <c r="E581" s="783"/>
      <c r="F581" s="267"/>
      <c r="H581" s="267"/>
      <c r="J581" s="267"/>
      <c r="K581"/>
      <c r="L581" s="783"/>
      <c r="N581" s="751"/>
      <c r="O581" s="611"/>
      <c r="P581" s="611"/>
      <c r="T581" s="321"/>
      <c r="U581" s="321"/>
      <c r="V581" s="321"/>
      <c r="W581" s="321"/>
      <c r="X581" s="321"/>
      <c r="Y581" s="321"/>
      <c r="AD581" s="321"/>
      <c r="AE581" s="321"/>
      <c r="AF581" s="321"/>
      <c r="AG581" s="321"/>
      <c r="AH581" s="321"/>
      <c r="AI581" s="321"/>
      <c r="AJ581" s="321"/>
      <c r="AK581" s="321"/>
    </row>
    <row r="582" spans="2:37" ht="15" x14ac:dyDescent="0.25">
      <c r="B582" s="341" t="str">
        <f>$B$7</f>
        <v>TEST YEAR ENDING 12/31/2024</v>
      </c>
      <c r="C582" s="304"/>
      <c r="D582" s="837"/>
      <c r="E582" s="304"/>
      <c r="F582" s="267"/>
      <c r="H582" s="267"/>
      <c r="J582" s="267"/>
      <c r="K582"/>
      <c r="L582" s="304"/>
      <c r="N582" s="751"/>
      <c r="O582" s="611"/>
      <c r="P582" s="611"/>
      <c r="T582" s="321"/>
      <c r="U582" s="321"/>
      <c r="V582" s="321"/>
      <c r="W582" s="321"/>
      <c r="X582" s="321"/>
      <c r="Y582" s="321"/>
      <c r="AD582" s="321"/>
      <c r="AE582" s="321"/>
      <c r="AF582" s="321"/>
      <c r="AG582" s="321"/>
      <c r="AH582" s="321"/>
      <c r="AI582" s="321"/>
      <c r="AJ582" s="321"/>
      <c r="AK582" s="321"/>
    </row>
    <row r="583" spans="2:37" ht="15" x14ac:dyDescent="0.25">
      <c r="B583" s="341" t="str">
        <f>$B$8</f>
        <v>SPONSOR:  MATTHEW A. TROXLE</v>
      </c>
      <c r="C583" s="304"/>
      <c r="D583" s="837"/>
      <c r="E583" s="304"/>
      <c r="F583" s="267"/>
      <c r="H583" s="267"/>
      <c r="J583" s="267"/>
      <c r="K583"/>
      <c r="L583" s="304"/>
      <c r="N583" s="751"/>
      <c r="O583" s="611"/>
      <c r="P583" s="611"/>
      <c r="T583" s="321"/>
      <c r="U583" s="321"/>
      <c r="V583" s="321"/>
      <c r="W583" s="321"/>
      <c r="X583" s="321"/>
      <c r="AD583" s="321"/>
      <c r="AE583" s="321"/>
      <c r="AF583" s="321"/>
      <c r="AG583" s="321"/>
      <c r="AH583" s="321"/>
      <c r="AI583" s="321"/>
      <c r="AJ583" s="321"/>
      <c r="AK583" s="321"/>
    </row>
    <row r="584" spans="2:37" ht="15.75" thickBot="1" x14ac:dyDescent="0.3">
      <c r="B584" s="345"/>
      <c r="C584" s="840"/>
      <c r="D584" s="841"/>
      <c r="E584" s="304"/>
      <c r="F584" s="267"/>
      <c r="H584" s="267"/>
      <c r="J584" s="267"/>
      <c r="K584"/>
      <c r="L584" s="304"/>
      <c r="N584" s="751"/>
      <c r="O584" s="611"/>
      <c r="P584" s="611"/>
      <c r="T584" s="321"/>
      <c r="U584" s="321"/>
      <c r="V584" s="321"/>
      <c r="W584" s="321"/>
      <c r="X584" s="321"/>
      <c r="AD584" s="321"/>
      <c r="AE584" s="321"/>
      <c r="AF584" s="321"/>
      <c r="AG584" s="321"/>
      <c r="AH584" s="321"/>
      <c r="AI584" s="321"/>
      <c r="AJ584" s="321"/>
      <c r="AK584" s="321"/>
    </row>
    <row r="585" spans="2:37" x14ac:dyDescent="0.2">
      <c r="B585" s="12"/>
      <c r="C585" s="13"/>
      <c r="D585" s="177"/>
      <c r="E585" s="177"/>
      <c r="F585" s="12"/>
      <c r="G585" s="13"/>
      <c r="H585" s="12"/>
      <c r="I585" s="13"/>
      <c r="J585" s="12"/>
      <c r="K585" s="13"/>
      <c r="L585" s="855"/>
      <c r="M585" s="938"/>
      <c r="N585" s="751"/>
      <c r="O585" s="1003"/>
      <c r="P585" s="1003"/>
      <c r="Q585" s="321"/>
      <c r="T585" s="321"/>
      <c r="U585" s="321"/>
      <c r="V585" s="321"/>
      <c r="W585" s="321"/>
      <c r="X585" s="321"/>
      <c r="AD585" s="321"/>
      <c r="AE585" s="321"/>
      <c r="AF585" s="321"/>
      <c r="AG585" s="321"/>
      <c r="AH585" s="321"/>
      <c r="AI585" s="321"/>
      <c r="AJ585" s="321"/>
      <c r="AK585" s="321"/>
    </row>
    <row r="586" spans="2:37" ht="15" x14ac:dyDescent="0.25">
      <c r="B586" s="14" t="s">
        <v>2</v>
      </c>
      <c r="C586" s="14" t="s">
        <v>349</v>
      </c>
      <c r="D586" s="180" t="s">
        <v>565</v>
      </c>
      <c r="E586" s="181" t="s">
        <v>350</v>
      </c>
      <c r="F586" s="226" t="str">
        <f>'II-I-DIST'!F586</f>
        <v>DIST</v>
      </c>
      <c r="G586" s="181" t="str">
        <f>'II-I-DIST'!H586</f>
        <v>Allocation</v>
      </c>
      <c r="H586" s="226" t="str">
        <f>'II-I-MET'!F586</f>
        <v>MET</v>
      </c>
      <c r="I586" s="181" t="str">
        <f>'II-I-MET'!H586</f>
        <v>Allocation</v>
      </c>
      <c r="J586" s="226" t="str">
        <f>'II-I-TBILLTDCS'!F586</f>
        <v>TBILLTDCS</v>
      </c>
      <c r="K586" s="181" t="str">
        <f>'II-I-TBILLTDCS'!H586</f>
        <v>Allocation</v>
      </c>
      <c r="L586" s="660" t="s">
        <v>434</v>
      </c>
      <c r="M586" s="932" t="s">
        <v>970</v>
      </c>
      <c r="N586" s="751"/>
      <c r="O586" s="1003"/>
      <c r="P586" s="1003"/>
      <c r="Q586" s="321"/>
      <c r="T586" s="321"/>
      <c r="U586" s="321"/>
      <c r="V586" s="321"/>
      <c r="W586" s="321"/>
      <c r="X586" s="321"/>
      <c r="AD586" s="321"/>
      <c r="AE586" s="321"/>
      <c r="AF586" s="321"/>
      <c r="AG586" s="321"/>
      <c r="AH586" s="321"/>
      <c r="AI586" s="321"/>
      <c r="AJ586" s="321"/>
      <c r="AK586" s="321"/>
    </row>
    <row r="587" spans="2:37" x14ac:dyDescent="0.2">
      <c r="B587" s="14"/>
      <c r="C587" s="14"/>
      <c r="D587" s="181"/>
      <c r="E587" s="181"/>
      <c r="F587" s="14"/>
      <c r="G587" s="181" t="str">
        <f>'II-I-DIST'!H587</f>
        <v>Factor</v>
      </c>
      <c r="H587" s="14"/>
      <c r="I587" s="181" t="str">
        <f>'II-I-MET'!H587</f>
        <v>Factor</v>
      </c>
      <c r="J587" s="14"/>
      <c r="K587" s="181" t="str">
        <f>'II-I-TBILLTDCS'!H587</f>
        <v>Factor</v>
      </c>
      <c r="L587" s="660" t="s">
        <v>31</v>
      </c>
      <c r="M587" s="939"/>
      <c r="N587" s="751"/>
      <c r="O587" s="998"/>
      <c r="P587" s="998"/>
      <c r="Q587" s="321"/>
      <c r="X587" s="321"/>
      <c r="AD587" s="321"/>
      <c r="AE587" s="321"/>
      <c r="AF587" s="321"/>
      <c r="AG587" s="321"/>
      <c r="AH587" s="321"/>
      <c r="AI587" s="321"/>
      <c r="AJ587" s="321"/>
      <c r="AK587" s="321"/>
    </row>
    <row r="588" spans="2:37" ht="15.75" thickBot="1" x14ac:dyDescent="0.25">
      <c r="B588" s="182"/>
      <c r="C588" s="860"/>
      <c r="D588" s="184"/>
      <c r="E588" s="184"/>
      <c r="F588" s="15" t="str">
        <f>'II-I-DIST'!F588</f>
        <v>(a)</v>
      </c>
      <c r="G588" s="15" t="str">
        <f>'II-I-DIST'!H588</f>
        <v>(c)</v>
      </c>
      <c r="H588" s="664" t="str">
        <f>'II-I-MET'!F588</f>
        <v>(a)</v>
      </c>
      <c r="I588" s="15" t="str">
        <f>'II-I-MET'!H588</f>
        <v>(c)</v>
      </c>
      <c r="J588" s="664" t="str">
        <f>'II-I-TBILLTDCS'!F588</f>
        <v>(a)</v>
      </c>
      <c r="K588" s="15" t="str">
        <f>'II-I-TBILLTDCS'!H588</f>
        <v>(c)</v>
      </c>
      <c r="L588" s="664" t="s">
        <v>19</v>
      </c>
      <c r="M588" s="934" t="s">
        <v>20</v>
      </c>
      <c r="N588" s="751"/>
      <c r="O588" s="998"/>
      <c r="P588" s="998"/>
      <c r="Q588" s="321"/>
      <c r="X588" s="321"/>
      <c r="Y588" s="321"/>
      <c r="AD588" s="321"/>
      <c r="AE588" s="321"/>
      <c r="AF588" s="321"/>
      <c r="AG588" s="321"/>
      <c r="AH588" s="321"/>
      <c r="AI588" s="321"/>
      <c r="AJ588" s="321"/>
      <c r="AK588" s="321"/>
    </row>
    <row r="589" spans="2:37" x14ac:dyDescent="0.2">
      <c r="B589" s="64"/>
      <c r="C589" s="41"/>
      <c r="D589" s="41"/>
      <c r="E589" s="268"/>
      <c r="F589" s="268"/>
      <c r="G589" s="268"/>
      <c r="H589" s="268"/>
      <c r="I589" s="268"/>
      <c r="J589" s="268"/>
      <c r="K589" s="268"/>
      <c r="L589" s="611"/>
      <c r="N589" s="751">
        <f>'WP II-I-1.1'!$J163-' WP II-I-1.4'!L544-' WP II-I-1.4'!F544</f>
        <v>0</v>
      </c>
      <c r="O589" s="998"/>
      <c r="P589" s="998"/>
      <c r="Q589" s="321"/>
      <c r="X589" s="321"/>
      <c r="Y589" s="321"/>
      <c r="AD589" s="321"/>
      <c r="AE589" s="321"/>
      <c r="AF589" s="321"/>
      <c r="AG589" s="321"/>
      <c r="AH589" s="321"/>
      <c r="AI589" s="321"/>
      <c r="AJ589" s="321"/>
      <c r="AK589" s="321"/>
    </row>
    <row r="590" spans="2:37" ht="15" x14ac:dyDescent="0.25">
      <c r="B590" s="16">
        <f>B576+1</f>
        <v>1</v>
      </c>
      <c r="C590" s="34" t="s">
        <v>132</v>
      </c>
      <c r="D590" s="41"/>
      <c r="E590" s="293"/>
      <c r="F590" s="281"/>
      <c r="G590" s="293"/>
      <c r="H590" s="281"/>
      <c r="I590" s="293"/>
      <c r="J590" s="281"/>
      <c r="K590" s="293"/>
      <c r="L590" s="819"/>
      <c r="M590" s="937"/>
      <c r="N590" s="751">
        <f>'WP II-I-1.1'!$J164-' WP II-I-1.4'!L545-' WP II-I-1.4'!F545</f>
        <v>0</v>
      </c>
      <c r="O590" s="998"/>
      <c r="P590" s="998"/>
      <c r="Q590" s="321"/>
      <c r="Y590" s="321"/>
      <c r="AD590" s="321"/>
      <c r="AE590" s="321"/>
      <c r="AF590" s="321"/>
      <c r="AG590" s="321"/>
      <c r="AH590" s="321"/>
      <c r="AI590" s="321"/>
      <c r="AJ590" s="321"/>
      <c r="AK590" s="321"/>
    </row>
    <row r="591" spans="2:37" s="321" customFormat="1" ht="28.5" x14ac:dyDescent="0.2">
      <c r="B591" s="16">
        <f t="shared" ref="B591:B622" si="29">B590+1</f>
        <v>2</v>
      </c>
      <c r="C591" s="41">
        <v>182</v>
      </c>
      <c r="D591" s="41" t="s">
        <v>133</v>
      </c>
      <c r="E591" s="293"/>
      <c r="F591" s="97">
        <f>'II-I-DIST'!F591</f>
        <v>0</v>
      </c>
      <c r="G591" s="45" t="str">
        <f>'II-I-DIST'!H591</f>
        <v>PLANT</v>
      </c>
      <c r="H591" s="97">
        <f>'II-I-MET'!F591</f>
        <v>0</v>
      </c>
      <c r="I591" s="45" t="str">
        <f>'II-I-MET'!H591</f>
        <v>PLANT</v>
      </c>
      <c r="J591" s="98">
        <f>'II-I-TBILLTDCS'!F591</f>
        <v>0</v>
      </c>
      <c r="K591" s="45" t="str">
        <f>'II-I-TBILLTDCS'!H591</f>
        <v>PLANT</v>
      </c>
      <c r="L591" s="802">
        <f t="shared" si="26"/>
        <v>0</v>
      </c>
      <c r="M591" s="937" t="s">
        <v>989</v>
      </c>
      <c r="R591"/>
      <c r="S591"/>
      <c r="T591"/>
      <c r="U591"/>
      <c r="V591"/>
      <c r="W591"/>
      <c r="X591"/>
      <c r="Z591"/>
      <c r="AA591"/>
      <c r="AB591"/>
      <c r="AC591"/>
    </row>
    <row r="592" spans="2:37" s="321" customFormat="1" x14ac:dyDescent="0.2">
      <c r="B592" s="16">
        <f t="shared" si="29"/>
        <v>3</v>
      </c>
      <c r="C592" s="41">
        <v>182</v>
      </c>
      <c r="D592" s="41" t="s">
        <v>134</v>
      </c>
      <c r="E592" s="293"/>
      <c r="F592" s="97">
        <f>'II-I-DIST'!F592</f>
        <v>0</v>
      </c>
      <c r="G592" s="45" t="str">
        <f>'II-I-DIST'!H592</f>
        <v>PLANT</v>
      </c>
      <c r="H592" s="97">
        <f>'II-I-MET'!F592</f>
        <v>0</v>
      </c>
      <c r="I592" s="45" t="str">
        <f>'II-I-MET'!H592</f>
        <v>PLANT</v>
      </c>
      <c r="J592" s="98">
        <f>'II-I-TBILLTDCS'!F592</f>
        <v>0</v>
      </c>
      <c r="K592" s="45" t="str">
        <f>'II-I-TBILLTDCS'!H592</f>
        <v>PLANT</v>
      </c>
      <c r="L592" s="802">
        <f t="shared" si="26"/>
        <v>0</v>
      </c>
      <c r="M592" s="937"/>
      <c r="R592"/>
      <c r="S592"/>
      <c r="T592"/>
      <c r="U592"/>
      <c r="V592"/>
      <c r="W592"/>
      <c r="X592"/>
      <c r="Z592"/>
      <c r="AA592"/>
      <c r="AB592"/>
      <c r="AC592"/>
    </row>
    <row r="593" spans="2:29" s="321" customFormat="1" ht="28.5" x14ac:dyDescent="0.2">
      <c r="B593" s="16">
        <f t="shared" si="29"/>
        <v>4</v>
      </c>
      <c r="C593" s="41">
        <v>182</v>
      </c>
      <c r="D593" s="41" t="s">
        <v>135</v>
      </c>
      <c r="E593" s="293"/>
      <c r="F593" s="97">
        <f>'II-I-DIST'!F593</f>
        <v>0</v>
      </c>
      <c r="G593" s="45" t="str">
        <f>'II-I-DIST'!H593</f>
        <v>OPEB TOTAL</v>
      </c>
      <c r="H593" s="97">
        <f>'II-I-MET'!F593</f>
        <v>0</v>
      </c>
      <c r="I593" s="45" t="str">
        <f>'II-I-MET'!H593</f>
        <v>OPEB TOTAL</v>
      </c>
      <c r="J593" s="98">
        <f>'II-I-TBILLTDCS'!F593</f>
        <v>0</v>
      </c>
      <c r="K593" s="45" t="str">
        <f>'II-I-TBILLTDCS'!H593</f>
        <v>OPEB TOTAL</v>
      </c>
      <c r="L593" s="802">
        <f t="shared" si="26"/>
        <v>0</v>
      </c>
      <c r="M593" s="937" t="s">
        <v>990</v>
      </c>
      <c r="R593"/>
      <c r="S593"/>
      <c r="T593"/>
      <c r="U593"/>
      <c r="V593"/>
      <c r="W593"/>
      <c r="X593"/>
      <c r="Z593"/>
      <c r="AA593"/>
      <c r="AB593"/>
      <c r="AC593"/>
    </row>
    <row r="594" spans="2:29" s="321" customFormat="1" x14ac:dyDescent="0.2">
      <c r="B594" s="16">
        <f t="shared" si="29"/>
        <v>5</v>
      </c>
      <c r="C594" s="41">
        <v>182</v>
      </c>
      <c r="D594" s="41" t="s">
        <v>136</v>
      </c>
      <c r="E594" s="293"/>
      <c r="F594" s="97">
        <f>'II-I-DIST'!F594</f>
        <v>0</v>
      </c>
      <c r="G594" s="45" t="str">
        <f>'II-I-DIST'!H594</f>
        <v>PLANT</v>
      </c>
      <c r="H594" s="97">
        <f>'II-I-MET'!F594</f>
        <v>0</v>
      </c>
      <c r="I594" s="45" t="str">
        <f>'II-I-MET'!H594</f>
        <v>PLANT</v>
      </c>
      <c r="J594" s="98">
        <f>'II-I-TBILLTDCS'!F594</f>
        <v>0</v>
      </c>
      <c r="K594" s="45" t="str">
        <f>'II-I-TBILLTDCS'!H594</f>
        <v>PLANT</v>
      </c>
      <c r="L594" s="802">
        <f t="shared" si="26"/>
        <v>0</v>
      </c>
      <c r="M594" s="941"/>
      <c r="N594" s="1" t="b">
        <f>'II-I-DIST'!$C$594=C594</f>
        <v>1</v>
      </c>
      <c r="R594"/>
      <c r="S594"/>
      <c r="T594"/>
      <c r="U594"/>
      <c r="V594"/>
      <c r="W594"/>
      <c r="X594"/>
      <c r="Z594"/>
      <c r="AA594"/>
      <c r="AB594"/>
      <c r="AC594"/>
    </row>
    <row r="595" spans="2:29" x14ac:dyDescent="0.2">
      <c r="B595" s="16">
        <f t="shared" si="29"/>
        <v>6</v>
      </c>
      <c r="C595" s="41">
        <v>182</v>
      </c>
      <c r="D595" s="41" t="s">
        <v>1209</v>
      </c>
      <c r="E595" s="293"/>
      <c r="F595" s="97">
        <f>'II-I-DIST'!F595</f>
        <v>26451686</v>
      </c>
      <c r="G595" s="45" t="str">
        <f>'II-I-DIST'!H595</f>
        <v>PLANT</v>
      </c>
      <c r="H595" s="97">
        <f>'II-I-MET'!F595</f>
        <v>7599446.8099999996</v>
      </c>
      <c r="I595" s="45" t="str">
        <f>'II-I-MET'!H595</f>
        <v>PLANT</v>
      </c>
      <c r="J595" s="98">
        <f>'II-I-TBILLTDCS'!F595</f>
        <v>2671995.9100000011</v>
      </c>
      <c r="K595" s="45" t="str">
        <f>'II-I-TBILLTDCS'!H595</f>
        <v>PLANT</v>
      </c>
      <c r="L595" s="802">
        <f t="shared" si="26"/>
        <v>36723128.720000006</v>
      </c>
      <c r="M595" s="937"/>
      <c r="N595" s="1" t="b">
        <f>'II-I-DIST'!$D$595=D595</f>
        <v>1</v>
      </c>
      <c r="Y595" s="321"/>
    </row>
    <row r="596" spans="2:29" x14ac:dyDescent="0.2">
      <c r="B596" s="16">
        <f t="shared" si="29"/>
        <v>7</v>
      </c>
      <c r="C596" s="41">
        <v>182</v>
      </c>
      <c r="D596" s="611" t="s">
        <v>1355</v>
      </c>
      <c r="E596" s="293"/>
      <c r="F596" s="97">
        <f>'II-I-DIST'!F596</f>
        <v>0</v>
      </c>
      <c r="G596" s="45" t="str">
        <f>'II-I-DIST'!H596</f>
        <v>PLANT</v>
      </c>
      <c r="H596" s="97">
        <f>'II-I-MET'!F596</f>
        <v>0</v>
      </c>
      <c r="I596" s="45" t="str">
        <f>'II-I-MET'!H596</f>
        <v>PLANT</v>
      </c>
      <c r="J596" s="98">
        <f>'II-I-TBILLTDCS'!F596</f>
        <v>0</v>
      </c>
      <c r="K596" s="45" t="str">
        <f>'II-I-TBILLTDCS'!H596</f>
        <v>PLANT</v>
      </c>
      <c r="L596" s="802">
        <f t="shared" si="26"/>
        <v>0</v>
      </c>
      <c r="M596" s="937"/>
      <c r="Y596" s="321"/>
    </row>
    <row r="597" spans="2:29" ht="15" x14ac:dyDescent="0.25">
      <c r="B597" s="16">
        <f t="shared" si="29"/>
        <v>8</v>
      </c>
      <c r="C597" s="33"/>
      <c r="D597" s="42" t="s">
        <v>566</v>
      </c>
      <c r="E597" s="806"/>
      <c r="F597" s="804">
        <f>'II-I-DIST'!F597</f>
        <v>26451686</v>
      </c>
      <c r="G597" s="806">
        <f>'II-I-DIST'!H597</f>
        <v>0</v>
      </c>
      <c r="H597" s="804">
        <f>'II-I-MET'!F597</f>
        <v>7599446.8099999996</v>
      </c>
      <c r="I597" s="806">
        <f>'II-I-MET'!H597</f>
        <v>0</v>
      </c>
      <c r="J597" s="804">
        <f>'II-I-TBILLTDCS'!F597</f>
        <v>2671995.9100000011</v>
      </c>
      <c r="K597" s="806">
        <f>'II-I-TBILLTDCS'!H597</f>
        <v>0</v>
      </c>
      <c r="L597" s="804"/>
      <c r="M597" s="937"/>
      <c r="Y597" s="321"/>
    </row>
    <row r="598" spans="2:29" ht="15" x14ac:dyDescent="0.25">
      <c r="B598" s="16">
        <f t="shared" si="29"/>
        <v>9</v>
      </c>
      <c r="C598" s="33"/>
      <c r="D598" s="42"/>
      <c r="E598" s="806"/>
      <c r="F598" s="804">
        <f>'II-I-DIST'!F598</f>
        <v>0</v>
      </c>
      <c r="G598" s="806">
        <f>'II-I-DIST'!H598</f>
        <v>0</v>
      </c>
      <c r="H598" s="804">
        <f>'II-I-MET'!F598</f>
        <v>0</v>
      </c>
      <c r="I598" s="806">
        <f>'II-I-MET'!H598</f>
        <v>0</v>
      </c>
      <c r="J598" s="804">
        <f>'II-I-TBILLTDCS'!F598</f>
        <v>0</v>
      </c>
      <c r="K598" s="806">
        <f>'II-I-TBILLTDCS'!H598</f>
        <v>0</v>
      </c>
      <c r="L598" s="804"/>
      <c r="M598" s="937"/>
    </row>
    <row r="599" spans="2:29" ht="15" x14ac:dyDescent="0.25">
      <c r="B599" s="16">
        <f t="shared" si="29"/>
        <v>10</v>
      </c>
      <c r="C599" s="34" t="s">
        <v>137</v>
      </c>
      <c r="D599" s="41"/>
      <c r="E599" s="293"/>
      <c r="F599" s="202">
        <f>'II-I-DIST'!F599</f>
        <v>0</v>
      </c>
      <c r="G599" s="293">
        <f>'II-I-DIST'!H599</f>
        <v>0</v>
      </c>
      <c r="H599" s="202">
        <f>'II-I-MET'!F599</f>
        <v>0</v>
      </c>
      <c r="I599" s="293">
        <f>'II-I-MET'!H599</f>
        <v>0</v>
      </c>
      <c r="J599" s="202">
        <f>'II-I-TBILLTDCS'!F599</f>
        <v>0</v>
      </c>
      <c r="K599" s="293">
        <f>'II-I-TBILLTDCS'!H599</f>
        <v>0</v>
      </c>
      <c r="L599" s="813"/>
      <c r="M599" s="937"/>
    </row>
    <row r="600" spans="2:29" s="321" customFormat="1" x14ac:dyDescent="0.2">
      <c r="B600" s="16">
        <f t="shared" si="29"/>
        <v>11</v>
      </c>
      <c r="C600" s="41">
        <v>254</v>
      </c>
      <c r="D600" s="41" t="s">
        <v>138</v>
      </c>
      <c r="E600" s="293"/>
      <c r="F600" s="97">
        <f>'II-I-DIST'!F600</f>
        <v>0</v>
      </c>
      <c r="G600" s="45" t="str">
        <f>'II-I-DIST'!H600</f>
        <v>PLANT</v>
      </c>
      <c r="H600" s="97">
        <f>'II-I-MET'!F600</f>
        <v>0</v>
      </c>
      <c r="I600" s="45" t="str">
        <f>'II-I-MET'!H600</f>
        <v>PLANT</v>
      </c>
      <c r="J600" s="98">
        <f>'II-I-TBILLTDCS'!F600</f>
        <v>0</v>
      </c>
      <c r="K600" s="45" t="str">
        <f>'II-I-TBILLTDCS'!H600</f>
        <v>PLANT</v>
      </c>
      <c r="L600" s="802">
        <f t="shared" si="26"/>
        <v>0</v>
      </c>
      <c r="M600" s="942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21" customFormat="1" x14ac:dyDescent="0.2">
      <c r="B601" s="16">
        <f t="shared" si="29"/>
        <v>12</v>
      </c>
      <c r="C601" s="41">
        <v>254</v>
      </c>
      <c r="D601" s="41" t="s">
        <v>1211</v>
      </c>
      <c r="E601" s="293"/>
      <c r="F601" s="97">
        <f>'II-I-DIST'!F601</f>
        <v>-31722510.170000002</v>
      </c>
      <c r="G601" s="45" t="str">
        <f>'II-I-DIST'!H601</f>
        <v>PLANT</v>
      </c>
      <c r="H601" s="97">
        <f>'II-I-MET'!F601</f>
        <v>-12140445.57</v>
      </c>
      <c r="I601" s="45" t="str">
        <f>'II-I-MET'!H601</f>
        <v>PLANT</v>
      </c>
      <c r="J601" s="98">
        <f>'II-I-TBILLTDCS'!F601</f>
        <v>-911807.07</v>
      </c>
      <c r="K601" s="45" t="str">
        <f>'II-I-TBILLTDCS'!H601</f>
        <v>PLANT</v>
      </c>
      <c r="L601" s="802">
        <f t="shared" si="26"/>
        <v>-44774762.810000002</v>
      </c>
      <c r="M601" s="942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21" customFormat="1" x14ac:dyDescent="0.2">
      <c r="B602" s="16">
        <f t="shared" si="29"/>
        <v>13</v>
      </c>
      <c r="C602" s="41">
        <v>254</v>
      </c>
      <c r="D602" s="611" t="s">
        <v>1356</v>
      </c>
      <c r="E602" s="293"/>
      <c r="F602" s="97">
        <f>'II-I-DIST'!F602</f>
        <v>0</v>
      </c>
      <c r="G602" s="45" t="str">
        <f>'II-I-DIST'!H602</f>
        <v>PLANT</v>
      </c>
      <c r="H602" s="97">
        <f>'II-I-MET'!F602</f>
        <v>0</v>
      </c>
      <c r="I602" s="45" t="str">
        <f>'II-I-MET'!H602</f>
        <v>PLANT</v>
      </c>
      <c r="J602" s="98">
        <f>'II-I-TBILLTDCS'!F602</f>
        <v>0</v>
      </c>
      <c r="K602" s="45" t="str">
        <f>'II-I-TBILLTDCS'!H602</f>
        <v>PLANT</v>
      </c>
      <c r="L602" s="802">
        <f t="shared" si="26"/>
        <v>0</v>
      </c>
      <c r="M602" s="942"/>
      <c r="N602" s="1" t="b">
        <f>'II-I-DIST'!$C$602=C602</f>
        <v>1</v>
      </c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21" customFormat="1" x14ac:dyDescent="0.2">
      <c r="B603" s="16">
        <f t="shared" si="29"/>
        <v>14</v>
      </c>
      <c r="C603" s="41">
        <v>254</v>
      </c>
      <c r="D603" s="41" t="s">
        <v>1123</v>
      </c>
      <c r="E603" s="293"/>
      <c r="F603" s="97">
        <f>'II-I-DIST'!F603</f>
        <v>-525569091.14000005</v>
      </c>
      <c r="G603" s="45" t="str">
        <f>'II-I-DIST'!H603</f>
        <v>PLANT</v>
      </c>
      <c r="H603" s="97">
        <f>'II-I-MET'!F603</f>
        <v>-15752308.300000001</v>
      </c>
      <c r="I603" s="45" t="str">
        <f>'II-I-MET'!H603</f>
        <v>PLANT</v>
      </c>
      <c r="J603" s="98">
        <f>'II-I-TBILLTDCS'!F603</f>
        <v>-10413455.779999999</v>
      </c>
      <c r="K603" s="45" t="str">
        <f>'II-I-TBILLTDCS'!H603</f>
        <v>PLANT</v>
      </c>
      <c r="L603" s="802">
        <f t="shared" si="26"/>
        <v>-551734855.22000003</v>
      </c>
      <c r="M603" s="942"/>
      <c r="N603" s="1" t="b">
        <f>'II-I-DIST'!$D$603=D603</f>
        <v>1</v>
      </c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21" customFormat="1" x14ac:dyDescent="0.2">
      <c r="B604" s="16">
        <f t="shared" si="29"/>
        <v>15</v>
      </c>
      <c r="C604" s="41">
        <v>254</v>
      </c>
      <c r="D604" s="611" t="s">
        <v>1334</v>
      </c>
      <c r="E604" s="293"/>
      <c r="F604" s="97">
        <f>'II-I-DIST'!F604</f>
        <v>0</v>
      </c>
      <c r="G604" s="45" t="str">
        <f>'II-I-DIST'!H604</f>
        <v>PLANT</v>
      </c>
      <c r="H604" s="97">
        <f>'II-I-MET'!F604</f>
        <v>0</v>
      </c>
      <c r="I604" s="45" t="str">
        <f>'II-I-MET'!H604</f>
        <v>PLANT</v>
      </c>
      <c r="J604" s="98">
        <f>'II-I-TBILLTDCS'!F604</f>
        <v>0</v>
      </c>
      <c r="K604" s="45" t="str">
        <f>'II-I-TBILLTDCS'!H604</f>
        <v>PLANT</v>
      </c>
      <c r="L604" s="802">
        <f t="shared" si="26"/>
        <v>0</v>
      </c>
      <c r="M604" s="942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21" customFormat="1" x14ac:dyDescent="0.2">
      <c r="B605" s="16">
        <f t="shared" si="29"/>
        <v>16</v>
      </c>
      <c r="C605" s="41">
        <v>254</v>
      </c>
      <c r="D605" s="41" t="s">
        <v>1125</v>
      </c>
      <c r="E605" s="293"/>
      <c r="F605" s="97">
        <f>'II-I-DIST'!F605</f>
        <v>28226615.820000011</v>
      </c>
      <c r="G605" s="45" t="str">
        <f>'II-I-DIST'!H605</f>
        <v>PLANT</v>
      </c>
      <c r="H605" s="97">
        <f>'II-I-MET'!F605</f>
        <v>680974.82</v>
      </c>
      <c r="I605" s="45" t="str">
        <f>'II-I-MET'!H605</f>
        <v>PLANT</v>
      </c>
      <c r="J605" s="98">
        <f>'II-I-TBILLTDCS'!F605</f>
        <v>183687.79000000004</v>
      </c>
      <c r="K605" s="45" t="str">
        <f>'II-I-TBILLTDCS'!H605</f>
        <v>PLANT</v>
      </c>
      <c r="L605" s="802">
        <f t="shared" si="26"/>
        <v>29091278.430000011</v>
      </c>
      <c r="M605" s="942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21" customFormat="1" x14ac:dyDescent="0.2">
      <c r="B606" s="16">
        <f t="shared" si="29"/>
        <v>17</v>
      </c>
      <c r="C606" s="41">
        <v>254</v>
      </c>
      <c r="D606" s="41" t="s">
        <v>1126</v>
      </c>
      <c r="E606" s="293"/>
      <c r="F606" s="97">
        <f>'II-I-DIST'!F606</f>
        <v>12959024.599999996</v>
      </c>
      <c r="G606" s="45" t="str">
        <f>'II-I-DIST'!H606</f>
        <v>PLANT</v>
      </c>
      <c r="H606" s="97">
        <f>'II-I-MET'!F606</f>
        <v>388406.78</v>
      </c>
      <c r="I606" s="45" t="str">
        <f>'II-I-MET'!H606</f>
        <v>PLANT</v>
      </c>
      <c r="J606" s="98">
        <f>'II-I-TBILLTDCS'!F606</f>
        <v>256765.98</v>
      </c>
      <c r="K606" s="45" t="str">
        <f>'II-I-TBILLTDCS'!H606</f>
        <v>PLANT</v>
      </c>
      <c r="L606" s="802">
        <f t="shared" si="26"/>
        <v>13604197.359999996</v>
      </c>
      <c r="M606" s="942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21" customFormat="1" x14ac:dyDescent="0.2">
      <c r="B607" s="16">
        <f t="shared" si="29"/>
        <v>18</v>
      </c>
      <c r="C607" s="41">
        <v>254</v>
      </c>
      <c r="D607" s="41" t="s">
        <v>1127</v>
      </c>
      <c r="E607" s="293"/>
      <c r="F607" s="97">
        <f>'II-I-DIST'!F607</f>
        <v>0</v>
      </c>
      <c r="G607" s="45" t="str">
        <f>'II-I-DIST'!H607</f>
        <v>PLANT</v>
      </c>
      <c r="H607" s="97">
        <f>'II-I-MET'!F607</f>
        <v>0</v>
      </c>
      <c r="I607" s="45" t="str">
        <f>'II-I-MET'!H607</f>
        <v>PLANT</v>
      </c>
      <c r="J607" s="98">
        <f>'II-I-TBILLTDCS'!F607</f>
        <v>0</v>
      </c>
      <c r="K607" s="45" t="str">
        <f>'II-I-TBILLTDCS'!H607</f>
        <v>PLANT</v>
      </c>
      <c r="L607" s="802">
        <f t="shared" si="26"/>
        <v>0</v>
      </c>
      <c r="M607" s="942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21" customFormat="1" ht="28.5" x14ac:dyDescent="0.2">
      <c r="B608" s="16">
        <f t="shared" si="29"/>
        <v>19</v>
      </c>
      <c r="C608" s="41">
        <v>254</v>
      </c>
      <c r="D608" t="s">
        <v>1213</v>
      </c>
      <c r="E608" s="293"/>
      <c r="F608" s="97">
        <f>'II-I-DIST'!F608</f>
        <v>0</v>
      </c>
      <c r="G608" s="45" t="str">
        <f>'II-I-DIST'!H608</f>
        <v>OPEB TOTAL</v>
      </c>
      <c r="H608" s="97">
        <f>'II-I-MET'!F608</f>
        <v>0</v>
      </c>
      <c r="I608" s="45" t="str">
        <f>'II-I-MET'!H608</f>
        <v>OPEB TOTAL</v>
      </c>
      <c r="J608" s="98">
        <f>'II-I-TBILLTDCS'!F608</f>
        <v>0</v>
      </c>
      <c r="K608" s="45" t="str">
        <f>'II-I-TBILLTDCS'!H608</f>
        <v>OPEB TOTAL</v>
      </c>
      <c r="L608" s="802">
        <f t="shared" si="26"/>
        <v>0</v>
      </c>
      <c r="M608" s="937" t="s">
        <v>989</v>
      </c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21" customFormat="1" x14ac:dyDescent="0.2">
      <c r="B609" s="16">
        <f t="shared" si="29"/>
        <v>20</v>
      </c>
      <c r="C609" s="41">
        <v>254</v>
      </c>
      <c r="D609" s="41" t="s">
        <v>139</v>
      </c>
      <c r="E609" s="293"/>
      <c r="F609" s="97">
        <f>'II-I-DIST'!F609</f>
        <v>0</v>
      </c>
      <c r="G609" s="45" t="str">
        <f>'II-I-DIST'!H609</f>
        <v>OPEB TOTAL</v>
      </c>
      <c r="H609" s="97">
        <f>'II-I-MET'!F609</f>
        <v>0</v>
      </c>
      <c r="I609" s="45" t="str">
        <f>'II-I-MET'!H609</f>
        <v>OPEB TOTAL</v>
      </c>
      <c r="J609" s="98">
        <f>'II-I-TBILLTDCS'!F609</f>
        <v>0</v>
      </c>
      <c r="K609" s="45" t="str">
        <f>'II-I-TBILLTDCS'!H609</f>
        <v>OPEB TOTAL</v>
      </c>
      <c r="L609" s="802">
        <f t="shared" si="26"/>
        <v>0</v>
      </c>
      <c r="M609" s="937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ht="15" x14ac:dyDescent="0.25">
      <c r="B610" s="16">
        <f t="shared" si="29"/>
        <v>21</v>
      </c>
      <c r="C610" s="33"/>
      <c r="D610" s="42" t="s">
        <v>567</v>
      </c>
      <c r="E610" s="806"/>
      <c r="F610" s="804">
        <f>'II-I-DIST'!F610</f>
        <v>-516105960.89000005</v>
      </c>
      <c r="G610" s="806"/>
      <c r="H610" s="804">
        <f>'II-I-MET'!F610</f>
        <v>-26823372.27</v>
      </c>
      <c r="I610" s="806"/>
      <c r="J610" s="804">
        <f>'II-I-TBILLTDCS'!F610</f>
        <v>-10884809.079999998</v>
      </c>
      <c r="K610" s="806"/>
      <c r="L610" s="804">
        <f t="shared" si="26"/>
        <v>-553814142.24000013</v>
      </c>
      <c r="N610" s="305" t="b">
        <f>IF(' WP II-I-1.4'!L610=L610,TRUE)</f>
        <v>1</v>
      </c>
    </row>
    <row r="611" spans="2:29" ht="15.75" thickBot="1" x14ac:dyDescent="0.3">
      <c r="B611" s="16">
        <f t="shared" si="29"/>
        <v>22</v>
      </c>
      <c r="C611" s="33"/>
      <c r="D611" s="41"/>
      <c r="E611" s="293"/>
      <c r="F611" s="281">
        <f>'II-I-DIST'!F611</f>
        <v>0</v>
      </c>
      <c r="G611" s="293"/>
      <c r="H611" s="281">
        <f>'II-I-MET'!F611</f>
        <v>0</v>
      </c>
      <c r="I611" s="293"/>
      <c r="J611" s="281">
        <f>'II-I-TBILLTDCS'!F611</f>
        <v>0</v>
      </c>
      <c r="K611" s="293"/>
      <c r="L611" s="819"/>
      <c r="N611" s="305" t="b">
        <f>IF(' WP II-I-1.4'!L611=L611,TRUE)</f>
        <v>1</v>
      </c>
    </row>
    <row r="612" spans="2:29" ht="15.75" thickBot="1" x14ac:dyDescent="0.3">
      <c r="B612" s="16">
        <f t="shared" si="29"/>
        <v>23</v>
      </c>
      <c r="C612" s="291" t="s">
        <v>568</v>
      </c>
      <c r="D612" s="814"/>
      <c r="E612" s="272" t="s">
        <v>127</v>
      </c>
      <c r="F612" s="814">
        <f>'II-I-DIST'!F612</f>
        <v>-489654274.89000005</v>
      </c>
      <c r="G612" s="392"/>
      <c r="H612" s="814">
        <f>'II-I-MET'!F612</f>
        <v>-19223925.460000001</v>
      </c>
      <c r="I612" s="392"/>
      <c r="J612" s="814">
        <f>'II-I-TBILLTDCS'!F612</f>
        <v>-8212813.1699999971</v>
      </c>
      <c r="K612" s="392"/>
      <c r="L612" s="218">
        <f t="shared" si="26"/>
        <v>-517091013.52000004</v>
      </c>
      <c r="N612" s="305" t="b">
        <f>IF(' WP II-I-1.4'!L612=L612,TRUE)</f>
        <v>1</v>
      </c>
    </row>
    <row r="613" spans="2:29" ht="15.75" thickBot="1" x14ac:dyDescent="0.3">
      <c r="B613" s="16">
        <f t="shared" si="29"/>
        <v>24</v>
      </c>
      <c r="C613" s="44"/>
      <c r="D613" s="34"/>
      <c r="E613" s="806"/>
      <c r="F613" s="807">
        <f>'II-I-DIST'!F613</f>
        <v>0</v>
      </c>
      <c r="G613" s="806"/>
      <c r="H613" s="807">
        <f>'II-I-MET'!F613</f>
        <v>0</v>
      </c>
      <c r="I613" s="806"/>
      <c r="J613" s="807">
        <f>'II-I-TBILLTDCS'!F613</f>
        <v>0</v>
      </c>
      <c r="K613" s="806"/>
      <c r="L613" s="807"/>
      <c r="N613" s="305" t="b">
        <f>IF(' WP II-I-1.4'!L613=L613,TRUE)</f>
        <v>1</v>
      </c>
    </row>
    <row r="614" spans="2:29" ht="15.75" thickBot="1" x14ac:dyDescent="0.3">
      <c r="B614" s="16">
        <f t="shared" si="29"/>
        <v>25</v>
      </c>
      <c r="C614" s="270" t="s">
        <v>569</v>
      </c>
      <c r="D614" s="271"/>
      <c r="E614" s="271"/>
      <c r="F614" s="295">
        <f>'II-I-DIST'!F614</f>
        <v>626025299.63999987</v>
      </c>
      <c r="G614" s="399"/>
      <c r="H614" s="295">
        <f>'II-I-MET'!F614</f>
        <v>30745549.989999995</v>
      </c>
      <c r="I614" s="399"/>
      <c r="J614" s="295">
        <f>'II-I-TBILLTDCS'!F614</f>
        <v>2989198.340000012</v>
      </c>
      <c r="K614" s="399"/>
      <c r="L614" s="296">
        <f t="shared" si="26"/>
        <v>659760047.96999991</v>
      </c>
      <c r="N614" s="305" t="b">
        <f>IF(' WP II-I-1.4'!L614=L614,TRUE)</f>
        <v>1</v>
      </c>
    </row>
    <row r="615" spans="2:29" ht="15.75" thickBot="1" x14ac:dyDescent="0.3">
      <c r="B615" s="16">
        <f t="shared" si="29"/>
        <v>26</v>
      </c>
      <c r="C615" s="34"/>
      <c r="D615" s="34"/>
      <c r="E615" s="34"/>
      <c r="F615" s="297"/>
      <c r="G615" s="297"/>
      <c r="H615" s="34"/>
      <c r="I615" s="297"/>
      <c r="J615" s="34"/>
      <c r="K615" s="297"/>
      <c r="L615" s="34"/>
      <c r="N615" s="305" t="b">
        <f>IF(' WP II-I-1.4'!L615=L615,TRUE)</f>
        <v>1</v>
      </c>
    </row>
    <row r="616" spans="2:29" ht="15.75" thickBot="1" x14ac:dyDescent="0.3">
      <c r="B616" s="16">
        <f t="shared" si="29"/>
        <v>27</v>
      </c>
      <c r="C616" s="276" t="s">
        <v>570</v>
      </c>
      <c r="D616" s="271"/>
      <c r="E616" s="272" t="s">
        <v>571</v>
      </c>
      <c r="F616" s="814">
        <f>'II-I-DIST'!F616</f>
        <v>890840335.54948807</v>
      </c>
      <c r="G616" s="392"/>
      <c r="H616" s="814">
        <f>'II-I-MET'!F616</f>
        <v>31970960.128978912</v>
      </c>
      <c r="I616" s="392"/>
      <c r="J616" s="814">
        <f>'II-I-TBILLTDCS'!F616</f>
        <v>3694457.0953148776</v>
      </c>
      <c r="K616" s="392"/>
      <c r="L616" s="218">
        <f t="shared" si="26"/>
        <v>926505752.7737819</v>
      </c>
      <c r="N616" s="305" t="b">
        <f>IF(' WP II-I-1.4'!L616=L616,TRUE)</f>
        <v>1</v>
      </c>
    </row>
    <row r="617" spans="2:29" ht="15.75" thickBot="1" x14ac:dyDescent="0.3">
      <c r="B617" s="16">
        <f t="shared" si="29"/>
        <v>28</v>
      </c>
      <c r="C617" s="34"/>
      <c r="D617" s="34"/>
      <c r="E617" s="824"/>
      <c r="F617" s="807">
        <f>'II-I-DIST'!F617</f>
        <v>0</v>
      </c>
      <c r="G617" s="824"/>
      <c r="H617" s="807">
        <f>'II-I-MET'!F617</f>
        <v>0</v>
      </c>
      <c r="I617" s="824"/>
      <c r="J617" s="807">
        <f>'II-I-TBILLTDCS'!F617</f>
        <v>0</v>
      </c>
      <c r="K617" s="824"/>
      <c r="L617" s="807"/>
      <c r="N617" s="305" t="b">
        <f>IF(' WP II-I-1.4'!L617=L617,TRUE)</f>
        <v>1</v>
      </c>
      <c r="T617" s="321"/>
      <c r="U617" s="321"/>
      <c r="V617" s="321"/>
      <c r="W617" s="321"/>
    </row>
    <row r="618" spans="2:29" ht="15.75" thickBot="1" x14ac:dyDescent="0.3">
      <c r="B618" s="16">
        <f t="shared" si="29"/>
        <v>29</v>
      </c>
      <c r="C618" s="276" t="s">
        <v>572</v>
      </c>
      <c r="D618" s="271"/>
      <c r="E618" s="272" t="s">
        <v>573</v>
      </c>
      <c r="F618" s="814">
        <f>'II-I-DIST'!F618</f>
        <v>13507608593.429489</v>
      </c>
      <c r="G618" s="392"/>
      <c r="H618" s="814">
        <f>'II-I-MET'!F618</f>
        <v>441137289.90897888</v>
      </c>
      <c r="I618" s="392"/>
      <c r="J618" s="814">
        <f>'II-I-TBILLTDCS'!F618</f>
        <v>230067007.21531478</v>
      </c>
      <c r="K618" s="392"/>
      <c r="L618" s="218">
        <f t="shared" si="26"/>
        <v>14178812890.553783</v>
      </c>
      <c r="N618" s="305" t="b">
        <f>IF(' WP II-I-1.4'!L618=L618,TRUE)</f>
        <v>1</v>
      </c>
      <c r="T618" s="321"/>
      <c r="U618" s="321"/>
      <c r="V618" s="321"/>
      <c r="W618" s="321"/>
    </row>
    <row r="619" spans="2:29" x14ac:dyDescent="0.2">
      <c r="B619" s="16">
        <f t="shared" si="29"/>
        <v>30</v>
      </c>
      <c r="C619" s="41"/>
      <c r="D619" s="41"/>
      <c r="E619" s="202"/>
      <c r="F619" s="202">
        <f>'II-I-DIST'!F619</f>
        <v>0</v>
      </c>
      <c r="G619" s="202"/>
      <c r="H619" s="202">
        <f>'II-I-MET'!F619</f>
        <v>0</v>
      </c>
      <c r="I619" s="202"/>
      <c r="J619" s="202">
        <f>'II-I-TBILLTDCS'!F619</f>
        <v>0</v>
      </c>
      <c r="K619" s="202"/>
      <c r="L619" s="611"/>
      <c r="N619" s="305" t="b">
        <f>IF(' WP II-I-1.4'!L619=L619,TRUE)</f>
        <v>1</v>
      </c>
      <c r="T619" s="321"/>
      <c r="U619" s="321"/>
      <c r="V619" s="321"/>
      <c r="W619" s="321"/>
    </row>
    <row r="620" spans="2:29" ht="15" x14ac:dyDescent="0.25">
      <c r="B620" s="16">
        <f t="shared" si="29"/>
        <v>31</v>
      </c>
      <c r="C620" s="299" t="s">
        <v>140</v>
      </c>
      <c r="D620" s="300"/>
      <c r="E620" s="34"/>
      <c r="F620" s="146">
        <f>'II-I-DIST'!F620</f>
        <v>7.4700000000000003E-2</v>
      </c>
      <c r="G620" s="45" t="str">
        <f>'II-I-DIST'!H620</f>
        <v>ASSIGNED</v>
      </c>
      <c r="H620" s="146">
        <f>'II-I-MET'!F620</f>
        <v>7.4700000000000003E-2</v>
      </c>
      <c r="I620" s="45" t="str">
        <f>'II-I-MET'!H620</f>
        <v>ASSIGNED</v>
      </c>
      <c r="J620" s="146">
        <f>'II-I-TBILLTDCS'!F620</f>
        <v>7.4700000000000003E-2</v>
      </c>
      <c r="K620" s="45" t="str">
        <f>'II-I-TBILLTDCS'!H620</f>
        <v>ASSIGNED</v>
      </c>
      <c r="L620" s="815"/>
      <c r="M620" s="936" t="s">
        <v>972</v>
      </c>
      <c r="N620" s="305"/>
      <c r="T620" s="321"/>
      <c r="U620" s="321"/>
      <c r="V620" s="321"/>
      <c r="W620" s="321"/>
      <c r="X620" s="321"/>
    </row>
    <row r="621" spans="2:29" ht="15" thickBot="1" x14ac:dyDescent="0.25">
      <c r="B621" s="16">
        <f t="shared" si="29"/>
        <v>32</v>
      </c>
      <c r="C621" s="1"/>
      <c r="D621" s="202"/>
      <c r="E621" s="202"/>
      <c r="F621" s="11"/>
      <c r="G621" s="202"/>
      <c r="H621" s="11"/>
      <c r="I621" s="202"/>
      <c r="J621" s="11"/>
      <c r="K621" s="202"/>
      <c r="L621" s="571"/>
      <c r="N621" s="305" t="b">
        <f>IF(' WP II-I-1.4'!L621=L621,TRUE)</f>
        <v>1</v>
      </c>
      <c r="T621" s="321"/>
      <c r="U621" s="321"/>
      <c r="V621" s="321"/>
      <c r="W621" s="321"/>
      <c r="X621" s="321"/>
    </row>
    <row r="622" spans="2:29" ht="15.75" thickBot="1" x14ac:dyDescent="0.3">
      <c r="B622" s="16">
        <f t="shared" si="29"/>
        <v>33</v>
      </c>
      <c r="C622" s="276" t="s">
        <v>574</v>
      </c>
      <c r="D622" s="271"/>
      <c r="E622" s="272"/>
      <c r="F622" s="814">
        <f>'II-I-DIST'!F622</f>
        <v>1009018361.9291829</v>
      </c>
      <c r="G622" s="392"/>
      <c r="H622" s="814">
        <f>'II-I-MET'!F622</f>
        <v>32952955.556200724</v>
      </c>
      <c r="I622" s="392"/>
      <c r="J622" s="814">
        <f>'II-I-TBILLTDCS'!F622</f>
        <v>17186005.438984014</v>
      </c>
      <c r="K622" s="392"/>
      <c r="L622" s="218">
        <f t="shared" si="26"/>
        <v>1059157322.9243677</v>
      </c>
      <c r="N622" s="305" t="b">
        <f>IF(' WP II-I-1.4'!L622=L622,TRUE)</f>
        <v>1</v>
      </c>
      <c r="T622" s="321"/>
      <c r="U622" s="321"/>
      <c r="V622" s="321"/>
      <c r="W622" s="321"/>
      <c r="X622" s="321"/>
    </row>
    <row r="623" spans="2:29" x14ac:dyDescent="0.2"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T623" s="321"/>
      <c r="U623" s="321"/>
      <c r="V623" s="321"/>
      <c r="W623" s="321"/>
      <c r="X623" s="321"/>
    </row>
    <row r="624" spans="2:29" ht="15" x14ac:dyDescent="0.25">
      <c r="B624" s="783"/>
      <c r="C624" s="783"/>
      <c r="D624" s="783"/>
      <c r="E624" s="783"/>
      <c r="F624" s="64"/>
      <c r="G624" s="105"/>
      <c r="H624" s="64"/>
      <c r="I624" s="105"/>
      <c r="J624" s="64"/>
      <c r="K624" s="105"/>
      <c r="L624" s="783"/>
      <c r="T624" s="321"/>
      <c r="U624" s="321"/>
      <c r="V624" s="321"/>
      <c r="W624" s="321"/>
      <c r="X624" s="321"/>
    </row>
    <row r="625" spans="2:29" ht="15.75" thickBot="1" x14ac:dyDescent="0.3">
      <c r="B625" s="783"/>
      <c r="C625" s="783"/>
      <c r="D625" s="783"/>
      <c r="E625" s="783"/>
      <c r="F625" s="64"/>
      <c r="G625" s="64"/>
      <c r="H625" s="64"/>
      <c r="I625" s="64"/>
      <c r="J625" s="64"/>
      <c r="K625" s="64"/>
      <c r="L625" s="783"/>
      <c r="X625" s="321"/>
    </row>
    <row r="626" spans="2:29" ht="15" x14ac:dyDescent="0.25">
      <c r="B626" s="829" t="str">
        <f>$B$4</f>
        <v>2025 RATE CASE</v>
      </c>
      <c r="C626" s="835"/>
      <c r="D626" s="836"/>
      <c r="E626" s="783"/>
      <c r="F626" s="267"/>
      <c r="H626" s="267"/>
      <c r="J626" s="267"/>
      <c r="K626"/>
      <c r="L626" s="783"/>
      <c r="X626" s="321"/>
    </row>
    <row r="627" spans="2:29" ht="15" x14ac:dyDescent="0.25">
      <c r="B627" s="826" t="str">
        <f>$B$5</f>
        <v>ONCOR ELECTRIC DELIVERY COMPANY LLC</v>
      </c>
      <c r="C627" s="304"/>
      <c r="D627" s="837"/>
      <c r="E627" s="783"/>
      <c r="F627" s="267"/>
      <c r="H627" s="267"/>
      <c r="J627" s="267"/>
      <c r="K627"/>
      <c r="L627" s="783"/>
      <c r="X627" s="321"/>
    </row>
    <row r="628" spans="2:29" ht="15" x14ac:dyDescent="0.25">
      <c r="B628" s="341" t="str">
        <f>$B$6</f>
        <v>II-I-2.1f:  CONSOLIDATED FUNCTIONALIZED COST OF SERVICE</v>
      </c>
      <c r="C628" s="304"/>
      <c r="D628" s="837"/>
      <c r="E628" s="783"/>
      <c r="F628" s="267"/>
      <c r="H628" s="267"/>
      <c r="J628" s="267"/>
      <c r="K628"/>
      <c r="L628" s="783"/>
      <c r="Y628" s="321"/>
    </row>
    <row r="629" spans="2:29" ht="15" x14ac:dyDescent="0.25">
      <c r="B629" s="341" t="str">
        <f>$B$7</f>
        <v>TEST YEAR ENDING 12/31/2024</v>
      </c>
      <c r="C629" s="304"/>
      <c r="D629" s="837"/>
      <c r="E629" s="304"/>
      <c r="F629" s="267"/>
      <c r="H629" s="267"/>
      <c r="J629" s="267"/>
      <c r="K629"/>
      <c r="L629" s="304"/>
      <c r="Y629" s="321"/>
    </row>
    <row r="630" spans="2:29" ht="15" x14ac:dyDescent="0.25">
      <c r="B630" s="341" t="str">
        <f>$B$8</f>
        <v>SPONSOR:  MATTHEW A. TROXLE</v>
      </c>
      <c r="C630" s="304"/>
      <c r="D630" s="837"/>
      <c r="E630" s="304"/>
      <c r="F630" s="267"/>
      <c r="H630" s="267"/>
      <c r="J630" s="267"/>
      <c r="K630"/>
      <c r="L630" s="304"/>
      <c r="T630" s="321"/>
      <c r="U630" s="321"/>
      <c r="V630" s="321"/>
      <c r="W630" s="321"/>
      <c r="Y630" s="321"/>
    </row>
    <row r="631" spans="2:29" ht="15.75" thickBot="1" x14ac:dyDescent="0.3">
      <c r="B631" s="345"/>
      <c r="C631" s="840"/>
      <c r="D631" s="841"/>
      <c r="E631" s="304"/>
      <c r="F631" s="267"/>
      <c r="H631" s="267"/>
      <c r="J631" s="267"/>
      <c r="K631"/>
      <c r="L631" s="304"/>
      <c r="T631" s="321"/>
      <c r="U631" s="321"/>
      <c r="V631" s="321"/>
      <c r="W631" s="321"/>
      <c r="Y631" s="321"/>
    </row>
    <row r="632" spans="2:29" x14ac:dyDescent="0.2">
      <c r="B632" s="12"/>
      <c r="C632" s="13"/>
      <c r="D632" s="177"/>
      <c r="E632" s="13"/>
      <c r="F632" s="12"/>
      <c r="G632" s="13"/>
      <c r="H632" s="12"/>
      <c r="I632" s="13"/>
      <c r="J632" s="12"/>
      <c r="K632" s="13"/>
      <c r="L632" s="855"/>
      <c r="M632" s="938"/>
      <c r="T632" s="321"/>
      <c r="U632" s="321"/>
      <c r="V632" s="321"/>
      <c r="W632" s="321"/>
      <c r="Y632" s="321"/>
    </row>
    <row r="633" spans="2:29" ht="15" x14ac:dyDescent="0.25">
      <c r="B633" s="14" t="s">
        <v>2</v>
      </c>
      <c r="C633" s="14" t="s">
        <v>349</v>
      </c>
      <c r="D633" s="180" t="s">
        <v>575</v>
      </c>
      <c r="E633" s="14" t="s">
        <v>350</v>
      </c>
      <c r="F633" s="226" t="str">
        <f>'II-I-DIST'!F633</f>
        <v>DIST</v>
      </c>
      <c r="G633" s="181" t="str">
        <f>'II-I-DIST'!H633</f>
        <v>Allocation</v>
      </c>
      <c r="H633" s="226" t="str">
        <f>'II-I-MET'!F633</f>
        <v>MET</v>
      </c>
      <c r="I633" s="181" t="str">
        <f>'II-I-MET'!H633</f>
        <v>Allocation</v>
      </c>
      <c r="J633" s="226" t="str">
        <f>'II-I-TBILLTDCS'!F633</f>
        <v>TBILLTDCS</v>
      </c>
      <c r="K633" s="181" t="str">
        <f>'II-I-TBILLTDCS'!H633</f>
        <v>Allocation</v>
      </c>
      <c r="L633" s="660" t="s">
        <v>434</v>
      </c>
      <c r="M633" s="932" t="s">
        <v>970</v>
      </c>
      <c r="T633" s="321"/>
      <c r="U633" s="321"/>
      <c r="V633" s="321"/>
      <c r="W633" s="321"/>
      <c r="X633" s="321"/>
      <c r="Y633" s="321"/>
    </row>
    <row r="634" spans="2:29" x14ac:dyDescent="0.2">
      <c r="B634" s="14"/>
      <c r="C634" s="14"/>
      <c r="D634" s="181"/>
      <c r="E634" s="14"/>
      <c r="F634" s="14">
        <f>'II-I-DIST'!F634</f>
        <v>0</v>
      </c>
      <c r="G634" s="181" t="str">
        <f>'II-I-DIST'!H634</f>
        <v>Factor</v>
      </c>
      <c r="H634" s="14">
        <f>'II-I-MET'!F634</f>
        <v>0</v>
      </c>
      <c r="I634" s="181" t="str">
        <f>'II-I-MET'!H634</f>
        <v>Factor</v>
      </c>
      <c r="J634" s="14">
        <f>'II-I-TBILLTDCS'!F634</f>
        <v>0</v>
      </c>
      <c r="K634" s="181" t="str">
        <f>'II-I-TBILLTDCS'!H634</f>
        <v>Factor</v>
      </c>
      <c r="L634" s="660" t="s">
        <v>31</v>
      </c>
      <c r="M634" s="939"/>
      <c r="T634" s="321"/>
      <c r="U634" s="321"/>
      <c r="V634" s="321"/>
      <c r="W634" s="321"/>
      <c r="X634" s="321"/>
      <c r="Y634" s="321"/>
    </row>
    <row r="635" spans="2:29" ht="15.75" thickBot="1" x14ac:dyDescent="0.25">
      <c r="B635" s="182"/>
      <c r="C635" s="860"/>
      <c r="D635" s="184"/>
      <c r="E635" s="184"/>
      <c r="F635" s="15" t="str">
        <f>'II-I-DIST'!F635</f>
        <v>(a)</v>
      </c>
      <c r="G635" s="15" t="str">
        <f>'II-I-DIST'!H635</f>
        <v>(c)</v>
      </c>
      <c r="H635" s="664" t="str">
        <f>'II-I-MET'!F635</f>
        <v>(a)</v>
      </c>
      <c r="I635" s="15" t="str">
        <f>'II-I-MET'!H635</f>
        <v>(c)</v>
      </c>
      <c r="J635" s="664" t="str">
        <f>'II-I-TBILLTDCS'!F635</f>
        <v>(a)</v>
      </c>
      <c r="K635" s="15" t="str">
        <f>'II-I-TBILLTDCS'!H635</f>
        <v>(c)</v>
      </c>
      <c r="L635" s="664" t="s">
        <v>19</v>
      </c>
      <c r="M635" s="934" t="s">
        <v>20</v>
      </c>
      <c r="T635" s="321"/>
      <c r="U635" s="321"/>
      <c r="V635" s="321"/>
      <c r="W635" s="321"/>
      <c r="X635" s="321"/>
      <c r="Y635" s="321"/>
    </row>
    <row r="636" spans="2:29" x14ac:dyDescent="0.2">
      <c r="B636" s="45"/>
      <c r="C636" s="268"/>
      <c r="D636" s="268"/>
      <c r="E636" s="268"/>
      <c r="F636" s="268"/>
      <c r="G636" s="268"/>
      <c r="H636" s="268"/>
      <c r="I636" s="268"/>
      <c r="J636" s="268"/>
      <c r="K636" s="268"/>
      <c r="L636" s="611"/>
      <c r="T636" s="321"/>
      <c r="U636" s="321"/>
      <c r="V636" s="321"/>
      <c r="W636" s="321"/>
      <c r="X636" s="321"/>
    </row>
    <row r="637" spans="2:29" ht="15" x14ac:dyDescent="0.25">
      <c r="B637" s="16">
        <f t="shared" ref="B637:B663" si="30">B636+1</f>
        <v>1</v>
      </c>
      <c r="C637" s="8" t="s">
        <v>575</v>
      </c>
      <c r="D637" s="8"/>
      <c r="E637" s="831"/>
      <c r="F637" s="8"/>
      <c r="G637" s="1308"/>
      <c r="H637" s="8"/>
      <c r="I637" s="1308"/>
      <c r="J637" s="8"/>
      <c r="K637" s="1308"/>
      <c r="L637" s="8"/>
      <c r="X637" s="321"/>
    </row>
    <row r="638" spans="2:29" ht="15" x14ac:dyDescent="0.25">
      <c r="B638" s="16">
        <f t="shared" si="30"/>
        <v>2</v>
      </c>
      <c r="C638" s="8"/>
      <c r="D638" s="8"/>
      <c r="E638" s="831"/>
      <c r="F638" s="8"/>
      <c r="G638" s="1308"/>
      <c r="H638" s="8"/>
      <c r="I638" s="1308"/>
      <c r="J638" s="8"/>
      <c r="K638" s="1308"/>
      <c r="L638" s="8"/>
      <c r="X638" s="321"/>
    </row>
    <row r="639" spans="2:29" ht="15" x14ac:dyDescent="0.25">
      <c r="B639" s="16">
        <f t="shared" si="30"/>
        <v>3</v>
      </c>
      <c r="C639" s="8"/>
      <c r="D639" s="301" t="s">
        <v>576</v>
      </c>
      <c r="E639" s="831" t="s">
        <v>143</v>
      </c>
      <c r="F639" s="8"/>
      <c r="G639" s="1308"/>
      <c r="H639" s="8"/>
      <c r="I639" s="1308"/>
      <c r="J639" s="8"/>
      <c r="K639" s="1308"/>
      <c r="L639" s="8"/>
      <c r="M639" s="937"/>
      <c r="X639" s="321"/>
    </row>
    <row r="640" spans="2:29" s="321" customFormat="1" ht="42.75" x14ac:dyDescent="0.2">
      <c r="B640" s="16">
        <f t="shared" si="30"/>
        <v>4</v>
      </c>
      <c r="C640" s="26" t="s">
        <v>144</v>
      </c>
      <c r="D640" s="1" t="s">
        <v>145</v>
      </c>
      <c r="E640" s="16"/>
      <c r="F640" s="23">
        <f>'II-I-DIST'!F640</f>
        <v>61587.37</v>
      </c>
      <c r="G640" s="1" t="str">
        <f>'II-I-DIST'!H640</f>
        <v>NCP XHV</v>
      </c>
      <c r="H640" s="97">
        <f>'II-I-MET'!F640</f>
        <v>3703.71</v>
      </c>
      <c r="I640" s="45" t="str">
        <f>'II-I-MET'!H640</f>
        <v>NCP XHV</v>
      </c>
      <c r="J640" s="98">
        <f>'II-I-TBILLTDCS'!F640</f>
        <v>0</v>
      </c>
      <c r="K640" s="45" t="str">
        <f>'II-I-TBILLTDCS'!H640</f>
        <v>NCP XHV</v>
      </c>
      <c r="L640" s="802">
        <f t="shared" ref="L640:L688" si="31">F640+H640+J640</f>
        <v>65291.08</v>
      </c>
      <c r="M640" s="935" t="s">
        <v>991</v>
      </c>
      <c r="N640" s="305" t="b">
        <f>IF(' WP II-I-1.4'!L640=L640,TRUE)</f>
        <v>1</v>
      </c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21" customFormat="1" ht="28.5" x14ac:dyDescent="0.2">
      <c r="B641" s="16">
        <f t="shared" si="30"/>
        <v>5</v>
      </c>
      <c r="C641" s="1" t="s">
        <v>146</v>
      </c>
      <c r="D641" s="1" t="s">
        <v>147</v>
      </c>
      <c r="E641" s="16"/>
      <c r="F641" s="23">
        <f>'II-I-DIST'!F641</f>
        <v>0</v>
      </c>
      <c r="G641" s="1" t="str">
        <f>'II-I-DIST'!H641</f>
        <v>NCP XHV</v>
      </c>
      <c r="H641" s="97">
        <f>'II-I-MET'!F641</f>
        <v>0</v>
      </c>
      <c r="I641" s="45" t="str">
        <f>'II-I-MET'!H641</f>
        <v>NCP XHV</v>
      </c>
      <c r="J641" s="98">
        <f>'II-I-TBILLTDCS'!F641</f>
        <v>0</v>
      </c>
      <c r="K641" s="45" t="str">
        <f>'II-I-TBILLTDCS'!H641</f>
        <v>NCP XHV</v>
      </c>
      <c r="L641" s="802">
        <f t="shared" si="31"/>
        <v>0</v>
      </c>
      <c r="M641" s="937" t="s">
        <v>992</v>
      </c>
      <c r="N641" s="305" t="b">
        <f>IF(' WP II-I-1.4'!L641=L641,TRUE)</f>
        <v>1</v>
      </c>
      <c r="R641"/>
      <c r="S641"/>
      <c r="T641"/>
      <c r="U641"/>
      <c r="V641"/>
      <c r="W641"/>
      <c r="X641"/>
      <c r="Z641"/>
      <c r="AA641"/>
      <c r="AB641"/>
      <c r="AC641"/>
    </row>
    <row r="642" spans="2:29" s="321" customFormat="1" x14ac:dyDescent="0.2">
      <c r="B642" s="16">
        <f t="shared" si="30"/>
        <v>6</v>
      </c>
      <c r="C642" s="1" t="s">
        <v>148</v>
      </c>
      <c r="D642" s="1" t="s">
        <v>149</v>
      </c>
      <c r="E642" s="16"/>
      <c r="F642" s="23">
        <f>'II-I-DIST'!F642</f>
        <v>187768.98</v>
      </c>
      <c r="G642" s="1" t="str">
        <f>'II-I-DIST'!H642</f>
        <v>NCP XHV</v>
      </c>
      <c r="H642" s="97">
        <f>'II-I-MET'!F642</f>
        <v>0</v>
      </c>
      <c r="I642" s="45" t="str">
        <f>'II-I-MET'!H642</f>
        <v>NCP XHV</v>
      </c>
      <c r="J642" s="98">
        <f>'II-I-TBILLTDCS'!F642</f>
        <v>0</v>
      </c>
      <c r="K642" s="45" t="str">
        <f>'II-I-TBILLTDCS'!H642</f>
        <v>NCP XHV</v>
      </c>
      <c r="L642" s="802">
        <f t="shared" si="31"/>
        <v>187768.98</v>
      </c>
      <c r="M642" s="942"/>
      <c r="N642" s="305" t="b">
        <f>IF(' WP II-I-1.4'!L642=L642,TRUE)</f>
        <v>1</v>
      </c>
      <c r="R642"/>
      <c r="S642"/>
      <c r="T642"/>
      <c r="U642"/>
      <c r="V642"/>
      <c r="W642"/>
      <c r="X642"/>
      <c r="Z642"/>
      <c r="AA642"/>
      <c r="AB642"/>
      <c r="AC642"/>
    </row>
    <row r="643" spans="2:29" s="321" customFormat="1" x14ac:dyDescent="0.2">
      <c r="B643" s="16">
        <f t="shared" si="30"/>
        <v>7</v>
      </c>
      <c r="C643" s="1" t="s">
        <v>150</v>
      </c>
      <c r="D643" s="1" t="s">
        <v>151</v>
      </c>
      <c r="E643" s="16"/>
      <c r="F643" s="23">
        <f>'II-I-DIST'!F643</f>
        <v>-1237.3399999999999</v>
      </c>
      <c r="G643" s="1" t="str">
        <f>'II-I-DIST'!H643</f>
        <v>NCP XHV</v>
      </c>
      <c r="H643" s="97">
        <f>'II-I-MET'!F643</f>
        <v>0</v>
      </c>
      <c r="I643" s="45" t="str">
        <f>'II-I-MET'!H643</f>
        <v>NCP XHV</v>
      </c>
      <c r="J643" s="98">
        <f>'II-I-TBILLTDCS'!F643</f>
        <v>0</v>
      </c>
      <c r="K643" s="45" t="str">
        <f>'II-I-TBILLTDCS'!H643</f>
        <v>NCP XHV</v>
      </c>
      <c r="L643" s="802">
        <f t="shared" si="31"/>
        <v>-1237.3399999999999</v>
      </c>
      <c r="M643" s="942"/>
      <c r="N643" s="305" t="b">
        <f>IF(' WP II-I-1.4'!L643=L643,TRUE)</f>
        <v>1</v>
      </c>
      <c r="R643"/>
      <c r="S643"/>
      <c r="T643"/>
      <c r="U643"/>
      <c r="V643"/>
      <c r="W643"/>
      <c r="X643"/>
      <c r="Z643"/>
      <c r="AA643"/>
      <c r="AB643"/>
      <c r="AC643"/>
    </row>
    <row r="644" spans="2:29" s="321" customFormat="1" x14ac:dyDescent="0.2">
      <c r="B644" s="16">
        <f t="shared" si="30"/>
        <v>8</v>
      </c>
      <c r="C644" s="1" t="s">
        <v>152</v>
      </c>
      <c r="D644" s="1" t="s">
        <v>153</v>
      </c>
      <c r="E644" s="16"/>
      <c r="F644" s="23">
        <f>'II-I-DIST'!F644</f>
        <v>0</v>
      </c>
      <c r="G644" s="1" t="str">
        <f>'II-I-DIST'!H644</f>
        <v>NCP XHV</v>
      </c>
      <c r="H644" s="97">
        <f>'II-I-MET'!F644</f>
        <v>0</v>
      </c>
      <c r="I644" s="45" t="str">
        <f>'II-I-MET'!H644</f>
        <v>NCP XHV</v>
      </c>
      <c r="J644" s="98">
        <f>'II-I-TBILLTDCS'!F644</f>
        <v>0</v>
      </c>
      <c r="K644" s="45" t="str">
        <f>'II-I-TBILLTDCS'!H644</f>
        <v>NCP XHV</v>
      </c>
      <c r="L644" s="802">
        <f t="shared" si="31"/>
        <v>0</v>
      </c>
      <c r="M644" s="937"/>
      <c r="N644" s="305" t="b">
        <f>IF(' WP II-I-1.4'!L644=L644,TRUE)</f>
        <v>1</v>
      </c>
      <c r="R644"/>
      <c r="S644"/>
      <c r="T644"/>
      <c r="U644"/>
      <c r="V644"/>
      <c r="W644"/>
      <c r="X644"/>
      <c r="Z644"/>
      <c r="AA644"/>
      <c r="AB644"/>
      <c r="AC644"/>
    </row>
    <row r="645" spans="2:29" s="321" customFormat="1" ht="57" x14ac:dyDescent="0.2">
      <c r="B645" s="16">
        <f t="shared" si="30"/>
        <v>9</v>
      </c>
      <c r="C645" s="1" t="s">
        <v>154</v>
      </c>
      <c r="D645" s="1" t="s">
        <v>155</v>
      </c>
      <c r="E645" s="16"/>
      <c r="F645" s="23">
        <f>'II-I-DIST'!F645</f>
        <v>2100841472.6600001</v>
      </c>
      <c r="G645" s="1" t="str">
        <f>'II-I-DIST'!H645</f>
        <v>4CP RTL</v>
      </c>
      <c r="H645" s="97">
        <f>'II-I-MET'!F645</f>
        <v>0</v>
      </c>
      <c r="I645" s="45" t="str">
        <f>'II-I-MET'!H645</f>
        <v>4CP RTL</v>
      </c>
      <c r="J645" s="98">
        <f>'II-I-TBILLTDCS'!F645</f>
        <v>0</v>
      </c>
      <c r="K645" s="45" t="str">
        <f>'II-I-TBILLTDCS'!H645</f>
        <v>4CP RTL</v>
      </c>
      <c r="L645" s="802">
        <f t="shared" si="31"/>
        <v>2100841472.6600001</v>
      </c>
      <c r="M645" s="937" t="s">
        <v>993</v>
      </c>
      <c r="N645" s="305" t="b">
        <f>IF(' WP II-I-1.4'!L645=L645,TRUE)</f>
        <v>1</v>
      </c>
      <c r="R645"/>
      <c r="S645"/>
      <c r="T645"/>
      <c r="U645"/>
      <c r="V645"/>
      <c r="W645"/>
      <c r="X645"/>
      <c r="Z645"/>
      <c r="AA645"/>
      <c r="AB645"/>
      <c r="AC645"/>
    </row>
    <row r="646" spans="2:29" s="321" customFormat="1" ht="42.75" x14ac:dyDescent="0.2">
      <c r="B646" s="16">
        <f t="shared" si="30"/>
        <v>10</v>
      </c>
      <c r="C646" s="1" t="s">
        <v>156</v>
      </c>
      <c r="D646" s="29" t="s">
        <v>157</v>
      </c>
      <c r="E646" s="16"/>
      <c r="F646" s="23">
        <f>'II-I-DIST'!F646</f>
        <v>595090.37</v>
      </c>
      <c r="G646" s="1" t="str">
        <f>'II-I-DIST'!H646</f>
        <v>NCP XHV</v>
      </c>
      <c r="H646" s="97">
        <f>'II-I-MET'!F646</f>
        <v>5306.31</v>
      </c>
      <c r="I646" s="45" t="str">
        <f>'II-I-MET'!H646</f>
        <v>NCP XHV</v>
      </c>
      <c r="J646" s="98">
        <f>'II-I-TBILLTDCS'!F646</f>
        <v>0</v>
      </c>
      <c r="K646" s="45" t="str">
        <f>'II-I-TBILLTDCS'!H646</f>
        <v>NCP XHV</v>
      </c>
      <c r="L646" s="802">
        <f t="shared" si="31"/>
        <v>600396.68000000005</v>
      </c>
      <c r="M646" s="937" t="s">
        <v>994</v>
      </c>
      <c r="N646" s="305" t="b">
        <f>IF(' WP II-I-1.4'!L646=L646,TRUE)</f>
        <v>1</v>
      </c>
      <c r="R646"/>
      <c r="S646"/>
      <c r="T646"/>
      <c r="U646"/>
      <c r="V646"/>
      <c r="W646"/>
      <c r="X646"/>
      <c r="Z646"/>
      <c r="AA646"/>
      <c r="AB646"/>
      <c r="AC646"/>
    </row>
    <row r="647" spans="2:29" s="321" customFormat="1" x14ac:dyDescent="0.2">
      <c r="B647" s="16">
        <f t="shared" si="30"/>
        <v>11</v>
      </c>
      <c r="C647" s="1" t="s">
        <v>158</v>
      </c>
      <c r="D647" s="1" t="s">
        <v>159</v>
      </c>
      <c r="E647" s="16"/>
      <c r="F647" s="98">
        <f>'II-I-DIST'!F647</f>
        <v>0</v>
      </c>
      <c r="G647" s="1" t="str">
        <f>'II-I-DIST'!H647</f>
        <v>NCP XHV</v>
      </c>
      <c r="H647" s="97">
        <f>'II-I-MET'!F647</f>
        <v>0</v>
      </c>
      <c r="I647" s="45" t="str">
        <f>'II-I-MET'!H647</f>
        <v>NCP XHV</v>
      </c>
      <c r="J647" s="98">
        <f>'II-I-TBILLTDCS'!F647</f>
        <v>0</v>
      </c>
      <c r="K647" s="45" t="str">
        <f>'II-I-TBILLTDCS'!H647</f>
        <v>NCP XHV</v>
      </c>
      <c r="L647" s="802">
        <f t="shared" si="31"/>
        <v>0</v>
      </c>
      <c r="M647" s="937"/>
      <c r="N647" s="305" t="b">
        <f>IF(' WP II-I-1.4'!L647=L647,TRUE)</f>
        <v>1</v>
      </c>
      <c r="R647"/>
      <c r="S647"/>
      <c r="T647"/>
      <c r="U647"/>
      <c r="V647"/>
      <c r="W647"/>
      <c r="X647"/>
      <c r="Z647"/>
      <c r="AA647"/>
      <c r="AB647"/>
      <c r="AC647"/>
    </row>
    <row r="648" spans="2:29" ht="15" x14ac:dyDescent="0.25">
      <c r="B648" s="16">
        <f t="shared" si="30"/>
        <v>12</v>
      </c>
      <c r="C648" s="8"/>
      <c r="D648" s="233" t="s">
        <v>444</v>
      </c>
      <c r="E648" s="831"/>
      <c r="F648" s="805">
        <f>'II-I-DIST'!F648</f>
        <v>2101684682.04</v>
      </c>
      <c r="G648" s="1308"/>
      <c r="H648" s="805">
        <f>'II-I-MET'!F648</f>
        <v>9010.02</v>
      </c>
      <c r="I648" s="1308"/>
      <c r="J648" s="805">
        <f>'II-I-TBILLTDCS'!F648</f>
        <v>0</v>
      </c>
      <c r="K648" s="1308"/>
      <c r="L648" s="805">
        <f t="shared" si="31"/>
        <v>2101693692.0599999</v>
      </c>
      <c r="M648" s="937"/>
      <c r="N648" s="305" t="b">
        <f>IF(' WP II-I-1.4'!L648=L648,TRUE)</f>
        <v>1</v>
      </c>
    </row>
    <row r="649" spans="2:29" ht="15" x14ac:dyDescent="0.25">
      <c r="B649" s="16">
        <f t="shared" si="30"/>
        <v>13</v>
      </c>
      <c r="C649" s="8"/>
      <c r="D649" s="831"/>
      <c r="E649" s="831"/>
      <c r="F649" s="805">
        <f>'II-I-DIST'!F649</f>
        <v>0</v>
      </c>
      <c r="G649" s="1308"/>
      <c r="H649" s="805">
        <f>'II-I-MET'!F649</f>
        <v>0</v>
      </c>
      <c r="I649" s="1308"/>
      <c r="J649" s="805">
        <f>'II-I-TBILLTDCS'!F649</f>
        <v>0</v>
      </c>
      <c r="K649" s="1308"/>
      <c r="L649" s="805"/>
      <c r="M649" s="937"/>
      <c r="N649" s="305" t="b">
        <f>IF(' WP II-I-1.4'!L649=L649,TRUE)</f>
        <v>1</v>
      </c>
    </row>
    <row r="650" spans="2:29" ht="15" x14ac:dyDescent="0.25">
      <c r="B650" s="16">
        <f t="shared" si="30"/>
        <v>14</v>
      </c>
      <c r="C650" s="8"/>
      <c r="D650" s="233" t="s">
        <v>577</v>
      </c>
      <c r="E650" s="831"/>
      <c r="F650" s="805">
        <f>'II-I-DIST'!F650</f>
        <v>843209.37999987602</v>
      </c>
      <c r="G650" s="1308"/>
      <c r="H650" s="805">
        <f>'II-I-MET'!F650</f>
        <v>9010.02</v>
      </c>
      <c r="I650" s="1308"/>
      <c r="J650" s="805">
        <f>'II-I-TBILLTDCS'!F650</f>
        <v>0</v>
      </c>
      <c r="K650" s="1308"/>
      <c r="L650" s="805">
        <f t="shared" si="31"/>
        <v>852219.39999987604</v>
      </c>
      <c r="N650" s="305" t="b">
        <f>IF(' WP II-I-1.4'!L650=L650,TRUE)</f>
        <v>1</v>
      </c>
    </row>
    <row r="651" spans="2:29" ht="15" x14ac:dyDescent="0.25">
      <c r="B651" s="16">
        <f t="shared" si="30"/>
        <v>15</v>
      </c>
      <c r="C651" s="8"/>
      <c r="D651" s="831"/>
      <c r="E651" s="831"/>
      <c r="F651" s="805">
        <f>'II-I-DIST'!F651</f>
        <v>0</v>
      </c>
      <c r="G651" s="1308"/>
      <c r="H651" s="805">
        <f>'II-I-MET'!F651</f>
        <v>0</v>
      </c>
      <c r="I651" s="1308"/>
      <c r="J651" s="805">
        <f>'II-I-TBILLTDCS'!F651</f>
        <v>0</v>
      </c>
      <c r="K651" s="1308"/>
      <c r="L651" s="805"/>
      <c r="N651" s="305" t="b">
        <f>IF(' WP II-I-1.4'!L651=L651,TRUE)</f>
        <v>1</v>
      </c>
    </row>
    <row r="652" spans="2:29" ht="15" x14ac:dyDescent="0.25">
      <c r="B652" s="16">
        <f t="shared" si="30"/>
        <v>16</v>
      </c>
      <c r="C652" s="8"/>
      <c r="D652" s="301" t="s">
        <v>578</v>
      </c>
      <c r="E652" s="831" t="s">
        <v>143</v>
      </c>
      <c r="F652" s="805">
        <f>'II-I-DIST'!F652</f>
        <v>0</v>
      </c>
      <c r="G652" s="1308"/>
      <c r="H652" s="805">
        <f>'II-I-MET'!F652</f>
        <v>0</v>
      </c>
      <c r="I652" s="1308"/>
      <c r="J652" s="805">
        <f>'II-I-TBILLTDCS'!F652</f>
        <v>0</v>
      </c>
      <c r="K652" s="1308"/>
      <c r="L652" s="805"/>
      <c r="N652" s="305" t="b">
        <f>IF(' WP II-I-1.4'!L652=L652,TRUE)</f>
        <v>1</v>
      </c>
    </row>
    <row r="653" spans="2:29" s="321" customFormat="1" ht="42.75" x14ac:dyDescent="0.2">
      <c r="B653" s="16">
        <f t="shared" si="30"/>
        <v>17</v>
      </c>
      <c r="C653" s="1" t="s">
        <v>161</v>
      </c>
      <c r="D653" s="1" t="s">
        <v>162</v>
      </c>
      <c r="E653" s="16"/>
      <c r="F653" s="23">
        <f>'II-I-DIST'!F653</f>
        <v>43504.86</v>
      </c>
      <c r="G653" s="1" t="str">
        <f>'II-I-DIST'!H653</f>
        <v>NCP XHV</v>
      </c>
      <c r="H653" s="97">
        <f>'II-I-MET'!F653</f>
        <v>0</v>
      </c>
      <c r="I653" s="45" t="str">
        <f>'II-I-MET'!H653</f>
        <v>NCP XHV</v>
      </c>
      <c r="J653" s="98">
        <f>'II-I-TBILLTDCS'!F653</f>
        <v>0</v>
      </c>
      <c r="K653" s="45" t="str">
        <f>'II-I-TBILLTDCS'!H653</f>
        <v>NCP XHV</v>
      </c>
      <c r="L653" s="802">
        <f t="shared" si="31"/>
        <v>43504.86</v>
      </c>
      <c r="M653" s="937" t="s">
        <v>991</v>
      </c>
      <c r="N653" s="305" t="b">
        <f>IF(' WP II-I-1.4'!L653=L653,TRUE)</f>
        <v>1</v>
      </c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21" customFormat="1" ht="28.5" x14ac:dyDescent="0.2">
      <c r="B654" s="16">
        <f t="shared" si="30"/>
        <v>18</v>
      </c>
      <c r="C654" s="1" t="s">
        <v>163</v>
      </c>
      <c r="D654" s="29" t="s">
        <v>164</v>
      </c>
      <c r="E654" s="16"/>
      <c r="F654" s="23">
        <f>'II-I-DIST'!F654</f>
        <v>142.1</v>
      </c>
      <c r="G654" s="1" t="str">
        <f>'II-I-DIST'!H654</f>
        <v>NCP XHV</v>
      </c>
      <c r="H654" s="97">
        <f>'II-I-MET'!F654</f>
        <v>0</v>
      </c>
      <c r="I654" s="45" t="str">
        <f>'II-I-MET'!H654</f>
        <v>NCP XHV</v>
      </c>
      <c r="J654" s="98">
        <f>'II-I-TBILLTDCS'!F654</f>
        <v>0</v>
      </c>
      <c r="K654" s="45" t="str">
        <f>'II-I-TBILLTDCS'!H654</f>
        <v>NCP XHV</v>
      </c>
      <c r="L654" s="802">
        <f t="shared" si="31"/>
        <v>142.1</v>
      </c>
      <c r="M654" s="937" t="s">
        <v>992</v>
      </c>
      <c r="N654" s="305" t="b">
        <f>IF(' WP II-I-1.4'!L654=L654,TRUE)</f>
        <v>1</v>
      </c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21" customFormat="1" x14ac:dyDescent="0.2">
      <c r="B655" s="16">
        <f t="shared" si="30"/>
        <v>19</v>
      </c>
      <c r="C655" s="1" t="s">
        <v>165</v>
      </c>
      <c r="D655" s="1" t="s">
        <v>166</v>
      </c>
      <c r="E655" s="16"/>
      <c r="F655" s="23">
        <f>'II-I-DIST'!F655</f>
        <v>150005.04999999999</v>
      </c>
      <c r="G655" s="1" t="str">
        <f>'II-I-DIST'!H655</f>
        <v>NCP XHV</v>
      </c>
      <c r="H655" s="97">
        <f>'II-I-MET'!F655</f>
        <v>0</v>
      </c>
      <c r="I655" s="45" t="str">
        <f>'II-I-MET'!H655</f>
        <v>NCP XHV</v>
      </c>
      <c r="J655" s="98">
        <f>'II-I-TBILLTDCS'!F655</f>
        <v>0</v>
      </c>
      <c r="K655" s="45" t="str">
        <f>'II-I-TBILLTDCS'!H655</f>
        <v>NCP XHV</v>
      </c>
      <c r="L655" s="802">
        <f t="shared" si="31"/>
        <v>150005.04999999999</v>
      </c>
      <c r="M655" s="937" t="s">
        <v>983</v>
      </c>
      <c r="N655" s="305" t="b">
        <f>IF(' WP II-I-1.4'!L655=L655,TRUE)</f>
        <v>1</v>
      </c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21" customFormat="1" x14ac:dyDescent="0.2">
      <c r="B656" s="16">
        <f t="shared" si="30"/>
        <v>20</v>
      </c>
      <c r="C656" s="1" t="s">
        <v>167</v>
      </c>
      <c r="D656" s="1" t="s">
        <v>168</v>
      </c>
      <c r="E656" s="16"/>
      <c r="F656" s="23">
        <f>'II-I-DIST'!F656</f>
        <v>12682.44</v>
      </c>
      <c r="G656" s="1" t="str">
        <f>'II-I-DIST'!H656</f>
        <v>NCP XHV</v>
      </c>
      <c r="H656" s="97">
        <f>'II-I-MET'!F656</f>
        <v>0</v>
      </c>
      <c r="I656" s="45" t="str">
        <f>'II-I-MET'!H656</f>
        <v>NCP XHV</v>
      </c>
      <c r="J656" s="98">
        <f>'II-I-TBILLTDCS'!F656</f>
        <v>0</v>
      </c>
      <c r="K656" s="45" t="str">
        <f>'II-I-TBILLTDCS'!H656</f>
        <v>NCP XHV</v>
      </c>
      <c r="L656" s="802">
        <f t="shared" si="31"/>
        <v>12682.44</v>
      </c>
      <c r="M656" s="937" t="s">
        <v>983</v>
      </c>
      <c r="N656" s="305" t="b">
        <f>IF(' WP II-I-1.4'!L656=L656,TRUE)</f>
        <v>1</v>
      </c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21" customFormat="1" x14ac:dyDescent="0.2">
      <c r="B657" s="16">
        <f t="shared" si="30"/>
        <v>21</v>
      </c>
      <c r="C657" s="1" t="s">
        <v>169</v>
      </c>
      <c r="D657" s="29" t="s">
        <v>170</v>
      </c>
      <c r="E657" s="16"/>
      <c r="F657" s="23">
        <f>'II-I-DIST'!F657</f>
        <v>0</v>
      </c>
      <c r="G657" s="1" t="str">
        <f>'II-I-DIST'!H657</f>
        <v>NCP XHV</v>
      </c>
      <c r="H657" s="97">
        <f>'II-I-MET'!F657</f>
        <v>0</v>
      </c>
      <c r="I657" s="45" t="str">
        <f>'II-I-MET'!H657</f>
        <v>NCP XHV</v>
      </c>
      <c r="J657" s="98">
        <f>'II-I-TBILLTDCS'!F657</f>
        <v>0</v>
      </c>
      <c r="K657" s="45" t="str">
        <f>'II-I-TBILLTDCS'!H657</f>
        <v>NCP XHV</v>
      </c>
      <c r="L657" s="802">
        <f t="shared" si="31"/>
        <v>0</v>
      </c>
      <c r="M657" s="937" t="s">
        <v>983</v>
      </c>
      <c r="N657" s="305" t="b">
        <f>IF(' WP II-I-1.4'!L657=L657,TRUE)</f>
        <v>1</v>
      </c>
      <c r="R657"/>
      <c r="S657"/>
      <c r="X657"/>
      <c r="Y657"/>
      <c r="Z657"/>
      <c r="AA657"/>
      <c r="AB657"/>
      <c r="AC657"/>
    </row>
    <row r="658" spans="2:29" s="321" customFormat="1" x14ac:dyDescent="0.2">
      <c r="B658" s="16">
        <f t="shared" si="30"/>
        <v>22</v>
      </c>
      <c r="C658" s="1" t="s">
        <v>171</v>
      </c>
      <c r="D658" s="29" t="s">
        <v>172</v>
      </c>
      <c r="E658" s="16"/>
      <c r="F658" s="23">
        <f>'II-I-DIST'!F658</f>
        <v>89251.47</v>
      </c>
      <c r="G658" s="1" t="str">
        <f>'II-I-DIST'!H658</f>
        <v>NCP XHV</v>
      </c>
      <c r="H658" s="97">
        <f>'II-I-MET'!F658</f>
        <v>0</v>
      </c>
      <c r="I658" s="45" t="str">
        <f>'II-I-MET'!H658</f>
        <v>NCP XHV</v>
      </c>
      <c r="J658" s="98">
        <f>'II-I-TBILLTDCS'!F658</f>
        <v>0</v>
      </c>
      <c r="K658" s="45" t="str">
        <f>'II-I-TBILLTDCS'!H658</f>
        <v>NCP XHV</v>
      </c>
      <c r="L658" s="802">
        <f t="shared" si="31"/>
        <v>89251.47</v>
      </c>
      <c r="M658" s="937" t="s">
        <v>983</v>
      </c>
      <c r="N658" s="305" t="b">
        <f>IF(' WP II-I-1.4'!L658=L658,TRUE)</f>
        <v>1</v>
      </c>
      <c r="R658"/>
      <c r="S658"/>
      <c r="X658"/>
      <c r="Y658"/>
      <c r="Z658"/>
      <c r="AA658"/>
      <c r="AB658"/>
      <c r="AC658"/>
    </row>
    <row r="659" spans="2:29" s="321" customFormat="1" ht="15" x14ac:dyDescent="0.25">
      <c r="B659" s="16">
        <f t="shared" si="30"/>
        <v>23</v>
      </c>
      <c r="C659" s="8"/>
      <c r="D659" s="233" t="s">
        <v>444</v>
      </c>
      <c r="E659" s="831"/>
      <c r="F659" s="805">
        <f>'II-I-DIST'!F659</f>
        <v>295585.91999999998</v>
      </c>
      <c r="G659" s="1308"/>
      <c r="H659" s="805">
        <f>'II-I-MET'!F659</f>
        <v>0</v>
      </c>
      <c r="I659" s="1308"/>
      <c r="J659" s="805">
        <f>'II-I-TBILLTDCS'!F659</f>
        <v>0</v>
      </c>
      <c r="K659" s="1308"/>
      <c r="L659" s="805">
        <f t="shared" si="31"/>
        <v>295585.91999999998</v>
      </c>
      <c r="M659" s="937"/>
      <c r="N659" s="305" t="b">
        <f>IF(' WP II-I-1.4'!L659=L659,TRUE)</f>
        <v>1</v>
      </c>
      <c r="R659"/>
      <c r="S659"/>
      <c r="X659"/>
      <c r="Y659"/>
      <c r="Z659"/>
      <c r="AA659"/>
      <c r="AB659"/>
      <c r="AC659"/>
    </row>
    <row r="660" spans="2:29" ht="15.75" thickBot="1" x14ac:dyDescent="0.3">
      <c r="B660" s="16">
        <f t="shared" si="30"/>
        <v>24</v>
      </c>
      <c r="C660" s="8"/>
      <c r="D660" s="233"/>
      <c r="E660" s="831"/>
      <c r="F660" s="805">
        <f>'II-I-DIST'!F660</f>
        <v>0</v>
      </c>
      <c r="G660" s="1308"/>
      <c r="H660" s="805">
        <f>'II-I-MET'!F660</f>
        <v>0</v>
      </c>
      <c r="I660" s="1308"/>
      <c r="J660" s="805">
        <f>'II-I-TBILLTDCS'!F660</f>
        <v>0</v>
      </c>
      <c r="K660" s="1308"/>
      <c r="L660" s="805"/>
      <c r="M660" s="937"/>
      <c r="N660" s="305" t="b">
        <f>IF(' WP II-I-1.4'!L660=L660,TRUE)</f>
        <v>1</v>
      </c>
      <c r="T660" s="321"/>
      <c r="U660" s="321"/>
      <c r="V660" s="321"/>
      <c r="W660" s="321"/>
      <c r="X660" s="321"/>
    </row>
    <row r="661" spans="2:29" ht="15.75" thickBot="1" x14ac:dyDescent="0.3">
      <c r="B661" s="16">
        <f t="shared" si="30"/>
        <v>25</v>
      </c>
      <c r="C661" s="779" t="s">
        <v>579</v>
      </c>
      <c r="D661" s="920"/>
      <c r="E661" s="916"/>
      <c r="F661" s="917">
        <f>'II-I-DIST'!F661</f>
        <v>2101980267.96</v>
      </c>
      <c r="G661" s="916"/>
      <c r="H661" s="917">
        <f>'II-I-MET'!F661</f>
        <v>9010.02</v>
      </c>
      <c r="I661" s="916"/>
      <c r="J661" s="917">
        <f>'II-I-TBILLTDCS'!F661</f>
        <v>0</v>
      </c>
      <c r="K661" s="916"/>
      <c r="L661" s="955">
        <f>+L659+L648</f>
        <v>2101989277.98</v>
      </c>
      <c r="M661" s="937"/>
      <c r="N661" s="305" t="b">
        <f>IF(' WP II-I-1.4'!L661=L661,TRUE)</f>
        <v>1</v>
      </c>
      <c r="T661" s="321"/>
      <c r="U661" s="321"/>
      <c r="V661" s="321"/>
      <c r="W661" s="321"/>
      <c r="X661" s="321"/>
    </row>
    <row r="662" spans="2:29" ht="15.75" thickBot="1" x14ac:dyDescent="0.3">
      <c r="B662" s="16">
        <f t="shared" si="30"/>
        <v>26</v>
      </c>
      <c r="C662" s="8"/>
      <c r="D662" s="8"/>
      <c r="E662" s="831"/>
      <c r="F662" s="805">
        <f>'II-I-DIST'!F662</f>
        <v>0</v>
      </c>
      <c r="G662" s="1308"/>
      <c r="H662" s="805">
        <f>'II-I-MET'!F662</f>
        <v>0</v>
      </c>
      <c r="I662" s="1308"/>
      <c r="J662" s="805">
        <f>'II-I-TBILLTDCS'!F662</f>
        <v>0</v>
      </c>
      <c r="K662" s="1308"/>
      <c r="L662" s="8"/>
      <c r="N662" s="305" t="b">
        <f>IF(' WP II-I-1.4'!L662=L662,TRUE)</f>
        <v>1</v>
      </c>
      <c r="T662" s="321"/>
      <c r="U662" s="321"/>
      <c r="V662" s="321"/>
      <c r="W662" s="321"/>
      <c r="X662" s="321"/>
    </row>
    <row r="663" spans="2:29" ht="15.75" thickBot="1" x14ac:dyDescent="0.3">
      <c r="B663" s="16">
        <f t="shared" si="30"/>
        <v>27</v>
      </c>
      <c r="C663" s="779" t="s">
        <v>580</v>
      </c>
      <c r="D663" s="920"/>
      <c r="E663" s="916"/>
      <c r="F663" s="917">
        <f>'II-I-DIST'!F663</f>
        <v>1138795.2999999523</v>
      </c>
      <c r="G663" s="916"/>
      <c r="H663" s="917">
        <f>'II-I-MET'!F663</f>
        <v>9010.02</v>
      </c>
      <c r="I663" s="916"/>
      <c r="J663" s="917">
        <f>'II-I-TBILLTDCS'!F663</f>
        <v>0</v>
      </c>
      <c r="K663" s="916"/>
      <c r="L663" s="955">
        <f>L661-L645</f>
        <v>1147805.3199999332</v>
      </c>
      <c r="N663" s="305">
        <f>' WP II-I-1.4'!L663-L663</f>
        <v>1.909211277961731E-8</v>
      </c>
      <c r="T663" s="321"/>
      <c r="U663" s="321"/>
      <c r="V663" s="321"/>
      <c r="W663" s="321"/>
      <c r="X663" s="321"/>
    </row>
    <row r="664" spans="2:29" ht="15" x14ac:dyDescent="0.25">
      <c r="B664" s="16"/>
      <c r="C664" s="8"/>
      <c r="D664" s="8"/>
      <c r="E664" s="831"/>
      <c r="F664" s="805"/>
      <c r="G664" s="1308"/>
      <c r="H664" s="805"/>
      <c r="I664" s="1308"/>
      <c r="J664" s="805"/>
      <c r="K664" s="1308"/>
      <c r="L664" s="8"/>
      <c r="N664" s="305"/>
      <c r="T664" s="321"/>
      <c r="U664" s="321"/>
      <c r="V664" s="321"/>
      <c r="W664" s="321"/>
      <c r="X664" s="321"/>
    </row>
    <row r="665" spans="2:29" ht="15" x14ac:dyDescent="0.25">
      <c r="B665" s="783"/>
      <c r="C665" s="783"/>
      <c r="D665" s="783"/>
      <c r="E665" s="783"/>
      <c r="F665" s="805"/>
      <c r="G665" s="105"/>
      <c r="H665" s="805"/>
      <c r="I665" s="105"/>
      <c r="J665" s="805"/>
      <c r="K665" s="105"/>
      <c r="L665" s="783"/>
      <c r="N665" s="305"/>
      <c r="T665" s="321"/>
      <c r="U665" s="321"/>
      <c r="V665" s="321"/>
      <c r="W665" s="321"/>
      <c r="X665" s="321"/>
    </row>
    <row r="666" spans="2:29" ht="15.75" thickBot="1" x14ac:dyDescent="0.3">
      <c r="B666" s="783"/>
      <c r="C666" s="783"/>
      <c r="D666" s="783"/>
      <c r="E666" s="783"/>
      <c r="F666" s="805"/>
      <c r="G666" s="1308"/>
      <c r="H666" s="805"/>
      <c r="I666" s="1308"/>
      <c r="J666" s="805"/>
      <c r="K666" s="1308"/>
      <c r="L666" s="783"/>
      <c r="N666" s="305"/>
      <c r="T666" s="321"/>
      <c r="U666" s="321"/>
      <c r="V666" s="321"/>
      <c r="W666" s="321"/>
      <c r="X666" s="321"/>
    </row>
    <row r="667" spans="2:29" ht="15" x14ac:dyDescent="0.25">
      <c r="B667" s="829" t="str">
        <f>$B$4</f>
        <v>2025 RATE CASE</v>
      </c>
      <c r="C667" s="835"/>
      <c r="D667" s="836"/>
      <c r="E667" s="783"/>
      <c r="F667" s="267"/>
      <c r="H667" s="267"/>
      <c r="J667" s="267"/>
      <c r="K667"/>
      <c r="L667" s="783"/>
      <c r="N667" s="305"/>
      <c r="X667" s="321"/>
    </row>
    <row r="668" spans="2:29" ht="15" x14ac:dyDescent="0.25">
      <c r="B668" s="826" t="str">
        <f>$B$5</f>
        <v>ONCOR ELECTRIC DELIVERY COMPANY LLC</v>
      </c>
      <c r="C668" s="304"/>
      <c r="D668" s="837"/>
      <c r="E668" s="783"/>
      <c r="F668" s="267"/>
      <c r="H668" s="267"/>
      <c r="J668" s="267"/>
      <c r="K668"/>
      <c r="L668" s="783"/>
      <c r="N668" s="305"/>
      <c r="X668" s="321"/>
      <c r="Y668" s="321"/>
    </row>
    <row r="669" spans="2:29" ht="15" x14ac:dyDescent="0.25">
      <c r="B669" s="341" t="str">
        <f>$B$6</f>
        <v>II-I-2.1f:  CONSOLIDATED FUNCTIONALIZED COST OF SERVICE</v>
      </c>
      <c r="C669" s="304"/>
      <c r="D669" s="837"/>
      <c r="E669" s="783"/>
      <c r="F669" s="267"/>
      <c r="H669" s="267"/>
      <c r="J669" s="267"/>
      <c r="K669"/>
      <c r="L669" s="783"/>
      <c r="N669" s="305"/>
      <c r="X669" s="321"/>
      <c r="Y669" s="321"/>
    </row>
    <row r="670" spans="2:29" ht="15" x14ac:dyDescent="0.25">
      <c r="B670" s="341" t="str">
        <f>$B$7</f>
        <v>TEST YEAR ENDING 12/31/2024</v>
      </c>
      <c r="C670" s="304"/>
      <c r="D670" s="837"/>
      <c r="E670" s="304"/>
      <c r="F670" s="267"/>
      <c r="H670" s="267"/>
      <c r="J670" s="267"/>
      <c r="K670"/>
      <c r="L670" s="304"/>
      <c r="N670" s="305"/>
      <c r="Y670" s="321"/>
    </row>
    <row r="671" spans="2:29" ht="15" x14ac:dyDescent="0.25">
      <c r="B671" s="341" t="str">
        <f>$B$8</f>
        <v>SPONSOR:  MATTHEW A. TROXLE</v>
      </c>
      <c r="C671" s="304"/>
      <c r="D671" s="837"/>
      <c r="E671" s="304"/>
      <c r="F671" s="267"/>
      <c r="H671" s="267"/>
      <c r="J671" s="267"/>
      <c r="K671"/>
      <c r="L671" s="304"/>
      <c r="N671" s="305"/>
      <c r="Y671" s="321"/>
    </row>
    <row r="672" spans="2:29" ht="15.75" thickBot="1" x14ac:dyDescent="0.3">
      <c r="B672" s="345"/>
      <c r="C672" s="840"/>
      <c r="D672" s="841"/>
      <c r="E672" s="304"/>
      <c r="F672" s="267"/>
      <c r="H672" s="267"/>
      <c r="J672" s="267"/>
      <c r="K672"/>
      <c r="L672" s="304"/>
      <c r="N672" s="305"/>
      <c r="Y672" s="321"/>
    </row>
    <row r="673" spans="2:29" x14ac:dyDescent="0.2">
      <c r="B673" s="12"/>
      <c r="C673" s="13"/>
      <c r="D673" s="177"/>
      <c r="E673" s="13"/>
      <c r="F673" s="12"/>
      <c r="G673" s="13"/>
      <c r="H673" s="12"/>
      <c r="I673" s="13"/>
      <c r="J673" s="12"/>
      <c r="K673" s="13"/>
      <c r="L673" s="855"/>
      <c r="M673" s="938"/>
      <c r="N673" s="305"/>
      <c r="T673" s="321"/>
      <c r="U673" s="321"/>
      <c r="V673" s="321"/>
      <c r="W673" s="321"/>
      <c r="Y673" s="321"/>
    </row>
    <row r="674" spans="2:29" ht="15" x14ac:dyDescent="0.25">
      <c r="B674" s="14" t="s">
        <v>2</v>
      </c>
      <c r="C674" s="14" t="s">
        <v>349</v>
      </c>
      <c r="D674" s="180" t="s">
        <v>581</v>
      </c>
      <c r="E674" s="14" t="s">
        <v>350</v>
      </c>
      <c r="F674" s="226" t="str">
        <f>'II-I-DIST'!F674</f>
        <v>DIST</v>
      </c>
      <c r="G674" s="181" t="str">
        <f>'II-I-DIST'!H674</f>
        <v>Allocation</v>
      </c>
      <c r="H674" s="226" t="str">
        <f>'II-I-MET'!F674</f>
        <v>MET</v>
      </c>
      <c r="I674" s="181" t="str">
        <f>'II-I-MET'!H674</f>
        <v>Allocation</v>
      </c>
      <c r="J674" s="226" t="str">
        <f>'II-I-TBILLTDCS'!F674</f>
        <v>TBILLTDCS</v>
      </c>
      <c r="K674" s="181" t="str">
        <f>'II-I-TBILLTDCS'!H674</f>
        <v>Allocation</v>
      </c>
      <c r="L674" s="660" t="s">
        <v>434</v>
      </c>
      <c r="M674" s="932" t="s">
        <v>970</v>
      </c>
      <c r="N674" s="305"/>
      <c r="T674" s="321"/>
      <c r="U674" s="321"/>
      <c r="V674" s="321"/>
      <c r="W674" s="321"/>
      <c r="Y674" s="321"/>
    </row>
    <row r="675" spans="2:29" x14ac:dyDescent="0.2">
      <c r="B675" s="14"/>
      <c r="C675" s="14"/>
      <c r="D675" s="181"/>
      <c r="E675" s="14"/>
      <c r="F675" s="14"/>
      <c r="G675" s="181" t="str">
        <f>'II-I-DIST'!H675</f>
        <v>Factor</v>
      </c>
      <c r="H675" s="14"/>
      <c r="I675" s="181" t="str">
        <f>'II-I-MET'!H675</f>
        <v>Factor</v>
      </c>
      <c r="J675" s="14"/>
      <c r="K675" s="181" t="str">
        <f>'II-I-TBILLTDCS'!H675</f>
        <v>Factor</v>
      </c>
      <c r="L675" s="660" t="s">
        <v>31</v>
      </c>
      <c r="M675" s="939"/>
      <c r="N675" s="305"/>
      <c r="T675" s="321"/>
      <c r="U675" s="321"/>
      <c r="V675" s="321"/>
      <c r="W675" s="321"/>
      <c r="Y675" s="321"/>
    </row>
    <row r="676" spans="2:29" ht="15.75" thickBot="1" x14ac:dyDescent="0.25">
      <c r="B676" s="182"/>
      <c r="C676" s="860"/>
      <c r="D676" s="184"/>
      <c r="E676" s="184"/>
      <c r="F676" s="15" t="str">
        <f>'II-I-DIST'!F676</f>
        <v>(a)</v>
      </c>
      <c r="G676" s="15" t="str">
        <f>'II-I-DIST'!H676</f>
        <v>(c)</v>
      </c>
      <c r="H676" s="664" t="str">
        <f>'II-I-MET'!F676</f>
        <v>(a)</v>
      </c>
      <c r="I676" s="15" t="str">
        <f>'II-I-MET'!H676</f>
        <v>(c)</v>
      </c>
      <c r="J676" s="664" t="str">
        <f>'II-I-TBILLTDCS'!F676</f>
        <v>(a)</v>
      </c>
      <c r="K676" s="15" t="str">
        <f>'II-I-TBILLTDCS'!H676</f>
        <v>(c)</v>
      </c>
      <c r="L676" s="664" t="s">
        <v>19</v>
      </c>
      <c r="M676" s="934" t="s">
        <v>20</v>
      </c>
      <c r="N676" s="305"/>
      <c r="T676" s="321"/>
      <c r="U676" s="321"/>
      <c r="V676" s="321"/>
      <c r="W676" s="321"/>
      <c r="X676" s="321"/>
      <c r="Y676" s="321"/>
    </row>
    <row r="677" spans="2:29" x14ac:dyDescent="0.2">
      <c r="B677" s="45"/>
      <c r="C677" s="268"/>
      <c r="D677" s="268"/>
      <c r="E677" s="268"/>
      <c r="F677" s="268"/>
      <c r="G677" s="268"/>
      <c r="H677" s="268"/>
      <c r="I677" s="268"/>
      <c r="J677" s="268"/>
      <c r="K677" s="268"/>
      <c r="L677" s="611"/>
      <c r="N677" s="305"/>
      <c r="T677" s="321"/>
      <c r="U677" s="321"/>
      <c r="V677" s="321"/>
      <c r="W677" s="321"/>
      <c r="X677" s="321"/>
      <c r="Y677" s="321"/>
    </row>
    <row r="678" spans="2:29" ht="15" x14ac:dyDescent="0.25">
      <c r="B678" s="16">
        <f t="shared" ref="B678:B705" si="32">B677+1</f>
        <v>1</v>
      </c>
      <c r="C678" s="8" t="s">
        <v>581</v>
      </c>
      <c r="D678" s="8"/>
      <c r="E678" s="831"/>
      <c r="F678" s="8"/>
      <c r="G678" s="1308"/>
      <c r="H678" s="8"/>
      <c r="I678" s="1308"/>
      <c r="J678" s="8"/>
      <c r="K678" s="1308"/>
      <c r="L678" s="8"/>
      <c r="N678" s="305"/>
      <c r="T678" s="321"/>
      <c r="U678" s="321"/>
      <c r="V678" s="321"/>
      <c r="W678" s="321"/>
      <c r="X678" s="321"/>
    </row>
    <row r="679" spans="2:29" ht="15" x14ac:dyDescent="0.25">
      <c r="B679" s="16">
        <f t="shared" si="32"/>
        <v>2</v>
      </c>
      <c r="C679" s="8"/>
      <c r="D679" s="301" t="s">
        <v>576</v>
      </c>
      <c r="E679" s="831" t="s">
        <v>143</v>
      </c>
      <c r="F679" s="8"/>
      <c r="G679" s="1308"/>
      <c r="H679" s="8"/>
      <c r="I679" s="1308"/>
      <c r="J679" s="8"/>
      <c r="K679" s="1308"/>
      <c r="L679" s="8"/>
      <c r="N679" s="305"/>
      <c r="T679" s="321"/>
      <c r="U679" s="321"/>
      <c r="V679" s="321"/>
      <c r="W679" s="321"/>
      <c r="X679" s="321"/>
    </row>
    <row r="680" spans="2:29" s="321" customFormat="1" ht="42.75" x14ac:dyDescent="0.2">
      <c r="B680" s="16">
        <f t="shared" si="32"/>
        <v>3</v>
      </c>
      <c r="C680" s="1" t="s">
        <v>174</v>
      </c>
      <c r="D680" s="26" t="s">
        <v>145</v>
      </c>
      <c r="E680" s="45"/>
      <c r="F680" s="98">
        <f>'II-I-DIST'!F680</f>
        <v>11602331.33</v>
      </c>
      <c r="G680" s="1" t="str">
        <f>'II-I-DIST'!H680</f>
        <v>DIST OPS</v>
      </c>
      <c r="H680" s="97">
        <f>'II-I-MET'!F680</f>
        <v>651135.68000000005</v>
      </c>
      <c r="I680" s="45" t="str">
        <f>'II-I-MET'!H680</f>
        <v>DIST OPS</v>
      </c>
      <c r="J680" s="98">
        <f>'II-I-TBILLTDCS'!F680</f>
        <v>64046.58</v>
      </c>
      <c r="K680" s="45" t="str">
        <f>'II-I-TBILLTDCS'!H680</f>
        <v>DIST OPS</v>
      </c>
      <c r="L680" s="802">
        <f t="shared" si="31"/>
        <v>12317513.59</v>
      </c>
      <c r="M680" s="935" t="s">
        <v>995</v>
      </c>
      <c r="N680" s="305" t="b">
        <f>IF(' WP II-I-1.4'!L680=L680,TRUE)</f>
        <v>1</v>
      </c>
      <c r="R680"/>
      <c r="S680"/>
      <c r="Y680"/>
      <c r="Z680"/>
      <c r="AA680"/>
      <c r="AB680"/>
      <c r="AC680"/>
    </row>
    <row r="681" spans="2:29" s="321" customFormat="1" ht="28.5" x14ac:dyDescent="0.2">
      <c r="B681" s="16">
        <f t="shared" si="32"/>
        <v>4</v>
      </c>
      <c r="C681" s="1" t="s">
        <v>175</v>
      </c>
      <c r="D681" s="1" t="s">
        <v>176</v>
      </c>
      <c r="E681" s="18"/>
      <c r="F681" s="23">
        <f>'II-I-DIST'!F681</f>
        <v>12959390.869999999</v>
      </c>
      <c r="G681" s="1" t="str">
        <f>'II-I-DIST'!H681</f>
        <v>NCP XHV</v>
      </c>
      <c r="H681" s="229">
        <f>'II-I-MET'!F681</f>
        <v>0</v>
      </c>
      <c r="I681" s="45" t="str">
        <f>'II-I-MET'!H681</f>
        <v>NCP XHV</v>
      </c>
      <c r="J681" s="23">
        <f>'II-I-TBILLTDCS'!F681</f>
        <v>0</v>
      </c>
      <c r="K681" s="45" t="str">
        <f>'II-I-TBILLTDCS'!H681</f>
        <v>NCP XHV</v>
      </c>
      <c r="L681" s="802">
        <f t="shared" si="31"/>
        <v>12959390.869999999</v>
      </c>
      <c r="M681" s="935" t="s">
        <v>996</v>
      </c>
      <c r="N681" s="305" t="b">
        <f>IF(' WP II-I-1.4'!L681=L681,TRUE)</f>
        <v>1</v>
      </c>
      <c r="R681"/>
      <c r="S681"/>
      <c r="Y681"/>
      <c r="Z681"/>
      <c r="AA681"/>
      <c r="AB681"/>
      <c r="AC681"/>
    </row>
    <row r="682" spans="2:29" s="321" customFormat="1" ht="42.75" x14ac:dyDescent="0.2">
      <c r="B682" s="16">
        <f t="shared" si="32"/>
        <v>5</v>
      </c>
      <c r="C682" s="1" t="s">
        <v>177</v>
      </c>
      <c r="D682" s="1" t="s">
        <v>149</v>
      </c>
      <c r="E682" s="18"/>
      <c r="F682" s="23">
        <f>'II-I-DIST'!F682</f>
        <v>5100475.93</v>
      </c>
      <c r="G682" s="1" t="str">
        <f>'II-I-DIST'!H682</f>
        <v>PLT 362</v>
      </c>
      <c r="H682" s="229">
        <f>'II-I-MET'!F682</f>
        <v>0</v>
      </c>
      <c r="I682" s="45" t="str">
        <f>'II-I-MET'!H682</f>
        <v>PLT 362</v>
      </c>
      <c r="J682" s="23">
        <f>'II-I-TBILLTDCS'!F682</f>
        <v>0</v>
      </c>
      <c r="K682" s="45" t="str">
        <f>'II-I-TBILLTDCS'!H682</f>
        <v>PLT 362</v>
      </c>
      <c r="L682" s="802">
        <f t="shared" si="31"/>
        <v>5100475.93</v>
      </c>
      <c r="M682" s="935" t="s">
        <v>997</v>
      </c>
      <c r="N682" s="1" t="b">
        <f>'II-I-DIST'!$C$682=C682</f>
        <v>1</v>
      </c>
      <c r="R682"/>
      <c r="S682"/>
      <c r="T682"/>
      <c r="U682"/>
      <c r="V682"/>
      <c r="W682"/>
      <c r="Y682"/>
      <c r="Z682"/>
      <c r="AA682"/>
      <c r="AB682"/>
      <c r="AC682"/>
    </row>
    <row r="683" spans="2:29" s="321" customFormat="1" ht="42.75" x14ac:dyDescent="0.2">
      <c r="B683" s="16">
        <f t="shared" si="32"/>
        <v>6</v>
      </c>
      <c r="C683" s="1" t="s">
        <v>178</v>
      </c>
      <c r="D683" s="1" t="s">
        <v>151</v>
      </c>
      <c r="E683" s="18"/>
      <c r="F683" s="23">
        <f>'II-I-DIST'!F683</f>
        <v>22054638.640000001</v>
      </c>
      <c r="G683" s="1" t="str">
        <f>'II-I-DIST'!H683</f>
        <v>PLT 365</v>
      </c>
      <c r="H683" s="229">
        <f>'II-I-MET'!F683</f>
        <v>13591.19</v>
      </c>
      <c r="I683" s="45" t="str">
        <f>'II-I-MET'!H683</f>
        <v>PLT 370</v>
      </c>
      <c r="J683" s="23">
        <f>'II-I-TBILLTDCS'!F683</f>
        <v>0</v>
      </c>
      <c r="K683" s="45" t="str">
        <f>'II-I-TBILLTDCS'!H683</f>
        <v>PLT 365</v>
      </c>
      <c r="L683" s="802">
        <f t="shared" si="31"/>
        <v>22068229.830000002</v>
      </c>
      <c r="M683" s="935" t="s">
        <v>998</v>
      </c>
      <c r="N683" s="1" t="b">
        <f>'II-I-DIST'!$D$683=D683</f>
        <v>1</v>
      </c>
      <c r="R683"/>
      <c r="S683"/>
      <c r="T683"/>
      <c r="U683"/>
      <c r="V683"/>
      <c r="W683"/>
      <c r="Y683"/>
      <c r="Z683"/>
      <c r="AA683"/>
      <c r="AB683"/>
      <c r="AC683"/>
    </row>
    <row r="684" spans="2:29" s="321" customFormat="1" ht="42.75" x14ac:dyDescent="0.2">
      <c r="B684" s="16">
        <f t="shared" si="32"/>
        <v>7</v>
      </c>
      <c r="C684" s="1" t="s">
        <v>179</v>
      </c>
      <c r="D684" s="1" t="s">
        <v>153</v>
      </c>
      <c r="E684" s="18"/>
      <c r="F684" s="23">
        <f>'II-I-DIST'!F684</f>
        <v>9701086.9600000009</v>
      </c>
      <c r="G684" s="1" t="str">
        <f>'II-I-DIST'!H684</f>
        <v>PLT 367</v>
      </c>
      <c r="H684" s="229">
        <f>'II-I-MET'!F684</f>
        <v>18527.89</v>
      </c>
      <c r="I684" s="45" t="str">
        <f>'II-I-MET'!H684</f>
        <v>PLT 370</v>
      </c>
      <c r="J684" s="23">
        <f>'II-I-TBILLTDCS'!F684</f>
        <v>0</v>
      </c>
      <c r="K684" s="45" t="str">
        <f>'II-I-TBILLTDCS'!H684</f>
        <v>NCP XHV</v>
      </c>
      <c r="L684" s="802">
        <f t="shared" si="31"/>
        <v>9719614.8500000015</v>
      </c>
      <c r="M684" s="935" t="s">
        <v>999</v>
      </c>
      <c r="N684" s="305" t="b">
        <f>IF(' WP II-I-1.4'!L684=L684,TRUE)</f>
        <v>1</v>
      </c>
      <c r="R684"/>
      <c r="S684"/>
      <c r="T684"/>
      <c r="U684"/>
      <c r="V684"/>
      <c r="W684"/>
      <c r="Z684"/>
      <c r="AA684"/>
      <c r="AB684"/>
      <c r="AC684"/>
    </row>
    <row r="685" spans="2:29" s="321" customFormat="1" ht="28.5" x14ac:dyDescent="0.2">
      <c r="B685" s="16">
        <f t="shared" si="32"/>
        <v>8</v>
      </c>
      <c r="C685" s="1" t="s">
        <v>180</v>
      </c>
      <c r="D685" s="1" t="s">
        <v>181</v>
      </c>
      <c r="E685" s="18"/>
      <c r="F685" s="23">
        <f>'II-I-DIST'!F685</f>
        <v>157.6</v>
      </c>
      <c r="G685" s="1" t="str">
        <f>'II-I-DIST'!H685</f>
        <v>NCP LGT</v>
      </c>
      <c r="H685" s="229">
        <f>'II-I-MET'!F685</f>
        <v>0</v>
      </c>
      <c r="I685" s="45" t="str">
        <f>'II-I-MET'!H685</f>
        <v>NCP LGT</v>
      </c>
      <c r="J685" s="23">
        <f>'II-I-TBILLTDCS'!F685</f>
        <v>0</v>
      </c>
      <c r="K685" s="45" t="str">
        <f>'II-I-TBILLTDCS'!H685</f>
        <v>NCP LGT</v>
      </c>
      <c r="L685" s="802">
        <f t="shared" si="31"/>
        <v>157.6</v>
      </c>
      <c r="M685" s="935" t="s">
        <v>1000</v>
      </c>
      <c r="N685" s="305" t="b">
        <f>IF(' WP II-I-1.4'!L685=L685,TRUE)</f>
        <v>1</v>
      </c>
      <c r="R685"/>
      <c r="S685"/>
      <c r="T685"/>
      <c r="U685"/>
      <c r="V685"/>
      <c r="W685"/>
      <c r="X685"/>
      <c r="Z685"/>
      <c r="AA685"/>
      <c r="AB685"/>
      <c r="AC685"/>
    </row>
    <row r="686" spans="2:29" s="321" customFormat="1" ht="42.75" x14ac:dyDescent="0.2">
      <c r="B686" s="16">
        <f t="shared" si="32"/>
        <v>9</v>
      </c>
      <c r="C686" s="1" t="s">
        <v>182</v>
      </c>
      <c r="D686" s="1" t="s">
        <v>183</v>
      </c>
      <c r="E686" s="18"/>
      <c r="F686" s="23">
        <f>'II-I-DIST'!F686</f>
        <v>0</v>
      </c>
      <c r="G686" s="1" t="str">
        <f>'II-I-DIST'!H686</f>
        <v>CUS W ALL</v>
      </c>
      <c r="H686" s="229">
        <f>'II-I-MET'!F686</f>
        <v>35005008.409999996</v>
      </c>
      <c r="I686" s="45" t="str">
        <f>'II-I-MET'!H686</f>
        <v>CUS W ALL</v>
      </c>
      <c r="J686" s="23">
        <f>'II-I-TBILLTDCS'!F686</f>
        <v>0</v>
      </c>
      <c r="K686" s="45" t="str">
        <f>'II-I-TBILLTDCS'!H686</f>
        <v>CUS W ALL</v>
      </c>
      <c r="L686" s="802">
        <f t="shared" si="31"/>
        <v>35005008.409999996</v>
      </c>
      <c r="M686" s="935" t="s">
        <v>1001</v>
      </c>
      <c r="N686" s="305" t="b">
        <f>IF(' WP II-I-1.4'!L686=L686,TRUE)</f>
        <v>1</v>
      </c>
      <c r="R686"/>
      <c r="S686"/>
      <c r="T686"/>
      <c r="U686"/>
      <c r="V686"/>
      <c r="W686"/>
      <c r="X686"/>
      <c r="Z686"/>
      <c r="AA686"/>
      <c r="AB686"/>
      <c r="AC686"/>
    </row>
    <row r="687" spans="2:29" s="321" customFormat="1" ht="42.75" x14ac:dyDescent="0.2">
      <c r="B687" s="16">
        <f t="shared" si="32"/>
        <v>10</v>
      </c>
      <c r="C687" s="1" t="s">
        <v>184</v>
      </c>
      <c r="D687" s="1" t="s">
        <v>185</v>
      </c>
      <c r="E687" s="18"/>
      <c r="F687" s="23">
        <f>'II-I-DIST'!F687</f>
        <v>2655620.85</v>
      </c>
      <c r="G687" s="1" t="str">
        <f>'II-I-DIST'!H687</f>
        <v>CUS W RTL</v>
      </c>
      <c r="H687" s="229">
        <f>'II-I-MET'!F687</f>
        <v>0</v>
      </c>
      <c r="I687" s="45" t="str">
        <f>'II-I-MET'!H687</f>
        <v>CUS W RTL</v>
      </c>
      <c r="J687" s="23">
        <f>'II-I-TBILLTDCS'!F687</f>
        <v>0</v>
      </c>
      <c r="K687" s="45" t="str">
        <f>'II-I-TBILLTDCS'!H687</f>
        <v>CUS W RTL</v>
      </c>
      <c r="L687" s="802">
        <f t="shared" si="31"/>
        <v>2655620.85</v>
      </c>
      <c r="M687" s="935" t="s">
        <v>1002</v>
      </c>
      <c r="N687" s="305" t="b">
        <f>IF(' WP II-I-1.4'!L687=L687,TRUE)</f>
        <v>1</v>
      </c>
      <c r="R687"/>
      <c r="S687"/>
      <c r="T687"/>
      <c r="U687"/>
      <c r="V687"/>
      <c r="W687"/>
      <c r="X687"/>
      <c r="Z687"/>
      <c r="AA687"/>
      <c r="AB687"/>
      <c r="AC687"/>
    </row>
    <row r="688" spans="2:29" s="321" customFormat="1" ht="42.75" x14ac:dyDescent="0.2">
      <c r="B688" s="16">
        <f t="shared" si="32"/>
        <v>11</v>
      </c>
      <c r="C688" s="1" t="s">
        <v>186</v>
      </c>
      <c r="D688" s="1" t="s">
        <v>187</v>
      </c>
      <c r="E688" s="18"/>
      <c r="F688" s="23">
        <f>'II-I-DIST'!F688</f>
        <v>114338938.56</v>
      </c>
      <c r="G688" s="1" t="str">
        <f>'II-I-DIST'!H688</f>
        <v>DIST OPS</v>
      </c>
      <c r="H688" s="229">
        <f>'II-I-MET'!F688</f>
        <v>2054606.74</v>
      </c>
      <c r="I688" s="45" t="str">
        <f>'II-I-MET'!H688</f>
        <v>DIST OPS</v>
      </c>
      <c r="J688" s="23">
        <f>'II-I-TBILLTDCS'!F688</f>
        <v>125580.7</v>
      </c>
      <c r="K688" s="45" t="str">
        <f>'II-I-TBILLTDCS'!H688</f>
        <v>DIST OPS</v>
      </c>
      <c r="L688" s="802">
        <f t="shared" si="31"/>
        <v>116519126</v>
      </c>
      <c r="M688" s="935" t="str">
        <f>M680</f>
        <v xml:space="preserve"> Related to all other distribution operation expense accounts; classified on a composite basis.</v>
      </c>
      <c r="N688" s="305" t="b">
        <f>IF(' WP II-I-1.4'!L688=L688,TRUE)</f>
        <v>1</v>
      </c>
      <c r="R688"/>
      <c r="S688"/>
      <c r="T688"/>
      <c r="U688"/>
      <c r="V688"/>
      <c r="W688"/>
      <c r="X688"/>
      <c r="Z688"/>
      <c r="AA688"/>
      <c r="AB688"/>
      <c r="AC688"/>
    </row>
    <row r="689" spans="2:29" s="321" customFormat="1" ht="28.5" x14ac:dyDescent="0.2">
      <c r="B689" s="16">
        <f t="shared" si="32"/>
        <v>12</v>
      </c>
      <c r="C689" s="1" t="s">
        <v>188</v>
      </c>
      <c r="D689" s="1" t="s">
        <v>189</v>
      </c>
      <c r="E689" s="18"/>
      <c r="F689" s="23">
        <f>'II-I-DIST'!F689</f>
        <v>201175.9</v>
      </c>
      <c r="G689" s="1" t="str">
        <f>'II-I-DIST'!H689</f>
        <v>NCP XSS</v>
      </c>
      <c r="H689" s="229">
        <f>'II-I-MET'!F689</f>
        <v>0</v>
      </c>
      <c r="I689" s="45" t="str">
        <f>'II-I-MET'!H689</f>
        <v>NCP XSS</v>
      </c>
      <c r="J689" s="23">
        <f>'II-I-TBILLTDCS'!F689</f>
        <v>0</v>
      </c>
      <c r="K689" s="45" t="str">
        <f>'II-I-TBILLTDCS'!H689</f>
        <v>NCP XSS</v>
      </c>
      <c r="L689" s="802">
        <f t="shared" ref="L689:L749" si="33">F689+H689+J689</f>
        <v>201175.9</v>
      </c>
      <c r="M689" s="935" t="s">
        <v>1003</v>
      </c>
      <c r="N689" s="305" t="b">
        <f>IF(' WP II-I-1.4'!L689=L689,TRUE)</f>
        <v>1</v>
      </c>
      <c r="R689"/>
      <c r="S689"/>
      <c r="T689"/>
      <c r="U689"/>
      <c r="V689"/>
      <c r="W689"/>
      <c r="X689"/>
      <c r="Z689"/>
      <c r="AA689"/>
      <c r="AB689"/>
      <c r="AC689"/>
    </row>
    <row r="690" spans="2:29" ht="15" x14ac:dyDescent="0.25">
      <c r="B690" s="16">
        <f t="shared" si="32"/>
        <v>13</v>
      </c>
      <c r="C690" s="8"/>
      <c r="D690" s="233" t="s">
        <v>582</v>
      </c>
      <c r="E690" s="831"/>
      <c r="F690" s="805">
        <f>'II-I-DIST'!F690</f>
        <v>178613816.64000002</v>
      </c>
      <c r="G690" s="1308"/>
      <c r="H690" s="805">
        <f>'II-I-MET'!F690</f>
        <v>37742869.909999996</v>
      </c>
      <c r="I690" s="1308"/>
      <c r="J690" s="805">
        <f>'II-I-TBILLTDCS'!F690</f>
        <v>189627.28</v>
      </c>
      <c r="K690" s="1308"/>
      <c r="L690" s="805">
        <f t="shared" si="33"/>
        <v>216546313.83000001</v>
      </c>
      <c r="N690" s="305" t="b">
        <f>IF(' WP II-I-1.4'!L690=L690,TRUE)</f>
        <v>1</v>
      </c>
      <c r="Y690" s="321"/>
    </row>
    <row r="691" spans="2:29" ht="15" x14ac:dyDescent="0.25">
      <c r="B691" s="16">
        <f t="shared" si="32"/>
        <v>14</v>
      </c>
      <c r="C691" s="8"/>
      <c r="D691" s="233"/>
      <c r="E691" s="831"/>
      <c r="F691" s="805">
        <f>'II-I-DIST'!F691</f>
        <v>0</v>
      </c>
      <c r="G691" s="1308"/>
      <c r="H691" s="805">
        <f>'II-I-MET'!F691</f>
        <v>0</v>
      </c>
      <c r="I691" s="1308"/>
      <c r="J691" s="805">
        <f>'II-I-TBILLTDCS'!F691</f>
        <v>0</v>
      </c>
      <c r="K691" s="1308"/>
      <c r="L691" s="805"/>
      <c r="Y691" s="321"/>
    </row>
    <row r="692" spans="2:29" ht="15" x14ac:dyDescent="0.25">
      <c r="B692" s="16">
        <f t="shared" si="32"/>
        <v>15</v>
      </c>
      <c r="C692" s="8"/>
      <c r="D692" s="233"/>
      <c r="E692" s="831"/>
      <c r="F692" s="805">
        <f>'II-I-DIST'!F692</f>
        <v>52672546.75</v>
      </c>
      <c r="G692" s="1308"/>
      <c r="H692" s="805">
        <f>'II-I-MET'!F692</f>
        <v>35037127.489999995</v>
      </c>
      <c r="I692" s="1308"/>
      <c r="J692" s="805">
        <f>'II-I-TBILLTDCS'!F692</f>
        <v>0</v>
      </c>
      <c r="K692" s="1308"/>
      <c r="L692" s="805"/>
      <c r="Y692" s="321"/>
    </row>
    <row r="693" spans="2:29" x14ac:dyDescent="0.2">
      <c r="B693" s="16">
        <f t="shared" si="32"/>
        <v>16</v>
      </c>
      <c r="C693" s="1"/>
      <c r="D693" s="28"/>
      <c r="E693" s="16"/>
      <c r="F693" s="18">
        <f>'II-I-DIST'!F693</f>
        <v>0</v>
      </c>
      <c r="G693" s="16"/>
      <c r="H693" s="18">
        <f>'II-I-MET'!F693</f>
        <v>0</v>
      </c>
      <c r="I693" s="16"/>
      <c r="J693" s="18">
        <f>'II-I-TBILLTDCS'!F693</f>
        <v>0</v>
      </c>
      <c r="K693" s="16"/>
      <c r="L693" s="803"/>
    </row>
    <row r="694" spans="2:29" ht="15" x14ac:dyDescent="0.25">
      <c r="B694" s="16">
        <f t="shared" si="32"/>
        <v>17</v>
      </c>
      <c r="C694" s="301"/>
      <c r="D694" s="8"/>
      <c r="E694" s="831"/>
      <c r="F694" s="805">
        <f>'II-I-DIST'!F694</f>
        <v>0</v>
      </c>
      <c r="G694" s="1308"/>
      <c r="H694" s="805">
        <f>'II-I-MET'!F694</f>
        <v>0</v>
      </c>
      <c r="I694" s="1308"/>
      <c r="J694" s="805">
        <f>'II-I-TBILLTDCS'!F694</f>
        <v>0</v>
      </c>
      <c r="K694" s="1308"/>
      <c r="L694" s="805"/>
    </row>
    <row r="695" spans="2:29" ht="15" x14ac:dyDescent="0.25">
      <c r="B695" s="16">
        <f t="shared" si="32"/>
        <v>18</v>
      </c>
      <c r="C695" s="8"/>
      <c r="D695" s="301" t="s">
        <v>578</v>
      </c>
      <c r="E695" s="831" t="s">
        <v>143</v>
      </c>
      <c r="F695" s="805">
        <f>'II-I-DIST'!F695</f>
        <v>0</v>
      </c>
      <c r="G695" s="1308"/>
      <c r="H695" s="805">
        <f>'II-I-MET'!F695</f>
        <v>0</v>
      </c>
      <c r="I695" s="1308"/>
      <c r="J695" s="805">
        <f>'II-I-TBILLTDCS'!F695</f>
        <v>0</v>
      </c>
      <c r="K695" s="1308"/>
      <c r="L695" s="805"/>
    </row>
    <row r="696" spans="2:29" s="321" customFormat="1" ht="42.75" x14ac:dyDescent="0.2">
      <c r="B696" s="16">
        <f t="shared" si="32"/>
        <v>19</v>
      </c>
      <c r="C696" s="1" t="s">
        <v>191</v>
      </c>
      <c r="D696" s="1" t="s">
        <v>162</v>
      </c>
      <c r="E696" s="16"/>
      <c r="F696" s="98">
        <f>'II-I-DIST'!F696</f>
        <v>2657755.9500000011</v>
      </c>
      <c r="G696" s="1" t="str">
        <f>'II-I-DIST'!H696</f>
        <v>DIST MAINT</v>
      </c>
      <c r="H696" s="97">
        <f>'II-I-MET'!F696</f>
        <v>675219.36000000022</v>
      </c>
      <c r="I696" s="45" t="str">
        <f>'II-I-MET'!H696</f>
        <v>DIST MAINT</v>
      </c>
      <c r="J696" s="98">
        <f>'II-I-TBILLTDCS'!F696</f>
        <v>53.75</v>
      </c>
      <c r="K696" s="45" t="str">
        <f>'II-I-TBILLTDCS'!H696</f>
        <v>NCP XHV</v>
      </c>
      <c r="L696" s="802">
        <f t="shared" si="33"/>
        <v>3333029.0600000015</v>
      </c>
      <c r="M696" s="935" t="s">
        <v>1004</v>
      </c>
      <c r="N696" s="305" t="b">
        <f>IF(' WP II-I-1.4'!L696=L696,TRUE)</f>
        <v>1</v>
      </c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21" customFormat="1" ht="42.75" x14ac:dyDescent="0.2">
      <c r="B697" s="16">
        <f t="shared" si="32"/>
        <v>20</v>
      </c>
      <c r="C697" s="1" t="s">
        <v>192</v>
      </c>
      <c r="D697" s="29" t="s">
        <v>164</v>
      </c>
      <c r="E697" s="16"/>
      <c r="F697" s="98">
        <f>'II-I-DIST'!F697</f>
        <v>6007.63</v>
      </c>
      <c r="G697" s="1" t="str">
        <f>'II-I-DIST'!H697</f>
        <v>PLT 361</v>
      </c>
      <c r="H697" s="97">
        <f>'II-I-MET'!F697</f>
        <v>0</v>
      </c>
      <c r="I697" s="45" t="str">
        <f>'II-I-MET'!H697</f>
        <v>PLT 361</v>
      </c>
      <c r="J697" s="98">
        <f>'II-I-TBILLTDCS'!F697</f>
        <v>0</v>
      </c>
      <c r="K697" s="45" t="str">
        <f>'II-I-TBILLTDCS'!H697</f>
        <v>PLT 361</v>
      </c>
      <c r="L697" s="802">
        <f t="shared" si="33"/>
        <v>6007.63</v>
      </c>
      <c r="M697" s="935" t="s">
        <v>1005</v>
      </c>
      <c r="N697" s="305" t="b">
        <f>IF(' WP II-I-1.4'!L697=L697,TRUE)</f>
        <v>1</v>
      </c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21" customFormat="1" ht="42.75" x14ac:dyDescent="0.2">
      <c r="B698" s="16">
        <f t="shared" si="32"/>
        <v>21</v>
      </c>
      <c r="C698" s="1" t="s">
        <v>193</v>
      </c>
      <c r="D698" s="1" t="s">
        <v>166</v>
      </c>
      <c r="E698" s="16"/>
      <c r="F698" s="23">
        <f>'II-I-DIST'!F698</f>
        <v>9523942.879999999</v>
      </c>
      <c r="G698" s="1" t="str">
        <f>'II-I-DIST'!H698</f>
        <v>PLT 362</v>
      </c>
      <c r="H698" s="97">
        <f>'II-I-MET'!F698</f>
        <v>0</v>
      </c>
      <c r="I698" s="45" t="str">
        <f>'II-I-MET'!H698</f>
        <v>PLT 362</v>
      </c>
      <c r="J698" s="98">
        <f>'II-I-TBILLTDCS'!F698</f>
        <v>0</v>
      </c>
      <c r="K698" s="45" t="str">
        <f>'II-I-TBILLTDCS'!H698</f>
        <v>PLT 362</v>
      </c>
      <c r="L698" s="802">
        <f t="shared" si="33"/>
        <v>9523942.879999999</v>
      </c>
      <c r="M698" s="935" t="s">
        <v>1006</v>
      </c>
      <c r="N698" s="305" t="b">
        <f>IF(' WP II-I-1.4'!L698=L698,TRUE)</f>
        <v>1</v>
      </c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21" customFormat="1" ht="42.75" x14ac:dyDescent="0.2">
      <c r="B699" s="16">
        <f t="shared" si="32"/>
        <v>22</v>
      </c>
      <c r="C699" s="1" t="s">
        <v>194</v>
      </c>
      <c r="D699" s="29" t="s">
        <v>168</v>
      </c>
      <c r="E699" s="16"/>
      <c r="F699" s="98">
        <f>'II-I-DIST'!F699</f>
        <v>124578101.33000012</v>
      </c>
      <c r="G699" s="1" t="str">
        <f>'II-I-DIST'!H699</f>
        <v>PLT OH</v>
      </c>
      <c r="H699" s="97">
        <f>'II-I-MET'!F699</f>
        <v>89014.65</v>
      </c>
      <c r="I699" s="45" t="str">
        <f>'II-I-MET'!H699</f>
        <v>PLT 370</v>
      </c>
      <c r="J699" s="98">
        <f>'II-I-TBILLTDCS'!F699</f>
        <v>0</v>
      </c>
      <c r="K699" s="45" t="str">
        <f>'II-I-TBILLTDCS'!H699</f>
        <v>PLT OH</v>
      </c>
      <c r="L699" s="802">
        <f t="shared" si="33"/>
        <v>124667115.98000012</v>
      </c>
      <c r="M699" s="935" t="s">
        <v>1007</v>
      </c>
      <c r="N699" s="305" t="b">
        <f>IF(' WP II-I-1.4'!L699=L699,TRUE)</f>
        <v>1</v>
      </c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21" customFormat="1" ht="42.75" x14ac:dyDescent="0.2">
      <c r="B700" s="16">
        <f t="shared" si="32"/>
        <v>23</v>
      </c>
      <c r="C700" s="1" t="s">
        <v>195</v>
      </c>
      <c r="D700" s="1" t="s">
        <v>170</v>
      </c>
      <c r="E700" s="16"/>
      <c r="F700" s="98">
        <f>'II-I-DIST'!F700</f>
        <v>31871379.119999893</v>
      </c>
      <c r="G700" s="1" t="str">
        <f>'II-I-DIST'!H700</f>
        <v>PLT UG</v>
      </c>
      <c r="H700" s="97">
        <f>'II-I-MET'!F700</f>
        <v>56409.110000000008</v>
      </c>
      <c r="I700" s="45" t="str">
        <f>'II-I-MET'!H700</f>
        <v>PLT 370</v>
      </c>
      <c r="J700" s="98">
        <f>'II-I-TBILLTDCS'!F700</f>
        <v>0</v>
      </c>
      <c r="K700" s="45" t="str">
        <f>'II-I-TBILLTDCS'!H700</f>
        <v>PLT UG</v>
      </c>
      <c r="L700" s="802">
        <f t="shared" si="33"/>
        <v>31927788.229999892</v>
      </c>
      <c r="M700" s="935" t="s">
        <v>1008</v>
      </c>
      <c r="N700" s="305" t="b">
        <f>IF(' WP II-I-1.4'!L700=L700,TRUE)</f>
        <v>1</v>
      </c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21" customFormat="1" ht="42.75" x14ac:dyDescent="0.2">
      <c r="B701" s="16">
        <f t="shared" si="32"/>
        <v>24</v>
      </c>
      <c r="C701" s="1" t="s">
        <v>196</v>
      </c>
      <c r="D701" s="1" t="s">
        <v>197</v>
      </c>
      <c r="E701" s="16"/>
      <c r="F701" s="98">
        <f>'II-I-DIST'!F701</f>
        <v>3832933.3499999968</v>
      </c>
      <c r="G701" s="1" t="str">
        <f>'II-I-DIST'!H701</f>
        <v>PLT 368</v>
      </c>
      <c r="H701" s="97">
        <f>'II-I-MET'!F701</f>
        <v>15.35</v>
      </c>
      <c r="I701" s="45" t="str">
        <f>'II-I-MET'!H701</f>
        <v>PLT 370</v>
      </c>
      <c r="J701" s="98">
        <f>'II-I-TBILLTDCS'!F701</f>
        <v>0</v>
      </c>
      <c r="K701" s="45" t="str">
        <f>'II-I-TBILLTDCS'!H701</f>
        <v>PLT 368</v>
      </c>
      <c r="L701" s="802">
        <f t="shared" si="33"/>
        <v>3832948.6999999969</v>
      </c>
      <c r="M701" s="935" t="s">
        <v>1009</v>
      </c>
      <c r="N701" s="1" t="b">
        <f>'II-I-DIST'!$C$701=C701</f>
        <v>1</v>
      </c>
      <c r="R701"/>
      <c r="S701"/>
      <c r="X701"/>
      <c r="Y701"/>
      <c r="Z701"/>
      <c r="AA701"/>
      <c r="AB701"/>
      <c r="AC701"/>
    </row>
    <row r="702" spans="2:29" s="321" customFormat="1" ht="28.5" x14ac:dyDescent="0.2">
      <c r="B702" s="16">
        <f t="shared" si="32"/>
        <v>25</v>
      </c>
      <c r="C702" s="1" t="s">
        <v>198</v>
      </c>
      <c r="D702" s="1" t="s">
        <v>199</v>
      </c>
      <c r="E702" s="16"/>
      <c r="F702" s="98">
        <f>'II-I-DIST'!F702</f>
        <v>10452984.359999968</v>
      </c>
      <c r="G702" s="1" t="str">
        <f>'II-I-DIST'!H702</f>
        <v>NCP LGT</v>
      </c>
      <c r="H702" s="97">
        <f>'II-I-MET'!F702</f>
        <v>21695.01</v>
      </c>
      <c r="I702" s="45" t="str">
        <f>'II-I-MET'!H702</f>
        <v>NCP LGT</v>
      </c>
      <c r="J702" s="98">
        <f>'II-I-TBILLTDCS'!F702</f>
        <v>0</v>
      </c>
      <c r="K702" s="45" t="str">
        <f>'II-I-TBILLTDCS'!H702</f>
        <v>NCP LGT</v>
      </c>
      <c r="L702" s="802">
        <f t="shared" si="33"/>
        <v>10474679.369999968</v>
      </c>
      <c r="M702" s="935" t="s">
        <v>1000</v>
      </c>
      <c r="N702" s="1" t="b">
        <f>'II-I-DIST'!$D$702=D702</f>
        <v>1</v>
      </c>
      <c r="R702"/>
      <c r="S702"/>
      <c r="X702"/>
      <c r="Y702"/>
      <c r="Z702"/>
      <c r="AA702"/>
      <c r="AB702"/>
      <c r="AC702"/>
    </row>
    <row r="703" spans="2:29" s="321" customFormat="1" ht="42.75" x14ac:dyDescent="0.2">
      <c r="B703" s="16">
        <f t="shared" si="32"/>
        <v>26</v>
      </c>
      <c r="C703" s="1" t="s">
        <v>200</v>
      </c>
      <c r="D703" s="1" t="s">
        <v>201</v>
      </c>
      <c r="E703" s="16"/>
      <c r="F703" s="98">
        <f>'II-I-DIST'!F703</f>
        <v>0</v>
      </c>
      <c r="G703" s="1" t="str">
        <f>'II-I-DIST'!H703</f>
        <v>CUS W ALL</v>
      </c>
      <c r="H703" s="97">
        <f>'II-I-MET'!F703</f>
        <v>22948047.090000018</v>
      </c>
      <c r="I703" s="45" t="str">
        <f>'II-I-MET'!H703</f>
        <v>CUS W ALL</v>
      </c>
      <c r="J703" s="98">
        <f>'II-I-TBILLTDCS'!F703</f>
        <v>0</v>
      </c>
      <c r="K703" s="45" t="str">
        <f>'II-I-TBILLTDCS'!H703</f>
        <v>CUS W ALL</v>
      </c>
      <c r="L703" s="802">
        <f t="shared" si="33"/>
        <v>22948047.090000018</v>
      </c>
      <c r="M703" s="935" t="s">
        <v>980</v>
      </c>
      <c r="N703" s="305" t="b">
        <f>IF(' WP II-I-1.4'!L703=L703,TRUE)</f>
        <v>1</v>
      </c>
      <c r="R703"/>
      <c r="S703"/>
      <c r="X703"/>
      <c r="Y703"/>
      <c r="Z703"/>
      <c r="AA703"/>
      <c r="AB703"/>
      <c r="AC703"/>
    </row>
    <row r="704" spans="2:29" s="321" customFormat="1" ht="42.75" x14ac:dyDescent="0.2">
      <c r="B704" s="16">
        <f t="shared" si="32"/>
        <v>27</v>
      </c>
      <c r="C704" s="1" t="s">
        <v>202</v>
      </c>
      <c r="D704" s="1" t="s">
        <v>203</v>
      </c>
      <c r="E704" s="16"/>
      <c r="F704" s="98">
        <f>'II-I-DIST'!F704</f>
        <v>2328747.8200000017</v>
      </c>
      <c r="G704" s="1" t="str">
        <f>'II-I-DIST'!H704</f>
        <v>DIST MAINT</v>
      </c>
      <c r="H704" s="97">
        <f>'II-I-MET'!F704</f>
        <v>9612.5400000000009</v>
      </c>
      <c r="I704" s="45" t="str">
        <f>'II-I-MET'!H704</f>
        <v>DIST MAINT</v>
      </c>
      <c r="J704" s="98">
        <f>'II-I-TBILLTDCS'!F704</f>
        <v>0</v>
      </c>
      <c r="K704" s="45" t="str">
        <f>'II-I-TBILLTDCS'!H704</f>
        <v>DIST MAINT</v>
      </c>
      <c r="L704" s="802">
        <f t="shared" si="33"/>
        <v>2338360.3600000017</v>
      </c>
      <c r="M704" s="935" t="str">
        <f>M696</f>
        <v xml:space="preserve"> Related to all other distribution maintenance expense accounts; classified on a composite basis.</v>
      </c>
      <c r="N704" s="305" t="b">
        <f>IF(' WP II-I-1.4'!L704=L704,TRUE)</f>
        <v>1</v>
      </c>
      <c r="R704"/>
      <c r="S704"/>
      <c r="Y704"/>
      <c r="Z704"/>
      <c r="AA704"/>
      <c r="AB704"/>
      <c r="AC704"/>
    </row>
    <row r="705" spans="2:25" ht="15" x14ac:dyDescent="0.25">
      <c r="B705" s="16">
        <f t="shared" si="32"/>
        <v>28</v>
      </c>
      <c r="C705" s="8"/>
      <c r="D705" s="233" t="s">
        <v>584</v>
      </c>
      <c r="E705" s="831"/>
      <c r="F705" s="805">
        <f>'II-I-DIST'!F705</f>
        <v>185251852.43999994</v>
      </c>
      <c r="G705" s="1308"/>
      <c r="H705" s="805">
        <f>'II-I-MET'!F705</f>
        <v>23800013.110000018</v>
      </c>
      <c r="I705" s="1308"/>
      <c r="J705" s="805">
        <f>'II-I-TBILLTDCS'!F705</f>
        <v>53.75</v>
      </c>
      <c r="K705" s="1308"/>
      <c r="L705" s="805">
        <f t="shared" si="33"/>
        <v>209051919.29999995</v>
      </c>
      <c r="N705" s="305" t="b">
        <f>IF(' WP II-I-1.4'!L705=L705,TRUE)</f>
        <v>1</v>
      </c>
      <c r="T705" s="321"/>
      <c r="U705" s="321"/>
      <c r="V705" s="321"/>
      <c r="W705" s="321"/>
      <c r="X705" s="321"/>
    </row>
    <row r="706" spans="2:25" x14ac:dyDescent="0.2">
      <c r="B706" s="16"/>
      <c r="C706" s="1"/>
      <c r="D706" s="1"/>
      <c r="E706" s="16"/>
      <c r="F706" s="18">
        <f>'II-I-DIST'!F706</f>
        <v>0</v>
      </c>
      <c r="G706" s="16"/>
      <c r="H706" s="18">
        <f>'II-I-MET'!F706</f>
        <v>0</v>
      </c>
      <c r="I706" s="16"/>
      <c r="J706" s="18">
        <f>'II-I-TBILLTDCS'!F706</f>
        <v>0</v>
      </c>
      <c r="K706" s="16"/>
      <c r="L706" s="803"/>
      <c r="X706" s="321"/>
    </row>
    <row r="707" spans="2:25" ht="15" x14ac:dyDescent="0.25">
      <c r="B707" s="16"/>
      <c r="C707" s="8"/>
      <c r="D707" s="233"/>
      <c r="E707" s="831"/>
      <c r="F707" s="805">
        <f>'II-I-DIST'!F707</f>
        <v>180265348.66999996</v>
      </c>
      <c r="G707" s="1308"/>
      <c r="H707" s="805">
        <f>'II-I-MET'!F707</f>
        <v>23115181.21000002</v>
      </c>
      <c r="I707" s="1308"/>
      <c r="J707" s="805">
        <f>'II-I-TBILLTDCS'!F707</f>
        <v>0</v>
      </c>
      <c r="K707" s="1308"/>
      <c r="L707" s="805"/>
      <c r="X707" s="321"/>
    </row>
    <row r="708" spans="2:25" x14ac:dyDescent="0.2">
      <c r="B708" s="16"/>
      <c r="C708" s="1"/>
      <c r="D708" s="1"/>
      <c r="E708" s="16"/>
      <c r="F708" s="18">
        <f>'II-I-DIST'!F708</f>
        <v>0</v>
      </c>
      <c r="G708" s="16"/>
      <c r="H708" s="18">
        <f>'II-I-MET'!F708</f>
        <v>0</v>
      </c>
      <c r="I708" s="16"/>
      <c r="J708" s="18">
        <f>'II-I-TBILLTDCS'!F708</f>
        <v>0</v>
      </c>
      <c r="K708" s="16"/>
      <c r="L708" s="803"/>
      <c r="X708" s="321"/>
    </row>
    <row r="709" spans="2:25" ht="15" x14ac:dyDescent="0.25">
      <c r="B709" s="16"/>
      <c r="C709" s="8"/>
      <c r="D709" s="8"/>
      <c r="E709" s="831"/>
      <c r="F709" s="805">
        <f>'II-I-DIST'!F709</f>
        <v>363865669.07999992</v>
      </c>
      <c r="G709" s="1527"/>
      <c r="H709" s="805">
        <f>'II-I-MET'!F709</f>
        <v>61542883.020000011</v>
      </c>
      <c r="I709" s="1527"/>
      <c r="J709" s="805">
        <f>'II-I-TBILLTDCS'!F709</f>
        <v>189681.03</v>
      </c>
      <c r="K709" s="1527"/>
      <c r="L709" s="805"/>
    </row>
    <row r="710" spans="2:25" ht="15" x14ac:dyDescent="0.25">
      <c r="B710" s="16"/>
      <c r="C710" s="1"/>
      <c r="D710" s="8"/>
      <c r="E710" s="831"/>
      <c r="F710" s="805"/>
      <c r="G710" s="1308"/>
      <c r="H710" s="805"/>
      <c r="I710" s="1308"/>
      <c r="J710" s="805"/>
      <c r="K710" s="1308"/>
      <c r="L710" s="647"/>
    </row>
    <row r="711" spans="2:25" ht="15.75" thickBot="1" x14ac:dyDescent="0.3">
      <c r="B711" s="783"/>
      <c r="C711" s="783"/>
      <c r="D711" s="783"/>
      <c r="E711" s="783"/>
      <c r="F711" s="805"/>
      <c r="G711" s="105"/>
      <c r="H711" s="805"/>
      <c r="I711" s="105"/>
      <c r="J711" s="805"/>
      <c r="K711" s="105"/>
      <c r="L711" s="783"/>
      <c r="T711" s="321"/>
      <c r="U711" s="321"/>
      <c r="V711" s="321"/>
      <c r="W711" s="321"/>
    </row>
    <row r="712" spans="2:25" ht="15" x14ac:dyDescent="0.25">
      <c r="B712" s="829" t="str">
        <f>$B$4</f>
        <v>2025 RATE CASE</v>
      </c>
      <c r="C712" s="835"/>
      <c r="D712" s="836"/>
      <c r="E712" s="783"/>
      <c r="F712" s="267"/>
      <c r="H712" s="267"/>
      <c r="J712" s="267"/>
      <c r="K712"/>
      <c r="L712" s="783"/>
      <c r="T712" s="321"/>
      <c r="U712" s="321"/>
      <c r="V712" s="321"/>
      <c r="W712" s="321"/>
      <c r="Y712" s="321"/>
    </row>
    <row r="713" spans="2:25" ht="15" x14ac:dyDescent="0.25">
      <c r="B713" s="826" t="str">
        <f>$B$5</f>
        <v>ONCOR ELECTRIC DELIVERY COMPANY LLC</v>
      </c>
      <c r="C713" s="304"/>
      <c r="D713" s="837"/>
      <c r="E713" s="783"/>
      <c r="F713" s="267"/>
      <c r="H713" s="267"/>
      <c r="J713" s="267"/>
      <c r="K713"/>
      <c r="L713" s="783"/>
      <c r="T713" s="321"/>
      <c r="U713" s="321"/>
      <c r="V713" s="321"/>
      <c r="W713" s="321"/>
      <c r="Y713" s="321"/>
    </row>
    <row r="714" spans="2:25" ht="15" x14ac:dyDescent="0.25">
      <c r="B714" s="341" t="str">
        <f>$B$6</f>
        <v>II-I-2.1f:  CONSOLIDATED FUNCTIONALIZED COST OF SERVICE</v>
      </c>
      <c r="C714" s="304"/>
      <c r="D714" s="837"/>
      <c r="E714" s="783"/>
      <c r="F714" s="267"/>
      <c r="H714" s="267"/>
      <c r="J714" s="267"/>
      <c r="K714"/>
      <c r="L714" s="783"/>
      <c r="T714" s="321"/>
      <c r="U714" s="321"/>
      <c r="V714" s="321"/>
      <c r="W714" s="321"/>
      <c r="X714" s="321"/>
      <c r="Y714" s="321"/>
    </row>
    <row r="715" spans="2:25" ht="15" x14ac:dyDescent="0.25">
      <c r="B715" s="341" t="str">
        <f>$B$7</f>
        <v>TEST YEAR ENDING 12/31/2024</v>
      </c>
      <c r="C715" s="304"/>
      <c r="D715" s="837"/>
      <c r="E715" s="783"/>
      <c r="F715" s="267"/>
      <c r="H715" s="267"/>
      <c r="J715" s="267"/>
      <c r="K715"/>
      <c r="L715" s="783"/>
      <c r="T715" s="321"/>
      <c r="U715" s="321"/>
      <c r="V715" s="321"/>
      <c r="W715" s="321"/>
      <c r="X715" s="321"/>
      <c r="Y715" s="321"/>
    </row>
    <row r="716" spans="2:25" ht="15.75" x14ac:dyDescent="0.25">
      <c r="B716" s="341" t="str">
        <f>$B$8</f>
        <v>SPONSOR:  MATTHEW A. TROXLE</v>
      </c>
      <c r="C716" s="752"/>
      <c r="D716" s="830"/>
      <c r="E716" s="64"/>
      <c r="F716" s="267"/>
      <c r="H716" s="267"/>
      <c r="J716" s="267"/>
      <c r="K716"/>
      <c r="X716" s="321"/>
      <c r="Y716" s="321"/>
    </row>
    <row r="717" spans="2:25" ht="8.25" customHeight="1" thickBot="1" x14ac:dyDescent="0.3">
      <c r="B717" s="345"/>
      <c r="C717" s="840"/>
      <c r="D717" s="841"/>
      <c r="E717" s="304"/>
      <c r="F717" s="267"/>
      <c r="H717" s="267"/>
      <c r="J717" s="267"/>
      <c r="K717"/>
      <c r="L717" s="304"/>
      <c r="X717" s="321"/>
    </row>
    <row r="718" spans="2:25" ht="9.75" customHeight="1" x14ac:dyDescent="0.2">
      <c r="B718" s="12"/>
      <c r="C718" s="13"/>
      <c r="D718" s="177"/>
      <c r="E718" s="13"/>
      <c r="F718" s="12"/>
      <c r="G718" s="13"/>
      <c r="H718" s="12"/>
      <c r="I718" s="13"/>
      <c r="J718" s="12"/>
      <c r="K718" s="13"/>
      <c r="L718" s="855"/>
      <c r="M718" s="938"/>
      <c r="X718" s="321"/>
    </row>
    <row r="719" spans="2:25" ht="15" x14ac:dyDescent="0.25">
      <c r="B719" s="14" t="s">
        <v>2</v>
      </c>
      <c r="C719" s="14" t="s">
        <v>349</v>
      </c>
      <c r="D719" s="180" t="s">
        <v>587</v>
      </c>
      <c r="E719" s="14" t="s">
        <v>350</v>
      </c>
      <c r="F719" s="226" t="str">
        <f>'II-I-DIST'!F719</f>
        <v>DIST</v>
      </c>
      <c r="G719" s="181" t="str">
        <f>'II-I-DIST'!H719</f>
        <v>Allocation</v>
      </c>
      <c r="H719" s="226" t="str">
        <f>'II-I-MET'!F719</f>
        <v>MET</v>
      </c>
      <c r="I719" s="181" t="str">
        <f>'II-I-MET'!H719</f>
        <v>Allocation</v>
      </c>
      <c r="J719" s="226" t="str">
        <f>'II-I-TBILLTDCS'!F719</f>
        <v>TBILLTDCS</v>
      </c>
      <c r="K719" s="181" t="str">
        <f>'II-I-TBILLTDCS'!H719</f>
        <v>Allocation</v>
      </c>
      <c r="L719" s="660" t="s">
        <v>434</v>
      </c>
      <c r="M719" s="932" t="s">
        <v>970</v>
      </c>
    </row>
    <row r="720" spans="2:25" x14ac:dyDescent="0.2">
      <c r="B720" s="14"/>
      <c r="C720" s="14"/>
      <c r="D720" s="181"/>
      <c r="E720" s="14"/>
      <c r="F720" s="14"/>
      <c r="G720" s="181" t="str">
        <f>'II-I-DIST'!H720</f>
        <v>Factor</v>
      </c>
      <c r="H720" s="14"/>
      <c r="I720" s="181" t="str">
        <f>'II-I-MET'!H720</f>
        <v>Factor</v>
      </c>
      <c r="J720" s="14"/>
      <c r="K720" s="181" t="str">
        <f>'II-I-TBILLTDCS'!H720</f>
        <v>Factor</v>
      </c>
      <c r="L720" s="660" t="s">
        <v>31</v>
      </c>
      <c r="M720" s="939"/>
    </row>
    <row r="721" spans="2:29" ht="15.75" thickBot="1" x14ac:dyDescent="0.25">
      <c r="B721" s="182"/>
      <c r="C721" s="860"/>
      <c r="D721" s="184"/>
      <c r="E721" s="184"/>
      <c r="F721" s="15" t="str">
        <f>'II-I-DIST'!F721</f>
        <v>(a)</v>
      </c>
      <c r="G721" s="15" t="str">
        <f>'II-I-DIST'!H721</f>
        <v>(c)</v>
      </c>
      <c r="H721" s="664" t="str">
        <f>'II-I-MET'!F721</f>
        <v>(a)</v>
      </c>
      <c r="I721" s="15" t="str">
        <f>'II-I-MET'!H721</f>
        <v>(c)</v>
      </c>
      <c r="J721" s="664" t="str">
        <f>'II-I-TBILLTDCS'!F721</f>
        <v>(a)</v>
      </c>
      <c r="K721" s="15" t="str">
        <f>'II-I-TBILLTDCS'!H721</f>
        <v>(c)</v>
      </c>
      <c r="L721" s="664" t="s">
        <v>19</v>
      </c>
      <c r="M721" s="934" t="s">
        <v>20</v>
      </c>
      <c r="T721" s="321"/>
      <c r="U721" s="321"/>
      <c r="V721" s="321"/>
      <c r="W721" s="321"/>
    </row>
    <row r="722" spans="2:29" ht="7.5" customHeight="1" x14ac:dyDescent="0.2">
      <c r="B722" s="45"/>
      <c r="C722" s="268"/>
      <c r="D722" s="268"/>
      <c r="E722" s="268"/>
      <c r="F722" s="268"/>
      <c r="G722" s="268"/>
      <c r="H722" s="268"/>
      <c r="I722" s="268"/>
      <c r="J722" s="268"/>
      <c r="K722" s="268"/>
      <c r="L722" s="611"/>
      <c r="T722" s="321"/>
      <c r="U722" s="321"/>
      <c r="V722" s="321"/>
      <c r="W722" s="321"/>
      <c r="Y722" s="321"/>
    </row>
    <row r="723" spans="2:29" ht="15" x14ac:dyDescent="0.25">
      <c r="B723" s="16">
        <f>B710+1</f>
        <v>1</v>
      </c>
      <c r="C723" s="8"/>
      <c r="D723" s="301" t="s">
        <v>588</v>
      </c>
      <c r="E723" s="831" t="s">
        <v>143</v>
      </c>
      <c r="F723" s="8"/>
      <c r="G723" s="1308"/>
      <c r="H723" s="8"/>
      <c r="I723" s="1308"/>
      <c r="J723" s="8"/>
      <c r="K723" s="1308"/>
      <c r="L723" s="8"/>
      <c r="T723" s="321"/>
      <c r="U723" s="321"/>
      <c r="V723" s="321"/>
      <c r="W723" s="321"/>
      <c r="Y723" s="321"/>
    </row>
    <row r="724" spans="2:29" s="321" customFormat="1" ht="42.75" x14ac:dyDescent="0.2">
      <c r="B724" s="16">
        <f t="shared" ref="B724:B754" si="34">B723+1</f>
        <v>2</v>
      </c>
      <c r="C724" s="1" t="s">
        <v>205</v>
      </c>
      <c r="D724" s="1" t="s">
        <v>206</v>
      </c>
      <c r="E724" s="16"/>
      <c r="F724" s="23">
        <f>'II-I-DIST'!F724</f>
        <v>107858</v>
      </c>
      <c r="G724" s="1" t="str">
        <f>'II-I-DIST'!H724</f>
        <v>CUS W ALL</v>
      </c>
      <c r="H724" s="97">
        <f>'II-I-MET'!F724</f>
        <v>0</v>
      </c>
      <c r="I724" s="45" t="str">
        <f>'II-I-MET'!H724</f>
        <v>CUS ACCT</v>
      </c>
      <c r="J724" s="97">
        <f>'II-I-TBILLTDCS'!F724</f>
        <v>1800</v>
      </c>
      <c r="K724" s="45" t="str">
        <f>'II-I-TBILLTDCS'!H724</f>
        <v>CUS ACCT</v>
      </c>
      <c r="L724" s="802">
        <f t="shared" si="33"/>
        <v>109658</v>
      </c>
      <c r="M724" s="937" t="s">
        <v>1010</v>
      </c>
      <c r="N724" s="305" t="b">
        <f>IF(' WP II-I-1.4'!L724=L724,TRUE)</f>
        <v>1</v>
      </c>
      <c r="R724"/>
      <c r="S724"/>
      <c r="Z724"/>
      <c r="AA724"/>
      <c r="AB724"/>
      <c r="AC724"/>
    </row>
    <row r="725" spans="2:29" s="321" customFormat="1" ht="28.5" x14ac:dyDescent="0.2">
      <c r="B725" s="16">
        <f t="shared" si="34"/>
        <v>3</v>
      </c>
      <c r="C725" s="1" t="s">
        <v>207</v>
      </c>
      <c r="D725" s="1" t="s">
        <v>208</v>
      </c>
      <c r="E725" s="16"/>
      <c r="F725" s="98">
        <f>'II-I-DIST'!F725</f>
        <v>0</v>
      </c>
      <c r="G725" s="1" t="str">
        <f>'II-I-DIST'!H725</f>
        <v>CUS W ALL</v>
      </c>
      <c r="H725" s="97">
        <f>'II-I-MET'!F725</f>
        <v>62522.26</v>
      </c>
      <c r="I725" s="45" t="str">
        <f>'II-I-MET'!H725</f>
        <v>CUS W ALL</v>
      </c>
      <c r="J725" s="97">
        <f>'II-I-TBILLTDCS'!F725</f>
        <v>0</v>
      </c>
      <c r="K725" s="45" t="str">
        <f>'II-I-TBILLTDCS'!H725</f>
        <v>CUS W ALL</v>
      </c>
      <c r="L725" s="802">
        <f t="shared" si="33"/>
        <v>62522.26</v>
      </c>
      <c r="M725" s="937" t="s">
        <v>1011</v>
      </c>
      <c r="N725" s="305" t="b">
        <f>IF(' WP II-I-1.4'!L725=L725,TRUE)</f>
        <v>1</v>
      </c>
      <c r="R725"/>
      <c r="S725"/>
      <c r="Z725"/>
      <c r="AA725"/>
      <c r="AB725"/>
      <c r="AC725"/>
    </row>
    <row r="726" spans="2:29" s="321" customFormat="1" ht="42.75" x14ac:dyDescent="0.2">
      <c r="B726" s="16">
        <f t="shared" si="34"/>
        <v>4</v>
      </c>
      <c r="C726" s="1" t="s">
        <v>209</v>
      </c>
      <c r="D726" s="1" t="s">
        <v>210</v>
      </c>
      <c r="E726" s="16"/>
      <c r="F726" s="98">
        <f>'II-I-DIST'!F726</f>
        <v>0</v>
      </c>
      <c r="G726" s="1" t="str">
        <f>'II-I-DIST'!H726</f>
        <v>CUS W ALL</v>
      </c>
      <c r="H726" s="97">
        <f>'II-I-MET'!F726</f>
        <v>9746905.9800000004</v>
      </c>
      <c r="I726" s="45" t="str">
        <f>'II-I-MET'!H726</f>
        <v>CUS W ALL</v>
      </c>
      <c r="J726" s="97">
        <f>'II-I-TBILLTDCS'!F726</f>
        <v>14184772.5</v>
      </c>
      <c r="K726" s="45" t="str">
        <f>'II-I-TBILLTDCS'!H726</f>
        <v>CUS W ALL</v>
      </c>
      <c r="L726" s="802">
        <f t="shared" si="33"/>
        <v>23931678.48</v>
      </c>
      <c r="M726" s="937" t="s">
        <v>1012</v>
      </c>
      <c r="N726" s="305" t="b">
        <f>IF(' WP II-I-1.4'!L726=L726,TRUE)</f>
        <v>1</v>
      </c>
      <c r="R726"/>
      <c r="S726"/>
      <c r="T726"/>
      <c r="U726"/>
      <c r="V726"/>
      <c r="W726"/>
      <c r="Z726"/>
      <c r="AA726"/>
      <c r="AB726"/>
      <c r="AC726"/>
    </row>
    <row r="727" spans="2:29" s="321" customFormat="1" x14ac:dyDescent="0.2">
      <c r="B727" s="16">
        <f t="shared" si="34"/>
        <v>5</v>
      </c>
      <c r="C727" s="1" t="s">
        <v>211</v>
      </c>
      <c r="D727" s="1" t="s">
        <v>212</v>
      </c>
      <c r="E727" s="16"/>
      <c r="F727" s="98">
        <f>'II-I-DIST'!F727</f>
        <v>0</v>
      </c>
      <c r="G727" s="1" t="str">
        <f>'II-I-DIST'!H727</f>
        <v>REVENUE RTL</v>
      </c>
      <c r="H727" s="97">
        <f>'II-I-MET'!F727</f>
        <v>0</v>
      </c>
      <c r="I727" s="45" t="str">
        <f>'II-I-MET'!H727</f>
        <v>REVENUE RTL</v>
      </c>
      <c r="J727" s="97">
        <f>'II-I-TBILLTDCS'!F727</f>
        <v>2747328</v>
      </c>
      <c r="K727" s="45" t="str">
        <f>'II-I-TBILLTDCS'!H727</f>
        <v>REVENUE RTL</v>
      </c>
      <c r="L727" s="802">
        <f t="shared" si="33"/>
        <v>2747328</v>
      </c>
      <c r="M727" s="937"/>
      <c r="N727" s="305" t="b">
        <f>IF(' WP II-I-1.4'!L727=L727,TRUE)</f>
        <v>1</v>
      </c>
      <c r="R727"/>
      <c r="S727"/>
      <c r="T727"/>
      <c r="U727"/>
      <c r="V727"/>
      <c r="W727"/>
      <c r="Y727"/>
      <c r="Z727"/>
      <c r="AA727"/>
      <c r="AB727"/>
      <c r="AC727"/>
    </row>
    <row r="728" spans="2:29" s="321" customFormat="1" x14ac:dyDescent="0.2">
      <c r="B728" s="16">
        <f t="shared" si="34"/>
        <v>6</v>
      </c>
      <c r="C728" s="1" t="s">
        <v>213</v>
      </c>
      <c r="D728" s="29" t="s">
        <v>214</v>
      </c>
      <c r="E728" s="16"/>
      <c r="F728" s="98">
        <f>'II-I-DIST'!F728</f>
        <v>0</v>
      </c>
      <c r="G728" s="1" t="str">
        <f>'II-I-DIST'!H728</f>
        <v>CUS ACCT</v>
      </c>
      <c r="H728" s="97">
        <f>'II-I-MET'!F728</f>
        <v>0</v>
      </c>
      <c r="I728" s="45" t="str">
        <f>'II-I-MET'!H728</f>
        <v>CUS ACCT</v>
      </c>
      <c r="J728" s="97">
        <f>'II-I-TBILLTDCS'!F728</f>
        <v>0</v>
      </c>
      <c r="K728" s="45" t="str">
        <f>'II-I-TBILLTDCS'!H728</f>
        <v>CUS ACCT</v>
      </c>
      <c r="L728" s="802">
        <f t="shared" si="33"/>
        <v>0</v>
      </c>
      <c r="M728" s="937"/>
      <c r="N728" s="305" t="b">
        <f>IF(' WP II-I-1.4'!L728=L728,TRUE)</f>
        <v>1</v>
      </c>
      <c r="R728"/>
      <c r="S728"/>
      <c r="T728"/>
      <c r="U728"/>
      <c r="V728"/>
      <c r="W728"/>
      <c r="Y728"/>
      <c r="Z728"/>
      <c r="AA728"/>
      <c r="AB728"/>
      <c r="AC728"/>
    </row>
    <row r="729" spans="2:29" ht="15" x14ac:dyDescent="0.25">
      <c r="B729" s="16">
        <f t="shared" si="34"/>
        <v>7</v>
      </c>
      <c r="C729" s="8"/>
      <c r="D729" s="233" t="s">
        <v>589</v>
      </c>
      <c r="E729" s="831"/>
      <c r="F729" s="805">
        <f>'II-I-DIST'!F729</f>
        <v>107858</v>
      </c>
      <c r="G729" s="1308"/>
      <c r="H729" s="805">
        <f>'II-I-MET'!F729</f>
        <v>9809428.2400000002</v>
      </c>
      <c r="I729" s="1308"/>
      <c r="J729" s="805">
        <f>'II-I-TBILLTDCS'!F729</f>
        <v>16933900.5</v>
      </c>
      <c r="K729" s="1308"/>
      <c r="L729" s="805">
        <f t="shared" si="33"/>
        <v>26851186.740000002</v>
      </c>
      <c r="M729" s="937"/>
      <c r="N729" s="305" t="b">
        <f>IF(' WP II-I-1.4'!L729=L729,TRUE)</f>
        <v>1</v>
      </c>
    </row>
    <row r="730" spans="2:29" x14ac:dyDescent="0.2">
      <c r="B730" s="16">
        <f t="shared" si="34"/>
        <v>8</v>
      </c>
      <c r="C730" s="1"/>
      <c r="D730" s="1"/>
      <c r="E730" s="16"/>
      <c r="F730" s="18">
        <f>'II-I-DIST'!F730</f>
        <v>0</v>
      </c>
      <c r="G730" s="16"/>
      <c r="H730" s="18">
        <f>'II-I-MET'!F730</f>
        <v>0</v>
      </c>
      <c r="I730" s="16"/>
      <c r="J730" s="18">
        <f>'II-I-TBILLTDCS'!F730</f>
        <v>0</v>
      </c>
      <c r="K730" s="16"/>
      <c r="L730" s="803"/>
      <c r="M730" s="937"/>
      <c r="N730" s="305" t="b">
        <f>IF(' WP II-I-1.4'!L730=L730,TRUE)</f>
        <v>1</v>
      </c>
    </row>
    <row r="731" spans="2:29" ht="15" x14ac:dyDescent="0.25">
      <c r="B731" s="16">
        <f t="shared" si="34"/>
        <v>9</v>
      </c>
      <c r="C731" s="8"/>
      <c r="D731" s="233"/>
      <c r="E731" s="831"/>
      <c r="F731" s="805">
        <f>'II-I-DIST'!F731</f>
        <v>0</v>
      </c>
      <c r="G731" s="1308"/>
      <c r="H731" s="805">
        <f>'II-I-MET'!F731</f>
        <v>9809428.2400000002</v>
      </c>
      <c r="I731" s="1308"/>
      <c r="J731" s="805">
        <f>'II-I-TBILLTDCS'!F731</f>
        <v>14184772.5</v>
      </c>
      <c r="K731" s="1308"/>
      <c r="L731" s="805">
        <f t="shared" si="33"/>
        <v>23994200.740000002</v>
      </c>
      <c r="M731" s="937"/>
      <c r="N731" s="305" t="b">
        <f>IF(' WP II-I-1.4'!L731=L731,TRUE)</f>
        <v>1</v>
      </c>
    </row>
    <row r="732" spans="2:29" x14ac:dyDescent="0.2">
      <c r="B732" s="16">
        <f t="shared" si="34"/>
        <v>10</v>
      </c>
      <c r="C732" s="1"/>
      <c r="D732" s="1"/>
      <c r="E732" s="16"/>
      <c r="F732" s="18">
        <f>'II-I-DIST'!F732</f>
        <v>0</v>
      </c>
      <c r="G732" s="16"/>
      <c r="H732" s="18">
        <f>'II-I-MET'!F732</f>
        <v>0</v>
      </c>
      <c r="I732" s="16"/>
      <c r="J732" s="18">
        <f>'II-I-TBILLTDCS'!F732</f>
        <v>0</v>
      </c>
      <c r="K732" s="16"/>
      <c r="L732" s="803"/>
      <c r="M732" s="937"/>
      <c r="N732" s="305" t="b">
        <f>IF(' WP II-I-1.4'!L732=L732,TRUE)</f>
        <v>1</v>
      </c>
      <c r="Y732" s="321"/>
    </row>
    <row r="733" spans="2:29" ht="15" x14ac:dyDescent="0.25">
      <c r="B733" s="16">
        <f t="shared" si="34"/>
        <v>11</v>
      </c>
      <c r="C733" s="8"/>
      <c r="D733" s="301" t="s">
        <v>599</v>
      </c>
      <c r="E733" s="831" t="s">
        <v>143</v>
      </c>
      <c r="F733" s="805">
        <f>'II-I-DIST'!F733</f>
        <v>0</v>
      </c>
      <c r="G733" s="1308"/>
      <c r="H733" s="805">
        <f>'II-I-MET'!F733</f>
        <v>0</v>
      </c>
      <c r="I733" s="1308"/>
      <c r="J733" s="805">
        <f>'II-I-TBILLTDCS'!F733</f>
        <v>0</v>
      </c>
      <c r="K733" s="1308"/>
      <c r="L733" s="805"/>
      <c r="N733" s="305" t="b">
        <f>IF(' WP II-I-1.4'!L733=L733,TRUE)</f>
        <v>1</v>
      </c>
      <c r="Y733" s="321"/>
    </row>
    <row r="734" spans="2:29" s="321" customFormat="1" x14ac:dyDescent="0.2">
      <c r="B734" s="16">
        <f t="shared" si="34"/>
        <v>12</v>
      </c>
      <c r="C734" s="1" t="s">
        <v>216</v>
      </c>
      <c r="D734" s="1" t="s">
        <v>217</v>
      </c>
      <c r="E734" s="16"/>
      <c r="F734" s="98">
        <f>'II-I-DIST'!F734</f>
        <v>0</v>
      </c>
      <c r="G734" s="1" t="str">
        <f>'II-I-DIST'!H734</f>
        <v>CUS U ALL</v>
      </c>
      <c r="H734" s="97">
        <f>'II-I-MET'!F734</f>
        <v>0</v>
      </c>
      <c r="I734" s="45" t="str">
        <f>'II-I-MET'!H734</f>
        <v>CUS U ALL</v>
      </c>
      <c r="J734" s="97">
        <f>'II-I-TBILLTDCS'!F734</f>
        <v>0</v>
      </c>
      <c r="K734" s="45" t="str">
        <f>'II-I-TBILLTDCS'!H734</f>
        <v>CUS U ALL</v>
      </c>
      <c r="L734" s="802">
        <f t="shared" si="33"/>
        <v>0</v>
      </c>
      <c r="M734" s="942"/>
      <c r="N734" s="305" t="b">
        <f>IF(' WP II-I-1.4'!L734=L734,TRUE)</f>
        <v>1</v>
      </c>
      <c r="R734"/>
      <c r="S734"/>
      <c r="T734"/>
      <c r="U734"/>
      <c r="V734"/>
      <c r="W734"/>
      <c r="X734"/>
      <c r="Z734"/>
      <c r="AA734"/>
      <c r="AB734"/>
      <c r="AC734"/>
    </row>
    <row r="735" spans="2:29" s="321" customFormat="1" x14ac:dyDescent="0.2">
      <c r="B735" s="16">
        <f t="shared" si="34"/>
        <v>13</v>
      </c>
      <c r="C735" s="1" t="s">
        <v>218</v>
      </c>
      <c r="D735" s="1" t="s">
        <v>206</v>
      </c>
      <c r="E735" s="16"/>
      <c r="F735" s="98">
        <f>'II-I-DIST'!F735</f>
        <v>0</v>
      </c>
      <c r="G735" s="1" t="str">
        <f>'II-I-DIST'!H735</f>
        <v>CUS SVC INFO</v>
      </c>
      <c r="H735" s="97">
        <f>'II-I-MET'!F735</f>
        <v>0</v>
      </c>
      <c r="I735" s="45" t="str">
        <f>'II-I-MET'!H735</f>
        <v>CUS SVC INFO</v>
      </c>
      <c r="J735" s="97">
        <f>'II-I-TBILLTDCS'!F735</f>
        <v>0</v>
      </c>
      <c r="K735" s="45" t="str">
        <f>'II-I-TBILLTDCS'!H735</f>
        <v>CUS SVC INFO</v>
      </c>
      <c r="L735" s="802">
        <f t="shared" si="33"/>
        <v>0</v>
      </c>
      <c r="M735" s="942"/>
      <c r="N735" s="305" t="b">
        <f>IF(' WP II-I-1.4'!L735=L735,TRUE)</f>
        <v>1</v>
      </c>
      <c r="R735"/>
      <c r="S735"/>
      <c r="T735"/>
      <c r="U735"/>
      <c r="V735"/>
      <c r="W735"/>
      <c r="X735"/>
      <c r="Z735"/>
      <c r="AA735"/>
      <c r="AB735"/>
      <c r="AC735"/>
    </row>
    <row r="736" spans="2:29" s="321" customFormat="1" ht="29.25" x14ac:dyDescent="0.25">
      <c r="B736" s="16">
        <f t="shared" si="34"/>
        <v>14</v>
      </c>
      <c r="C736" s="1" t="s">
        <v>219</v>
      </c>
      <c r="D736" s="1" t="s">
        <v>220</v>
      </c>
      <c r="E736" s="831"/>
      <c r="F736" s="98">
        <f>'II-I-DIST'!F736</f>
        <v>230789.12</v>
      </c>
      <c r="G736" s="1" t="str">
        <f>'II-I-DIST'!H736</f>
        <v>CUS U ALL</v>
      </c>
      <c r="H736" s="97">
        <f>'II-I-MET'!F736</f>
        <v>0</v>
      </c>
      <c r="I736" s="45" t="str">
        <f>'II-I-MET'!H736</f>
        <v>CUS U ALL</v>
      </c>
      <c r="J736" s="97">
        <f>'II-I-TBILLTDCS'!F736</f>
        <v>162992.94</v>
      </c>
      <c r="K736" s="45" t="str">
        <f>'II-I-TBILLTDCS'!H736</f>
        <v>CUS U ALL</v>
      </c>
      <c r="L736" s="802">
        <f t="shared" si="33"/>
        <v>393782.06</v>
      </c>
      <c r="M736" s="937" t="s">
        <v>1013</v>
      </c>
      <c r="N736" s="305" t="b">
        <f>IF(' WP II-I-1.4'!L736=L736,TRUE)</f>
        <v>1</v>
      </c>
      <c r="R736"/>
      <c r="S736"/>
      <c r="T736"/>
      <c r="U736"/>
      <c r="V736"/>
      <c r="W736"/>
      <c r="X736"/>
      <c r="Z736"/>
      <c r="AA736"/>
      <c r="AB736"/>
      <c r="AC736"/>
    </row>
    <row r="737" spans="2:29" s="321" customFormat="1" x14ac:dyDescent="0.2">
      <c r="B737" s="16">
        <f t="shared" si="34"/>
        <v>15</v>
      </c>
      <c r="C737" s="1" t="s">
        <v>221</v>
      </c>
      <c r="D737" s="1" t="s">
        <v>222</v>
      </c>
      <c r="E737" s="16"/>
      <c r="F737" s="98">
        <f>'II-I-DIST'!F737</f>
        <v>0</v>
      </c>
      <c r="G737" s="1" t="str">
        <f>'II-I-DIST'!H737</f>
        <v>CUS U RTL</v>
      </c>
      <c r="H737" s="97">
        <f>'II-I-MET'!F737</f>
        <v>0</v>
      </c>
      <c r="I737" s="45" t="str">
        <f>'II-I-MET'!H737</f>
        <v>CUS U RTL</v>
      </c>
      <c r="J737" s="97">
        <f>'II-I-TBILLTDCS'!F737</f>
        <v>0</v>
      </c>
      <c r="K737" s="45" t="str">
        <f>'II-I-TBILLTDCS'!H737</f>
        <v>CUS U RTL</v>
      </c>
      <c r="L737" s="802">
        <f t="shared" si="33"/>
        <v>0</v>
      </c>
      <c r="M737" s="937"/>
      <c r="N737" s="305" t="b">
        <f>IF(' WP II-I-1.4'!L737=L737,TRUE)</f>
        <v>1</v>
      </c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21" customFormat="1" ht="57.75" x14ac:dyDescent="0.25">
      <c r="B738" s="16">
        <f t="shared" si="34"/>
        <v>16</v>
      </c>
      <c r="C738" s="1" t="s">
        <v>223</v>
      </c>
      <c r="D738" s="1" t="s">
        <v>224</v>
      </c>
      <c r="E738" s="16"/>
      <c r="F738" s="23">
        <f>'II-I-DIST'!F738</f>
        <v>1143</v>
      </c>
      <c r="G738" s="1" t="str">
        <f>'II-I-DIST'!H738</f>
        <v>CUS SVC INFO</v>
      </c>
      <c r="H738" s="229">
        <f>'II-I-MET'!F738</f>
        <v>268</v>
      </c>
      <c r="I738" s="118" t="str">
        <f>'II-I-MET'!H738</f>
        <v>CUS U ALL</v>
      </c>
      <c r="J738" s="229">
        <f>'II-I-TBILLTDCS'!F738</f>
        <v>232.86</v>
      </c>
      <c r="K738" s="45" t="str">
        <f>'II-I-TBILLTDCS'!H738</f>
        <v>CUS SVC INFO</v>
      </c>
      <c r="L738" s="802">
        <f t="shared" si="33"/>
        <v>1643.8600000000001</v>
      </c>
      <c r="M738" s="952" t="s">
        <v>1310</v>
      </c>
      <c r="N738" s="305" t="b">
        <f>IF(' WP II-I-1.4'!L738=L738,TRUE)</f>
        <v>1</v>
      </c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ht="15" x14ac:dyDescent="0.25">
      <c r="B739" s="16">
        <f t="shared" si="34"/>
        <v>17</v>
      </c>
      <c r="C739" s="8"/>
      <c r="D739" s="233" t="s">
        <v>600</v>
      </c>
      <c r="E739" s="831"/>
      <c r="F739" s="805">
        <f>'II-I-DIST'!F739</f>
        <v>231932.12</v>
      </c>
      <c r="G739" s="1308"/>
      <c r="H739" s="805">
        <f>'II-I-MET'!F739</f>
        <v>268</v>
      </c>
      <c r="I739" s="1308"/>
      <c r="J739" s="805">
        <f>'II-I-TBILLTDCS'!F739</f>
        <v>163225.79999999999</v>
      </c>
      <c r="K739" s="1308"/>
      <c r="L739" s="805">
        <f t="shared" si="33"/>
        <v>395425.92</v>
      </c>
      <c r="M739" s="937"/>
      <c r="N739" s="305" t="b">
        <f>IF(' WP II-I-1.4'!L739=L739,TRUE)</f>
        <v>1</v>
      </c>
    </row>
    <row r="740" spans="2:29" ht="15" x14ac:dyDescent="0.25">
      <c r="B740" s="16">
        <f t="shared" si="34"/>
        <v>18</v>
      </c>
      <c r="C740" s="8"/>
      <c r="D740" s="233"/>
      <c r="E740" s="831"/>
      <c r="F740" s="805">
        <f>'II-I-DIST'!F740</f>
        <v>0</v>
      </c>
      <c r="G740" s="1308"/>
      <c r="H740" s="805">
        <f>'II-I-MET'!F740</f>
        <v>0</v>
      </c>
      <c r="I740" s="1308"/>
      <c r="J740" s="805">
        <f>'II-I-TBILLTDCS'!F740</f>
        <v>0</v>
      </c>
      <c r="K740" s="1308"/>
      <c r="L740" s="805"/>
      <c r="M740" s="937"/>
      <c r="N740" s="305" t="b">
        <f>IF(' WP II-I-1.4'!L740=L740,TRUE)</f>
        <v>1</v>
      </c>
    </row>
    <row r="741" spans="2:29" ht="15" x14ac:dyDescent="0.25">
      <c r="B741" s="16">
        <f t="shared" si="34"/>
        <v>19</v>
      </c>
      <c r="C741" s="8"/>
      <c r="D741" s="233"/>
      <c r="E741" s="831"/>
      <c r="F741" s="805">
        <f>'II-I-DIST'!F741</f>
        <v>230789.12</v>
      </c>
      <c r="G741" s="1308"/>
      <c r="H741" s="805">
        <f>'II-I-MET'!F741</f>
        <v>0</v>
      </c>
      <c r="I741" s="1308"/>
      <c r="J741" s="805">
        <f>'II-I-TBILLTDCS'!F741</f>
        <v>162992.94</v>
      </c>
      <c r="K741" s="1308"/>
      <c r="L741" s="805">
        <f t="shared" si="33"/>
        <v>393782.06</v>
      </c>
      <c r="M741" s="937"/>
      <c r="N741" s="305" t="b">
        <f>IF(' WP II-I-1.4'!L741=L741,TRUE)</f>
        <v>1</v>
      </c>
    </row>
    <row r="742" spans="2:29" x14ac:dyDescent="0.2">
      <c r="B742" s="16">
        <f t="shared" si="34"/>
        <v>20</v>
      </c>
      <c r="C742" s="1"/>
      <c r="D742" s="1"/>
      <c r="E742" s="16"/>
      <c r="F742" s="18">
        <f>'II-I-DIST'!F742</f>
        <v>0</v>
      </c>
      <c r="G742" s="16"/>
      <c r="H742" s="18">
        <f>'II-I-MET'!F742</f>
        <v>0</v>
      </c>
      <c r="I742" s="16"/>
      <c r="J742" s="18">
        <f>'II-I-TBILLTDCS'!F742</f>
        <v>0</v>
      </c>
      <c r="K742" s="16"/>
      <c r="L742" s="803"/>
      <c r="N742" s="305" t="b">
        <f>IF(' WP II-I-1.4'!L742=L742,TRUE)</f>
        <v>1</v>
      </c>
    </row>
    <row r="743" spans="2:29" ht="15" x14ac:dyDescent="0.25">
      <c r="B743" s="16">
        <f t="shared" si="34"/>
        <v>21</v>
      </c>
      <c r="C743" s="8"/>
      <c r="D743" s="303" t="s">
        <v>225</v>
      </c>
      <c r="E743" s="831" t="s">
        <v>143</v>
      </c>
      <c r="F743" s="805">
        <f>'II-I-DIST'!F743</f>
        <v>0</v>
      </c>
      <c r="G743" s="1308"/>
      <c r="H743" s="805">
        <f>'II-I-MET'!F743</f>
        <v>0</v>
      </c>
      <c r="I743" s="1308"/>
      <c r="J743" s="805">
        <f>'II-I-TBILLTDCS'!F743</f>
        <v>0</v>
      </c>
      <c r="K743" s="1308"/>
      <c r="L743" s="805"/>
      <c r="N743" s="305" t="b">
        <f>IF(' WP II-I-1.4'!L743=L743,TRUE)</f>
        <v>1</v>
      </c>
    </row>
    <row r="744" spans="2:29" s="321" customFormat="1" x14ac:dyDescent="0.2">
      <c r="B744" s="16">
        <f t="shared" si="34"/>
        <v>22</v>
      </c>
      <c r="C744" s="1" t="s">
        <v>226</v>
      </c>
      <c r="D744" s="49" t="s">
        <v>206</v>
      </c>
      <c r="E744" s="16"/>
      <c r="F744" s="98">
        <f>'II-I-DIST'!F744</f>
        <v>0</v>
      </c>
      <c r="G744" s="1" t="str">
        <f>'II-I-DIST'!H744</f>
        <v>CUS U RTL</v>
      </c>
      <c r="H744" s="97">
        <f>'II-I-MET'!F744</f>
        <v>0</v>
      </c>
      <c r="I744" s="45" t="str">
        <f>'II-I-MET'!H744</f>
        <v>CUS U RTL</v>
      </c>
      <c r="J744" s="97">
        <f>'II-I-TBILLTDCS'!F744</f>
        <v>0</v>
      </c>
      <c r="K744" s="45" t="str">
        <f>'II-I-TBILLTDCS'!H744</f>
        <v>CUS U RTL</v>
      </c>
      <c r="L744" s="802">
        <f t="shared" si="33"/>
        <v>0</v>
      </c>
      <c r="M744" s="937"/>
      <c r="N744" s="305" t="b">
        <f>IF(' WP II-I-1.4'!L744=L744,TRUE)</f>
        <v>1</v>
      </c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21" customFormat="1" ht="42.75" x14ac:dyDescent="0.2">
      <c r="B745" s="16">
        <f t="shared" si="34"/>
        <v>23</v>
      </c>
      <c r="C745" s="1" t="s">
        <v>227</v>
      </c>
      <c r="D745" s="49" t="s">
        <v>228</v>
      </c>
      <c r="E745" s="16"/>
      <c r="F745" s="98">
        <f>'II-I-DIST'!F745</f>
        <v>0</v>
      </c>
      <c r="G745" s="1" t="str">
        <f>'II-I-DIST'!H745</f>
        <v>CUS U RTL</v>
      </c>
      <c r="H745" s="97">
        <f>'II-I-MET'!F745</f>
        <v>0</v>
      </c>
      <c r="I745" s="45" t="str">
        <f>'II-I-MET'!H745</f>
        <v>CUS U RTL</v>
      </c>
      <c r="J745" s="97">
        <f>'II-I-TBILLTDCS'!F745</f>
        <v>0</v>
      </c>
      <c r="K745" s="45" t="str">
        <f>'II-I-TBILLTDCS'!H745</f>
        <v>CUS U RTL</v>
      </c>
      <c r="L745" s="802">
        <f t="shared" si="33"/>
        <v>0</v>
      </c>
      <c r="M745" s="937" t="s">
        <v>1014</v>
      </c>
      <c r="N745" s="305" t="b">
        <f>IF(' WP II-I-1.4'!L745=L745,TRUE)</f>
        <v>1</v>
      </c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21" customFormat="1" ht="28.5" x14ac:dyDescent="0.2">
      <c r="B746" s="16">
        <f t="shared" si="34"/>
        <v>24</v>
      </c>
      <c r="C746" s="1" t="s">
        <v>229</v>
      </c>
      <c r="D746" s="49" t="s">
        <v>230</v>
      </c>
      <c r="E746" s="16"/>
      <c r="F746" s="98">
        <f>'II-I-DIST'!F746</f>
        <v>0</v>
      </c>
      <c r="G746" s="1" t="str">
        <f>'II-I-DIST'!H746</f>
        <v>CUS U RTL</v>
      </c>
      <c r="H746" s="97">
        <f>'II-I-MET'!F746</f>
        <v>0</v>
      </c>
      <c r="I746" s="45" t="str">
        <f>'II-I-MET'!H746</f>
        <v>CUS U RTL</v>
      </c>
      <c r="J746" s="97">
        <f>'II-I-TBILLTDCS'!F746</f>
        <v>0</v>
      </c>
      <c r="K746" s="45" t="str">
        <f>'II-I-TBILLTDCS'!H746</f>
        <v>CUS U RTL</v>
      </c>
      <c r="L746" s="802">
        <f t="shared" si="33"/>
        <v>0</v>
      </c>
      <c r="M746" s="937" t="s">
        <v>1015</v>
      </c>
      <c r="N746" s="305" t="b">
        <f>IF(' WP II-I-1.4'!L746=L746,TRUE)</f>
        <v>1</v>
      </c>
      <c r="R746"/>
      <c r="S746"/>
      <c r="X746"/>
      <c r="Y746"/>
      <c r="Z746"/>
      <c r="AA746"/>
      <c r="AB746"/>
      <c r="AC746"/>
    </row>
    <row r="747" spans="2:29" s="321" customFormat="1" x14ac:dyDescent="0.2">
      <c r="B747" s="16">
        <f t="shared" si="34"/>
        <v>25</v>
      </c>
      <c r="C747" s="1" t="s">
        <v>231</v>
      </c>
      <c r="D747" s="49" t="s">
        <v>232</v>
      </c>
      <c r="E747" s="16"/>
      <c r="F747" s="98">
        <f>'II-I-DIST'!F747</f>
        <v>0</v>
      </c>
      <c r="G747" s="1" t="str">
        <f>'II-I-DIST'!H747</f>
        <v>CUS U RTL</v>
      </c>
      <c r="H747" s="97">
        <f>'II-I-MET'!F747</f>
        <v>0</v>
      </c>
      <c r="I747" s="45" t="str">
        <f>'II-I-MET'!H747</f>
        <v>CUS U RTL</v>
      </c>
      <c r="J747" s="97">
        <f>'II-I-TBILLTDCS'!F747</f>
        <v>0</v>
      </c>
      <c r="K747" s="45" t="str">
        <f>'II-I-TBILLTDCS'!H747</f>
        <v>CUS U RTL</v>
      </c>
      <c r="L747" s="802">
        <f t="shared" si="33"/>
        <v>0</v>
      </c>
      <c r="M747" s="937"/>
      <c r="N747" s="305" t="b">
        <f>IF(' WP II-I-1.4'!L747=L747,TRUE)</f>
        <v>1</v>
      </c>
      <c r="R747"/>
      <c r="S747"/>
      <c r="X747"/>
      <c r="Y747"/>
      <c r="Z747"/>
      <c r="AA747"/>
      <c r="AB747"/>
      <c r="AC747"/>
    </row>
    <row r="748" spans="2:29" s="321" customFormat="1" x14ac:dyDescent="0.2">
      <c r="B748" s="16">
        <f t="shared" si="34"/>
        <v>26</v>
      </c>
      <c r="C748" s="1" t="s">
        <v>233</v>
      </c>
      <c r="D748" s="49" t="s">
        <v>234</v>
      </c>
      <c r="E748" s="16"/>
      <c r="F748" s="98">
        <f>'II-I-DIST'!F748</f>
        <v>0</v>
      </c>
      <c r="G748" s="1" t="str">
        <f>'II-I-DIST'!H748</f>
        <v>CUS U RTL</v>
      </c>
      <c r="H748" s="97">
        <f>'II-I-MET'!F748</f>
        <v>0</v>
      </c>
      <c r="I748" s="45" t="str">
        <f>'II-I-MET'!H748</f>
        <v>CUS U RTL</v>
      </c>
      <c r="J748" s="97">
        <f>'II-I-TBILLTDCS'!F748</f>
        <v>0</v>
      </c>
      <c r="K748" s="45" t="str">
        <f>'II-I-TBILLTDCS'!H748</f>
        <v>CUS U RTL</v>
      </c>
      <c r="L748" s="802">
        <f t="shared" si="33"/>
        <v>0</v>
      </c>
      <c r="M748" s="937"/>
      <c r="N748" s="305" t="b">
        <f>IF(' WP II-I-1.4'!L748=L748,TRUE)</f>
        <v>1</v>
      </c>
      <c r="R748"/>
      <c r="S748"/>
      <c r="X748"/>
      <c r="Y748"/>
      <c r="Z748"/>
      <c r="AA748"/>
      <c r="AB748"/>
      <c r="AC748"/>
    </row>
    <row r="749" spans="2:29" ht="15" x14ac:dyDescent="0.25">
      <c r="B749" s="16">
        <f t="shared" si="34"/>
        <v>27</v>
      </c>
      <c r="C749" s="8"/>
      <c r="D749" s="233" t="s">
        <v>602</v>
      </c>
      <c r="E749" s="831"/>
      <c r="F749" s="805">
        <f>'II-I-DIST'!F749</f>
        <v>0</v>
      </c>
      <c r="G749" s="1308"/>
      <c r="H749" s="805">
        <f>'II-I-MET'!F749</f>
        <v>0</v>
      </c>
      <c r="I749" s="1308"/>
      <c r="J749" s="805">
        <f>'II-I-TBILLTDCS'!F749</f>
        <v>0</v>
      </c>
      <c r="K749" s="1308"/>
      <c r="L749" s="805">
        <f t="shared" si="33"/>
        <v>0</v>
      </c>
      <c r="N749" s="305" t="b">
        <f>IF(' WP II-I-1.4'!L749=L749,TRUE)</f>
        <v>1</v>
      </c>
      <c r="T749" s="321"/>
      <c r="U749" s="321"/>
      <c r="V749" s="321"/>
      <c r="W749" s="321"/>
      <c r="X749" s="321"/>
    </row>
    <row r="750" spans="2:29" ht="15" x14ac:dyDescent="0.25">
      <c r="B750" s="16">
        <f t="shared" si="34"/>
        <v>28</v>
      </c>
      <c r="C750" s="8"/>
      <c r="D750" s="304"/>
      <c r="E750" s="831"/>
      <c r="F750" s="805">
        <f>'II-I-DIST'!F750</f>
        <v>0</v>
      </c>
      <c r="G750" s="1308"/>
      <c r="H750" s="805">
        <f>'II-I-MET'!F750</f>
        <v>0</v>
      </c>
      <c r="I750" s="1308"/>
      <c r="J750" s="805">
        <f>'II-I-TBILLTDCS'!F750</f>
        <v>0</v>
      </c>
      <c r="K750" s="1308"/>
      <c r="L750" s="8"/>
      <c r="T750" s="321"/>
      <c r="U750" s="321"/>
      <c r="V750" s="321"/>
      <c r="W750" s="321"/>
      <c r="X750" s="321"/>
    </row>
    <row r="751" spans="2:29" ht="15" x14ac:dyDescent="0.25">
      <c r="B751" s="16">
        <f t="shared" si="34"/>
        <v>29</v>
      </c>
      <c r="C751" s="8"/>
      <c r="D751" s="233"/>
      <c r="E751" s="831"/>
      <c r="F751" s="805">
        <f>'II-I-DIST'!F751</f>
        <v>0</v>
      </c>
      <c r="G751" s="1308"/>
      <c r="H751" s="805">
        <f>'II-I-MET'!F751</f>
        <v>0</v>
      </c>
      <c r="I751" s="1308"/>
      <c r="J751" s="805">
        <f>'II-I-TBILLTDCS'!F751</f>
        <v>0</v>
      </c>
      <c r="K751" s="1308"/>
      <c r="L751" s="805"/>
      <c r="T751" s="321"/>
      <c r="U751" s="321"/>
      <c r="V751" s="321"/>
      <c r="W751" s="321"/>
      <c r="X751" s="321"/>
    </row>
    <row r="752" spans="2:29" ht="15.75" thickBot="1" x14ac:dyDescent="0.3">
      <c r="B752" s="16">
        <f t="shared" si="34"/>
        <v>30</v>
      </c>
      <c r="C752" s="8"/>
      <c r="D752" s="304"/>
      <c r="E752" s="831"/>
      <c r="F752" s="805">
        <f>'II-I-DIST'!F752</f>
        <v>0</v>
      </c>
      <c r="G752" s="1308"/>
      <c r="H752" s="805">
        <f>'II-I-MET'!F752</f>
        <v>0</v>
      </c>
      <c r="I752" s="1308"/>
      <c r="J752" s="805">
        <f>'II-I-TBILLTDCS'!F752</f>
        <v>0</v>
      </c>
      <c r="K752" s="1308"/>
      <c r="L752" s="8"/>
      <c r="T752" s="321"/>
      <c r="U752" s="321"/>
      <c r="V752" s="321"/>
      <c r="W752" s="321"/>
      <c r="X752" s="321"/>
    </row>
    <row r="753" spans="2:25" ht="15" x14ac:dyDescent="0.25">
      <c r="B753" s="16">
        <f t="shared" si="34"/>
        <v>31</v>
      </c>
      <c r="C753" s="255" t="s">
        <v>604</v>
      </c>
      <c r="D753" s="240"/>
      <c r="E753" s="241" t="s">
        <v>143</v>
      </c>
      <c r="F753" s="817">
        <f>'II-I-DIST'!F753</f>
        <v>2466185727.1599998</v>
      </c>
      <c r="G753" s="372"/>
      <c r="H753" s="817">
        <f>'II-I-MET'!F753</f>
        <v>71361589.280000001</v>
      </c>
      <c r="I753" s="372"/>
      <c r="J753" s="817">
        <f>'II-I-TBILLTDCS'!F753</f>
        <v>17286807.330000002</v>
      </c>
      <c r="K753" s="372"/>
      <c r="L753" s="566">
        <f>F753+H753+J753</f>
        <v>2554834123.77</v>
      </c>
      <c r="T753" s="321"/>
      <c r="U753" s="321"/>
      <c r="V753" s="321"/>
      <c r="W753" s="321"/>
      <c r="X753" s="321"/>
    </row>
    <row r="754" spans="2:25" ht="15.75" thickBot="1" x14ac:dyDescent="0.3">
      <c r="B754" s="16">
        <f t="shared" si="34"/>
        <v>32</v>
      </c>
      <c r="C754" s="262" t="s">
        <v>605</v>
      </c>
      <c r="D754" s="246"/>
      <c r="E754" s="247" t="s">
        <v>143</v>
      </c>
      <c r="F754" s="248">
        <f>'II-I-DIST'!F754</f>
        <v>365344254.49999976</v>
      </c>
      <c r="G754" s="375"/>
      <c r="H754" s="248">
        <f>'II-I-MET'!F754</f>
        <v>71361589.280000001</v>
      </c>
      <c r="I754" s="375"/>
      <c r="J754" s="248">
        <f>'II-I-TBILLTDCS'!F754</f>
        <v>17286807.330000002</v>
      </c>
      <c r="K754" s="375"/>
      <c r="L754" s="378">
        <f>F754+H754+J754</f>
        <v>453992651.10999972</v>
      </c>
      <c r="T754" s="321"/>
      <c r="U754" s="321"/>
      <c r="V754" s="321"/>
      <c r="W754" s="321"/>
      <c r="X754" s="321"/>
    </row>
    <row r="755" spans="2:25" ht="15" x14ac:dyDescent="0.25">
      <c r="B755" s="783"/>
      <c r="C755" s="783"/>
      <c r="D755" s="783"/>
      <c r="E755" s="783"/>
      <c r="F755" s="805"/>
      <c r="G755" s="105"/>
      <c r="H755" s="805"/>
      <c r="I755" s="105"/>
      <c r="J755" s="805"/>
      <c r="K755" s="105"/>
      <c r="L755" s="783"/>
      <c r="T755" s="321"/>
      <c r="U755" s="321"/>
      <c r="V755" s="321"/>
      <c r="W755" s="321"/>
      <c r="X755" s="321"/>
    </row>
    <row r="756" spans="2:25" ht="15.75" thickBot="1" x14ac:dyDescent="0.3">
      <c r="B756" s="783"/>
      <c r="C756" s="783"/>
      <c r="D756" s="783"/>
      <c r="E756" s="783"/>
      <c r="F756" s="805"/>
      <c r="G756" s="1308"/>
      <c r="H756" s="805"/>
      <c r="I756" s="1308"/>
      <c r="J756" s="805"/>
      <c r="K756" s="1308"/>
      <c r="L756" s="783"/>
      <c r="T756" s="321"/>
      <c r="U756" s="321"/>
      <c r="V756" s="321"/>
      <c r="W756" s="321"/>
      <c r="X756" s="321"/>
    </row>
    <row r="757" spans="2:25" ht="15" x14ac:dyDescent="0.25">
      <c r="B757" s="829" t="str">
        <f>$B$4</f>
        <v>2025 RATE CASE</v>
      </c>
      <c r="C757" s="835"/>
      <c r="D757" s="836"/>
      <c r="E757" s="783"/>
      <c r="F757" s="267"/>
      <c r="H757" s="267"/>
      <c r="J757" s="267"/>
      <c r="K757"/>
      <c r="L757" s="783"/>
      <c r="T757" s="321"/>
      <c r="U757" s="321"/>
      <c r="V757" s="321"/>
      <c r="W757" s="321"/>
      <c r="X757" s="321"/>
      <c r="Y757" s="321"/>
    </row>
    <row r="758" spans="2:25" ht="15" x14ac:dyDescent="0.25">
      <c r="B758" s="826" t="str">
        <f>$B$5</f>
        <v>ONCOR ELECTRIC DELIVERY COMPANY LLC</v>
      </c>
      <c r="C758" s="304"/>
      <c r="D758" s="837"/>
      <c r="E758" s="783"/>
      <c r="F758" s="306"/>
      <c r="H758" s="306"/>
      <c r="J758" s="306"/>
      <c r="K758"/>
      <c r="L758" s="783"/>
      <c r="T758" s="321"/>
      <c r="U758" s="321"/>
      <c r="V758" s="321"/>
      <c r="W758" s="321"/>
      <c r="X758" s="321"/>
      <c r="Y758" s="321"/>
    </row>
    <row r="759" spans="2:25" ht="15" x14ac:dyDescent="0.25">
      <c r="B759" s="341" t="str">
        <f>$B$6</f>
        <v>II-I-2.1f:  CONSOLIDATED FUNCTIONALIZED COST OF SERVICE</v>
      </c>
      <c r="C759" s="304"/>
      <c r="D759" s="837"/>
      <c r="E759" s="783"/>
      <c r="F759" s="306"/>
      <c r="H759" s="306"/>
      <c r="J759" s="306"/>
      <c r="K759"/>
      <c r="L759" s="783"/>
      <c r="T759" s="321"/>
      <c r="U759" s="321"/>
      <c r="V759" s="321"/>
      <c r="W759" s="321"/>
      <c r="X759" s="321"/>
      <c r="Y759" s="321"/>
    </row>
    <row r="760" spans="2:25" ht="15" x14ac:dyDescent="0.25">
      <c r="B760" s="341" t="str">
        <f>$B$7</f>
        <v>TEST YEAR ENDING 12/31/2024</v>
      </c>
      <c r="C760" s="304"/>
      <c r="D760" s="837"/>
      <c r="E760" s="304"/>
      <c r="F760" s="306"/>
      <c r="H760" s="306"/>
      <c r="J760" s="306"/>
      <c r="K760"/>
      <c r="L760" s="304"/>
      <c r="X760" s="321"/>
      <c r="Y760" s="321"/>
    </row>
    <row r="761" spans="2:25" ht="15" x14ac:dyDescent="0.25">
      <c r="B761" s="341" t="str">
        <f>$B$8</f>
        <v>SPONSOR:  MATTHEW A. TROXLE</v>
      </c>
      <c r="C761" s="304"/>
      <c r="D761" s="837"/>
      <c r="E761" s="304"/>
      <c r="F761" s="306"/>
      <c r="H761" s="306"/>
      <c r="J761" s="306"/>
      <c r="K761"/>
      <c r="L761" s="304"/>
      <c r="X761" s="321"/>
      <c r="Y761" s="321"/>
    </row>
    <row r="762" spans="2:25" ht="15.75" thickBot="1" x14ac:dyDescent="0.3">
      <c r="B762" s="345"/>
      <c r="C762" s="840"/>
      <c r="D762" s="841"/>
      <c r="E762" s="304"/>
      <c r="F762" s="306"/>
      <c r="H762" s="306"/>
      <c r="J762" s="306"/>
      <c r="K762"/>
      <c r="L762" s="304"/>
      <c r="X762" s="321"/>
      <c r="Y762" s="321"/>
    </row>
    <row r="763" spans="2:25" x14ac:dyDescent="0.2">
      <c r="B763" s="12"/>
      <c r="C763" s="13"/>
      <c r="D763" s="177"/>
      <c r="E763" s="177"/>
      <c r="F763" s="12"/>
      <c r="G763" s="13"/>
      <c r="H763" s="12"/>
      <c r="I763" s="13"/>
      <c r="J763" s="12"/>
      <c r="K763" s="13"/>
      <c r="L763" s="855"/>
      <c r="M763" s="938"/>
      <c r="Y763" s="321"/>
    </row>
    <row r="764" spans="2:25" ht="15" x14ac:dyDescent="0.25">
      <c r="B764" s="14" t="s">
        <v>2</v>
      </c>
      <c r="C764" s="14" t="s">
        <v>349</v>
      </c>
      <c r="D764" s="180" t="s">
        <v>1109</v>
      </c>
      <c r="E764" s="181" t="s">
        <v>350</v>
      </c>
      <c r="F764" s="226" t="str">
        <f>'II-I-DIST'!F764</f>
        <v>DIST</v>
      </c>
      <c r="G764" s="181" t="str">
        <f>'II-I-DIST'!H764</f>
        <v>Allocation</v>
      </c>
      <c r="H764" s="226" t="str">
        <f>'II-I-MET'!F764</f>
        <v>MET</v>
      </c>
      <c r="I764" s="181" t="str">
        <f>'II-I-MET'!H764</f>
        <v>Allocation</v>
      </c>
      <c r="J764" s="226" t="str">
        <f>'II-I-TBILLTDCS'!F764</f>
        <v>TBILLTDCS</v>
      </c>
      <c r="K764" s="181" t="str">
        <f>'II-I-TBILLTDCS'!H764</f>
        <v>Allocation</v>
      </c>
      <c r="L764" s="660" t="s">
        <v>434</v>
      </c>
      <c r="M764" s="932" t="s">
        <v>970</v>
      </c>
      <c r="Y764" s="321"/>
    </row>
    <row r="765" spans="2:25" x14ac:dyDescent="0.2">
      <c r="B765" s="14"/>
      <c r="C765" s="14"/>
      <c r="D765" s="181"/>
      <c r="E765" s="181"/>
      <c r="F765" s="14"/>
      <c r="G765" s="181" t="str">
        <f>'II-I-DIST'!H765</f>
        <v>Factor</v>
      </c>
      <c r="H765" s="14"/>
      <c r="I765" s="181" t="str">
        <f>'II-I-MET'!H765</f>
        <v>Factor</v>
      </c>
      <c r="J765" s="14"/>
      <c r="K765" s="181" t="str">
        <f>'II-I-TBILLTDCS'!H765</f>
        <v>Factor</v>
      </c>
      <c r="L765" s="660" t="s">
        <v>31</v>
      </c>
      <c r="M765" s="939"/>
      <c r="Y765" s="321"/>
    </row>
    <row r="766" spans="2:25" ht="15.75" thickBot="1" x14ac:dyDescent="0.25">
      <c r="B766" s="182"/>
      <c r="C766" s="860"/>
      <c r="D766" s="184"/>
      <c r="E766" s="184"/>
      <c r="F766" s="15" t="str">
        <f>'II-I-DIST'!F766</f>
        <v>(a)</v>
      </c>
      <c r="G766" s="15" t="str">
        <f>'II-I-DIST'!H766</f>
        <v>(c)</v>
      </c>
      <c r="H766" s="664" t="str">
        <f>'II-I-MET'!F766</f>
        <v>(a)</v>
      </c>
      <c r="I766" s="15" t="str">
        <f>'II-I-MET'!H766</f>
        <v>(c)</v>
      </c>
      <c r="J766" s="664" t="str">
        <f>'II-I-TBILLTDCS'!F766</f>
        <v>(a)</v>
      </c>
      <c r="K766" s="15" t="str">
        <f>'II-I-TBILLTDCS'!H766</f>
        <v>(c)</v>
      </c>
      <c r="L766" s="664" t="s">
        <v>19</v>
      </c>
      <c r="M766" s="934" t="s">
        <v>1056</v>
      </c>
      <c r="Y766" s="321"/>
    </row>
    <row r="767" spans="2:25" x14ac:dyDescent="0.2">
      <c r="B767" s="64"/>
      <c r="C767" s="41"/>
      <c r="D767" s="41"/>
      <c r="E767" s="268"/>
      <c r="F767" s="268"/>
      <c r="G767" s="268"/>
      <c r="H767" s="268"/>
      <c r="I767" s="268"/>
      <c r="J767" s="41"/>
      <c r="K767" s="268"/>
      <c r="L767" s="611"/>
      <c r="Y767" s="321"/>
    </row>
    <row r="768" spans="2:25" ht="15" x14ac:dyDescent="0.25">
      <c r="B768" s="16">
        <f t="shared" ref="B768:B787" si="35">B767+1</f>
        <v>1</v>
      </c>
      <c r="C768" s="8" t="s">
        <v>1109</v>
      </c>
      <c r="D768" s="8"/>
      <c r="E768" s="831" t="s">
        <v>236</v>
      </c>
      <c r="F768" s="8"/>
      <c r="G768" s="1308"/>
      <c r="H768" s="8"/>
      <c r="I768" s="1308"/>
      <c r="J768" s="8"/>
      <c r="K768" s="1308"/>
      <c r="L768" s="8"/>
      <c r="Y768" s="321"/>
    </row>
    <row r="769" spans="2:29" s="321" customFormat="1" ht="28.5" x14ac:dyDescent="0.2">
      <c r="B769" s="16">
        <f t="shared" si="35"/>
        <v>2</v>
      </c>
      <c r="C769" s="1" t="s">
        <v>237</v>
      </c>
      <c r="D769" s="1" t="s">
        <v>238</v>
      </c>
      <c r="E769" s="16"/>
      <c r="F769" s="97">
        <f>'II-I-DIST'!F769</f>
        <v>67366206.069999993</v>
      </c>
      <c r="G769" s="1" t="str">
        <f>'II-I-DIST'!H769</f>
        <v>O&amp;M x565</v>
      </c>
      <c r="H769" s="97">
        <f>'II-I-MET'!F769</f>
        <v>18757103.199999999</v>
      </c>
      <c r="I769" s="45" t="str">
        <f>'II-I-MET'!H769</f>
        <v>O&amp;M x565</v>
      </c>
      <c r="J769" s="98">
        <f>'II-I-TBILLTDCS'!F769</f>
        <v>20906425.129999999</v>
      </c>
      <c r="K769" s="45" t="str">
        <f>'II-I-TBILLTDCS'!H769</f>
        <v>O&amp;M x565</v>
      </c>
      <c r="L769" s="802">
        <f t="shared" ref="L769:L781" si="36">F769+H769+J769</f>
        <v>107029734.39999999</v>
      </c>
      <c r="M769" s="935" t="s">
        <v>1057</v>
      </c>
      <c r="N769" s="305" t="b">
        <f>IF(' WP II-I-1.4'!L769=L769,TRUE)</f>
        <v>1</v>
      </c>
      <c r="R769"/>
      <c r="S769"/>
      <c r="T769"/>
      <c r="U769"/>
      <c r="V769"/>
      <c r="W769"/>
      <c r="X769"/>
      <c r="Z769"/>
      <c r="AA769"/>
      <c r="AB769"/>
      <c r="AC769"/>
    </row>
    <row r="770" spans="2:29" s="321" customFormat="1" ht="28.5" x14ac:dyDescent="0.2">
      <c r="B770" s="16">
        <f t="shared" si="35"/>
        <v>3</v>
      </c>
      <c r="C770" s="1" t="s">
        <v>239</v>
      </c>
      <c r="D770" s="1" t="s">
        <v>240</v>
      </c>
      <c r="E770" s="16"/>
      <c r="F770" s="97">
        <f>'II-I-DIST'!F770</f>
        <v>7078296.0300000003</v>
      </c>
      <c r="G770" s="1" t="str">
        <f>'II-I-DIST'!H770</f>
        <v>O&amp;M x565</v>
      </c>
      <c r="H770" s="97">
        <f>'II-I-MET'!F770</f>
        <v>1847804.75</v>
      </c>
      <c r="I770" s="45" t="str">
        <f>'II-I-MET'!H770</f>
        <v>O&amp;M x565</v>
      </c>
      <c r="J770" s="98">
        <f>'II-I-TBILLTDCS'!F770</f>
        <v>1590894.35</v>
      </c>
      <c r="K770" s="45" t="str">
        <f>'II-I-TBILLTDCS'!H770</f>
        <v>O&amp;M x565</v>
      </c>
      <c r="L770" s="802">
        <f t="shared" si="36"/>
        <v>10516995.130000001</v>
      </c>
      <c r="M770" s="935" t="s">
        <v>1057</v>
      </c>
      <c r="N770" s="305" t="b">
        <f>IF(' WP II-I-1.4'!L770=L770,TRUE)</f>
        <v>1</v>
      </c>
      <c r="R770"/>
      <c r="S770"/>
      <c r="T770"/>
      <c r="U770"/>
      <c r="V770"/>
      <c r="W770"/>
      <c r="X770"/>
      <c r="Z770"/>
      <c r="AA770"/>
      <c r="AB770"/>
      <c r="AC770"/>
    </row>
    <row r="771" spans="2:29" s="321" customFormat="1" x14ac:dyDescent="0.2">
      <c r="B771" s="16">
        <f t="shared" si="35"/>
        <v>4</v>
      </c>
      <c r="C771" s="1" t="s">
        <v>241</v>
      </c>
      <c r="D771" s="1" t="s">
        <v>242</v>
      </c>
      <c r="E771" s="16"/>
      <c r="F771" s="97">
        <f>'II-I-DIST'!F771</f>
        <v>0</v>
      </c>
      <c r="G771" s="1" t="str">
        <f>'II-I-DIST'!H771</f>
        <v>O&amp;M x565</v>
      </c>
      <c r="H771" s="97">
        <f>'II-I-MET'!F771</f>
        <v>0</v>
      </c>
      <c r="I771" s="45" t="str">
        <f>'II-I-MET'!H771</f>
        <v>O&amp;M x565</v>
      </c>
      <c r="J771" s="98">
        <f>'II-I-TBILLTDCS'!F771</f>
        <v>0</v>
      </c>
      <c r="K771" s="45" t="str">
        <f>'II-I-TBILLTDCS'!H771</f>
        <v>O&amp;M x565</v>
      </c>
      <c r="L771" s="802">
        <f t="shared" si="36"/>
        <v>0</v>
      </c>
      <c r="M771" s="935"/>
      <c r="N771" s="305" t="b">
        <f>IF(' WP II-I-1.4'!L771=L771,TRUE)</f>
        <v>1</v>
      </c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21" customFormat="1" ht="28.5" x14ac:dyDescent="0.2">
      <c r="B772" s="16">
        <f t="shared" si="35"/>
        <v>5</v>
      </c>
      <c r="C772" s="1" t="s">
        <v>243</v>
      </c>
      <c r="D772" s="29" t="s">
        <v>244</v>
      </c>
      <c r="E772" s="16"/>
      <c r="F772" s="97">
        <f>'II-I-DIST'!F772</f>
        <v>88216475.980000004</v>
      </c>
      <c r="G772" s="1" t="str">
        <f>'II-I-DIST'!H772</f>
        <v>O&amp;M x565</v>
      </c>
      <c r="H772" s="97">
        <f>'II-I-MET'!F772</f>
        <v>9942399.8599999994</v>
      </c>
      <c r="I772" s="45" t="str">
        <f>'II-I-MET'!H772</f>
        <v>O&amp;M x565</v>
      </c>
      <c r="J772" s="98">
        <f>'II-I-TBILLTDCS'!F772</f>
        <v>5889851.7199999997</v>
      </c>
      <c r="K772" s="45" t="str">
        <f>'II-I-TBILLTDCS'!H772</f>
        <v>O&amp;M x565</v>
      </c>
      <c r="L772" s="802">
        <f t="shared" si="36"/>
        <v>104048727.56</v>
      </c>
      <c r="M772" s="935" t="s">
        <v>1057</v>
      </c>
      <c r="N772" s="305" t="b">
        <f>IF(' WP II-I-1.4'!L772=L772,TRUE)</f>
        <v>1</v>
      </c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21" customFormat="1" ht="28.5" x14ac:dyDescent="0.2">
      <c r="B773" s="16">
        <f t="shared" si="35"/>
        <v>6</v>
      </c>
      <c r="C773" s="1" t="s">
        <v>245</v>
      </c>
      <c r="D773" s="1" t="s">
        <v>246</v>
      </c>
      <c r="E773" s="16"/>
      <c r="F773" s="97">
        <f>'II-I-DIST'!F773</f>
        <v>581464952.13999999</v>
      </c>
      <c r="G773" s="1" t="str">
        <f>'II-I-DIST'!H773</f>
        <v>PLANT</v>
      </c>
      <c r="H773" s="97">
        <f>'II-I-MET'!F773</f>
        <v>0</v>
      </c>
      <c r="I773" s="45" t="str">
        <f>'II-I-MET'!H773</f>
        <v>PLANT</v>
      </c>
      <c r="J773" s="98">
        <f>'II-I-TBILLTDCS'!F773</f>
        <v>0</v>
      </c>
      <c r="K773" s="45" t="str">
        <f>'II-I-TBILLTDCS'!H773</f>
        <v>PLANT</v>
      </c>
      <c r="L773" s="727">
        <f t="shared" si="36"/>
        <v>581464952.13999999</v>
      </c>
      <c r="M773" s="935" t="s">
        <v>1016</v>
      </c>
      <c r="N773" s="305" t="b">
        <f>IF(' WP II-I-1.4'!L773=L773,TRUE)</f>
        <v>1</v>
      </c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21" customFormat="1" ht="28.5" x14ac:dyDescent="0.2">
      <c r="B774" s="16">
        <f t="shared" si="35"/>
        <v>7</v>
      </c>
      <c r="C774" s="1" t="s">
        <v>247</v>
      </c>
      <c r="D774" s="1" t="s">
        <v>248</v>
      </c>
      <c r="E774" s="16"/>
      <c r="F774" s="97">
        <f>'II-I-DIST'!F774</f>
        <v>59852107.579999998</v>
      </c>
      <c r="G774" s="1" t="str">
        <f>'II-I-DIST'!H774</f>
        <v>O&amp;M x565</v>
      </c>
      <c r="H774" s="97">
        <f>'II-I-MET'!F774</f>
        <v>0</v>
      </c>
      <c r="I774" s="45" t="str">
        <f>'II-I-MET'!H774</f>
        <v>O&amp;M x565</v>
      </c>
      <c r="J774" s="98">
        <f>'II-I-TBILLTDCS'!F774</f>
        <v>0</v>
      </c>
      <c r="K774" s="45" t="str">
        <f>'II-I-TBILLTDCS'!H774</f>
        <v>O&amp;M x565</v>
      </c>
      <c r="L774" s="802">
        <f t="shared" si="36"/>
        <v>59852107.579999998</v>
      </c>
      <c r="M774" s="935" t="s">
        <v>1057</v>
      </c>
      <c r="N774" s="305" t="b">
        <f>IF(' WP II-I-1.4'!L774=L774,TRUE)</f>
        <v>1</v>
      </c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21" customFormat="1" ht="28.5" x14ac:dyDescent="0.2">
      <c r="B775" s="16">
        <f t="shared" si="35"/>
        <v>8</v>
      </c>
      <c r="C775" s="1" t="s">
        <v>249</v>
      </c>
      <c r="D775" s="1" t="s">
        <v>250</v>
      </c>
      <c r="E775" s="16"/>
      <c r="F775" s="97">
        <f>'II-I-DIST'!F775</f>
        <v>41617959.450000018</v>
      </c>
      <c r="G775" s="1" t="str">
        <f>'II-I-DIST'!H775</f>
        <v>PAYROLL</v>
      </c>
      <c r="H775" s="97">
        <f>'II-I-MET'!F775</f>
        <v>15432223.109999999</v>
      </c>
      <c r="I775" s="45" t="str">
        <f>'II-I-MET'!H775</f>
        <v>PAYROLL</v>
      </c>
      <c r="J775" s="98">
        <f>'II-I-TBILLTDCS'!F775</f>
        <v>5996187.7300000004</v>
      </c>
      <c r="K775" s="45" t="str">
        <f>'II-I-TBILLTDCS'!H775</f>
        <v>PAYROLL</v>
      </c>
      <c r="L775" s="802">
        <f t="shared" si="36"/>
        <v>63046370.290000021</v>
      </c>
      <c r="M775" s="935" t="s">
        <v>1017</v>
      </c>
      <c r="N775" s="305" t="b">
        <f>IF(' WP II-I-1.4'!L775=L775,TRUE)</f>
        <v>1</v>
      </c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21" customFormat="1" ht="42.75" x14ac:dyDescent="0.2">
      <c r="B776" s="16">
        <f t="shared" si="35"/>
        <v>9</v>
      </c>
      <c r="C776" s="1" t="s">
        <v>251</v>
      </c>
      <c r="D776" s="1" t="s">
        <v>252</v>
      </c>
      <c r="E776" s="16"/>
      <c r="F776" s="229">
        <f>'II-I-DIST'!F776</f>
        <v>1604197.31</v>
      </c>
      <c r="G776" s="1" t="str">
        <f>'II-I-DIST'!H776</f>
        <v>REV_RCE</v>
      </c>
      <c r="H776" s="97">
        <f>'II-I-MET'!F776</f>
        <v>0</v>
      </c>
      <c r="I776" s="45" t="str">
        <f>'II-I-MET'!H776</f>
        <v>REVENUE</v>
      </c>
      <c r="J776" s="98">
        <f>'II-I-TBILLTDCS'!F776</f>
        <v>0</v>
      </c>
      <c r="K776" s="45" t="str">
        <f>'II-I-TBILLTDCS'!H776</f>
        <v>REVENUE</v>
      </c>
      <c r="L776" s="802">
        <f t="shared" si="36"/>
        <v>1604197.31</v>
      </c>
      <c r="M776" s="935" t="s">
        <v>1018</v>
      </c>
      <c r="N776" s="305" t="b">
        <f>IF(' WP II-I-1.4'!L776=L776,TRUE)</f>
        <v>1</v>
      </c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21" customFormat="1" ht="28.5" x14ac:dyDescent="0.2">
      <c r="B777" s="16">
        <f t="shared" si="35"/>
        <v>10</v>
      </c>
      <c r="C777" s="26" t="s">
        <v>253</v>
      </c>
      <c r="D777" s="1" t="s">
        <v>254</v>
      </c>
      <c r="E777" s="16"/>
      <c r="F777" s="97">
        <f>'II-I-DIST'!F777</f>
        <v>160617.35</v>
      </c>
      <c r="G777" s="1" t="str">
        <f>'II-I-DIST'!H777</f>
        <v>CUS U RTL</v>
      </c>
      <c r="H777" s="97">
        <f>'II-I-MET'!F777</f>
        <v>41937.22</v>
      </c>
      <c r="I777" s="45" t="str">
        <f>'II-I-MET'!H777</f>
        <v>CUS U RTL</v>
      </c>
      <c r="J777" s="98">
        <f>'II-I-TBILLTDCS'!F777</f>
        <v>510958.3</v>
      </c>
      <c r="K777" s="45" t="str">
        <f>'II-I-TBILLTDCS'!H777</f>
        <v>CUS U RTL</v>
      </c>
      <c r="L777" s="802">
        <f t="shared" si="36"/>
        <v>713512.87</v>
      </c>
      <c r="M777" s="935" t="s">
        <v>1019</v>
      </c>
      <c r="N777" s="305" t="b">
        <f>IF(' WP II-I-1.4'!L777=L777,TRUE)</f>
        <v>1</v>
      </c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21" customFormat="1" ht="28.5" x14ac:dyDescent="0.2">
      <c r="B778" s="16">
        <f t="shared" si="35"/>
        <v>11</v>
      </c>
      <c r="C778" s="1" t="s">
        <v>255</v>
      </c>
      <c r="D778" s="1" t="s">
        <v>256</v>
      </c>
      <c r="E778" s="16"/>
      <c r="F778" s="97">
        <f>'II-I-DIST'!F778</f>
        <v>12042134.73</v>
      </c>
      <c r="G778" s="1" t="str">
        <f>'II-I-DIST'!H778</f>
        <v>O&amp;M x565</v>
      </c>
      <c r="H778" s="97">
        <f>'II-I-MET'!F778</f>
        <v>2248815.19</v>
      </c>
      <c r="I778" s="45" t="str">
        <f>'II-I-MET'!H778</f>
        <v>O&amp;M x565</v>
      </c>
      <c r="J778" s="98">
        <f>'II-I-TBILLTDCS'!F778</f>
        <v>5812166.6600000001</v>
      </c>
      <c r="K778" s="45" t="str">
        <f>'II-I-TBILLTDCS'!H778</f>
        <v>O&amp;M x565</v>
      </c>
      <c r="L778" s="802">
        <f t="shared" si="36"/>
        <v>20103116.579999998</v>
      </c>
      <c r="M778" s="935" t="s">
        <v>1057</v>
      </c>
      <c r="N778" s="305" t="b">
        <f>IF(' WP II-I-1.4'!L778=L778,TRUE)</f>
        <v>1</v>
      </c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21" customFormat="1" ht="28.5" x14ac:dyDescent="0.2">
      <c r="B779" s="16">
        <f t="shared" si="35"/>
        <v>12</v>
      </c>
      <c r="C779" s="1" t="s">
        <v>257</v>
      </c>
      <c r="D779" s="1" t="s">
        <v>189</v>
      </c>
      <c r="E779" s="16"/>
      <c r="F779" s="97">
        <f>'II-I-DIST'!F779</f>
        <v>1126885.27</v>
      </c>
      <c r="G779" s="1" t="str">
        <f>'II-I-DIST'!H779</f>
        <v>O&amp;M x565</v>
      </c>
      <c r="H779" s="97">
        <f>'II-I-MET'!F779</f>
        <v>305921.09000000003</v>
      </c>
      <c r="I779" s="45" t="str">
        <f>'II-I-MET'!H779</f>
        <v>O&amp;M x565</v>
      </c>
      <c r="J779" s="98">
        <f>'II-I-TBILLTDCS'!F779</f>
        <v>122662.77</v>
      </c>
      <c r="K779" s="45" t="str">
        <f>'II-I-TBILLTDCS'!H779</f>
        <v>O&amp;M x565</v>
      </c>
      <c r="L779" s="802">
        <f t="shared" si="36"/>
        <v>1555469.1300000001</v>
      </c>
      <c r="M779" s="935" t="s">
        <v>1057</v>
      </c>
      <c r="N779" s="305" t="b">
        <f>IF(' WP II-I-1.4'!L779=L779,TRUE)</f>
        <v>1</v>
      </c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21" customFormat="1" x14ac:dyDescent="0.2">
      <c r="B780" s="16">
        <f t="shared" si="35"/>
        <v>13</v>
      </c>
      <c r="C780" s="1" t="s">
        <v>258</v>
      </c>
      <c r="D780" s="1" t="s">
        <v>259</v>
      </c>
      <c r="E780" s="16"/>
      <c r="F780" s="97">
        <f>'II-I-DIST'!F780</f>
        <v>78960.899999999994</v>
      </c>
      <c r="G780" s="1" t="str">
        <f>'II-I-DIST'!H780</f>
        <v>PLTGEN</v>
      </c>
      <c r="H780" s="97">
        <f>'II-I-MET'!F780</f>
        <v>15820.32</v>
      </c>
      <c r="I780" s="45" t="str">
        <f>'II-I-MET'!H780</f>
        <v>PLTGEN</v>
      </c>
      <c r="J780" s="98">
        <f>'II-I-TBILLTDCS'!F780</f>
        <v>1650.16</v>
      </c>
      <c r="K780" s="45" t="str">
        <f>'II-I-TBILLTDCS'!H780</f>
        <v>PLTGEN</v>
      </c>
      <c r="L780" s="802">
        <f t="shared" si="36"/>
        <v>96431.38</v>
      </c>
      <c r="M780" s="935" t="s">
        <v>1020</v>
      </c>
      <c r="N780" s="305" t="b">
        <f>IF(' WP II-I-1.4'!L780=L780,TRUE)</f>
        <v>1</v>
      </c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21" customFormat="1" x14ac:dyDescent="0.2">
      <c r="B781" s="16">
        <f t="shared" si="35"/>
        <v>14</v>
      </c>
      <c r="C781" s="1" t="s">
        <v>260</v>
      </c>
      <c r="D781" s="1" t="s">
        <v>259</v>
      </c>
      <c r="E781" s="16"/>
      <c r="F781" s="97">
        <f>'II-I-DIST'!F781</f>
        <v>1645283.27</v>
      </c>
      <c r="G781" s="1" t="str">
        <f>'II-I-DIST'!H781</f>
        <v>PLTGEN</v>
      </c>
      <c r="H781" s="98">
        <f>'II-I-MET'!F781</f>
        <v>464165.05</v>
      </c>
      <c r="I781" s="45" t="str">
        <f>'II-I-MET'!H781</f>
        <v>PLTGEN</v>
      </c>
      <c r="J781" s="98">
        <f>'II-I-TBILLTDCS'!F781</f>
        <v>18734.88</v>
      </c>
      <c r="K781" s="45" t="str">
        <f>'II-I-TBILLTDCS'!H781</f>
        <v>PLTGEN</v>
      </c>
      <c r="L781" s="802">
        <f t="shared" si="36"/>
        <v>2128183.1999999997</v>
      </c>
      <c r="M781" s="935" t="str">
        <f>M780</f>
        <v xml:space="preserve"> Related to General Plant</v>
      </c>
      <c r="N781" s="305" t="b">
        <f>IF(' WP II-I-1.4'!L781=L781,TRUE)</f>
        <v>1</v>
      </c>
      <c r="R781"/>
      <c r="S781"/>
      <c r="X781"/>
      <c r="Y781"/>
      <c r="Z781"/>
      <c r="AA781"/>
      <c r="AB781"/>
      <c r="AC781"/>
    </row>
    <row r="782" spans="2:29" s="321" customFormat="1" ht="15" thickBot="1" x14ac:dyDescent="0.25">
      <c r="B782" s="16">
        <f t="shared" si="35"/>
        <v>15</v>
      </c>
      <c r="C782" s="1"/>
      <c r="D782" s="1"/>
      <c r="E782" s="16"/>
      <c r="F782" s="17">
        <f>'II-I-DIST'!F782</f>
        <v>0</v>
      </c>
      <c r="G782" s="16"/>
      <c r="H782" s="17">
        <f>'II-I-MET'!F782</f>
        <v>0</v>
      </c>
      <c r="I782" s="16"/>
      <c r="J782" s="17">
        <f>'II-I-TBILLTDCS'!F782</f>
        <v>0</v>
      </c>
      <c r="K782" s="16"/>
      <c r="L782" s="647"/>
      <c r="M782" s="937"/>
      <c r="N782" s="305"/>
      <c r="R782"/>
      <c r="S782"/>
      <c r="X782"/>
      <c r="Y782"/>
      <c r="Z782"/>
      <c r="AA782"/>
      <c r="AB782"/>
      <c r="AC782"/>
    </row>
    <row r="783" spans="2:29" ht="15.75" thickBot="1" x14ac:dyDescent="0.3">
      <c r="B783" s="16">
        <f t="shared" si="35"/>
        <v>16</v>
      </c>
      <c r="C783" s="255" t="s">
        <v>606</v>
      </c>
      <c r="D783" s="773"/>
      <c r="E783" s="241"/>
      <c r="F783" s="812">
        <f>'II-I-DIST'!F783</f>
        <v>862254076.08000004</v>
      </c>
      <c r="G783" s="379"/>
      <c r="H783" s="817">
        <f>'II-I-MET'!F783</f>
        <v>49056189.789999999</v>
      </c>
      <c r="I783" s="241"/>
      <c r="J783" s="817">
        <f>'II-I-TBILLTDCS'!F783</f>
        <v>40849531.700000003</v>
      </c>
      <c r="K783" s="241"/>
      <c r="L783" s="566">
        <f>F783+H783+J783</f>
        <v>952159797.57000005</v>
      </c>
      <c r="M783" s="937"/>
      <c r="N783" s="305" t="b">
        <f>IF(' WP II-I-1.4'!L783=L783,TRUE)</f>
        <v>1</v>
      </c>
      <c r="T783" s="321"/>
      <c r="U783" s="321"/>
      <c r="V783" s="321"/>
      <c r="W783" s="321"/>
    </row>
    <row r="784" spans="2:29" ht="15.75" thickBot="1" x14ac:dyDescent="0.3">
      <c r="B784" s="16">
        <f t="shared" si="35"/>
        <v>17</v>
      </c>
      <c r="C784" s="954" t="s">
        <v>962</v>
      </c>
      <c r="D784" s="776"/>
      <c r="E784" s="777"/>
      <c r="F784" s="812">
        <f>'II-I-DIST'!F784</f>
        <v>862254076.08000004</v>
      </c>
      <c r="G784" s="777"/>
      <c r="H784" s="864">
        <f>'II-I-MET'!F784</f>
        <v>49056189.789999999</v>
      </c>
      <c r="I784" s="775"/>
      <c r="J784" s="258">
        <f>'II-I-TBILLTDCS'!F784</f>
        <v>40849531.700000003</v>
      </c>
      <c r="K784" s="777"/>
      <c r="L784" s="953">
        <f>F784+H784+J784</f>
        <v>952159797.57000005</v>
      </c>
      <c r="M784" s="937"/>
      <c r="N784" s="305" t="b">
        <f>IF(' WP II-I-1.4'!L784=L784,TRUE)</f>
        <v>1</v>
      </c>
      <c r="T784" s="321"/>
      <c r="U784" s="321"/>
      <c r="V784" s="321"/>
      <c r="W784" s="321"/>
      <c r="X784" s="321"/>
    </row>
    <row r="785" spans="2:25" ht="15.75" thickBot="1" x14ac:dyDescent="0.3">
      <c r="B785" s="16">
        <f t="shared" si="35"/>
        <v>18</v>
      </c>
      <c r="C785" s="262" t="s">
        <v>607</v>
      </c>
      <c r="D785" s="774"/>
      <c r="E785" s="247"/>
      <c r="F785" s="812">
        <f>'II-I-DIST'!F785</f>
        <v>3328439803.2399998</v>
      </c>
      <c r="G785" s="379"/>
      <c r="H785" s="248">
        <f>'II-I-MET'!F785</f>
        <v>120417779.06999999</v>
      </c>
      <c r="I785" s="247"/>
      <c r="J785" s="248">
        <f>'II-I-TBILLTDCS'!F785</f>
        <v>58136339.030000001</v>
      </c>
      <c r="K785" s="247"/>
      <c r="L785" s="378">
        <f>F785+H785+J785</f>
        <v>3506993921.3400002</v>
      </c>
      <c r="M785" s="937"/>
      <c r="N785" s="305" t="b">
        <f>IF(' WP II-I-1.4'!L785=L785,TRUE)</f>
        <v>1</v>
      </c>
      <c r="T785" s="321"/>
      <c r="U785" s="321"/>
      <c r="V785" s="321"/>
      <c r="W785" s="321"/>
      <c r="X785" s="321"/>
    </row>
    <row r="786" spans="2:25" ht="15.75" thickBot="1" x14ac:dyDescent="0.3">
      <c r="B786" s="16">
        <f t="shared" si="35"/>
        <v>19</v>
      </c>
      <c r="C786" s="8"/>
      <c r="D786" s="8"/>
      <c r="E786" s="861"/>
      <c r="F786" s="805">
        <f>'II-I-DIST'!F786</f>
        <v>0</v>
      </c>
      <c r="G786" s="1308"/>
      <c r="H786" s="805">
        <f>'II-I-MET'!F786</f>
        <v>0</v>
      </c>
      <c r="I786" s="1308"/>
      <c r="J786" s="805">
        <f>'II-I-TBILLTDCS'!F786</f>
        <v>0</v>
      </c>
      <c r="K786" s="1308"/>
      <c r="L786" s="805"/>
      <c r="M786" s="937"/>
      <c r="N786" s="305"/>
      <c r="T786" s="321"/>
      <c r="U786" s="321"/>
      <c r="V786" s="321"/>
      <c r="W786" s="321"/>
      <c r="X786" s="321"/>
    </row>
    <row r="787" spans="2:25" ht="15.75" thickBot="1" x14ac:dyDescent="0.3">
      <c r="B787" s="16">
        <f t="shared" si="35"/>
        <v>20</v>
      </c>
      <c r="C787" s="223" t="s">
        <v>965</v>
      </c>
      <c r="D787" s="307"/>
      <c r="E787" s="252"/>
      <c r="F787" s="812">
        <f>'II-I-DIST'!F787</f>
        <v>1227598330.5799997</v>
      </c>
      <c r="G787" s="379"/>
      <c r="H787" s="812">
        <f>'II-I-MET'!F787</f>
        <v>120417779.06999999</v>
      </c>
      <c r="I787" s="379"/>
      <c r="J787" s="812">
        <f>'II-I-TBILLTDCS'!F787</f>
        <v>58136339.030000001</v>
      </c>
      <c r="K787" s="379"/>
      <c r="L787" s="315">
        <f>F787+H787+J787</f>
        <v>1406152448.6799996</v>
      </c>
      <c r="M787" s="937"/>
      <c r="N787" s="305" t="b">
        <f>IF(' WP II-I-1.4'!L787=L787,TRUE)</f>
        <v>1</v>
      </c>
      <c r="T787" s="321"/>
      <c r="U787" s="321"/>
      <c r="V787" s="321"/>
      <c r="W787" s="321"/>
      <c r="X787" s="321"/>
    </row>
    <row r="788" spans="2:25" x14ac:dyDescent="0.2">
      <c r="B788" s="64"/>
      <c r="C788" s="64"/>
      <c r="D788" s="64"/>
      <c r="E788" s="64"/>
      <c r="F788" s="64"/>
      <c r="G788" s="64"/>
      <c r="H788" s="11"/>
      <c r="I788" s="64"/>
      <c r="J788" s="11"/>
      <c r="K788" s="64"/>
      <c r="T788" s="321"/>
      <c r="U788" s="321"/>
      <c r="V788" s="321"/>
      <c r="W788" s="321"/>
      <c r="X788" s="321"/>
    </row>
    <row r="789" spans="2:25" ht="15" x14ac:dyDescent="0.25">
      <c r="B789" s="783"/>
      <c r="C789" s="783"/>
      <c r="D789" s="783"/>
      <c r="E789" s="783"/>
      <c r="F789" s="64"/>
      <c r="G789" s="105"/>
      <c r="H789" s="64"/>
      <c r="I789" s="105"/>
      <c r="J789" s="64"/>
      <c r="K789" s="105"/>
      <c r="L789" s="783"/>
      <c r="X789" s="321"/>
    </row>
    <row r="790" spans="2:25" ht="15.75" thickBot="1" x14ac:dyDescent="0.3">
      <c r="B790" s="783"/>
      <c r="C790" s="783"/>
      <c r="D790" s="783"/>
      <c r="E790" s="783"/>
      <c r="F790" s="538"/>
      <c r="G790" s="538"/>
      <c r="H790" s="64"/>
      <c r="I790" s="64"/>
      <c r="J790" s="64"/>
      <c r="K790" s="64"/>
      <c r="L790" s="783"/>
      <c r="X790" s="321"/>
    </row>
    <row r="791" spans="2:25" ht="15" x14ac:dyDescent="0.25">
      <c r="B791" s="829" t="str">
        <f>$B$4</f>
        <v>2025 RATE CASE</v>
      </c>
      <c r="C791" s="835"/>
      <c r="D791" s="836"/>
      <c r="E791" s="783"/>
      <c r="F791" s="98"/>
      <c r="H791" s="11"/>
      <c r="J791" s="11"/>
      <c r="K791"/>
      <c r="L791" s="783"/>
      <c r="X791" s="321"/>
    </row>
    <row r="792" spans="2:25" ht="15" x14ac:dyDescent="0.25">
      <c r="B792" s="826" t="str">
        <f>$B$5</f>
        <v>ONCOR ELECTRIC DELIVERY COMPANY LLC</v>
      </c>
      <c r="C792" s="304"/>
      <c r="D792" s="837"/>
      <c r="E792" s="783"/>
      <c r="F792" s="98"/>
      <c r="H792" s="11"/>
      <c r="J792" s="11"/>
      <c r="K792"/>
      <c r="L792" s="783"/>
      <c r="Y792" s="321"/>
    </row>
    <row r="793" spans="2:25" ht="15" x14ac:dyDescent="0.25">
      <c r="B793" s="341" t="str">
        <f>$B$6</f>
        <v>II-I-2.1f:  CONSOLIDATED FUNCTIONALIZED COST OF SERVICE</v>
      </c>
      <c r="C793" s="304"/>
      <c r="D793" s="837"/>
      <c r="E793" s="783"/>
      <c r="F793" s="11"/>
      <c r="H793" s="11"/>
      <c r="J793" s="11"/>
      <c r="K793"/>
      <c r="L793" s="783"/>
      <c r="Y793" s="321"/>
    </row>
    <row r="794" spans="2:25" ht="15" x14ac:dyDescent="0.25">
      <c r="B794" s="341" t="str">
        <f>$B$7</f>
        <v>TEST YEAR ENDING 12/31/2024</v>
      </c>
      <c r="C794" s="304"/>
      <c r="D794" s="837"/>
      <c r="E794" s="304"/>
      <c r="F794" s="11"/>
      <c r="H794" s="11"/>
      <c r="J794" s="11"/>
      <c r="K794"/>
      <c r="L794" s="304"/>
      <c r="T794" s="321"/>
      <c r="U794" s="321"/>
      <c r="V794" s="321"/>
      <c r="W794" s="321"/>
      <c r="Y794" s="321"/>
    </row>
    <row r="795" spans="2:25" ht="15" x14ac:dyDescent="0.25">
      <c r="B795" s="341" t="str">
        <f>$B$8</f>
        <v>SPONSOR:  MATTHEW A. TROXLE</v>
      </c>
      <c r="C795" s="304"/>
      <c r="D795" s="837"/>
      <c r="E795" s="304"/>
      <c r="F795" s="11"/>
      <c r="H795" s="11"/>
      <c r="J795" s="11"/>
      <c r="K795"/>
      <c r="L795" s="304"/>
      <c r="T795" s="321"/>
      <c r="U795" s="321"/>
      <c r="V795" s="321"/>
      <c r="W795" s="321"/>
      <c r="Y795" s="321"/>
    </row>
    <row r="796" spans="2:25" ht="15.75" thickBot="1" x14ac:dyDescent="0.3">
      <c r="B796" s="345"/>
      <c r="C796" s="840"/>
      <c r="D796" s="841"/>
      <c r="E796" s="304"/>
      <c r="F796" s="11"/>
      <c r="H796" s="11"/>
      <c r="J796" s="11"/>
      <c r="K796"/>
      <c r="L796" s="304"/>
      <c r="T796" s="321"/>
      <c r="U796" s="321"/>
      <c r="V796" s="321"/>
      <c r="W796" s="321"/>
      <c r="Y796" s="321"/>
    </row>
    <row r="797" spans="2:25" x14ac:dyDescent="0.2">
      <c r="B797" s="12"/>
      <c r="C797" s="13"/>
      <c r="D797" s="177"/>
      <c r="E797" s="13"/>
      <c r="F797" s="12"/>
      <c r="G797" s="13"/>
      <c r="H797" s="12"/>
      <c r="I797" s="13"/>
      <c r="J797" s="12"/>
      <c r="K797" s="13"/>
      <c r="L797" s="855"/>
      <c r="M797" s="938"/>
      <c r="T797" s="321"/>
      <c r="U797" s="321"/>
      <c r="V797" s="321"/>
      <c r="W797" s="321"/>
      <c r="X797" s="321"/>
      <c r="Y797" s="321"/>
    </row>
    <row r="798" spans="2:25" ht="15" x14ac:dyDescent="0.25">
      <c r="B798" s="14" t="s">
        <v>2</v>
      </c>
      <c r="C798" s="14" t="s">
        <v>349</v>
      </c>
      <c r="D798" s="180" t="s">
        <v>608</v>
      </c>
      <c r="E798" s="14" t="s">
        <v>350</v>
      </c>
      <c r="F798" s="226" t="str">
        <f>'II-I-DIST'!F798</f>
        <v>DIST</v>
      </c>
      <c r="G798" s="181" t="str">
        <f>'II-I-DIST'!H798</f>
        <v>Allocation</v>
      </c>
      <c r="H798" s="226" t="str">
        <f>'II-I-MET'!F798</f>
        <v>MET</v>
      </c>
      <c r="I798" s="181" t="str">
        <f>'II-I-MET'!H798</f>
        <v>Allocation</v>
      </c>
      <c r="J798" s="226" t="str">
        <f>'II-I-TBILLTDCS'!F798</f>
        <v>TBILLTDCS</v>
      </c>
      <c r="K798" s="181" t="str">
        <f>'II-I-TBILLTDCS'!H798</f>
        <v>Allocation</v>
      </c>
      <c r="L798" s="660" t="s">
        <v>434</v>
      </c>
      <c r="M798" s="932" t="s">
        <v>970</v>
      </c>
      <c r="T798" s="321"/>
      <c r="U798" s="321"/>
      <c r="V798" s="321"/>
      <c r="W798" s="321"/>
      <c r="X798" s="321"/>
      <c r="Y798" s="321"/>
    </row>
    <row r="799" spans="2:25" x14ac:dyDescent="0.2">
      <c r="B799" s="14"/>
      <c r="C799" s="14"/>
      <c r="D799" s="181"/>
      <c r="E799" s="14"/>
      <c r="F799" s="14"/>
      <c r="G799" s="181" t="str">
        <f>'II-I-DIST'!H799</f>
        <v>Factor</v>
      </c>
      <c r="H799" s="14"/>
      <c r="I799" s="181" t="str">
        <f>'II-I-MET'!H799</f>
        <v>Factor</v>
      </c>
      <c r="J799" s="14"/>
      <c r="K799" s="181" t="str">
        <f>'II-I-TBILLTDCS'!H799</f>
        <v>Factor</v>
      </c>
      <c r="L799" s="660" t="s">
        <v>31</v>
      </c>
      <c r="M799" s="939"/>
      <c r="T799" s="321"/>
      <c r="U799" s="321"/>
      <c r="V799" s="321"/>
      <c r="W799" s="321"/>
      <c r="X799" s="321"/>
      <c r="Y799" s="321"/>
    </row>
    <row r="800" spans="2:25" ht="15.75" thickBot="1" x14ac:dyDescent="0.25">
      <c r="B800" s="182"/>
      <c r="C800" s="860"/>
      <c r="D800" s="184"/>
      <c r="E800" s="184"/>
      <c r="F800" s="15" t="str">
        <f>'II-I-DIST'!F800</f>
        <v>(a)</v>
      </c>
      <c r="G800" s="15" t="str">
        <f>'II-I-DIST'!H800</f>
        <v>(c)</v>
      </c>
      <c r="H800" s="664" t="str">
        <f>'II-I-MET'!F800</f>
        <v>(a)</v>
      </c>
      <c r="I800" s="15" t="str">
        <f>'II-I-MET'!H800</f>
        <v>(c)</v>
      </c>
      <c r="J800" s="664" t="str">
        <f>'II-I-TBILLTDCS'!F800</f>
        <v>(a)</v>
      </c>
      <c r="K800" s="15" t="str">
        <f>'II-I-TBILLTDCS'!H800</f>
        <v>(c)</v>
      </c>
      <c r="L800" s="664" t="s">
        <v>19</v>
      </c>
      <c r="M800" s="934" t="s">
        <v>20</v>
      </c>
      <c r="X800" s="321"/>
    </row>
    <row r="801" spans="2:29" x14ac:dyDescent="0.2">
      <c r="B801" s="64"/>
      <c r="C801" s="96"/>
      <c r="D801" s="96"/>
      <c r="E801" s="251"/>
      <c r="F801" s="308"/>
      <c r="G801" s="251"/>
      <c r="H801" s="308"/>
      <c r="I801" s="251"/>
      <c r="J801" s="308"/>
      <c r="K801" s="251"/>
      <c r="L801" s="647"/>
      <c r="X801" s="321"/>
    </row>
    <row r="802" spans="2:29" ht="15" x14ac:dyDescent="0.25">
      <c r="B802" s="16">
        <f t="shared" ref="B802:B823" si="37">B801+1</f>
        <v>1</v>
      </c>
      <c r="C802" s="8" t="s">
        <v>608</v>
      </c>
      <c r="D802" s="1"/>
      <c r="E802" s="831"/>
      <c r="F802" s="18"/>
      <c r="G802" s="1308"/>
      <c r="H802" s="18"/>
      <c r="I802" s="1308"/>
      <c r="J802" s="18"/>
      <c r="K802" s="1308"/>
      <c r="L802" s="647"/>
      <c r="M802" s="937"/>
      <c r="X802" s="321"/>
    </row>
    <row r="803" spans="2:29" ht="15" x14ac:dyDescent="0.25">
      <c r="B803" s="16">
        <f t="shared" si="37"/>
        <v>2</v>
      </c>
      <c r="C803" s="8"/>
      <c r="D803" s="301" t="s">
        <v>609</v>
      </c>
      <c r="E803" s="831" t="s">
        <v>262</v>
      </c>
      <c r="F803" s="805"/>
      <c r="G803" s="1308"/>
      <c r="H803" s="805"/>
      <c r="I803" s="1308"/>
      <c r="J803" s="805"/>
      <c r="K803" s="1308"/>
      <c r="L803" s="8"/>
      <c r="M803" s="937"/>
    </row>
    <row r="804" spans="2:29" s="321" customFormat="1" ht="28.5" x14ac:dyDescent="0.2">
      <c r="B804" s="16">
        <f t="shared" si="37"/>
        <v>3</v>
      </c>
      <c r="C804" s="1" t="s">
        <v>144</v>
      </c>
      <c r="D804" s="1" t="s">
        <v>145</v>
      </c>
      <c r="E804" s="16"/>
      <c r="F804" s="98">
        <f>'II-I-DIST'!F804</f>
        <v>17081.400000000001</v>
      </c>
      <c r="G804" s="1" t="str">
        <f>'II-I-DIST'!H804</f>
        <v>PAY TR OPS</v>
      </c>
      <c r="H804" s="97">
        <f>'II-I-MET'!F804</f>
        <v>0</v>
      </c>
      <c r="I804" s="45" t="str">
        <f>'II-I-MET'!H804</f>
        <v>NCP XHV</v>
      </c>
      <c r="J804" s="98">
        <f>'II-I-TBILLTDCS'!F804</f>
        <v>0</v>
      </c>
      <c r="K804" s="45" t="str">
        <f>'II-I-TBILLTDCS'!H804</f>
        <v>PAY TR OPS</v>
      </c>
      <c r="L804" s="802">
        <f t="shared" ref="L804:L812" si="38">F804+H804+J804</f>
        <v>17081.400000000001</v>
      </c>
      <c r="M804" s="937" t="s">
        <v>1021</v>
      </c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21" customFormat="1" x14ac:dyDescent="0.2">
      <c r="B805" s="16">
        <f t="shared" si="37"/>
        <v>4</v>
      </c>
      <c r="C805" s="1" t="s">
        <v>146</v>
      </c>
      <c r="D805" s="1" t="s">
        <v>147</v>
      </c>
      <c r="E805" s="16"/>
      <c r="F805" s="23">
        <f>'II-I-DIST'!F805</f>
        <v>0</v>
      </c>
      <c r="G805" s="1" t="str">
        <f>'II-I-DIST'!H805</f>
        <v>NCP XHV</v>
      </c>
      <c r="H805" s="229">
        <f>'II-I-MET'!F805</f>
        <v>0</v>
      </c>
      <c r="I805" s="45" t="str">
        <f>'II-I-MET'!H805</f>
        <v>NCP XHV</v>
      </c>
      <c r="J805" s="23">
        <f>'II-I-TBILLTDCS'!F805</f>
        <v>0</v>
      </c>
      <c r="K805" s="45" t="str">
        <f>'II-I-TBILLTDCS'!H805</f>
        <v>NCP XHV</v>
      </c>
      <c r="L805" s="802">
        <f t="shared" si="38"/>
        <v>0</v>
      </c>
      <c r="M805" s="937"/>
      <c r="R805"/>
      <c r="S805"/>
      <c r="T805"/>
      <c r="U805"/>
      <c r="V805"/>
      <c r="W805"/>
      <c r="X805"/>
      <c r="Z805"/>
      <c r="AA805"/>
      <c r="AB805"/>
      <c r="AC805"/>
    </row>
    <row r="806" spans="2:29" s="321" customFormat="1" x14ac:dyDescent="0.2">
      <c r="B806" s="16">
        <f t="shared" si="37"/>
        <v>5</v>
      </c>
      <c r="C806" s="1" t="s">
        <v>148</v>
      </c>
      <c r="D806" s="1" t="s">
        <v>149</v>
      </c>
      <c r="E806" s="16"/>
      <c r="F806" s="23">
        <f>'II-I-DIST'!F806</f>
        <v>142759.42000000001</v>
      </c>
      <c r="G806" s="1" t="str">
        <f>'II-I-DIST'!H806</f>
        <v>NCP XHV</v>
      </c>
      <c r="H806" s="229">
        <f>'II-I-MET'!F806</f>
        <v>0</v>
      </c>
      <c r="I806" s="45" t="str">
        <f>'II-I-MET'!H806</f>
        <v>NCP XHV</v>
      </c>
      <c r="J806" s="23">
        <f>'II-I-TBILLTDCS'!F806</f>
        <v>0</v>
      </c>
      <c r="K806" s="45" t="str">
        <f>'II-I-TBILLTDCS'!H806</f>
        <v>NCP XHV</v>
      </c>
      <c r="L806" s="802">
        <f t="shared" si="38"/>
        <v>142759.42000000001</v>
      </c>
      <c r="M806" s="937"/>
      <c r="R806"/>
      <c r="S806"/>
      <c r="T806"/>
      <c r="U806"/>
      <c r="V806"/>
      <c r="W806"/>
      <c r="X806"/>
      <c r="Z806"/>
      <c r="AA806"/>
      <c r="AB806"/>
      <c r="AC806"/>
    </row>
    <row r="807" spans="2:29" s="321" customFormat="1" x14ac:dyDescent="0.2">
      <c r="B807" s="16">
        <f t="shared" si="37"/>
        <v>6</v>
      </c>
      <c r="C807" s="1" t="s">
        <v>150</v>
      </c>
      <c r="D807" s="1" t="s">
        <v>151</v>
      </c>
      <c r="E807" s="16"/>
      <c r="F807" s="23">
        <f>'II-I-DIST'!F807</f>
        <v>0</v>
      </c>
      <c r="G807" s="1" t="str">
        <f>'II-I-DIST'!H807</f>
        <v>NCP XHV</v>
      </c>
      <c r="H807" s="229">
        <f>'II-I-MET'!F807</f>
        <v>0</v>
      </c>
      <c r="I807" s="45" t="str">
        <f>'II-I-MET'!H807</f>
        <v>NCP XHV</v>
      </c>
      <c r="J807" s="23">
        <f>'II-I-TBILLTDCS'!F807</f>
        <v>0</v>
      </c>
      <c r="K807" s="45" t="str">
        <f>'II-I-TBILLTDCS'!H807</f>
        <v>NCP XHV</v>
      </c>
      <c r="L807" s="802">
        <f t="shared" si="38"/>
        <v>0</v>
      </c>
      <c r="M807" s="942"/>
      <c r="R807"/>
      <c r="S807"/>
      <c r="T807"/>
      <c r="U807"/>
      <c r="V807"/>
      <c r="W807"/>
      <c r="X807"/>
      <c r="Z807"/>
      <c r="AA807"/>
      <c r="AB807"/>
      <c r="AC807"/>
    </row>
    <row r="808" spans="2:29" s="321" customFormat="1" x14ac:dyDescent="0.2">
      <c r="B808" s="16">
        <f t="shared" si="37"/>
        <v>7</v>
      </c>
      <c r="C808" s="1" t="s">
        <v>152</v>
      </c>
      <c r="D808" s="1" t="s">
        <v>153</v>
      </c>
      <c r="E808" s="16"/>
      <c r="F808" s="23">
        <f>'II-I-DIST'!F808</f>
        <v>0</v>
      </c>
      <c r="G808" s="1" t="str">
        <f>'II-I-DIST'!H808</f>
        <v>NCP XHV</v>
      </c>
      <c r="H808" s="229">
        <f>'II-I-MET'!F808</f>
        <v>0</v>
      </c>
      <c r="I808" s="45" t="str">
        <f>'II-I-MET'!H808</f>
        <v>NCP XHV</v>
      </c>
      <c r="J808" s="23">
        <f>'II-I-TBILLTDCS'!F808</f>
        <v>0</v>
      </c>
      <c r="K808" s="45" t="str">
        <f>'II-I-TBILLTDCS'!H808</f>
        <v>NCP XHV</v>
      </c>
      <c r="L808" s="802">
        <f t="shared" si="38"/>
        <v>0</v>
      </c>
      <c r="M808" s="937"/>
      <c r="R808"/>
      <c r="S808"/>
      <c r="T808"/>
      <c r="U808"/>
      <c r="V808"/>
      <c r="W808"/>
      <c r="X808"/>
      <c r="Z808"/>
      <c r="AA808"/>
      <c r="AB808"/>
      <c r="AC808"/>
    </row>
    <row r="809" spans="2:29" s="321" customFormat="1" ht="15" x14ac:dyDescent="0.25">
      <c r="B809" s="16">
        <f t="shared" si="37"/>
        <v>8</v>
      </c>
      <c r="C809" s="1" t="s">
        <v>154</v>
      </c>
      <c r="D809" s="29" t="s">
        <v>155</v>
      </c>
      <c r="E809" s="831"/>
      <c r="F809" s="23">
        <f>'II-I-DIST'!F809</f>
        <v>0</v>
      </c>
      <c r="G809" s="1" t="str">
        <f>'II-I-DIST'!H809</f>
        <v>4CP RTL</v>
      </c>
      <c r="H809" s="229">
        <f>'II-I-MET'!F809</f>
        <v>0</v>
      </c>
      <c r="I809" s="45" t="str">
        <f>'II-I-MET'!H809</f>
        <v>4CP RTL</v>
      </c>
      <c r="J809" s="23">
        <f>'II-I-TBILLTDCS'!F809</f>
        <v>0</v>
      </c>
      <c r="K809" s="45" t="str">
        <f>'II-I-TBILLTDCS'!H809</f>
        <v>4CP RTL</v>
      </c>
      <c r="L809" s="804">
        <f t="shared" si="38"/>
        <v>0</v>
      </c>
      <c r="M809" s="937"/>
      <c r="R809"/>
      <c r="S809"/>
      <c r="T809"/>
      <c r="U809"/>
      <c r="V809"/>
      <c r="W809"/>
      <c r="X809"/>
      <c r="Z809"/>
      <c r="AA809"/>
      <c r="AB809"/>
      <c r="AC809"/>
    </row>
    <row r="810" spans="2:29" s="321" customFormat="1" ht="28.5" x14ac:dyDescent="0.2">
      <c r="B810" s="16">
        <f t="shared" si="37"/>
        <v>9</v>
      </c>
      <c r="C810" s="1" t="s">
        <v>156</v>
      </c>
      <c r="D810" s="29" t="s">
        <v>157</v>
      </c>
      <c r="E810" s="16"/>
      <c r="F810" s="23">
        <f>'II-I-DIST'!F810</f>
        <v>328543.03000000003</v>
      </c>
      <c r="G810" s="1" t="str">
        <f>'II-I-DIST'!H810</f>
        <v>NCP XHV</v>
      </c>
      <c r="H810" s="229">
        <f>'II-I-MET'!F810</f>
        <v>0</v>
      </c>
      <c r="I810" s="45" t="str">
        <f>'II-I-MET'!H810</f>
        <v>NCP XHV</v>
      </c>
      <c r="J810" s="23">
        <f>'II-I-TBILLTDCS'!F810</f>
        <v>0</v>
      </c>
      <c r="K810" s="45" t="str">
        <f>'II-I-TBILLTDCS'!H810</f>
        <v>NCP XHV</v>
      </c>
      <c r="L810" s="802">
        <f t="shared" si="38"/>
        <v>328543.03000000003</v>
      </c>
      <c r="M810" s="937" t="s">
        <v>1022</v>
      </c>
      <c r="R810"/>
      <c r="S810"/>
      <c r="T810"/>
      <c r="U810"/>
      <c r="V810"/>
      <c r="W810"/>
      <c r="X810"/>
      <c r="Z810"/>
      <c r="AA810"/>
      <c r="AB810"/>
      <c r="AC810"/>
    </row>
    <row r="811" spans="2:29" s="321" customFormat="1" x14ac:dyDescent="0.2">
      <c r="B811" s="16">
        <f t="shared" si="37"/>
        <v>10</v>
      </c>
      <c r="C811" s="1" t="s">
        <v>158</v>
      </c>
      <c r="D811" s="1" t="s">
        <v>159</v>
      </c>
      <c r="E811" s="16"/>
      <c r="F811" s="23">
        <f>'II-I-DIST'!F811</f>
        <v>0</v>
      </c>
      <c r="G811" s="1" t="str">
        <f>'II-I-DIST'!H811</f>
        <v>NCP XHV</v>
      </c>
      <c r="H811" s="229">
        <f>'II-I-MET'!F811</f>
        <v>0</v>
      </c>
      <c r="I811" s="45" t="str">
        <f>'II-I-MET'!H811</f>
        <v>NCP XHV</v>
      </c>
      <c r="J811" s="23">
        <f>'II-I-TBILLTDCS'!F811</f>
        <v>0</v>
      </c>
      <c r="K811" s="45" t="str">
        <f>'II-I-TBILLTDCS'!H811</f>
        <v>NCP XHV</v>
      </c>
      <c r="L811" s="802">
        <f t="shared" si="38"/>
        <v>0</v>
      </c>
      <c r="M811" s="937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ht="15" x14ac:dyDescent="0.25">
      <c r="B812" s="16">
        <f t="shared" si="37"/>
        <v>11</v>
      </c>
      <c r="C812" s="8"/>
      <c r="D812" s="24" t="s">
        <v>444</v>
      </c>
      <c r="E812" s="831"/>
      <c r="F812" s="805">
        <f>'II-I-DIST'!F812</f>
        <v>488383.85000000003</v>
      </c>
      <c r="G812" s="1308"/>
      <c r="H812" s="805">
        <f>'II-I-MET'!F812</f>
        <v>0</v>
      </c>
      <c r="I812" s="1308"/>
      <c r="J812" s="805">
        <f>'II-I-TBILLTDCS'!F812</f>
        <v>0</v>
      </c>
      <c r="K812" s="1308"/>
      <c r="L812" s="805">
        <f t="shared" si="38"/>
        <v>488383.85000000003</v>
      </c>
      <c r="M812" s="937"/>
    </row>
    <row r="813" spans="2:29" x14ac:dyDescent="0.2">
      <c r="B813" s="16">
        <f t="shared" si="37"/>
        <v>12</v>
      </c>
      <c r="C813" s="1"/>
      <c r="D813" s="1"/>
      <c r="E813" s="16"/>
      <c r="F813" s="18">
        <f>'II-I-DIST'!F813</f>
        <v>0</v>
      </c>
      <c r="G813" s="16"/>
      <c r="H813" s="18">
        <f>'II-I-MET'!F813</f>
        <v>0</v>
      </c>
      <c r="I813" s="16"/>
      <c r="J813" s="18">
        <f>'II-I-TBILLTDCS'!F813</f>
        <v>0</v>
      </c>
      <c r="K813" s="16"/>
      <c r="L813" s="803"/>
      <c r="M813" s="937"/>
    </row>
    <row r="814" spans="2:29" ht="15" x14ac:dyDescent="0.25">
      <c r="B814" s="16">
        <f t="shared" si="37"/>
        <v>13</v>
      </c>
      <c r="C814" s="8"/>
      <c r="D814" s="1300" t="s">
        <v>610</v>
      </c>
      <c r="E814" s="831"/>
      <c r="F814" s="805">
        <f>'II-I-DIST'!F814</f>
        <v>471302.45000000007</v>
      </c>
      <c r="G814" s="1308"/>
      <c r="H814" s="805">
        <f>'II-I-MET'!F814</f>
        <v>0</v>
      </c>
      <c r="I814" s="1308"/>
      <c r="J814" s="805">
        <f>'II-I-TBILLTDCS'!F814</f>
        <v>0</v>
      </c>
      <c r="K814" s="1308"/>
      <c r="L814" s="805"/>
      <c r="M814" s="937"/>
    </row>
    <row r="815" spans="2:29" x14ac:dyDescent="0.2">
      <c r="B815" s="16">
        <f t="shared" si="37"/>
        <v>14</v>
      </c>
      <c r="C815" s="1"/>
      <c r="D815" s="1"/>
      <c r="E815" s="16"/>
      <c r="F815" s="18">
        <f>'II-I-DIST'!F815</f>
        <v>0</v>
      </c>
      <c r="G815" s="16"/>
      <c r="H815" s="18">
        <f>'II-I-MET'!F815</f>
        <v>0</v>
      </c>
      <c r="I815" s="16"/>
      <c r="J815" s="18">
        <f>'II-I-TBILLTDCS'!F815</f>
        <v>0</v>
      </c>
      <c r="K815" s="16"/>
      <c r="L815" s="803"/>
      <c r="M815" s="937"/>
    </row>
    <row r="816" spans="2:29" ht="15" x14ac:dyDescent="0.25">
      <c r="B816" s="16">
        <f t="shared" si="37"/>
        <v>15</v>
      </c>
      <c r="C816" s="8"/>
      <c r="D816" t="s">
        <v>611</v>
      </c>
      <c r="E816" s="831"/>
      <c r="F816" s="805">
        <f>'II-I-DIST'!F816</f>
        <v>0</v>
      </c>
      <c r="G816" s="1308"/>
      <c r="H816" s="805">
        <f>'II-I-MET'!F816</f>
        <v>0</v>
      </c>
      <c r="I816" s="1308"/>
      <c r="J816" s="805">
        <f>'II-I-TBILLTDCS'!F816</f>
        <v>0</v>
      </c>
      <c r="K816" s="1308"/>
      <c r="L816" s="805"/>
      <c r="M816" s="937"/>
    </row>
    <row r="817" spans="2:29" s="321" customFormat="1" ht="28.5" x14ac:dyDescent="0.2">
      <c r="B817" s="16">
        <f t="shared" si="37"/>
        <v>16</v>
      </c>
      <c r="C817" s="1" t="s">
        <v>161</v>
      </c>
      <c r="D817" s="1" t="s">
        <v>162</v>
      </c>
      <c r="E817" s="16"/>
      <c r="F817" s="23">
        <f>'II-I-DIST'!F817</f>
        <v>43419.67</v>
      </c>
      <c r="G817" s="1" t="str">
        <f>'II-I-DIST'!H817</f>
        <v>PAY TR MNT</v>
      </c>
      <c r="H817" s="229">
        <f>'II-I-MET'!F817</f>
        <v>0</v>
      </c>
      <c r="I817" s="45" t="str">
        <f>'II-I-MET'!H817</f>
        <v>NCP XHV</v>
      </c>
      <c r="J817" s="23">
        <f>'II-I-TBILLTDCS'!F817</f>
        <v>0</v>
      </c>
      <c r="K817" s="45" t="str">
        <f>'II-I-TBILLTDCS'!H817</f>
        <v>PAY TR MNT</v>
      </c>
      <c r="L817" s="802">
        <f t="shared" ref="L817:L874" si="39">F817+H817+J817</f>
        <v>43419.67</v>
      </c>
      <c r="M817" s="937" t="s">
        <v>1023</v>
      </c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21" customFormat="1" x14ac:dyDescent="0.2">
      <c r="B818" s="16">
        <f t="shared" si="37"/>
        <v>17</v>
      </c>
      <c r="C818" s="1" t="s">
        <v>163</v>
      </c>
      <c r="D818" s="29" t="s">
        <v>164</v>
      </c>
      <c r="E818" s="16"/>
      <c r="F818" s="23">
        <f>'II-I-DIST'!F818</f>
        <v>0</v>
      </c>
      <c r="G818" s="1" t="str">
        <f>'II-I-DIST'!H818</f>
        <v>NCP XHV</v>
      </c>
      <c r="H818" s="229">
        <f>'II-I-MET'!F818</f>
        <v>0</v>
      </c>
      <c r="I818" s="45" t="str">
        <f>'II-I-MET'!H818</f>
        <v>NCP XHV</v>
      </c>
      <c r="J818" s="23">
        <f>'II-I-TBILLTDCS'!F818</f>
        <v>0</v>
      </c>
      <c r="K818" s="45" t="str">
        <f>'II-I-TBILLTDCS'!H818</f>
        <v>NCP XHV</v>
      </c>
      <c r="L818" s="802">
        <f t="shared" si="39"/>
        <v>0</v>
      </c>
      <c r="M818" s="937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21" customFormat="1" ht="28.5" x14ac:dyDescent="0.2">
      <c r="B819" s="16">
        <f t="shared" si="37"/>
        <v>18</v>
      </c>
      <c r="C819" s="1" t="s">
        <v>165</v>
      </c>
      <c r="D819" s="1" t="s">
        <v>166</v>
      </c>
      <c r="E819" s="16"/>
      <c r="F819" s="23">
        <f>'II-I-DIST'!F819</f>
        <v>51182.04</v>
      </c>
      <c r="G819" s="1" t="str">
        <f>'II-I-DIST'!H819</f>
        <v>NCP XHV</v>
      </c>
      <c r="H819" s="229">
        <f>'II-I-MET'!F819</f>
        <v>0</v>
      </c>
      <c r="I819" s="45" t="str">
        <f>'II-I-MET'!H819</f>
        <v>NCP XHV</v>
      </c>
      <c r="J819" s="23">
        <f>'II-I-TBILLTDCS'!F819</f>
        <v>0</v>
      </c>
      <c r="K819" s="45" t="str">
        <f>'II-I-TBILLTDCS'!H819</f>
        <v>NCP XHV</v>
      </c>
      <c r="L819" s="802">
        <f t="shared" si="39"/>
        <v>51182.04</v>
      </c>
      <c r="M819" s="937" t="s">
        <v>1022</v>
      </c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21" customFormat="1" x14ac:dyDescent="0.2">
      <c r="B820" s="16">
        <f t="shared" si="37"/>
        <v>19</v>
      </c>
      <c r="C820" s="1" t="s">
        <v>167</v>
      </c>
      <c r="D820" s="1" t="s">
        <v>168</v>
      </c>
      <c r="E820" s="16"/>
      <c r="F820" s="23">
        <f>'II-I-DIST'!F820</f>
        <v>11104.72</v>
      </c>
      <c r="G820" s="1" t="str">
        <f>'II-I-DIST'!H820</f>
        <v>NCP XHV</v>
      </c>
      <c r="H820" s="229">
        <f>'II-I-MET'!F820</f>
        <v>0</v>
      </c>
      <c r="I820" s="45" t="str">
        <f>'II-I-MET'!H820</f>
        <v>NCP XHV</v>
      </c>
      <c r="J820" s="23">
        <f>'II-I-TBILLTDCS'!F820</f>
        <v>0</v>
      </c>
      <c r="K820" s="45" t="str">
        <f>'II-I-TBILLTDCS'!H820</f>
        <v>NCP XHV</v>
      </c>
      <c r="L820" s="802">
        <f t="shared" si="39"/>
        <v>11104.72</v>
      </c>
      <c r="M820" s="937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21" customFormat="1" x14ac:dyDescent="0.2">
      <c r="B821" s="16">
        <f t="shared" si="37"/>
        <v>20</v>
      </c>
      <c r="C821" s="1" t="s">
        <v>169</v>
      </c>
      <c r="D821" s="29" t="s">
        <v>170</v>
      </c>
      <c r="E821" s="16"/>
      <c r="F821" s="23">
        <f>'II-I-DIST'!F821</f>
        <v>0</v>
      </c>
      <c r="G821" s="1" t="str">
        <f>'II-I-DIST'!H821</f>
        <v>NCP XHV</v>
      </c>
      <c r="H821" s="229">
        <f>'II-I-MET'!F821</f>
        <v>0</v>
      </c>
      <c r="I821" s="45" t="str">
        <f>'II-I-MET'!H821</f>
        <v>NCP XHV</v>
      </c>
      <c r="J821" s="23">
        <f>'II-I-TBILLTDCS'!F821</f>
        <v>0</v>
      </c>
      <c r="K821" s="45" t="str">
        <f>'II-I-TBILLTDCS'!H821</f>
        <v>NCP XHV</v>
      </c>
      <c r="L821" s="802">
        <f t="shared" si="39"/>
        <v>0</v>
      </c>
      <c r="M821" s="937"/>
      <c r="R821"/>
      <c r="S821"/>
      <c r="X821"/>
      <c r="Y821"/>
      <c r="Z821"/>
      <c r="AA821"/>
      <c r="AB821"/>
      <c r="AC821"/>
    </row>
    <row r="822" spans="2:29" s="321" customFormat="1" x14ac:dyDescent="0.2">
      <c r="B822" s="16">
        <f t="shared" si="37"/>
        <v>21</v>
      </c>
      <c r="C822" s="1" t="s">
        <v>171</v>
      </c>
      <c r="D822" s="29" t="s">
        <v>172</v>
      </c>
      <c r="E822" s="16"/>
      <c r="F822" s="23">
        <f>'II-I-DIST'!F822</f>
        <v>0</v>
      </c>
      <c r="G822" s="1" t="str">
        <f>'II-I-DIST'!H822</f>
        <v>NCP XHV</v>
      </c>
      <c r="H822" s="229">
        <f>'II-I-MET'!F822</f>
        <v>0</v>
      </c>
      <c r="I822" s="45" t="str">
        <f>'II-I-MET'!H822</f>
        <v>NCP XHV</v>
      </c>
      <c r="J822" s="23">
        <f>'II-I-TBILLTDCS'!F822</f>
        <v>0</v>
      </c>
      <c r="K822" s="45" t="str">
        <f>'II-I-TBILLTDCS'!H822</f>
        <v>NCP XHV</v>
      </c>
      <c r="L822" s="802">
        <f t="shared" si="39"/>
        <v>0</v>
      </c>
      <c r="M822" s="937"/>
      <c r="R822"/>
      <c r="S822"/>
      <c r="X822"/>
      <c r="Y822"/>
      <c r="Z822"/>
      <c r="AA822"/>
      <c r="AB822"/>
      <c r="AC822"/>
    </row>
    <row r="823" spans="2:29" ht="15" x14ac:dyDescent="0.25">
      <c r="B823" s="16">
        <f t="shared" si="37"/>
        <v>22</v>
      </c>
      <c r="C823" s="8"/>
      <c r="D823" s="24" t="s">
        <v>444</v>
      </c>
      <c r="E823" s="831"/>
      <c r="F823" s="805">
        <f>'II-I-DIST'!F823</f>
        <v>105706.43</v>
      </c>
      <c r="G823" s="1308"/>
      <c r="H823" s="805">
        <f>'II-I-MET'!F823</f>
        <v>0</v>
      </c>
      <c r="I823" s="1308"/>
      <c r="J823" s="805">
        <f>'II-I-TBILLTDCS'!F823</f>
        <v>0</v>
      </c>
      <c r="K823" s="1308"/>
      <c r="L823" s="805">
        <f t="shared" si="39"/>
        <v>105706.43</v>
      </c>
      <c r="M823" s="937"/>
      <c r="T823" s="321"/>
      <c r="U823" s="321"/>
      <c r="V823" s="321"/>
      <c r="W823" s="321"/>
    </row>
    <row r="824" spans="2:29" x14ac:dyDescent="0.2">
      <c r="B824" s="1008">
        <v>23</v>
      </c>
      <c r="C824" s="1"/>
      <c r="D824" s="1"/>
      <c r="E824" s="16"/>
      <c r="F824" s="18">
        <f>'II-I-DIST'!F824</f>
        <v>0</v>
      </c>
      <c r="G824" s="16"/>
      <c r="H824" s="18">
        <f>'II-I-MET'!F824</f>
        <v>0</v>
      </c>
      <c r="I824" s="16"/>
      <c r="J824" s="18">
        <f>'II-I-TBILLTDCS'!F824</f>
        <v>0</v>
      </c>
      <c r="K824" s="16"/>
      <c r="L824" s="803"/>
      <c r="M824" s="937"/>
      <c r="T824" s="321"/>
      <c r="U824" s="321"/>
      <c r="V824" s="321"/>
      <c r="W824" s="321"/>
      <c r="X824" s="321"/>
    </row>
    <row r="825" spans="2:29" ht="15" x14ac:dyDescent="0.25">
      <c r="B825" s="1008">
        <v>24</v>
      </c>
      <c r="C825" s="8"/>
      <c r="D825" s="24"/>
      <c r="E825" s="831"/>
      <c r="F825" s="805">
        <f>'II-I-DIST'!F825</f>
        <v>62286.76</v>
      </c>
      <c r="G825" s="1308"/>
      <c r="H825" s="805">
        <f>'II-I-MET'!F825</f>
        <v>0</v>
      </c>
      <c r="I825" s="1308"/>
      <c r="J825" s="805">
        <f>'II-I-TBILLTDCS'!F825</f>
        <v>0</v>
      </c>
      <c r="K825" s="1308"/>
      <c r="L825" s="805"/>
      <c r="M825" s="937"/>
      <c r="T825" s="321"/>
      <c r="U825" s="321"/>
      <c r="V825" s="321"/>
      <c r="W825" s="321"/>
      <c r="X825" s="321"/>
    </row>
    <row r="826" spans="2:29" ht="15" thickBot="1" x14ac:dyDescent="0.25">
      <c r="B826" s="1008">
        <v>25</v>
      </c>
      <c r="C826" s="1"/>
      <c r="D826" s="1"/>
      <c r="E826" s="16"/>
      <c r="F826" s="18">
        <f>'II-I-DIST'!F826</f>
        <v>0</v>
      </c>
      <c r="G826" s="16"/>
      <c r="H826" s="18">
        <f>'II-I-MET'!F826</f>
        <v>0</v>
      </c>
      <c r="I826" s="16"/>
      <c r="J826" s="18">
        <f>'II-I-TBILLTDCS'!F826</f>
        <v>0</v>
      </c>
      <c r="K826" s="16"/>
      <c r="L826" s="803"/>
      <c r="M826" s="937"/>
      <c r="T826" s="321"/>
      <c r="U826" s="321"/>
      <c r="V826" s="321"/>
      <c r="W826" s="321"/>
      <c r="X826" s="321"/>
    </row>
    <row r="827" spans="2:29" ht="15.75" thickBot="1" x14ac:dyDescent="0.3">
      <c r="B827" s="1008">
        <v>24</v>
      </c>
      <c r="C827" s="779" t="s">
        <v>613</v>
      </c>
      <c r="D827" s="920"/>
      <c r="E827" s="916"/>
      <c r="F827" s="917">
        <f>'II-I-DIST'!F827</f>
        <v>594090.28</v>
      </c>
      <c r="G827" s="916"/>
      <c r="H827" s="917">
        <f>'II-I-MET'!F827</f>
        <v>0</v>
      </c>
      <c r="I827" s="916"/>
      <c r="J827" s="917">
        <f>'II-I-TBILLTDCS'!F827</f>
        <v>0</v>
      </c>
      <c r="K827" s="916"/>
      <c r="L827" s="955">
        <f>+L823+L812</f>
        <v>594090.28</v>
      </c>
      <c r="T827" s="321"/>
      <c r="U827" s="321"/>
      <c r="V827" s="321"/>
      <c r="W827" s="321"/>
      <c r="X827" s="321"/>
    </row>
    <row r="828" spans="2:29" x14ac:dyDescent="0.2">
      <c r="B828" s="16"/>
      <c r="C828" s="1"/>
      <c r="D828" s="1"/>
      <c r="E828" s="16"/>
      <c r="F828" s="18"/>
      <c r="G828" s="16"/>
      <c r="H828" s="18"/>
      <c r="I828" s="16"/>
      <c r="J828" s="18"/>
      <c r="K828" s="16"/>
      <c r="L828" s="647"/>
      <c r="T828" s="321"/>
      <c r="U828" s="321"/>
      <c r="V828" s="321"/>
      <c r="W828" s="321"/>
      <c r="X828" s="321"/>
    </row>
    <row r="829" spans="2:29" ht="15" x14ac:dyDescent="0.25">
      <c r="B829" s="783"/>
      <c r="C829" s="783"/>
      <c r="D829" s="783"/>
      <c r="E829" s="783"/>
      <c r="F829" s="18"/>
      <c r="G829" s="105"/>
      <c r="H829" s="18"/>
      <c r="I829" s="105"/>
      <c r="J829" s="18"/>
      <c r="K829" s="105"/>
      <c r="L829" s="783"/>
      <c r="T829" s="321"/>
      <c r="U829" s="321"/>
      <c r="V829" s="321"/>
      <c r="W829" s="321"/>
      <c r="X829" s="321"/>
    </row>
    <row r="830" spans="2:29" ht="15.75" thickBot="1" x14ac:dyDescent="0.3">
      <c r="B830" s="783"/>
      <c r="C830" s="783"/>
      <c r="D830" s="783"/>
      <c r="E830" s="783"/>
      <c r="F830" s="18"/>
      <c r="G830" s="16"/>
      <c r="H830" s="18"/>
      <c r="I830" s="16"/>
      <c r="J830" s="18"/>
      <c r="K830" s="16"/>
      <c r="L830" s="783"/>
      <c r="X830" s="321"/>
    </row>
    <row r="831" spans="2:29" ht="15" x14ac:dyDescent="0.25">
      <c r="B831" s="829" t="str">
        <f>$B$4</f>
        <v>2025 RATE CASE</v>
      </c>
      <c r="C831" s="835"/>
      <c r="D831" s="836"/>
      <c r="E831" s="783"/>
      <c r="F831" s="11"/>
      <c r="H831" s="11"/>
      <c r="J831" s="11"/>
      <c r="K831"/>
      <c r="L831" s="783"/>
      <c r="X831" s="321"/>
    </row>
    <row r="832" spans="2:29" ht="15" x14ac:dyDescent="0.25">
      <c r="B832" s="826" t="str">
        <f>$B$5</f>
        <v>ONCOR ELECTRIC DELIVERY COMPANY LLC</v>
      </c>
      <c r="C832" s="304"/>
      <c r="D832" s="837"/>
      <c r="E832" s="783"/>
      <c r="F832" s="11"/>
      <c r="H832" s="11"/>
      <c r="J832" s="11"/>
      <c r="K832"/>
      <c r="L832" s="783"/>
      <c r="T832" s="321"/>
      <c r="U832" s="321"/>
      <c r="V832" s="321"/>
      <c r="W832" s="321"/>
      <c r="X832" s="321"/>
      <c r="Y832" s="321"/>
    </row>
    <row r="833" spans="2:29" ht="15" x14ac:dyDescent="0.25">
      <c r="B833" s="341" t="str">
        <f>$B$6</f>
        <v>II-I-2.1f:  CONSOLIDATED FUNCTIONALIZED COST OF SERVICE</v>
      </c>
      <c r="C833" s="304"/>
      <c r="D833" s="837"/>
      <c r="E833" s="783"/>
      <c r="F833" s="11"/>
      <c r="H833" s="11"/>
      <c r="J833" s="11"/>
      <c r="K833"/>
      <c r="L833" s="783"/>
      <c r="Y833" s="321"/>
    </row>
    <row r="834" spans="2:29" ht="15" x14ac:dyDescent="0.25">
      <c r="B834" s="341" t="str">
        <f>$B$7</f>
        <v>TEST YEAR ENDING 12/31/2024</v>
      </c>
      <c r="C834" s="304"/>
      <c r="D834" s="837"/>
      <c r="E834" s="304"/>
      <c r="F834" s="11"/>
      <c r="H834" s="11"/>
      <c r="J834" s="11"/>
      <c r="K834"/>
      <c r="L834" s="304"/>
      <c r="Y834" s="321"/>
    </row>
    <row r="835" spans="2:29" ht="15" x14ac:dyDescent="0.25">
      <c r="B835" s="341" t="str">
        <f>$B$8</f>
        <v>SPONSOR:  MATTHEW A. TROXLE</v>
      </c>
      <c r="C835" s="304"/>
      <c r="D835" s="837"/>
      <c r="E835" s="304"/>
      <c r="F835" s="11"/>
      <c r="H835" s="11"/>
      <c r="J835" s="11"/>
      <c r="K835"/>
      <c r="L835" s="304"/>
      <c r="X835" s="321"/>
      <c r="Y835" s="321"/>
    </row>
    <row r="836" spans="2:29" ht="15.75" thickBot="1" x14ac:dyDescent="0.3">
      <c r="B836" s="345"/>
      <c r="C836" s="840"/>
      <c r="D836" s="841"/>
      <c r="E836" s="304"/>
      <c r="F836" s="11"/>
      <c r="H836" s="11"/>
      <c r="J836" s="11"/>
      <c r="K836"/>
      <c r="L836" s="304"/>
      <c r="Y836" s="321"/>
    </row>
    <row r="837" spans="2:29" x14ac:dyDescent="0.2">
      <c r="B837" s="12"/>
      <c r="C837" s="13"/>
      <c r="D837" s="177"/>
      <c r="E837" s="13"/>
      <c r="F837" s="12"/>
      <c r="G837" s="13"/>
      <c r="H837" s="12"/>
      <c r="I837" s="13"/>
      <c r="J837" s="12"/>
      <c r="K837" s="13"/>
      <c r="L837" s="855"/>
      <c r="M837" s="938"/>
      <c r="T837" s="321"/>
      <c r="U837" s="321"/>
      <c r="V837" s="321"/>
      <c r="W837" s="321"/>
      <c r="Y837" s="321"/>
    </row>
    <row r="838" spans="2:29" ht="15" x14ac:dyDescent="0.25">
      <c r="B838" s="14" t="s">
        <v>2</v>
      </c>
      <c r="C838" s="14" t="s">
        <v>349</v>
      </c>
      <c r="D838" s="180" t="s">
        <v>614</v>
      </c>
      <c r="E838" s="14" t="s">
        <v>350</v>
      </c>
      <c r="F838" s="226" t="str">
        <f>'II-I-DIST'!F838</f>
        <v>DIST</v>
      </c>
      <c r="G838" s="181" t="str">
        <f>'II-I-DIST'!H838</f>
        <v>Allocation</v>
      </c>
      <c r="H838" s="226" t="str">
        <f>'II-I-MET'!F838</f>
        <v>MET</v>
      </c>
      <c r="I838" s="181" t="str">
        <f>'II-I-MET'!H838</f>
        <v>Allocation</v>
      </c>
      <c r="J838" s="226" t="str">
        <f>'II-I-TBILLTDCS'!F838</f>
        <v>TBILLTDCS</v>
      </c>
      <c r="K838" s="181" t="str">
        <f>'II-I-TBILLTDCS'!H838</f>
        <v>Allocation</v>
      </c>
      <c r="L838" s="660" t="s">
        <v>434</v>
      </c>
      <c r="M838" s="932" t="s">
        <v>970</v>
      </c>
      <c r="T838" s="321"/>
      <c r="U838" s="321"/>
      <c r="V838" s="321"/>
      <c r="W838" s="321"/>
      <c r="Y838" s="321"/>
    </row>
    <row r="839" spans="2:29" x14ac:dyDescent="0.2">
      <c r="B839" s="14"/>
      <c r="C839" s="14"/>
      <c r="D839" s="181"/>
      <c r="E839" s="14"/>
      <c r="F839" s="14"/>
      <c r="G839" s="181" t="str">
        <f>'II-I-DIST'!H839</f>
        <v>Factor</v>
      </c>
      <c r="H839" s="14"/>
      <c r="I839" s="181" t="str">
        <f>'II-I-MET'!H839</f>
        <v>Factor</v>
      </c>
      <c r="J839" s="14"/>
      <c r="K839" s="181" t="str">
        <f>'II-I-TBILLTDCS'!H839</f>
        <v>Factor</v>
      </c>
      <c r="L839" s="660" t="s">
        <v>31</v>
      </c>
      <c r="M839" s="939"/>
      <c r="T839" s="321"/>
      <c r="U839" s="321"/>
      <c r="V839" s="321"/>
      <c r="W839" s="321"/>
      <c r="Y839" s="321"/>
    </row>
    <row r="840" spans="2:29" ht="15.75" thickBot="1" x14ac:dyDescent="0.25">
      <c r="B840" s="182"/>
      <c r="C840" s="860"/>
      <c r="D840" s="184"/>
      <c r="E840" s="184"/>
      <c r="F840" s="15" t="str">
        <f>'II-I-DIST'!F840</f>
        <v>(a)</v>
      </c>
      <c r="G840" s="15" t="str">
        <f>'II-I-DIST'!H840</f>
        <v>(c)</v>
      </c>
      <c r="H840" s="664" t="str">
        <f>'II-I-MET'!F840</f>
        <v>(a)</v>
      </c>
      <c r="I840" s="15" t="str">
        <f>'II-I-MET'!H840</f>
        <v>(c)</v>
      </c>
      <c r="J840" s="664" t="str">
        <f>'II-I-TBILLTDCS'!F840</f>
        <v>(a)</v>
      </c>
      <c r="K840" s="15" t="str">
        <f>'II-I-TBILLTDCS'!H840</f>
        <v>(c)</v>
      </c>
      <c r="L840" s="664" t="s">
        <v>19</v>
      </c>
      <c r="M840" s="934" t="s">
        <v>20</v>
      </c>
      <c r="T840" s="321"/>
      <c r="U840" s="321"/>
      <c r="V840" s="321"/>
      <c r="W840" s="321"/>
      <c r="X840" s="321"/>
      <c r="Y840" s="321"/>
    </row>
    <row r="841" spans="2:29" x14ac:dyDescent="0.2">
      <c r="B841" s="64"/>
      <c r="C841" s="96"/>
      <c r="D841" s="96"/>
      <c r="E841" s="251"/>
      <c r="F841" s="308"/>
      <c r="G841" s="251"/>
      <c r="H841" s="308"/>
      <c r="I841" s="251"/>
      <c r="J841" s="322"/>
      <c r="K841" s="251"/>
      <c r="L841" s="647"/>
      <c r="M841" s="937"/>
      <c r="T841" s="321"/>
      <c r="U841" s="321"/>
      <c r="V841" s="321"/>
      <c r="W841" s="321"/>
      <c r="X841" s="321"/>
    </row>
    <row r="842" spans="2:29" ht="15" x14ac:dyDescent="0.25">
      <c r="B842" s="16">
        <f>B828+1</f>
        <v>1</v>
      </c>
      <c r="C842" s="8" t="s">
        <v>614</v>
      </c>
      <c r="D842" s="8"/>
      <c r="E842" s="831"/>
      <c r="F842" s="805"/>
      <c r="G842" s="1308"/>
      <c r="H842" s="805"/>
      <c r="I842" s="1308"/>
      <c r="J842" s="805"/>
      <c r="K842" s="1308"/>
      <c r="L842" s="8"/>
      <c r="M842" s="937"/>
      <c r="T842" s="321"/>
      <c r="U842" s="321"/>
      <c r="V842" s="321"/>
      <c r="W842" s="321"/>
      <c r="X842" s="321"/>
    </row>
    <row r="843" spans="2:29" ht="15" x14ac:dyDescent="0.25">
      <c r="B843" s="16">
        <f t="shared" ref="B843:B874" si="40">B842+1</f>
        <v>2</v>
      </c>
      <c r="C843" s="8"/>
      <c r="D843" s="301" t="s">
        <v>609</v>
      </c>
      <c r="E843" s="831" t="s">
        <v>262</v>
      </c>
      <c r="F843" s="805"/>
      <c r="G843" s="1308"/>
      <c r="H843" s="805"/>
      <c r="I843" s="1308"/>
      <c r="J843" s="805"/>
      <c r="K843" s="1308"/>
      <c r="L843" s="8"/>
      <c r="M843" s="937"/>
      <c r="T843" s="321"/>
      <c r="U843" s="321"/>
      <c r="V843" s="321"/>
      <c r="W843" s="321"/>
      <c r="X843" s="321"/>
      <c r="Y843" s="321"/>
    </row>
    <row r="844" spans="2:29" s="321" customFormat="1" ht="28.5" x14ac:dyDescent="0.2">
      <c r="B844" s="16">
        <f t="shared" si="40"/>
        <v>3</v>
      </c>
      <c r="C844" s="1" t="s">
        <v>175</v>
      </c>
      <c r="D844" s="1" t="s">
        <v>176</v>
      </c>
      <c r="E844" s="16"/>
      <c r="F844" s="229">
        <f>'II-I-DIST'!F844</f>
        <v>12872276.280000001</v>
      </c>
      <c r="G844" s="1" t="str">
        <f>'II-I-DIST'!H844</f>
        <v>NCP XHV</v>
      </c>
      <c r="H844" s="229">
        <f>'II-I-MET'!F844</f>
        <v>0</v>
      </c>
      <c r="I844" s="45" t="str">
        <f>'II-I-MET'!H844</f>
        <v>NCP XHV</v>
      </c>
      <c r="J844" s="23">
        <f>'II-I-TBILLTDCS'!F844</f>
        <v>0</v>
      </c>
      <c r="K844" s="45" t="str">
        <f>'II-I-TBILLTDCS'!H844</f>
        <v>NCP XHV</v>
      </c>
      <c r="L844" s="802">
        <f t="shared" si="39"/>
        <v>12872276.280000001</v>
      </c>
      <c r="M844" s="937" t="s">
        <v>1022</v>
      </c>
      <c r="N844" s="305" t="b">
        <f>IF(' WP II-I-1.4'!L844=L844,TRUE)</f>
        <v>1</v>
      </c>
      <c r="R844"/>
      <c r="S844"/>
      <c r="Y844"/>
      <c r="Z844"/>
      <c r="AA844"/>
      <c r="AB844"/>
      <c r="AC844"/>
    </row>
    <row r="845" spans="2:29" s="321" customFormat="1" ht="28.5" x14ac:dyDescent="0.2">
      <c r="B845" s="16">
        <f t="shared" si="40"/>
        <v>4</v>
      </c>
      <c r="C845" s="1" t="s">
        <v>177</v>
      </c>
      <c r="D845" s="1" t="s">
        <v>149</v>
      </c>
      <c r="E845" s="16"/>
      <c r="F845" s="97">
        <f>'II-I-DIST'!F845</f>
        <v>3113325.23</v>
      </c>
      <c r="G845" s="1" t="str">
        <f>'II-I-DIST'!H845</f>
        <v>PLT 362</v>
      </c>
      <c r="H845" s="97">
        <f>'II-I-MET'!F845</f>
        <v>0</v>
      </c>
      <c r="I845" s="45" t="str">
        <f>'II-I-MET'!H845</f>
        <v>PLT 362</v>
      </c>
      <c r="J845" s="98">
        <f>'II-I-TBILLTDCS'!F845</f>
        <v>0</v>
      </c>
      <c r="K845" s="45" t="str">
        <f>'II-I-TBILLTDCS'!H845</f>
        <v>PLT 362</v>
      </c>
      <c r="L845" s="802">
        <f t="shared" si="39"/>
        <v>3113325.23</v>
      </c>
      <c r="M845" s="937" t="s">
        <v>1022</v>
      </c>
      <c r="N845" s="305" t="b">
        <f>IF(' WP II-I-1.4'!L845=L845,TRUE)</f>
        <v>1</v>
      </c>
      <c r="R845"/>
      <c r="S845"/>
      <c r="T845"/>
      <c r="U845"/>
      <c r="V845"/>
      <c r="W845"/>
      <c r="Y845"/>
      <c r="Z845"/>
      <c r="AA845"/>
      <c r="AB845"/>
      <c r="AC845"/>
    </row>
    <row r="846" spans="2:29" s="321" customFormat="1" ht="28.5" x14ac:dyDescent="0.2">
      <c r="B846" s="16">
        <f t="shared" si="40"/>
        <v>5</v>
      </c>
      <c r="C846" s="1" t="s">
        <v>178</v>
      </c>
      <c r="D846" s="1" t="s">
        <v>151</v>
      </c>
      <c r="E846" s="16"/>
      <c r="F846" s="97">
        <f>'II-I-DIST'!F846</f>
        <v>4010911.3399999519</v>
      </c>
      <c r="G846" s="1" t="str">
        <f>'II-I-DIST'!H846</f>
        <v>PLT 365</v>
      </c>
      <c r="H846" s="97">
        <f>'II-I-MET'!F846</f>
        <v>12180.209999999995</v>
      </c>
      <c r="I846" s="45" t="str">
        <f>'II-I-MET'!H846</f>
        <v>PLT 370</v>
      </c>
      <c r="J846" s="98">
        <f>'II-I-TBILLTDCS'!F846</f>
        <v>0</v>
      </c>
      <c r="K846" s="45" t="str">
        <f>'II-I-TBILLTDCS'!H846</f>
        <v>PLT 365</v>
      </c>
      <c r="L846" s="802">
        <f t="shared" si="39"/>
        <v>4023091.5499999519</v>
      </c>
      <c r="M846" s="937" t="s">
        <v>1022</v>
      </c>
      <c r="N846" s="305" t="b">
        <f>IF(' WP II-I-1.4'!L846=L846,TRUE)</f>
        <v>1</v>
      </c>
      <c r="R846"/>
      <c r="S846"/>
      <c r="T846"/>
      <c r="U846"/>
      <c r="V846"/>
      <c r="W846"/>
      <c r="Y846"/>
      <c r="Z846"/>
      <c r="AA846"/>
      <c r="AB846"/>
      <c r="AC846"/>
    </row>
    <row r="847" spans="2:29" s="321" customFormat="1" ht="28.5" x14ac:dyDescent="0.2">
      <c r="B847" s="16">
        <f t="shared" si="40"/>
        <v>6</v>
      </c>
      <c r="C847" s="1" t="s">
        <v>179</v>
      </c>
      <c r="D847" s="1" t="s">
        <v>153</v>
      </c>
      <c r="E847" s="16"/>
      <c r="F847" s="97">
        <f>'II-I-DIST'!F847</f>
        <v>4506617.859999991</v>
      </c>
      <c r="G847" s="1" t="str">
        <f>'II-I-DIST'!H847</f>
        <v>PLT 367</v>
      </c>
      <c r="H847" s="97">
        <f>'II-I-MET'!F847</f>
        <v>16966.920000000002</v>
      </c>
      <c r="I847" s="45" t="str">
        <f>'II-I-MET'!H847</f>
        <v>PLT 370</v>
      </c>
      <c r="J847" s="98">
        <f>'II-I-TBILLTDCS'!F847</f>
        <v>0</v>
      </c>
      <c r="K847" s="45" t="str">
        <f>'II-I-TBILLTDCS'!H847</f>
        <v>PLT 367</v>
      </c>
      <c r="L847" s="802">
        <f t="shared" si="39"/>
        <v>4523584.7799999909</v>
      </c>
      <c r="M847" s="937" t="s">
        <v>1022</v>
      </c>
      <c r="N847" s="305" t="b">
        <f>IF(' WP II-I-1.4'!L847=L847,TRUE)</f>
        <v>1</v>
      </c>
      <c r="R847"/>
      <c r="S847"/>
      <c r="Y847"/>
      <c r="Z847"/>
      <c r="AA847"/>
      <c r="AB847"/>
      <c r="AC847"/>
    </row>
    <row r="848" spans="2:29" s="321" customFormat="1" ht="28.5" x14ac:dyDescent="0.2">
      <c r="B848" s="16">
        <f t="shared" si="40"/>
        <v>7</v>
      </c>
      <c r="C848" s="1" t="s">
        <v>180</v>
      </c>
      <c r="D848" s="1" t="s">
        <v>181</v>
      </c>
      <c r="E848" s="16"/>
      <c r="F848" s="97">
        <f>'II-I-DIST'!F848</f>
        <v>0</v>
      </c>
      <c r="G848" s="1" t="str">
        <f>'II-I-DIST'!H848</f>
        <v>NCP LGT</v>
      </c>
      <c r="H848" s="97">
        <f>'II-I-MET'!F848</f>
        <v>0</v>
      </c>
      <c r="I848" s="45" t="str">
        <f>'II-I-MET'!H848</f>
        <v>NCP LGT</v>
      </c>
      <c r="J848" s="98">
        <f>'II-I-TBILLTDCS'!F848</f>
        <v>0</v>
      </c>
      <c r="K848" s="45" t="str">
        <f>'II-I-TBILLTDCS'!H848</f>
        <v>NCP LGT</v>
      </c>
      <c r="L848" s="802">
        <f t="shared" si="39"/>
        <v>0</v>
      </c>
      <c r="M848" s="937" t="s">
        <v>1022</v>
      </c>
      <c r="N848" s="305" t="b">
        <f>IF(' WP II-I-1.4'!L848=L848,TRUE)</f>
        <v>1</v>
      </c>
      <c r="R848"/>
      <c r="S848"/>
      <c r="T848"/>
      <c r="U848"/>
      <c r="V848"/>
      <c r="W848"/>
      <c r="X848"/>
      <c r="Z848"/>
      <c r="AA848"/>
      <c r="AB848"/>
      <c r="AC848"/>
    </row>
    <row r="849" spans="2:29" s="321" customFormat="1" ht="28.5" x14ac:dyDescent="0.2">
      <c r="B849" s="16">
        <f t="shared" si="40"/>
        <v>8</v>
      </c>
      <c r="C849" s="1" t="s">
        <v>182</v>
      </c>
      <c r="D849" s="1" t="s">
        <v>183</v>
      </c>
      <c r="E849" s="16"/>
      <c r="F849" s="97">
        <f>'II-I-DIST'!F849</f>
        <v>0</v>
      </c>
      <c r="G849" s="1" t="str">
        <f>'II-I-DIST'!H849</f>
        <v>CUS W ALL</v>
      </c>
      <c r="H849" s="97">
        <f>'II-I-MET'!F849</f>
        <v>12456801.770000009</v>
      </c>
      <c r="I849" s="45" t="str">
        <f>'II-I-MET'!H849</f>
        <v>CUS W ALL</v>
      </c>
      <c r="J849" s="98">
        <f>'II-I-TBILLTDCS'!F849</f>
        <v>0</v>
      </c>
      <c r="K849" s="45" t="str">
        <f>'II-I-TBILLTDCS'!H849</f>
        <v>CUS W ALL</v>
      </c>
      <c r="L849" s="802">
        <f t="shared" si="39"/>
        <v>12456801.770000009</v>
      </c>
      <c r="M849" s="937" t="s">
        <v>1022</v>
      </c>
      <c r="N849" s="305" t="b">
        <f>IF(' WP II-I-1.4'!L849=L849,TRUE)</f>
        <v>1</v>
      </c>
      <c r="R849"/>
      <c r="S849"/>
      <c r="T849"/>
      <c r="U849"/>
      <c r="V849"/>
      <c r="W849"/>
      <c r="X849"/>
      <c r="Z849"/>
      <c r="AA849"/>
      <c r="AB849"/>
      <c r="AC849"/>
    </row>
    <row r="850" spans="2:29" s="321" customFormat="1" ht="28.5" x14ac:dyDescent="0.2">
      <c r="B850" s="16">
        <f t="shared" si="40"/>
        <v>9</v>
      </c>
      <c r="C850" s="1" t="s">
        <v>184</v>
      </c>
      <c r="D850" s="1" t="s">
        <v>185</v>
      </c>
      <c r="E850" s="16"/>
      <c r="F850" s="97">
        <f>'II-I-DIST'!F850</f>
        <v>2034184.280000001</v>
      </c>
      <c r="G850" s="1" t="str">
        <f>'II-I-DIST'!H850</f>
        <v>CUS W RTL</v>
      </c>
      <c r="H850" s="97">
        <f>'II-I-MET'!F850</f>
        <v>0</v>
      </c>
      <c r="I850" s="45" t="str">
        <f>'II-I-MET'!H850</f>
        <v>CUS W RTL</v>
      </c>
      <c r="J850" s="98">
        <f>'II-I-TBILLTDCS'!F850</f>
        <v>0</v>
      </c>
      <c r="K850" s="45" t="str">
        <f>'II-I-TBILLTDCS'!H850</f>
        <v>CUS W RTL</v>
      </c>
      <c r="L850" s="802">
        <f t="shared" si="39"/>
        <v>2034184.280000001</v>
      </c>
      <c r="M850" s="937" t="s">
        <v>1022</v>
      </c>
      <c r="N850" s="305" t="b">
        <f>IF(' WP II-I-1.4'!L850=L850,TRUE)</f>
        <v>1</v>
      </c>
      <c r="R850"/>
      <c r="S850"/>
      <c r="T850"/>
      <c r="U850"/>
      <c r="V850"/>
      <c r="W850"/>
      <c r="Z850"/>
      <c r="AA850"/>
      <c r="AB850"/>
      <c r="AC850"/>
    </row>
    <row r="851" spans="2:29" s="321" customFormat="1" ht="28.5" x14ac:dyDescent="0.2">
      <c r="B851" s="16">
        <f t="shared" si="40"/>
        <v>10</v>
      </c>
      <c r="C851" s="1" t="s">
        <v>186</v>
      </c>
      <c r="D851" s="1" t="s">
        <v>187</v>
      </c>
      <c r="E851" s="16"/>
      <c r="F851" s="97">
        <f>'II-I-DIST'!F851</f>
        <v>59212445.600000031</v>
      </c>
      <c r="G851" s="1" t="str">
        <f>'II-I-DIST'!H851</f>
        <v>DIST OPS</v>
      </c>
      <c r="H851" s="97">
        <f>'II-I-MET'!F851</f>
        <v>85300.749999999985</v>
      </c>
      <c r="I851" s="45" t="str">
        <f>'II-I-MET'!H851</f>
        <v>DIST OPS</v>
      </c>
      <c r="J851" s="98">
        <f>'II-I-TBILLTDCS'!F851</f>
        <v>56400.22</v>
      </c>
      <c r="K851" s="45" t="str">
        <f>'II-I-TBILLTDCS'!H851</f>
        <v>DIST OPS</v>
      </c>
      <c r="L851" s="802">
        <f t="shared" si="39"/>
        <v>59354146.57000003</v>
      </c>
      <c r="M851" s="937" t="s">
        <v>1022</v>
      </c>
      <c r="N851" s="305" t="b">
        <f>IF(' WP II-I-1.4'!L851=L851,TRUE)</f>
        <v>1</v>
      </c>
      <c r="R851"/>
      <c r="S851"/>
      <c r="T851"/>
      <c r="U851"/>
      <c r="V851"/>
      <c r="W851"/>
      <c r="X851"/>
      <c r="Z851"/>
      <c r="AA851"/>
      <c r="AB851"/>
      <c r="AC851"/>
    </row>
    <row r="852" spans="2:29" s="321" customFormat="1" x14ac:dyDescent="0.2">
      <c r="B852" s="16">
        <f t="shared" si="40"/>
        <v>11</v>
      </c>
      <c r="C852" s="1" t="s">
        <v>188</v>
      </c>
      <c r="D852" s="1" t="s">
        <v>189</v>
      </c>
      <c r="E852" s="16"/>
      <c r="F852" s="97">
        <f>'II-I-DIST'!F852</f>
        <v>0</v>
      </c>
      <c r="G852" s="1" t="str">
        <f>'II-I-DIST'!H852</f>
        <v>NCP XHV</v>
      </c>
      <c r="H852" s="97">
        <f>'II-I-MET'!F852</f>
        <v>0</v>
      </c>
      <c r="I852" s="45" t="str">
        <f>'II-I-MET'!H852</f>
        <v>NCP XHV</v>
      </c>
      <c r="J852" s="98">
        <f>'II-I-TBILLTDCS'!F852</f>
        <v>0</v>
      </c>
      <c r="K852" s="45" t="str">
        <f>'II-I-TBILLTDCS'!H852</f>
        <v>NCP XHV</v>
      </c>
      <c r="L852" s="802">
        <f t="shared" si="39"/>
        <v>0</v>
      </c>
      <c r="M852" s="937"/>
      <c r="N852" s="305"/>
      <c r="R852"/>
      <c r="S852"/>
      <c r="T852"/>
      <c r="U852"/>
      <c r="V852"/>
      <c r="W852"/>
      <c r="X852"/>
      <c r="Z852"/>
      <c r="AA852"/>
      <c r="AB852"/>
      <c r="AC852"/>
    </row>
    <row r="853" spans="2:29" ht="15" x14ac:dyDescent="0.25">
      <c r="B853" s="16">
        <f t="shared" si="40"/>
        <v>12</v>
      </c>
      <c r="C853" s="8"/>
      <c r="D853" s="24" t="s">
        <v>615</v>
      </c>
      <c r="E853" s="831"/>
      <c r="F853" s="805">
        <f>'II-I-DIST'!F853</f>
        <v>85749760.589999974</v>
      </c>
      <c r="G853" s="1308"/>
      <c r="H853" s="805">
        <f>'II-I-MET'!F853</f>
        <v>12571249.65000001</v>
      </c>
      <c r="I853" s="1308"/>
      <c r="J853" s="805">
        <f>'II-I-TBILLTDCS'!F853</f>
        <v>56400.22</v>
      </c>
      <c r="K853" s="1308"/>
      <c r="L853" s="805">
        <f t="shared" si="39"/>
        <v>98377410.459999979</v>
      </c>
      <c r="M853" s="937"/>
      <c r="N853" s="305" t="b">
        <f>IF(' WP II-I-1.4'!L853=L853,TRUE)</f>
        <v>1</v>
      </c>
      <c r="Y853" s="321"/>
    </row>
    <row r="854" spans="2:29" ht="15" x14ac:dyDescent="0.25">
      <c r="B854" s="16">
        <f t="shared" si="40"/>
        <v>13</v>
      </c>
      <c r="C854" s="1"/>
      <c r="D854" s="301"/>
      <c r="E854" s="16"/>
      <c r="F854" s="18">
        <f>'II-I-DIST'!F854</f>
        <v>0</v>
      </c>
      <c r="G854" s="16"/>
      <c r="H854" s="18">
        <f>'II-I-MET'!F854</f>
        <v>0</v>
      </c>
      <c r="I854" s="16"/>
      <c r="J854" s="18">
        <f>'II-I-TBILLTDCS'!F854</f>
        <v>0</v>
      </c>
      <c r="K854" s="16"/>
      <c r="L854" s="803"/>
      <c r="M854" s="937"/>
      <c r="Y854" s="321"/>
    </row>
    <row r="855" spans="2:29" s="321" customFormat="1" x14ac:dyDescent="0.2">
      <c r="B855" s="16">
        <f t="shared" si="40"/>
        <v>14</v>
      </c>
      <c r="C855" s="1" t="s">
        <v>174</v>
      </c>
      <c r="D855" s="29" t="s">
        <v>145</v>
      </c>
      <c r="E855" s="16"/>
      <c r="F855" s="97">
        <f>'II-I-DIST'!F855</f>
        <v>8430729.4500000011</v>
      </c>
      <c r="G855" s="1" t="str">
        <f>'II-I-DIST'!H855</f>
        <v>PAY DISTR OPS</v>
      </c>
      <c r="H855" s="97">
        <f>'II-I-MET'!F855</f>
        <v>550312.69999999995</v>
      </c>
      <c r="I855" s="45" t="str">
        <f>'II-I-MET'!H855</f>
        <v>PAY DISTR OPS</v>
      </c>
      <c r="J855" s="98">
        <f>'II-I-TBILLTDCS'!F855</f>
        <v>39833.15</v>
      </c>
      <c r="K855" s="45" t="str">
        <f>'II-I-TBILLTDCS'!H855</f>
        <v>PAY DISTR OPS</v>
      </c>
      <c r="L855" s="802">
        <f t="shared" si="39"/>
        <v>9020875.3000000007</v>
      </c>
      <c r="M855" s="937"/>
      <c r="R855"/>
      <c r="S855"/>
      <c r="T855"/>
      <c r="U855"/>
      <c r="V855"/>
      <c r="W855"/>
      <c r="X855"/>
      <c r="Z855"/>
      <c r="AA855"/>
      <c r="AB855"/>
      <c r="AC855"/>
    </row>
    <row r="856" spans="2:29" ht="15" x14ac:dyDescent="0.25">
      <c r="B856" s="16">
        <f t="shared" si="40"/>
        <v>15</v>
      </c>
      <c r="C856" s="1"/>
      <c r="D856" s="301"/>
      <c r="E856" s="16"/>
      <c r="F856" s="18">
        <f>'II-I-DIST'!F856</f>
        <v>0</v>
      </c>
      <c r="G856" s="16"/>
      <c r="H856" s="18">
        <f>'II-I-MET'!F856</f>
        <v>0</v>
      </c>
      <c r="I856" s="16"/>
      <c r="J856" s="18">
        <f>'II-I-TBILLTDCS'!F856</f>
        <v>0</v>
      </c>
      <c r="K856" s="16"/>
      <c r="L856" s="803"/>
      <c r="M856" s="937"/>
    </row>
    <row r="857" spans="2:29" ht="15" x14ac:dyDescent="0.25">
      <c r="B857" s="16">
        <f t="shared" si="40"/>
        <v>16</v>
      </c>
      <c r="C857" s="1"/>
      <c r="D857" s="301" t="s">
        <v>616</v>
      </c>
      <c r="E857" s="831" t="s">
        <v>262</v>
      </c>
      <c r="F857" s="805">
        <f>'II-I-DIST'!F857</f>
        <v>94180490.039999977</v>
      </c>
      <c r="G857" s="1308"/>
      <c r="H857" s="805">
        <f>'II-I-MET'!F857</f>
        <v>13121562.350000009</v>
      </c>
      <c r="I857" s="1308"/>
      <c r="J857" s="805">
        <f>'II-I-TBILLTDCS'!F857</f>
        <v>96233.37</v>
      </c>
      <c r="K857" s="1308"/>
      <c r="L857" s="805">
        <f t="shared" si="39"/>
        <v>107398285.75999999</v>
      </c>
      <c r="M857" s="937"/>
    </row>
    <row r="858" spans="2:29" ht="15" x14ac:dyDescent="0.25">
      <c r="B858" s="16">
        <f t="shared" si="40"/>
        <v>17</v>
      </c>
      <c r="C858" s="1"/>
      <c r="D858" s="301"/>
      <c r="E858" s="16"/>
      <c r="F858" s="18">
        <f>'II-I-DIST'!F858</f>
        <v>0</v>
      </c>
      <c r="G858" s="16"/>
      <c r="H858" s="18">
        <f>'II-I-MET'!F858</f>
        <v>0</v>
      </c>
      <c r="I858" s="16"/>
      <c r="J858" s="18">
        <f>'II-I-TBILLTDCS'!F858</f>
        <v>0</v>
      </c>
      <c r="K858" s="16"/>
      <c r="L858" s="803"/>
      <c r="Y858" s="321"/>
    </row>
    <row r="859" spans="2:29" ht="15" x14ac:dyDescent="0.25">
      <c r="B859" s="16">
        <f t="shared" si="40"/>
        <v>18</v>
      </c>
      <c r="C859" s="8"/>
      <c r="D859" s="301" t="s">
        <v>611</v>
      </c>
      <c r="E859" s="831" t="s">
        <v>262</v>
      </c>
      <c r="F859" s="805">
        <f>'II-I-DIST'!F859</f>
        <v>0</v>
      </c>
      <c r="G859" s="1308"/>
      <c r="H859" s="805">
        <f>'II-I-MET'!F859</f>
        <v>0</v>
      </c>
      <c r="I859" s="1308"/>
      <c r="J859" s="805">
        <f>'II-I-TBILLTDCS'!F859</f>
        <v>0</v>
      </c>
      <c r="K859" s="1308"/>
      <c r="L859" s="805"/>
    </row>
    <row r="860" spans="2:29" s="321" customFormat="1" x14ac:dyDescent="0.2">
      <c r="B860" s="16">
        <f t="shared" si="40"/>
        <v>19</v>
      </c>
      <c r="C860" s="1" t="s">
        <v>192</v>
      </c>
      <c r="D860" s="1" t="s">
        <v>164</v>
      </c>
      <c r="E860" s="16"/>
      <c r="F860" s="97">
        <f>'II-I-DIST'!F860</f>
        <v>0</v>
      </c>
      <c r="G860" s="1" t="str">
        <f>'II-I-DIST'!H860</f>
        <v>PLT 361</v>
      </c>
      <c r="H860" s="97">
        <f>'II-I-MET'!F860</f>
        <v>0</v>
      </c>
      <c r="I860" s="45" t="str">
        <f>'II-I-MET'!H860</f>
        <v>PLT 361</v>
      </c>
      <c r="J860" s="98">
        <f>'II-I-TBILLTDCS'!F860</f>
        <v>0</v>
      </c>
      <c r="K860" s="45" t="str">
        <f>'II-I-TBILLTDCS'!H860</f>
        <v>PLT 361</v>
      </c>
      <c r="L860" s="802">
        <f t="shared" si="39"/>
        <v>0</v>
      </c>
      <c r="M860" s="942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21" customFormat="1" ht="28.5" x14ac:dyDescent="0.2">
      <c r="B861" s="16">
        <f t="shared" si="40"/>
        <v>20</v>
      </c>
      <c r="C861" s="1" t="s">
        <v>193</v>
      </c>
      <c r="D861" s="29" t="s">
        <v>166</v>
      </c>
      <c r="E861" s="16"/>
      <c r="F861" s="97">
        <f>'II-I-DIST'!F861</f>
        <v>6188260.0800000001</v>
      </c>
      <c r="G861" s="1" t="str">
        <f>'II-I-DIST'!H861</f>
        <v>PLT 362</v>
      </c>
      <c r="H861" s="97">
        <f>'II-I-MET'!F861</f>
        <v>0</v>
      </c>
      <c r="I861" s="45" t="str">
        <f>'II-I-MET'!H861</f>
        <v>PLT 362</v>
      </c>
      <c r="J861" s="98">
        <f>'II-I-TBILLTDCS'!F861</f>
        <v>0</v>
      </c>
      <c r="K861" s="45" t="str">
        <f>'II-I-TBILLTDCS'!H861</f>
        <v>PLT 362</v>
      </c>
      <c r="L861" s="802">
        <f t="shared" si="39"/>
        <v>6188260.0800000001</v>
      </c>
      <c r="M861" s="937" t="s">
        <v>1022</v>
      </c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21" customFormat="1" x14ac:dyDescent="0.2">
      <c r="B862" s="16">
        <f t="shared" si="40"/>
        <v>21</v>
      </c>
      <c r="C862" s="1" t="s">
        <v>194</v>
      </c>
      <c r="D862" s="1" t="s">
        <v>168</v>
      </c>
      <c r="E862" s="16"/>
      <c r="F862" s="97">
        <f>'II-I-DIST'!F862</f>
        <v>38786429.539999999</v>
      </c>
      <c r="G862" s="1" t="str">
        <f>'II-I-DIST'!H862</f>
        <v>PLT OH</v>
      </c>
      <c r="H862" s="97">
        <f>'II-I-MET'!F862</f>
        <v>20671.66</v>
      </c>
      <c r="I862" s="45" t="str">
        <f>'II-I-MET'!H862</f>
        <v>PLT 370</v>
      </c>
      <c r="J862" s="98">
        <f>'II-I-TBILLTDCS'!F862</f>
        <v>0</v>
      </c>
      <c r="K862" s="45" t="str">
        <f>'II-I-TBILLTDCS'!H862</f>
        <v>PLT OH</v>
      </c>
      <c r="L862" s="802">
        <f t="shared" si="39"/>
        <v>38807101.199999996</v>
      </c>
      <c r="M862" s="937" t="s">
        <v>1353</v>
      </c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21" customFormat="1" x14ac:dyDescent="0.2">
      <c r="B863" s="16">
        <f t="shared" si="40"/>
        <v>22</v>
      </c>
      <c r="C863" s="1" t="s">
        <v>195</v>
      </c>
      <c r="D863" s="1" t="s">
        <v>170</v>
      </c>
      <c r="E863" s="16"/>
      <c r="F863" s="97">
        <f>'II-I-DIST'!F863</f>
        <v>9743951.3100000005</v>
      </c>
      <c r="G863" s="1" t="str">
        <f>'II-I-DIST'!H863</f>
        <v>PLT UG</v>
      </c>
      <c r="H863" s="97">
        <f>'II-I-MET'!F863</f>
        <v>16828.61</v>
      </c>
      <c r="I863" s="45" t="str">
        <f>'II-I-MET'!H863</f>
        <v>PLT 370</v>
      </c>
      <c r="J863" s="98">
        <f>'II-I-TBILLTDCS'!F863</f>
        <v>0</v>
      </c>
      <c r="K863" s="45" t="str">
        <f>'II-I-TBILLTDCS'!H863</f>
        <v>PLT UG</v>
      </c>
      <c r="L863" s="802">
        <f t="shared" si="39"/>
        <v>9760779.9199999999</v>
      </c>
      <c r="M863" s="937" t="s">
        <v>1353</v>
      </c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21" customFormat="1" x14ac:dyDescent="0.2">
      <c r="B864" s="16">
        <f t="shared" si="40"/>
        <v>23</v>
      </c>
      <c r="C864" s="1" t="s">
        <v>196</v>
      </c>
      <c r="D864" s="1" t="s">
        <v>197</v>
      </c>
      <c r="E864" s="16"/>
      <c r="F864" s="97">
        <f>'II-I-DIST'!F864</f>
        <v>1406918.11</v>
      </c>
      <c r="G864" s="1" t="str">
        <f>'II-I-DIST'!H864</f>
        <v>PLT 368</v>
      </c>
      <c r="H864" s="97">
        <f>'II-I-MET'!F864</f>
        <v>13.87</v>
      </c>
      <c r="I864" s="45" t="str">
        <f>'II-I-MET'!H864</f>
        <v>PLT 370</v>
      </c>
      <c r="J864" s="98">
        <f>'II-I-TBILLTDCS'!F864</f>
        <v>0</v>
      </c>
      <c r="K864" s="45" t="str">
        <f>'II-I-TBILLTDCS'!H864</f>
        <v>PLT 368</v>
      </c>
      <c r="L864" s="802">
        <f t="shared" si="39"/>
        <v>1406931.9800000002</v>
      </c>
      <c r="M864" s="937" t="s">
        <v>1353</v>
      </c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21" customFormat="1" x14ac:dyDescent="0.2">
      <c r="B865" s="16">
        <f t="shared" si="40"/>
        <v>24</v>
      </c>
      <c r="C865" s="1" t="s">
        <v>198</v>
      </c>
      <c r="D865" s="1" t="s">
        <v>199</v>
      </c>
      <c r="E865" s="16"/>
      <c r="F865" s="97">
        <f>'II-I-DIST'!F865</f>
        <v>335973.77</v>
      </c>
      <c r="G865" s="1" t="str">
        <f>'II-I-DIST'!H865</f>
        <v>NCP LGT</v>
      </c>
      <c r="H865" s="97">
        <f>'II-I-MET'!F865</f>
        <v>4.1399999999999997</v>
      </c>
      <c r="I865" s="45" t="str">
        <f>'II-I-MET'!H865</f>
        <v>NCP LGT</v>
      </c>
      <c r="J865" s="98">
        <f>'II-I-TBILLTDCS'!F865</f>
        <v>0</v>
      </c>
      <c r="K865" s="45" t="str">
        <f>'II-I-TBILLTDCS'!H865</f>
        <v>NCP LGT</v>
      </c>
      <c r="L865" s="802">
        <f t="shared" si="39"/>
        <v>335977.91000000003</v>
      </c>
      <c r="M865" s="937" t="s">
        <v>1353</v>
      </c>
      <c r="R865"/>
      <c r="S865"/>
      <c r="X865"/>
      <c r="Y865"/>
      <c r="Z865"/>
      <c r="AA865"/>
      <c r="AB865"/>
      <c r="AC865"/>
    </row>
    <row r="866" spans="2:29" s="321" customFormat="1" x14ac:dyDescent="0.2">
      <c r="B866" s="16">
        <f t="shared" si="40"/>
        <v>25</v>
      </c>
      <c r="C866" s="1" t="s">
        <v>200</v>
      </c>
      <c r="D866" s="1" t="s">
        <v>201</v>
      </c>
      <c r="E866" s="16"/>
      <c r="F866" s="97">
        <f>'II-I-DIST'!F866</f>
        <v>0</v>
      </c>
      <c r="G866" s="1" t="str">
        <f>'II-I-DIST'!H866</f>
        <v>CUS W ALL</v>
      </c>
      <c r="H866" s="97">
        <f>'II-I-MET'!F866</f>
        <v>15622947.98</v>
      </c>
      <c r="I866" s="45" t="str">
        <f>'II-I-MET'!H866</f>
        <v>CUS W ALL</v>
      </c>
      <c r="J866" s="98">
        <f>'II-I-TBILLTDCS'!F866</f>
        <v>0</v>
      </c>
      <c r="K866" s="45" t="str">
        <f>'II-I-TBILLTDCS'!H866</f>
        <v>CUS W ALL</v>
      </c>
      <c r="L866" s="802">
        <f t="shared" si="39"/>
        <v>15622947.98</v>
      </c>
      <c r="M866" s="937" t="s">
        <v>1353</v>
      </c>
      <c r="R866"/>
      <c r="S866"/>
      <c r="X866"/>
      <c r="Y866"/>
      <c r="Z866"/>
      <c r="AA866"/>
      <c r="AB866"/>
      <c r="AC866"/>
    </row>
    <row r="867" spans="2:29" s="321" customFormat="1" x14ac:dyDescent="0.2">
      <c r="B867" s="16">
        <f t="shared" si="40"/>
        <v>26</v>
      </c>
      <c r="C867" s="1" t="s">
        <v>202</v>
      </c>
      <c r="D867" s="1" t="s">
        <v>203</v>
      </c>
      <c r="E867" s="16"/>
      <c r="F867" s="97">
        <f>'II-I-DIST'!F867</f>
        <v>290636.13</v>
      </c>
      <c r="G867" s="1" t="str">
        <f>'II-I-DIST'!H867</f>
        <v>DIST MAINT</v>
      </c>
      <c r="H867" s="97">
        <f>'II-I-MET'!F867</f>
        <v>0</v>
      </c>
      <c r="I867" s="45" t="str">
        <f>'II-I-MET'!H867</f>
        <v>DIST MAINT</v>
      </c>
      <c r="J867" s="98">
        <f>'II-I-TBILLTDCS'!F867</f>
        <v>0</v>
      </c>
      <c r="K867" s="45" t="str">
        <f>'II-I-TBILLTDCS'!H867</f>
        <v>DIST MAINT</v>
      </c>
      <c r="L867" s="802">
        <f t="shared" si="39"/>
        <v>290636.13</v>
      </c>
      <c r="M867" s="937" t="s">
        <v>1353</v>
      </c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ht="15" x14ac:dyDescent="0.25">
      <c r="B868" s="16">
        <f t="shared" si="40"/>
        <v>27</v>
      </c>
      <c r="C868" s="8"/>
      <c r="D868" s="24" t="s">
        <v>617</v>
      </c>
      <c r="E868" s="831"/>
      <c r="F868" s="805">
        <f>'II-I-DIST'!F868</f>
        <v>56752168.940000005</v>
      </c>
      <c r="G868" s="1308"/>
      <c r="H868" s="805">
        <f>'II-I-MET'!F868</f>
        <v>15660466.26</v>
      </c>
      <c r="I868" s="1308"/>
      <c r="J868" s="805">
        <f>'II-I-TBILLTDCS'!F868</f>
        <v>0</v>
      </c>
      <c r="K868" s="1308"/>
      <c r="L868" s="805">
        <f t="shared" si="39"/>
        <v>72412635.200000003</v>
      </c>
      <c r="M868" s="937"/>
      <c r="X868" s="321"/>
    </row>
    <row r="869" spans="2:29" ht="15" x14ac:dyDescent="0.25">
      <c r="B869" s="16">
        <f t="shared" si="40"/>
        <v>28</v>
      </c>
      <c r="C869" s="1"/>
      <c r="D869" s="301"/>
      <c r="E869" s="16"/>
      <c r="F869" s="18">
        <f>'II-I-DIST'!F869</f>
        <v>0</v>
      </c>
      <c r="G869" s="16"/>
      <c r="H869" s="18">
        <f>'II-I-MET'!F869</f>
        <v>0</v>
      </c>
      <c r="I869" s="16"/>
      <c r="J869" s="18">
        <f>'II-I-TBILLTDCS'!F869</f>
        <v>0</v>
      </c>
      <c r="K869" s="16"/>
      <c r="L869" s="803"/>
      <c r="M869" s="937"/>
      <c r="T869" s="321"/>
      <c r="U869" s="321"/>
      <c r="V869" s="321"/>
      <c r="W869" s="321"/>
      <c r="X869" s="321"/>
    </row>
    <row r="870" spans="2:29" s="321" customFormat="1" ht="28.5" x14ac:dyDescent="0.2">
      <c r="B870" s="16">
        <f t="shared" si="40"/>
        <v>29</v>
      </c>
      <c r="C870" s="1" t="s">
        <v>191</v>
      </c>
      <c r="D870" s="29" t="s">
        <v>162</v>
      </c>
      <c r="E870" s="16"/>
      <c r="F870" s="97">
        <f>'II-I-DIST'!F870</f>
        <v>2417660.5</v>
      </c>
      <c r="G870" s="1" t="str">
        <f>'II-I-DIST'!H870</f>
        <v>PAY DISTR MNT</v>
      </c>
      <c r="H870" s="97">
        <f>'II-I-MET'!F870</f>
        <v>641659.92000000004</v>
      </c>
      <c r="I870" s="45" t="str">
        <f>'II-I-MET'!H870</f>
        <v>PAY DISTR MNT</v>
      </c>
      <c r="J870" s="98">
        <f>'II-I-TBILLTDCS'!F870</f>
        <v>0</v>
      </c>
      <c r="K870" s="45" t="str">
        <f>'II-I-TBILLTDCS'!H870</f>
        <v>PAY DISTR MNT</v>
      </c>
      <c r="L870" s="802">
        <f t="shared" si="39"/>
        <v>3059320.42</v>
      </c>
      <c r="M870" s="937" t="s">
        <v>1024</v>
      </c>
      <c r="R870"/>
      <c r="S870"/>
      <c r="X870"/>
      <c r="Y870"/>
      <c r="Z870"/>
      <c r="AA870"/>
      <c r="AB870"/>
      <c r="AC870"/>
    </row>
    <row r="871" spans="2:29" ht="15" x14ac:dyDescent="0.25">
      <c r="B871" s="16">
        <f t="shared" si="40"/>
        <v>30</v>
      </c>
      <c r="C871" s="1"/>
      <c r="D871" s="301"/>
      <c r="E871" s="16"/>
      <c r="F871" s="18">
        <f>'II-I-DIST'!F871</f>
        <v>0</v>
      </c>
      <c r="G871" s="16"/>
      <c r="H871" s="18">
        <f>'II-I-MET'!F871</f>
        <v>0</v>
      </c>
      <c r="I871" s="16"/>
      <c r="J871" s="18">
        <f>'II-I-TBILLTDCS'!F871</f>
        <v>0</v>
      </c>
      <c r="K871" s="16"/>
      <c r="L871" s="803"/>
      <c r="M871" s="937"/>
      <c r="T871" s="321"/>
      <c r="U871" s="321"/>
      <c r="V871" s="321"/>
      <c r="W871" s="321"/>
    </row>
    <row r="872" spans="2:29" ht="15" x14ac:dyDescent="0.25">
      <c r="B872" s="16">
        <f t="shared" si="40"/>
        <v>31</v>
      </c>
      <c r="C872" s="1"/>
      <c r="D872" s="301" t="s">
        <v>618</v>
      </c>
      <c r="E872" s="831" t="s">
        <v>262</v>
      </c>
      <c r="F872" s="805">
        <f>'II-I-DIST'!F872</f>
        <v>59169829.440000005</v>
      </c>
      <c r="G872" s="1308"/>
      <c r="H872" s="805">
        <f>'II-I-MET'!F872</f>
        <v>16302126.18</v>
      </c>
      <c r="I872" s="1308"/>
      <c r="J872" s="805">
        <f>'II-I-TBILLTDCS'!F872</f>
        <v>0</v>
      </c>
      <c r="K872" s="1308"/>
      <c r="L872" s="805">
        <f t="shared" si="39"/>
        <v>75471955.620000005</v>
      </c>
      <c r="M872" s="937"/>
      <c r="N872" s="305" t="b">
        <f>IF(' WP II-I-1.4'!L872=L872,TRUE)</f>
        <v>1</v>
      </c>
      <c r="X872" s="321"/>
    </row>
    <row r="873" spans="2:29" ht="15.75" thickBot="1" x14ac:dyDescent="0.3">
      <c r="B873" s="16">
        <f t="shared" si="40"/>
        <v>32</v>
      </c>
      <c r="C873" s="1"/>
      <c r="D873" s="301"/>
      <c r="E873" s="16"/>
      <c r="F873" s="18">
        <f>'II-I-DIST'!F873</f>
        <v>0</v>
      </c>
      <c r="G873" s="16"/>
      <c r="H873" s="18">
        <f>'II-I-MET'!F873</f>
        <v>0</v>
      </c>
      <c r="I873" s="16"/>
      <c r="J873" s="18">
        <f>'II-I-TBILLTDCS'!F873</f>
        <v>0</v>
      </c>
      <c r="K873" s="16"/>
      <c r="L873" s="803"/>
      <c r="M873" s="937"/>
      <c r="N873" s="305"/>
      <c r="X873" s="321"/>
    </row>
    <row r="874" spans="2:29" ht="15.75" thickBot="1" x14ac:dyDescent="0.3">
      <c r="B874" s="16">
        <f t="shared" si="40"/>
        <v>33</v>
      </c>
      <c r="C874" s="779" t="s">
        <v>619</v>
      </c>
      <c r="D874" s="920"/>
      <c r="E874" s="916" t="s">
        <v>262</v>
      </c>
      <c r="F874" s="917">
        <f>'II-I-DIST'!F874</f>
        <v>153350319.47999999</v>
      </c>
      <c r="G874" s="916"/>
      <c r="H874" s="917">
        <f>'II-I-MET'!F874</f>
        <v>29423688.530000009</v>
      </c>
      <c r="I874" s="916"/>
      <c r="J874" s="917">
        <f>'II-I-TBILLTDCS'!F874</f>
        <v>96233.37</v>
      </c>
      <c r="K874" s="916"/>
      <c r="L874" s="955">
        <f t="shared" si="39"/>
        <v>182870241.38</v>
      </c>
      <c r="M874" s="937"/>
      <c r="N874" s="305" t="b">
        <f>IF(' WP II-I-1.4'!L874=L874,TRUE)</f>
        <v>1</v>
      </c>
      <c r="X874" s="321"/>
    </row>
    <row r="875" spans="2:29" ht="6" customHeight="1" thickBot="1" x14ac:dyDescent="0.3">
      <c r="B875" s="783"/>
      <c r="C875" s="783"/>
      <c r="D875" s="783"/>
      <c r="E875" s="783"/>
      <c r="F875" s="18"/>
      <c r="G875" s="16"/>
      <c r="H875" s="18"/>
      <c r="I875" s="16"/>
      <c r="J875" s="18"/>
      <c r="K875" s="16"/>
      <c r="L875" s="783"/>
    </row>
    <row r="876" spans="2:29" ht="15" x14ac:dyDescent="0.25">
      <c r="B876" s="829" t="str">
        <f>$B$4</f>
        <v>2025 RATE CASE</v>
      </c>
      <c r="C876" s="835"/>
      <c r="D876" s="836"/>
      <c r="E876" s="783"/>
      <c r="F876" s="11"/>
      <c r="G876" s="105"/>
      <c r="H876" s="11"/>
      <c r="I876" s="105"/>
      <c r="J876" s="11"/>
      <c r="K876" s="105"/>
      <c r="L876" s="783"/>
      <c r="Y876" s="321"/>
    </row>
    <row r="877" spans="2:29" ht="15" x14ac:dyDescent="0.25">
      <c r="B877" s="826" t="str">
        <f>$B$5</f>
        <v>ONCOR ELECTRIC DELIVERY COMPANY LLC</v>
      </c>
      <c r="C877" s="304"/>
      <c r="D877" s="837"/>
      <c r="E877" s="783"/>
      <c r="F877" s="11"/>
      <c r="H877" s="11"/>
      <c r="J877" s="11"/>
      <c r="K877"/>
      <c r="L877" s="783"/>
      <c r="T877" s="321"/>
      <c r="U877" s="321"/>
      <c r="V877" s="321"/>
      <c r="W877" s="321"/>
      <c r="Y877" s="321"/>
    </row>
    <row r="878" spans="2:29" ht="15" x14ac:dyDescent="0.25">
      <c r="B878" s="341" t="str">
        <f>$B$6</f>
        <v>II-I-2.1f:  CONSOLIDATED FUNCTIONALIZED COST OF SERVICE</v>
      </c>
      <c r="C878" s="304"/>
      <c r="D878" s="837"/>
      <c r="E878" s="783"/>
      <c r="F878" s="11"/>
      <c r="H878" s="11"/>
      <c r="J878" s="11"/>
      <c r="K878"/>
      <c r="L878" s="783"/>
      <c r="T878" s="321"/>
      <c r="U878" s="321"/>
      <c r="V878" s="321"/>
      <c r="W878" s="321"/>
    </row>
    <row r="879" spans="2:29" ht="15" x14ac:dyDescent="0.25">
      <c r="B879" s="341" t="str">
        <f>$B$7</f>
        <v>TEST YEAR ENDING 12/31/2024</v>
      </c>
      <c r="C879" s="304"/>
      <c r="D879" s="837"/>
      <c r="E879" s="783"/>
      <c r="F879" s="11"/>
      <c r="H879" s="11"/>
      <c r="J879" s="11"/>
      <c r="K879"/>
      <c r="L879" s="783"/>
      <c r="T879" s="321"/>
      <c r="U879" s="321"/>
      <c r="V879" s="321"/>
      <c r="W879" s="321"/>
    </row>
    <row r="880" spans="2:29" ht="15.75" x14ac:dyDescent="0.25">
      <c r="B880" s="341" t="str">
        <f>$B$8</f>
        <v>SPONSOR:  MATTHEW A. TROXLE</v>
      </c>
      <c r="C880" s="752"/>
      <c r="D880" s="830"/>
      <c r="E880" s="64"/>
      <c r="F880" s="11"/>
      <c r="H880" s="11"/>
      <c r="J880" s="11"/>
      <c r="K880"/>
      <c r="X880" s="321"/>
      <c r="Y880" s="321"/>
    </row>
    <row r="881" spans="2:29" ht="9" customHeight="1" thickBot="1" x14ac:dyDescent="0.3">
      <c r="B881" s="345"/>
      <c r="C881" s="840"/>
      <c r="D881" s="841"/>
      <c r="E881" s="304"/>
      <c r="F881" s="11"/>
      <c r="H881" s="11"/>
      <c r="J881" s="11"/>
      <c r="K881"/>
      <c r="L881" s="304"/>
      <c r="X881" s="321"/>
      <c r="Y881" s="321"/>
    </row>
    <row r="882" spans="2:29" x14ac:dyDescent="0.2">
      <c r="B882" s="12"/>
      <c r="C882" s="13"/>
      <c r="D882" s="177"/>
      <c r="E882" s="13"/>
      <c r="F882" s="12"/>
      <c r="G882" s="13"/>
      <c r="H882" s="12"/>
      <c r="I882" s="13"/>
      <c r="J882" s="12"/>
      <c r="K882" s="13"/>
      <c r="L882" s="855"/>
      <c r="M882" s="938"/>
      <c r="T882" s="321"/>
      <c r="U882" s="321"/>
      <c r="V882" s="321"/>
      <c r="W882" s="321"/>
      <c r="X882" s="321"/>
      <c r="Y882" s="321"/>
    </row>
    <row r="883" spans="2:29" ht="15" x14ac:dyDescent="0.25">
      <c r="B883" s="14" t="s">
        <v>2</v>
      </c>
      <c r="C883" s="14" t="s">
        <v>349</v>
      </c>
      <c r="D883" s="180" t="s">
        <v>620</v>
      </c>
      <c r="E883" s="14" t="s">
        <v>350</v>
      </c>
      <c r="F883" s="226" t="str">
        <f>'II-I-DIST'!F883</f>
        <v>DIST</v>
      </c>
      <c r="G883" s="181" t="str">
        <f>'II-I-DIST'!H883</f>
        <v>Allocation</v>
      </c>
      <c r="H883" s="226" t="str">
        <f>'II-I-MET'!F883</f>
        <v>MET</v>
      </c>
      <c r="I883" s="181" t="str">
        <f>'II-I-MET'!H883</f>
        <v>Allocation</v>
      </c>
      <c r="J883" s="226" t="str">
        <f>'II-I-TBILLTDCS'!F883</f>
        <v>TBILLTDCS</v>
      </c>
      <c r="K883" s="181" t="str">
        <f>'II-I-TBILLTDCS'!H883</f>
        <v>Allocation</v>
      </c>
      <c r="L883" s="660" t="s">
        <v>434</v>
      </c>
      <c r="M883" s="932" t="s">
        <v>970</v>
      </c>
      <c r="T883" s="321"/>
      <c r="U883" s="321"/>
      <c r="V883" s="321"/>
      <c r="W883" s="321"/>
    </row>
    <row r="884" spans="2:29" x14ac:dyDescent="0.2">
      <c r="B884" s="14"/>
      <c r="C884" s="14"/>
      <c r="D884" s="181"/>
      <c r="E884" s="14"/>
      <c r="F884" s="14"/>
      <c r="G884" s="181" t="str">
        <f>'II-I-DIST'!H884</f>
        <v>Factor</v>
      </c>
      <c r="H884" s="14"/>
      <c r="I884" s="181" t="str">
        <f>'II-I-MET'!H884</f>
        <v>Factor</v>
      </c>
      <c r="J884" s="14"/>
      <c r="K884" s="181" t="str">
        <f>'II-I-TBILLTDCS'!H884</f>
        <v>Factor</v>
      </c>
      <c r="L884" s="660" t="s">
        <v>31</v>
      </c>
      <c r="M884" s="939"/>
    </row>
    <row r="885" spans="2:29" ht="15.75" thickBot="1" x14ac:dyDescent="0.25">
      <c r="B885" s="182"/>
      <c r="C885" s="860"/>
      <c r="D885" s="184"/>
      <c r="E885" s="184"/>
      <c r="F885" s="15" t="str">
        <f>'II-I-DIST'!F885</f>
        <v>(a)</v>
      </c>
      <c r="G885" s="15" t="str">
        <f>'II-I-DIST'!H885</f>
        <v>(c)</v>
      </c>
      <c r="H885" s="664" t="str">
        <f>'II-I-MET'!F885</f>
        <v>(a)</v>
      </c>
      <c r="I885" s="15" t="str">
        <f>'II-I-MET'!H885</f>
        <v>(c)</v>
      </c>
      <c r="J885" s="664" t="str">
        <f>'II-I-TBILLTDCS'!F885</f>
        <v>(a)</v>
      </c>
      <c r="K885" s="15" t="str">
        <f>'II-I-TBILLTDCS'!H885</f>
        <v>(c)</v>
      </c>
      <c r="L885" s="664" t="s">
        <v>19</v>
      </c>
      <c r="M885" s="934" t="s">
        <v>1056</v>
      </c>
      <c r="X885" s="321"/>
    </row>
    <row r="886" spans="2:29" ht="8.4499999999999993" customHeight="1" x14ac:dyDescent="0.2">
      <c r="B886" s="64"/>
      <c r="C886" s="96"/>
      <c r="D886" s="96"/>
      <c r="E886" s="251"/>
      <c r="F886" s="308"/>
      <c r="G886" s="251"/>
      <c r="H886" s="308"/>
      <c r="I886" s="251"/>
      <c r="J886" s="322"/>
      <c r="K886" s="251"/>
      <c r="L886" s="647"/>
      <c r="M886" s="937"/>
      <c r="X886" s="321"/>
    </row>
    <row r="887" spans="2:29" ht="15" x14ac:dyDescent="0.25">
      <c r="B887" s="16">
        <f t="shared" ref="B887:B925" si="41">B886+1</f>
        <v>1</v>
      </c>
      <c r="C887" s="8"/>
      <c r="D887" s="301" t="s">
        <v>266</v>
      </c>
      <c r="E887" s="831" t="s">
        <v>262</v>
      </c>
      <c r="F887" s="805"/>
      <c r="G887" s="1308"/>
      <c r="H887" s="805"/>
      <c r="I887" s="1308"/>
      <c r="J887" s="805"/>
      <c r="K887" s="1308"/>
      <c r="L887" s="8"/>
      <c r="M887" s="937"/>
    </row>
    <row r="888" spans="2:29" s="321" customFormat="1" ht="42.75" x14ac:dyDescent="0.2">
      <c r="B888" s="16">
        <f t="shared" si="41"/>
        <v>2</v>
      </c>
      <c r="C888" s="1" t="s">
        <v>207</v>
      </c>
      <c r="D888" s="1" t="s">
        <v>208</v>
      </c>
      <c r="E888" s="16"/>
      <c r="F888" s="97">
        <f>'II-I-DIST'!F888</f>
        <v>0</v>
      </c>
      <c r="G888" s="45" t="str">
        <f>'II-I-DIST'!H888</f>
        <v>CUS W ALL</v>
      </c>
      <c r="H888" s="97">
        <f>'II-I-MET'!F888</f>
        <v>0</v>
      </c>
      <c r="I888" s="45" t="str">
        <f>'II-I-MET'!H888</f>
        <v>CUS W ALL</v>
      </c>
      <c r="J888" s="98">
        <f>'II-I-TBILLTDCS'!F888</f>
        <v>0</v>
      </c>
      <c r="K888" s="45" t="str">
        <f>'II-I-TBILLTDCS'!H888</f>
        <v>CUS W ALL</v>
      </c>
      <c r="L888" s="802">
        <f t="shared" ref="L888:L944" si="42">F888+H888+J888</f>
        <v>0</v>
      </c>
      <c r="M888" s="937" t="s">
        <v>1025</v>
      </c>
      <c r="R888"/>
      <c r="S888"/>
      <c r="T888"/>
      <c r="U888"/>
      <c r="V888"/>
      <c r="W888"/>
      <c r="X888"/>
      <c r="Z888"/>
      <c r="AA888"/>
      <c r="AB888"/>
      <c r="AC888"/>
    </row>
    <row r="889" spans="2:29" s="321" customFormat="1" ht="42.75" x14ac:dyDescent="0.2">
      <c r="B889" s="16">
        <f t="shared" si="41"/>
        <v>3</v>
      </c>
      <c r="C889" s="1" t="s">
        <v>209</v>
      </c>
      <c r="D889" s="1" t="s">
        <v>210</v>
      </c>
      <c r="E889" s="16"/>
      <c r="F889" s="97">
        <f>'II-I-DIST'!F889</f>
        <v>0</v>
      </c>
      <c r="G889" s="45" t="str">
        <f>'II-I-DIST'!H889</f>
        <v>CUS W ALL</v>
      </c>
      <c r="H889" s="97">
        <f>'II-I-MET'!F889</f>
        <v>9310677.7999999989</v>
      </c>
      <c r="I889" s="45" t="str">
        <f>'II-I-MET'!H889</f>
        <v>CUS W ALL</v>
      </c>
      <c r="J889" s="98">
        <f>'II-I-TBILLTDCS'!F889</f>
        <v>1479495.79</v>
      </c>
      <c r="K889" s="45" t="str">
        <f>'II-I-TBILLTDCS'!H889</f>
        <v>CUS W ALL</v>
      </c>
      <c r="L889" s="802">
        <f t="shared" si="42"/>
        <v>10790173.59</v>
      </c>
      <c r="M889" s="937" t="s">
        <v>1025</v>
      </c>
      <c r="R889"/>
      <c r="S889"/>
      <c r="X889"/>
      <c r="Z889"/>
      <c r="AA889"/>
      <c r="AB889"/>
      <c r="AC889"/>
    </row>
    <row r="890" spans="2:29" ht="15" x14ac:dyDescent="0.25">
      <c r="B890" s="16">
        <f t="shared" si="41"/>
        <v>4</v>
      </c>
      <c r="C890" s="8"/>
      <c r="D890" s="24" t="s">
        <v>598</v>
      </c>
      <c r="E890" s="831"/>
      <c r="F890" s="805">
        <f>'II-I-DIST'!F890</f>
        <v>0</v>
      </c>
      <c r="G890" s="1308"/>
      <c r="H890" s="805">
        <f>'II-I-MET'!F890</f>
        <v>9310677.7999999989</v>
      </c>
      <c r="I890" s="1308"/>
      <c r="J890" s="805">
        <f>'II-I-TBILLTDCS'!F890</f>
        <v>1479495.79</v>
      </c>
      <c r="K890" s="1308"/>
      <c r="L890" s="805">
        <f t="shared" si="42"/>
        <v>10790173.59</v>
      </c>
      <c r="M890" s="937"/>
      <c r="T890" s="321"/>
      <c r="U890" s="321"/>
      <c r="V890" s="321"/>
      <c r="W890" s="321"/>
      <c r="Y890" s="321"/>
    </row>
    <row r="891" spans="2:29" ht="11.25" customHeight="1" x14ac:dyDescent="0.25">
      <c r="B891" s="16">
        <f t="shared" si="41"/>
        <v>5</v>
      </c>
      <c r="C891" s="1"/>
      <c r="D891" s="24"/>
      <c r="E891" s="16"/>
      <c r="F891" s="18">
        <f>'II-I-DIST'!F891</f>
        <v>0</v>
      </c>
      <c r="G891" s="16"/>
      <c r="H891" s="18">
        <f>'II-I-MET'!F891</f>
        <v>0</v>
      </c>
      <c r="I891" s="16"/>
      <c r="J891" s="18">
        <f>'II-I-TBILLTDCS'!F891</f>
        <v>0</v>
      </c>
      <c r="K891" s="16"/>
      <c r="L891" s="803"/>
      <c r="M891" s="937"/>
      <c r="T891" s="321"/>
      <c r="U891" s="321"/>
      <c r="V891" s="321"/>
      <c r="W891" s="321"/>
    </row>
    <row r="892" spans="2:29" s="321" customFormat="1" ht="42.75" x14ac:dyDescent="0.2">
      <c r="B892" s="16">
        <f t="shared" si="41"/>
        <v>6</v>
      </c>
      <c r="C892" s="1" t="s">
        <v>205</v>
      </c>
      <c r="D892" s="1" t="s">
        <v>206</v>
      </c>
      <c r="E892" s="16"/>
      <c r="F892" s="97">
        <f>'II-I-DIST'!F892</f>
        <v>107858</v>
      </c>
      <c r="G892" s="45" t="str">
        <f>'II-I-DIST'!H892</f>
        <v>CUS W ALL</v>
      </c>
      <c r="H892" s="97">
        <f>'II-I-MET'!F892</f>
        <v>0</v>
      </c>
      <c r="I892" s="45" t="str">
        <f>'II-I-MET'!H892</f>
        <v>PAY CUS ACCT</v>
      </c>
      <c r="J892" s="98">
        <f>'II-I-TBILLTDCS'!F892</f>
        <v>0</v>
      </c>
      <c r="K892" s="45" t="str">
        <f>'II-I-TBILLTDCS'!H892</f>
        <v>PAY CUS ACCT</v>
      </c>
      <c r="L892" s="802">
        <f t="shared" si="42"/>
        <v>107858</v>
      </c>
      <c r="M892" s="937" t="s">
        <v>1025</v>
      </c>
      <c r="R892"/>
      <c r="S892"/>
      <c r="Y892"/>
      <c r="Z892"/>
      <c r="AA892"/>
      <c r="AB892"/>
      <c r="AC892"/>
    </row>
    <row r="893" spans="2:29" s="321" customFormat="1" x14ac:dyDescent="0.2">
      <c r="B893" s="16">
        <f t="shared" si="41"/>
        <v>7</v>
      </c>
      <c r="C893" s="1" t="s">
        <v>211</v>
      </c>
      <c r="D893" s="1" t="s">
        <v>212</v>
      </c>
      <c r="E893" s="16"/>
      <c r="F893" s="97">
        <f>'II-I-DIST'!F893</f>
        <v>0</v>
      </c>
      <c r="G893" s="45" t="str">
        <f>'II-I-DIST'!H893</f>
        <v>REVENUE</v>
      </c>
      <c r="H893" s="97">
        <f>'II-I-MET'!F893</f>
        <v>0</v>
      </c>
      <c r="I893" s="45" t="str">
        <f>'II-I-MET'!H893</f>
        <v>REVENUE</v>
      </c>
      <c r="J893" s="98">
        <f>'II-I-TBILLTDCS'!F893</f>
        <v>0</v>
      </c>
      <c r="K893" s="45" t="str">
        <f>'II-I-TBILLTDCS'!H893</f>
        <v>REVENUE</v>
      </c>
      <c r="L893" s="802">
        <f t="shared" si="42"/>
        <v>0</v>
      </c>
      <c r="M893" s="937"/>
      <c r="R893"/>
      <c r="S893"/>
      <c r="T893"/>
      <c r="U893"/>
      <c r="V893"/>
      <c r="W893"/>
      <c r="Z893"/>
      <c r="AA893"/>
      <c r="AB893"/>
      <c r="AC893"/>
    </row>
    <row r="894" spans="2:29" s="321" customFormat="1" x14ac:dyDescent="0.2">
      <c r="B894" s="16">
        <f t="shared" si="41"/>
        <v>8</v>
      </c>
      <c r="C894" s="1" t="s">
        <v>213</v>
      </c>
      <c r="D894" s="29" t="s">
        <v>214</v>
      </c>
      <c r="E894" s="16"/>
      <c r="F894" s="97">
        <f>'II-I-DIST'!F894</f>
        <v>0</v>
      </c>
      <c r="G894" s="45" t="str">
        <f>'II-I-DIST'!H894</f>
        <v>PAY CUS ACCT</v>
      </c>
      <c r="H894" s="97">
        <f>'II-I-MET'!F894</f>
        <v>0</v>
      </c>
      <c r="I894" s="45" t="str">
        <f>'II-I-MET'!H894</f>
        <v>PAY CUS ACCT</v>
      </c>
      <c r="J894" s="98">
        <f>'II-I-TBILLTDCS'!F894</f>
        <v>0</v>
      </c>
      <c r="K894" s="45" t="str">
        <f>'II-I-TBILLTDCS'!H894</f>
        <v>PAY CUS ACCT</v>
      </c>
      <c r="L894" s="802">
        <f t="shared" si="42"/>
        <v>0</v>
      </c>
      <c r="M894" s="937"/>
      <c r="R894"/>
      <c r="S894"/>
      <c r="Z894"/>
      <c r="AA894"/>
      <c r="AB894"/>
      <c r="AC894"/>
    </row>
    <row r="895" spans="2:29" ht="15" x14ac:dyDescent="0.25">
      <c r="B895" s="16">
        <f t="shared" si="41"/>
        <v>9</v>
      </c>
      <c r="C895" s="8"/>
      <c r="D895" s="24" t="s">
        <v>621</v>
      </c>
      <c r="E895" s="831"/>
      <c r="F895" s="805">
        <f>'II-I-DIST'!F895</f>
        <v>107858</v>
      </c>
      <c r="G895" s="1308"/>
      <c r="H895" s="805">
        <f>'II-I-MET'!F895</f>
        <v>0</v>
      </c>
      <c r="I895" s="1308"/>
      <c r="J895" s="805">
        <f>'II-I-TBILLTDCS'!F895</f>
        <v>0</v>
      </c>
      <c r="K895" s="1308"/>
      <c r="L895" s="805">
        <f t="shared" si="42"/>
        <v>107858</v>
      </c>
      <c r="M895" s="937"/>
      <c r="T895" s="321"/>
      <c r="U895" s="321"/>
      <c r="V895" s="321"/>
      <c r="W895" s="321"/>
      <c r="X895" s="321"/>
    </row>
    <row r="896" spans="2:29" ht="9.6" customHeight="1" x14ac:dyDescent="0.25">
      <c r="B896" s="16">
        <f t="shared" si="41"/>
        <v>10</v>
      </c>
      <c r="C896" s="1"/>
      <c r="D896" s="24"/>
      <c r="E896" s="16"/>
      <c r="F896" s="18">
        <f>'II-I-DIST'!F896</f>
        <v>0</v>
      </c>
      <c r="G896" s="16"/>
      <c r="H896" s="18">
        <f>'II-I-MET'!F896</f>
        <v>0</v>
      </c>
      <c r="I896" s="16"/>
      <c r="J896" s="18">
        <f>'II-I-TBILLTDCS'!F896</f>
        <v>0</v>
      </c>
      <c r="K896" s="16"/>
      <c r="L896" s="803"/>
      <c r="M896" s="937"/>
    </row>
    <row r="897" spans="2:29" ht="15" x14ac:dyDescent="0.25">
      <c r="B897" s="16">
        <f t="shared" si="41"/>
        <v>11</v>
      </c>
      <c r="C897" s="8"/>
      <c r="D897" s="233" t="s">
        <v>622</v>
      </c>
      <c r="E897" s="831"/>
      <c r="F897" s="805">
        <f>'II-I-DIST'!F897</f>
        <v>107858</v>
      </c>
      <c r="G897" s="1308"/>
      <c r="H897" s="805">
        <f>'II-I-MET'!F897</f>
        <v>9310677.7999999989</v>
      </c>
      <c r="I897" s="1308"/>
      <c r="J897" s="805">
        <f>'II-I-TBILLTDCS'!F897</f>
        <v>1479495.79</v>
      </c>
      <c r="K897" s="1308"/>
      <c r="L897" s="805">
        <f t="shared" si="42"/>
        <v>10898031.59</v>
      </c>
      <c r="M897" s="937"/>
      <c r="X897" s="321"/>
    </row>
    <row r="898" spans="2:29" x14ac:dyDescent="0.2">
      <c r="B898" s="16">
        <f t="shared" si="41"/>
        <v>12</v>
      </c>
      <c r="C898" s="1"/>
      <c r="D898" s="1"/>
      <c r="E898" s="16"/>
      <c r="F898" s="18">
        <f>'II-I-DIST'!F898</f>
        <v>0</v>
      </c>
      <c r="G898" s="16"/>
      <c r="H898" s="18">
        <f>'II-I-MET'!F898</f>
        <v>0</v>
      </c>
      <c r="I898" s="16"/>
      <c r="J898" s="18">
        <f>'II-I-TBILLTDCS'!F898</f>
        <v>0</v>
      </c>
      <c r="K898" s="16"/>
      <c r="L898" s="803"/>
      <c r="M898" s="937"/>
      <c r="X898" s="321"/>
    </row>
    <row r="899" spans="2:29" ht="15" x14ac:dyDescent="0.25">
      <c r="B899" s="16">
        <f t="shared" si="41"/>
        <v>13</v>
      </c>
      <c r="C899" s="8"/>
      <c r="D899" s="301" t="s">
        <v>623</v>
      </c>
      <c r="E899" s="831" t="s">
        <v>262</v>
      </c>
      <c r="F899" s="805">
        <f>'II-I-DIST'!F899</f>
        <v>0</v>
      </c>
      <c r="G899" s="1308"/>
      <c r="H899" s="805">
        <f>'II-I-MET'!F899</f>
        <v>0</v>
      </c>
      <c r="I899" s="1308"/>
      <c r="J899" s="805">
        <f>'II-I-TBILLTDCS'!F899</f>
        <v>0</v>
      </c>
      <c r="K899" s="1308"/>
      <c r="L899" s="805"/>
      <c r="M899" s="937"/>
    </row>
    <row r="900" spans="2:29" s="321" customFormat="1" x14ac:dyDescent="0.2">
      <c r="B900" s="16">
        <f t="shared" si="41"/>
        <v>14</v>
      </c>
      <c r="C900" s="1" t="s">
        <v>216</v>
      </c>
      <c r="D900" s="1" t="s">
        <v>217</v>
      </c>
      <c r="E900" s="16"/>
      <c r="F900" s="97">
        <f>'II-I-DIST'!F900</f>
        <v>0</v>
      </c>
      <c r="G900" s="45" t="str">
        <f>'II-I-DIST'!H900</f>
        <v>CUS U ALL</v>
      </c>
      <c r="H900" s="97">
        <f>'II-I-MET'!F900</f>
        <v>0</v>
      </c>
      <c r="I900" s="45" t="str">
        <f>'II-I-MET'!H900</f>
        <v>CUS U ALL</v>
      </c>
      <c r="J900" s="98">
        <f>'II-I-TBILLTDCS'!F900</f>
        <v>0</v>
      </c>
      <c r="K900" s="45" t="str">
        <f>'II-I-TBILLTDCS'!H900</f>
        <v>CUS U ALL</v>
      </c>
      <c r="L900" s="802">
        <f t="shared" si="42"/>
        <v>0</v>
      </c>
      <c r="M900" s="937"/>
      <c r="R900"/>
      <c r="S900"/>
      <c r="T900"/>
      <c r="U900"/>
      <c r="V900"/>
      <c r="W900"/>
      <c r="X900"/>
      <c r="Z900"/>
      <c r="AA900"/>
      <c r="AB900"/>
      <c r="AC900"/>
    </row>
    <row r="901" spans="2:29" s="321" customFormat="1" ht="42.75" x14ac:dyDescent="0.2">
      <c r="B901" s="16">
        <f t="shared" si="41"/>
        <v>15</v>
      </c>
      <c r="C901" s="1" t="s">
        <v>219</v>
      </c>
      <c r="D901" s="29" t="s">
        <v>220</v>
      </c>
      <c r="E901" s="16"/>
      <c r="F901" s="97">
        <f>'II-I-DIST'!F901</f>
        <v>0</v>
      </c>
      <c r="G901" s="45" t="str">
        <f>'II-I-DIST'!H901</f>
        <v>CUS U ALL</v>
      </c>
      <c r="H901" s="97">
        <f>'II-I-MET'!F901</f>
        <v>0</v>
      </c>
      <c r="I901" s="45" t="str">
        <f>'II-I-MET'!H901</f>
        <v>CUS U ALL</v>
      </c>
      <c r="J901" s="98">
        <f>'II-I-TBILLTDCS'!F901</f>
        <v>12000</v>
      </c>
      <c r="K901" s="45" t="str">
        <f>'II-I-TBILLTDCS'!H901</f>
        <v>CUS U ALL</v>
      </c>
      <c r="L901" s="802">
        <f t="shared" si="42"/>
        <v>12000</v>
      </c>
      <c r="M901" s="937" t="s">
        <v>1026</v>
      </c>
      <c r="R901"/>
      <c r="S901"/>
      <c r="T901"/>
      <c r="U901"/>
      <c r="V901"/>
      <c r="W901"/>
      <c r="X901"/>
      <c r="Z901"/>
      <c r="AA901"/>
      <c r="AB901"/>
      <c r="AC901"/>
    </row>
    <row r="902" spans="2:29" s="321" customFormat="1" x14ac:dyDescent="0.2">
      <c r="B902" s="16">
        <f t="shared" si="41"/>
        <v>16</v>
      </c>
      <c r="C902" s="1" t="s">
        <v>221</v>
      </c>
      <c r="D902" s="1" t="s">
        <v>222</v>
      </c>
      <c r="E902" s="16"/>
      <c r="F902" s="97">
        <f>'II-I-DIST'!F902</f>
        <v>0</v>
      </c>
      <c r="G902" s="45" t="str">
        <f>'II-I-DIST'!H902</f>
        <v>CUS U ALL</v>
      </c>
      <c r="H902" s="97">
        <f>'II-I-MET'!F902</f>
        <v>0</v>
      </c>
      <c r="I902" s="45" t="str">
        <f>'II-I-MET'!H902</f>
        <v>CUS U ALL</v>
      </c>
      <c r="J902" s="98">
        <f>'II-I-TBILLTDCS'!F902</f>
        <v>0</v>
      </c>
      <c r="K902" s="45" t="str">
        <f>'II-I-TBILLTDCS'!H902</f>
        <v>CUS U ALL</v>
      </c>
      <c r="L902" s="802">
        <f t="shared" si="42"/>
        <v>0</v>
      </c>
      <c r="M902" s="937"/>
      <c r="R902"/>
      <c r="S902"/>
      <c r="T902"/>
      <c r="U902"/>
      <c r="V902"/>
      <c r="W902"/>
      <c r="X902"/>
      <c r="Z902"/>
      <c r="AA902"/>
      <c r="AB902"/>
      <c r="AC902"/>
    </row>
    <row r="903" spans="2:29" ht="15" x14ac:dyDescent="0.25">
      <c r="B903" s="16">
        <f t="shared" si="41"/>
        <v>17</v>
      </c>
      <c r="C903" s="8"/>
      <c r="D903" s="24" t="s">
        <v>624</v>
      </c>
      <c r="E903" s="831"/>
      <c r="F903" s="805">
        <f>'II-I-DIST'!F903</f>
        <v>0</v>
      </c>
      <c r="G903" s="1308"/>
      <c r="H903" s="805">
        <f>'II-I-MET'!F903</f>
        <v>0</v>
      </c>
      <c r="I903" s="1308"/>
      <c r="J903" s="805">
        <f>'II-I-TBILLTDCS'!F903</f>
        <v>12000</v>
      </c>
      <c r="K903" s="1308"/>
      <c r="L903" s="805">
        <f t="shared" si="42"/>
        <v>12000</v>
      </c>
      <c r="M903" s="937"/>
      <c r="Y903" s="321"/>
    </row>
    <row r="904" spans="2:29" ht="8.4499999999999993" customHeight="1" x14ac:dyDescent="0.2">
      <c r="B904" s="16">
        <f t="shared" si="41"/>
        <v>18</v>
      </c>
      <c r="C904" s="1"/>
      <c r="D904" s="1"/>
      <c r="E904" s="16"/>
      <c r="F904" s="18">
        <f>'II-I-DIST'!F904</f>
        <v>0</v>
      </c>
      <c r="G904" s="16"/>
      <c r="H904" s="18">
        <f>'II-I-MET'!F904</f>
        <v>0</v>
      </c>
      <c r="I904" s="16"/>
      <c r="J904" s="18">
        <f>'II-I-TBILLTDCS'!F904</f>
        <v>0</v>
      </c>
      <c r="K904" s="16"/>
      <c r="L904" s="803"/>
      <c r="M904" s="937"/>
    </row>
    <row r="905" spans="2:29" s="321" customFormat="1" x14ac:dyDescent="0.2">
      <c r="B905" s="16">
        <f t="shared" si="41"/>
        <v>19</v>
      </c>
      <c r="C905" s="1" t="s">
        <v>218</v>
      </c>
      <c r="D905" s="1" t="s">
        <v>206</v>
      </c>
      <c r="E905" s="16"/>
      <c r="F905" s="97">
        <f>'II-I-DIST'!F905</f>
        <v>0</v>
      </c>
      <c r="G905" s="45" t="str">
        <f>'II-I-DIST'!H905</f>
        <v>PAY CUS SV INF</v>
      </c>
      <c r="H905" s="97">
        <f>'II-I-MET'!F905</f>
        <v>0</v>
      </c>
      <c r="I905" s="45" t="str">
        <f>'II-I-MET'!H905</f>
        <v>PAY CUS SV INF</v>
      </c>
      <c r="J905" s="98">
        <f>'II-I-TBILLTDCS'!F905</f>
        <v>0</v>
      </c>
      <c r="K905" s="45" t="str">
        <f>'II-I-TBILLTDCS'!H905</f>
        <v>PAY CUS SV INF</v>
      </c>
      <c r="L905" s="802">
        <f t="shared" si="42"/>
        <v>0</v>
      </c>
      <c r="M905" s="937"/>
      <c r="R905"/>
      <c r="S905"/>
      <c r="T905"/>
      <c r="U905"/>
      <c r="V905"/>
      <c r="W905"/>
      <c r="X905"/>
      <c r="Z905"/>
      <c r="AA905"/>
      <c r="AB905"/>
      <c r="AC905"/>
    </row>
    <row r="906" spans="2:29" s="321" customFormat="1" x14ac:dyDescent="0.2">
      <c r="B906" s="16">
        <f t="shared" si="41"/>
        <v>20</v>
      </c>
      <c r="C906" s="1" t="s">
        <v>223</v>
      </c>
      <c r="D906" s="1" t="s">
        <v>625</v>
      </c>
      <c r="E906" s="16"/>
      <c r="F906" s="97">
        <f>'II-I-DIST'!F906</f>
        <v>0</v>
      </c>
      <c r="G906" s="45" t="str">
        <f>'II-I-DIST'!H906</f>
        <v>PAY CUS SV INF</v>
      </c>
      <c r="H906" s="97">
        <f>'II-I-MET'!F906</f>
        <v>0</v>
      </c>
      <c r="I906" s="45" t="str">
        <f>'II-I-MET'!H906</f>
        <v>PAY CUS SV INF</v>
      </c>
      <c r="J906" s="98">
        <f>'II-I-TBILLTDCS'!F906</f>
        <v>0</v>
      </c>
      <c r="K906" s="45" t="str">
        <f>'II-I-TBILLTDCS'!H906</f>
        <v>PAY CUS SV INF</v>
      </c>
      <c r="L906" s="802">
        <f t="shared" si="42"/>
        <v>0</v>
      </c>
      <c r="M906" s="937"/>
      <c r="R906"/>
      <c r="S906"/>
      <c r="T906"/>
      <c r="U906"/>
      <c r="V906"/>
      <c r="W906"/>
      <c r="X906"/>
      <c r="Z906"/>
      <c r="AA906"/>
      <c r="AB906"/>
      <c r="AC906"/>
    </row>
    <row r="907" spans="2:29" ht="15" x14ac:dyDescent="0.25">
      <c r="B907" s="16">
        <f t="shared" si="41"/>
        <v>21</v>
      </c>
      <c r="C907" s="8"/>
      <c r="D907" s="24" t="s">
        <v>626</v>
      </c>
      <c r="E907" s="831"/>
      <c r="F907" s="805">
        <f>'II-I-DIST'!F907</f>
        <v>0</v>
      </c>
      <c r="G907" s="1308"/>
      <c r="H907" s="805">
        <f>'II-I-MET'!F907</f>
        <v>0</v>
      </c>
      <c r="I907" s="1308"/>
      <c r="J907" s="805">
        <f>'II-I-TBILLTDCS'!F907</f>
        <v>0</v>
      </c>
      <c r="K907" s="1308"/>
      <c r="L907" s="805">
        <f t="shared" si="42"/>
        <v>0</v>
      </c>
      <c r="M907" s="937"/>
    </row>
    <row r="908" spans="2:29" x14ac:dyDescent="0.2">
      <c r="B908" s="16">
        <f t="shared" si="41"/>
        <v>22</v>
      </c>
      <c r="C908" s="1"/>
      <c r="D908" s="1"/>
      <c r="E908" s="16"/>
      <c r="F908" s="18">
        <f>'II-I-DIST'!F908</f>
        <v>0</v>
      </c>
      <c r="G908" s="16"/>
      <c r="H908" s="18">
        <f>'II-I-MET'!F908</f>
        <v>0</v>
      </c>
      <c r="I908" s="16"/>
      <c r="J908" s="18">
        <f>'II-I-TBILLTDCS'!F908</f>
        <v>0</v>
      </c>
      <c r="K908" s="16"/>
      <c r="L908" s="803"/>
      <c r="M908" s="937"/>
    </row>
    <row r="909" spans="2:29" ht="15" x14ac:dyDescent="0.25">
      <c r="B909" s="16">
        <f t="shared" si="41"/>
        <v>23</v>
      </c>
      <c r="C909" s="8"/>
      <c r="D909" s="233" t="s">
        <v>627</v>
      </c>
      <c r="E909" s="831"/>
      <c r="F909" s="805">
        <f>'II-I-DIST'!F909</f>
        <v>0</v>
      </c>
      <c r="G909" s="1308"/>
      <c r="H909" s="805">
        <f>'II-I-MET'!F909</f>
        <v>0</v>
      </c>
      <c r="I909" s="1308"/>
      <c r="J909" s="805">
        <f>'II-I-TBILLTDCS'!F909</f>
        <v>12000</v>
      </c>
      <c r="K909" s="1308"/>
      <c r="L909" s="805">
        <f t="shared" si="42"/>
        <v>12000</v>
      </c>
      <c r="M909" s="937"/>
    </row>
    <row r="910" spans="2:29" ht="11.1" customHeight="1" x14ac:dyDescent="0.2">
      <c r="B910" s="16">
        <f t="shared" si="41"/>
        <v>24</v>
      </c>
      <c r="C910" s="1"/>
      <c r="D910" s="1"/>
      <c r="E910" s="16"/>
      <c r="F910" s="18">
        <f>'II-I-DIST'!F910</f>
        <v>0</v>
      </c>
      <c r="G910" s="16"/>
      <c r="H910" s="18">
        <f>'II-I-MET'!F910</f>
        <v>0</v>
      </c>
      <c r="I910" s="16"/>
      <c r="J910" s="18">
        <f>'II-I-TBILLTDCS'!F910</f>
        <v>0</v>
      </c>
      <c r="K910" s="16"/>
      <c r="L910" s="803"/>
      <c r="M910" s="937"/>
    </row>
    <row r="911" spans="2:29" ht="15" x14ac:dyDescent="0.25">
      <c r="B911" s="16">
        <f t="shared" si="41"/>
        <v>25</v>
      </c>
      <c r="C911" s="8"/>
      <c r="D911" s="303" t="s">
        <v>268</v>
      </c>
      <c r="E911" s="831" t="s">
        <v>262</v>
      </c>
      <c r="F911" s="805">
        <f>'II-I-DIST'!F911</f>
        <v>0</v>
      </c>
      <c r="G911" s="1308"/>
      <c r="H911" s="805">
        <f>'II-I-MET'!F911</f>
        <v>0</v>
      </c>
      <c r="I911" s="1308"/>
      <c r="J911" s="805">
        <f>'II-I-TBILLTDCS'!F911</f>
        <v>0</v>
      </c>
      <c r="K911" s="1308"/>
      <c r="L911" s="805">
        <f t="shared" si="42"/>
        <v>0</v>
      </c>
      <c r="M911" s="937"/>
    </row>
    <row r="912" spans="2:29" s="321" customFormat="1" x14ac:dyDescent="0.2">
      <c r="B912" s="16">
        <f t="shared" si="41"/>
        <v>26</v>
      </c>
      <c r="C912" s="1" t="s">
        <v>227</v>
      </c>
      <c r="D912" s="49" t="s">
        <v>628</v>
      </c>
      <c r="E912" s="16"/>
      <c r="F912" s="97">
        <f>'II-I-DIST'!F912</f>
        <v>0</v>
      </c>
      <c r="G912" s="45" t="str">
        <f>'II-I-DIST'!H912</f>
        <v>CUS U ALL</v>
      </c>
      <c r="H912" s="97">
        <f>'II-I-MET'!F912</f>
        <v>0</v>
      </c>
      <c r="I912" s="45" t="str">
        <f>'II-I-MET'!H912</f>
        <v>CUS U ALL</v>
      </c>
      <c r="J912" s="98">
        <f>'II-I-TBILLTDCS'!F912</f>
        <v>0</v>
      </c>
      <c r="K912" s="45" t="str">
        <f>'II-I-TBILLTDCS'!H912</f>
        <v>CUS U ALL</v>
      </c>
      <c r="L912" s="802">
        <f t="shared" si="42"/>
        <v>0</v>
      </c>
      <c r="M912" s="937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21" customFormat="1" x14ac:dyDescent="0.2">
      <c r="B913" s="16">
        <f t="shared" si="41"/>
        <v>27</v>
      </c>
      <c r="C913" s="1" t="s">
        <v>229</v>
      </c>
      <c r="D913" s="49" t="s">
        <v>629</v>
      </c>
      <c r="E913" s="16"/>
      <c r="F913" s="97">
        <f>'II-I-DIST'!F913</f>
        <v>0</v>
      </c>
      <c r="G913" s="45" t="str">
        <f>'II-I-DIST'!H913</f>
        <v>CUS U ALL</v>
      </c>
      <c r="H913" s="97">
        <f>'II-I-MET'!F913</f>
        <v>0</v>
      </c>
      <c r="I913" s="45" t="str">
        <f>'II-I-MET'!H913</f>
        <v>CUS U ALL</v>
      </c>
      <c r="J913" s="98">
        <f>'II-I-TBILLTDCS'!F913</f>
        <v>0</v>
      </c>
      <c r="K913" s="45" t="str">
        <f>'II-I-TBILLTDCS'!H913</f>
        <v>CUS U ALL</v>
      </c>
      <c r="L913" s="802">
        <f t="shared" si="42"/>
        <v>0</v>
      </c>
      <c r="M913" s="937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21" customFormat="1" x14ac:dyDescent="0.2">
      <c r="B914" s="16">
        <f t="shared" si="41"/>
        <v>28</v>
      </c>
      <c r="C914" s="1" t="s">
        <v>233</v>
      </c>
      <c r="D914" s="49" t="s">
        <v>225</v>
      </c>
      <c r="E914" s="16"/>
      <c r="F914" s="97">
        <f>'II-I-DIST'!F914</f>
        <v>0</v>
      </c>
      <c r="G914" s="45" t="str">
        <f>'II-I-DIST'!H914</f>
        <v>CUS U ALL</v>
      </c>
      <c r="H914" s="97">
        <f>'II-I-MET'!F914</f>
        <v>0</v>
      </c>
      <c r="I914" s="45" t="str">
        <f>'II-I-MET'!H914</f>
        <v>CUS U ALL</v>
      </c>
      <c r="J914" s="98">
        <f>'II-I-TBILLTDCS'!F914</f>
        <v>0</v>
      </c>
      <c r="K914" s="45" t="str">
        <f>'II-I-TBILLTDCS'!H914</f>
        <v>CUS U ALL</v>
      </c>
      <c r="L914" s="802">
        <f t="shared" si="42"/>
        <v>0</v>
      </c>
      <c r="M914" s="937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21" customFormat="1" ht="15" x14ac:dyDescent="0.25">
      <c r="B915" s="16">
        <f t="shared" si="41"/>
        <v>29</v>
      </c>
      <c r="C915" s="8"/>
      <c r="D915" s="233" t="s">
        <v>630</v>
      </c>
      <c r="E915" s="831"/>
      <c r="F915" s="805">
        <f>'II-I-DIST'!F915</f>
        <v>0</v>
      </c>
      <c r="G915" s="1308"/>
      <c r="H915" s="805">
        <f>'II-I-MET'!F915</f>
        <v>0</v>
      </c>
      <c r="I915" s="1308"/>
      <c r="J915" s="805">
        <f>'II-I-TBILLTDCS'!F915</f>
        <v>0</v>
      </c>
      <c r="K915" s="1308"/>
      <c r="L915" s="805">
        <f t="shared" si="42"/>
        <v>0</v>
      </c>
      <c r="M915" s="937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ht="9.6" customHeight="1" x14ac:dyDescent="0.25">
      <c r="B916" s="16">
        <f t="shared" si="41"/>
        <v>30</v>
      </c>
      <c r="C916" s="1"/>
      <c r="D916" s="233"/>
      <c r="E916" s="16"/>
      <c r="F916" s="18">
        <f>'II-I-DIST'!F916</f>
        <v>0</v>
      </c>
      <c r="G916" s="16"/>
      <c r="H916" s="18">
        <f>'II-I-MET'!F916</f>
        <v>0</v>
      </c>
      <c r="I916" s="16"/>
      <c r="J916" s="18">
        <f>'II-I-TBILLTDCS'!F916</f>
        <v>0</v>
      </c>
      <c r="K916" s="16"/>
      <c r="L916" s="803">
        <f t="shared" si="42"/>
        <v>0</v>
      </c>
      <c r="M916" s="937"/>
    </row>
    <row r="917" spans="2:29" s="321" customFormat="1" x14ac:dyDescent="0.2">
      <c r="B917" s="16">
        <f t="shared" si="41"/>
        <v>31</v>
      </c>
      <c r="C917" s="1" t="s">
        <v>226</v>
      </c>
      <c r="D917" s="49" t="s">
        <v>206</v>
      </c>
      <c r="E917" s="16"/>
      <c r="F917" s="97">
        <f>'II-I-DIST'!F917</f>
        <v>0</v>
      </c>
      <c r="G917" s="45" t="str">
        <f>'II-I-DIST'!H917</f>
        <v>CUS U ALL</v>
      </c>
      <c r="H917" s="97">
        <f>'II-I-MET'!F917</f>
        <v>0</v>
      </c>
      <c r="I917" s="45" t="str">
        <f>'II-I-MET'!H917</f>
        <v>CUS U ALL</v>
      </c>
      <c r="J917" s="98">
        <f>'II-I-TBILLTDCS'!F917</f>
        <v>0</v>
      </c>
      <c r="K917" s="45" t="str">
        <f>'II-I-TBILLTDCS'!H917</f>
        <v>CUS U ALL</v>
      </c>
      <c r="L917" s="802">
        <f t="shared" si="42"/>
        <v>0</v>
      </c>
      <c r="M917" s="937"/>
      <c r="R917"/>
      <c r="S917"/>
      <c r="X917"/>
      <c r="Y917"/>
      <c r="Z917"/>
      <c r="AA917"/>
      <c r="AB917"/>
      <c r="AC917"/>
    </row>
    <row r="918" spans="2:29" s="321" customFormat="1" x14ac:dyDescent="0.2">
      <c r="B918" s="16">
        <f t="shared" si="41"/>
        <v>32</v>
      </c>
      <c r="C918" s="1" t="s">
        <v>231</v>
      </c>
      <c r="D918" s="49" t="s">
        <v>631</v>
      </c>
      <c r="E918" s="16"/>
      <c r="F918" s="97">
        <f>'II-I-DIST'!F918</f>
        <v>0</v>
      </c>
      <c r="G918" s="45" t="str">
        <f>'II-I-DIST'!H918</f>
        <v>CUS U ALL</v>
      </c>
      <c r="H918" s="97">
        <f>'II-I-MET'!F918</f>
        <v>0</v>
      </c>
      <c r="I918" s="45" t="str">
        <f>'II-I-MET'!H918</f>
        <v>CUS U ALL</v>
      </c>
      <c r="J918" s="98">
        <f>'II-I-TBILLTDCS'!F918</f>
        <v>0</v>
      </c>
      <c r="K918" s="45" t="str">
        <f>'II-I-TBILLTDCS'!H918</f>
        <v>CUS U ALL</v>
      </c>
      <c r="L918" s="802">
        <f t="shared" si="42"/>
        <v>0</v>
      </c>
      <c r="M918" s="937"/>
      <c r="R918"/>
      <c r="S918"/>
      <c r="X918"/>
      <c r="Y918"/>
      <c r="Z918"/>
      <c r="AA918"/>
      <c r="AB918"/>
      <c r="AC918"/>
    </row>
    <row r="919" spans="2:29" ht="15" x14ac:dyDescent="0.25">
      <c r="B919" s="16">
        <f t="shared" si="41"/>
        <v>33</v>
      </c>
      <c r="C919" s="8"/>
      <c r="D919" s="24" t="s">
        <v>632</v>
      </c>
      <c r="E919" s="831"/>
      <c r="F919" s="805">
        <f>'II-I-DIST'!F919</f>
        <v>0</v>
      </c>
      <c r="G919" s="1308"/>
      <c r="H919" s="805">
        <f>'II-I-MET'!F919</f>
        <v>0</v>
      </c>
      <c r="I919" s="1308"/>
      <c r="J919" s="805">
        <f>'II-I-TBILLTDCS'!F919</f>
        <v>0</v>
      </c>
      <c r="K919" s="1308"/>
      <c r="L919" s="805">
        <f t="shared" si="42"/>
        <v>0</v>
      </c>
      <c r="M919" s="937"/>
      <c r="T919" s="321"/>
      <c r="U919" s="321"/>
      <c r="V919" s="321"/>
      <c r="W919" s="321"/>
    </row>
    <row r="920" spans="2:29" x14ac:dyDescent="0.2">
      <c r="B920" s="16">
        <f t="shared" si="41"/>
        <v>34</v>
      </c>
      <c r="C920" s="1"/>
      <c r="D920" s="1"/>
      <c r="E920" s="16"/>
      <c r="F920" s="18">
        <f>'II-I-DIST'!F920</f>
        <v>0</v>
      </c>
      <c r="G920" s="16"/>
      <c r="H920" s="18">
        <f>'II-I-MET'!F920</f>
        <v>0</v>
      </c>
      <c r="I920" s="16"/>
      <c r="J920" s="18">
        <f>'II-I-TBILLTDCS'!F920</f>
        <v>0</v>
      </c>
      <c r="K920" s="16"/>
      <c r="L920" s="803"/>
      <c r="M920" s="937"/>
      <c r="T920" s="321"/>
      <c r="U920" s="321"/>
      <c r="V920" s="321"/>
      <c r="W920" s="321"/>
      <c r="X920" s="321"/>
    </row>
    <row r="921" spans="2:29" ht="15" x14ac:dyDescent="0.25">
      <c r="B921" s="16">
        <f t="shared" si="41"/>
        <v>35</v>
      </c>
      <c r="C921" s="8"/>
      <c r="D921" s="233" t="s">
        <v>633</v>
      </c>
      <c r="E921" s="831"/>
      <c r="F921" s="805">
        <f>'II-I-DIST'!F921</f>
        <v>0</v>
      </c>
      <c r="G921" s="1308"/>
      <c r="H921" s="805">
        <f>'II-I-MET'!F921</f>
        <v>0</v>
      </c>
      <c r="I921" s="1308"/>
      <c r="J921" s="805">
        <f>'II-I-TBILLTDCS'!F921</f>
        <v>0</v>
      </c>
      <c r="K921" s="1308"/>
      <c r="L921" s="805">
        <f t="shared" si="42"/>
        <v>0</v>
      </c>
      <c r="M921" s="937"/>
      <c r="T921" s="321"/>
      <c r="U921" s="321"/>
      <c r="V921" s="321"/>
      <c r="W921" s="321"/>
      <c r="X921" s="321"/>
    </row>
    <row r="922" spans="2:29" ht="9" customHeight="1" thickBot="1" x14ac:dyDescent="0.25">
      <c r="B922" s="16">
        <f t="shared" si="41"/>
        <v>36</v>
      </c>
      <c r="C922" s="1"/>
      <c r="D922" s="49"/>
      <c r="E922" s="16"/>
      <c r="F922" s="18">
        <f>'II-I-DIST'!F922</f>
        <v>0</v>
      </c>
      <c r="G922" s="16"/>
      <c r="H922" s="18">
        <f>'II-I-MET'!F922</f>
        <v>0</v>
      </c>
      <c r="I922" s="16"/>
      <c r="J922" s="18">
        <f>'II-I-TBILLTDCS'!F922</f>
        <v>0</v>
      </c>
      <c r="K922" s="16"/>
      <c r="L922" s="803"/>
      <c r="T922" s="321"/>
      <c r="U922" s="321"/>
      <c r="V922" s="321"/>
      <c r="W922" s="321"/>
      <c r="X922" s="321"/>
    </row>
    <row r="923" spans="2:29" ht="15.75" thickBot="1" x14ac:dyDescent="0.3">
      <c r="B923" s="16">
        <f t="shared" si="41"/>
        <v>37</v>
      </c>
      <c r="C923" s="779" t="s">
        <v>634</v>
      </c>
      <c r="D923" s="920"/>
      <c r="E923" s="916"/>
      <c r="F923" s="917">
        <f>'II-I-DIST'!F923</f>
        <v>107858</v>
      </c>
      <c r="G923" s="916"/>
      <c r="H923" s="917">
        <f>'II-I-MET'!F923</f>
        <v>9310677.7999999989</v>
      </c>
      <c r="I923" s="916"/>
      <c r="J923" s="917">
        <f>'II-I-TBILLTDCS'!F923</f>
        <v>1491495.79</v>
      </c>
      <c r="K923" s="916"/>
      <c r="L923" s="955">
        <f t="shared" si="42"/>
        <v>10910031.59</v>
      </c>
      <c r="T923" s="321"/>
      <c r="U923" s="321"/>
      <c r="V923" s="321"/>
      <c r="W923" s="321"/>
      <c r="X923" s="321"/>
    </row>
    <row r="924" spans="2:29" ht="15.75" thickBot="1" x14ac:dyDescent="0.3">
      <c r="B924" s="16">
        <f t="shared" si="41"/>
        <v>38</v>
      </c>
      <c r="C924" s="1"/>
      <c r="D924" s="8"/>
      <c r="E924" s="16"/>
      <c r="F924" s="18">
        <f>'II-I-DIST'!F924</f>
        <v>0</v>
      </c>
      <c r="G924" s="16"/>
      <c r="H924" s="18">
        <f>'II-I-MET'!F924</f>
        <v>0</v>
      </c>
      <c r="I924" s="16"/>
      <c r="J924" s="18">
        <f>'II-I-TBILLTDCS'!F924</f>
        <v>0</v>
      </c>
      <c r="K924" s="16"/>
      <c r="L924" s="803"/>
      <c r="T924" s="321"/>
      <c r="U924" s="321"/>
      <c r="V924" s="321"/>
      <c r="W924" s="321"/>
      <c r="X924" s="321"/>
    </row>
    <row r="925" spans="2:29" ht="15.75" thickBot="1" x14ac:dyDescent="0.3">
      <c r="B925" s="16">
        <f t="shared" si="41"/>
        <v>39</v>
      </c>
      <c r="C925" s="223" t="s">
        <v>1115</v>
      </c>
      <c r="D925" s="224"/>
      <c r="E925" s="309" t="s">
        <v>262</v>
      </c>
      <c r="F925" s="812">
        <f>'II-I-DIST'!F925</f>
        <v>154052267.75999999</v>
      </c>
      <c r="G925" s="402"/>
      <c r="H925" s="812">
        <f>'II-I-MET'!F925</f>
        <v>38734366.330000006</v>
      </c>
      <c r="I925" s="402"/>
      <c r="J925" s="812">
        <f>'II-I-TBILLTDCS'!F925</f>
        <v>1587729.1600000001</v>
      </c>
      <c r="K925" s="402"/>
      <c r="L925" s="315">
        <f t="shared" si="42"/>
        <v>194374363.25</v>
      </c>
      <c r="T925" s="321"/>
      <c r="U925" s="321"/>
      <c r="V925" s="321"/>
      <c r="W925" s="321"/>
      <c r="X925" s="321"/>
    </row>
    <row r="926" spans="2:29" ht="15" x14ac:dyDescent="0.25">
      <c r="B926" s="783"/>
      <c r="C926" s="783"/>
      <c r="D926" s="783"/>
      <c r="E926" s="783"/>
      <c r="F926" s="16"/>
      <c r="G926" s="105"/>
      <c r="H926" s="16"/>
      <c r="I926" s="105"/>
      <c r="J926" s="16"/>
      <c r="K926" s="105"/>
      <c r="L926" s="783"/>
      <c r="T926" s="321"/>
      <c r="U926" s="321"/>
      <c r="V926" s="321"/>
      <c r="W926" s="321"/>
      <c r="X926" s="321"/>
    </row>
    <row r="927" spans="2:29" ht="15.75" thickBot="1" x14ac:dyDescent="0.3">
      <c r="B927" s="783"/>
      <c r="C927" s="783"/>
      <c r="D927" s="783"/>
      <c r="E927" s="783"/>
      <c r="F927" s="16"/>
      <c r="G927" s="16"/>
      <c r="H927" s="16"/>
      <c r="I927" s="16"/>
      <c r="J927" s="16"/>
      <c r="K927" s="16"/>
      <c r="L927" s="783"/>
      <c r="T927" s="321"/>
      <c r="U927" s="321"/>
      <c r="V927" s="321"/>
      <c r="W927" s="321"/>
      <c r="X927" s="321"/>
    </row>
    <row r="928" spans="2:29" ht="15" x14ac:dyDescent="0.25">
      <c r="B928" s="829" t="str">
        <f>$B$4</f>
        <v>2025 RATE CASE</v>
      </c>
      <c r="C928" s="835"/>
      <c r="D928" s="836"/>
      <c r="E928" s="783"/>
      <c r="F928" s="11"/>
      <c r="H928" s="11"/>
      <c r="J928" s="11"/>
      <c r="K928"/>
      <c r="L928" s="783"/>
      <c r="T928" s="321"/>
      <c r="U928" s="321"/>
      <c r="V928" s="321"/>
      <c r="W928" s="321"/>
      <c r="X928" s="321"/>
      <c r="Y928" s="321"/>
    </row>
    <row r="929" spans="2:29" ht="15" x14ac:dyDescent="0.25">
      <c r="B929" s="826" t="str">
        <f>$B$5</f>
        <v>ONCOR ELECTRIC DELIVERY COMPANY LLC</v>
      </c>
      <c r="C929" s="304"/>
      <c r="D929" s="837"/>
      <c r="E929" s="783"/>
      <c r="F929" s="11"/>
      <c r="H929" s="11"/>
      <c r="J929" s="11"/>
      <c r="K929"/>
      <c r="L929" s="783"/>
      <c r="T929" s="321"/>
      <c r="U929" s="321"/>
      <c r="V929" s="321"/>
      <c r="W929" s="321"/>
      <c r="X929" s="321"/>
      <c r="Y929" s="321"/>
    </row>
    <row r="930" spans="2:29" ht="15" x14ac:dyDescent="0.25">
      <c r="B930" s="341" t="str">
        <f>$B$6</f>
        <v>II-I-2.1f:  CONSOLIDATED FUNCTIONALIZED COST OF SERVICE</v>
      </c>
      <c r="C930" s="304"/>
      <c r="D930" s="837"/>
      <c r="E930" s="783"/>
      <c r="F930" s="11"/>
      <c r="H930" s="11"/>
      <c r="J930" s="11"/>
      <c r="K930"/>
      <c r="L930" s="783"/>
      <c r="X930" s="321"/>
      <c r="Y930" s="321"/>
    </row>
    <row r="931" spans="2:29" ht="15" x14ac:dyDescent="0.25">
      <c r="B931" s="341" t="str">
        <f>$B$7</f>
        <v>TEST YEAR ENDING 12/31/2024</v>
      </c>
      <c r="C931" s="304"/>
      <c r="D931" s="837"/>
      <c r="E931" s="304"/>
      <c r="F931" s="11"/>
      <c r="H931" s="11"/>
      <c r="J931" s="11"/>
      <c r="K931"/>
      <c r="L931" s="304"/>
      <c r="X931" s="321"/>
      <c r="Y931" s="321"/>
    </row>
    <row r="932" spans="2:29" ht="15" x14ac:dyDescent="0.25">
      <c r="B932" s="341" t="str">
        <f>$B$8</f>
        <v>SPONSOR:  MATTHEW A. TROXLE</v>
      </c>
      <c r="C932" s="304"/>
      <c r="D932" s="837"/>
      <c r="E932" s="304"/>
      <c r="F932" s="11"/>
      <c r="H932" s="11"/>
      <c r="J932" s="11"/>
      <c r="K932"/>
      <c r="L932" s="304"/>
      <c r="X932" s="321"/>
      <c r="Y932" s="321"/>
    </row>
    <row r="933" spans="2:29" ht="15.75" thickBot="1" x14ac:dyDescent="0.3">
      <c r="B933" s="345"/>
      <c r="C933" s="840"/>
      <c r="D933" s="841"/>
      <c r="E933" s="304"/>
      <c r="F933" s="11"/>
      <c r="H933" s="11"/>
      <c r="J933" s="11"/>
      <c r="K933"/>
      <c r="L933" s="304"/>
      <c r="Y933" s="321"/>
    </row>
    <row r="934" spans="2:29" x14ac:dyDescent="0.2">
      <c r="B934" s="12"/>
      <c r="C934" s="656"/>
      <c r="D934" s="177"/>
      <c r="E934" s="13"/>
      <c r="F934" s="12"/>
      <c r="G934" s="13"/>
      <c r="H934" s="12"/>
      <c r="I934" s="13"/>
      <c r="J934" s="12"/>
      <c r="K934" s="13"/>
      <c r="L934" s="855"/>
      <c r="M934" s="938"/>
      <c r="Y934" s="321"/>
    </row>
    <row r="935" spans="2:29" ht="15" x14ac:dyDescent="0.25">
      <c r="B935" s="14" t="s">
        <v>2</v>
      </c>
      <c r="C935" s="660" t="s">
        <v>349</v>
      </c>
      <c r="D935" s="180" t="s">
        <v>1110</v>
      </c>
      <c r="E935" s="14" t="s">
        <v>350</v>
      </c>
      <c r="F935" s="226" t="str">
        <f>'II-I-DIST'!F935</f>
        <v>DIST</v>
      </c>
      <c r="G935" s="181" t="str">
        <f>'II-I-DIST'!H935</f>
        <v>Allocation</v>
      </c>
      <c r="H935" s="226" t="str">
        <f>'II-I-MET'!F935</f>
        <v>MET</v>
      </c>
      <c r="I935" s="181" t="str">
        <f>'II-I-MET'!H935</f>
        <v>Allocation</v>
      </c>
      <c r="J935" s="226" t="str">
        <f>'II-I-TBILLTDCS'!F935</f>
        <v>TBILLTDCS</v>
      </c>
      <c r="K935" s="181" t="str">
        <f>'II-I-TBILLTDCS'!H935</f>
        <v>Allocation</v>
      </c>
      <c r="L935" s="660" t="s">
        <v>434</v>
      </c>
      <c r="M935" s="932" t="s">
        <v>970</v>
      </c>
      <c r="Y935" s="321"/>
    </row>
    <row r="936" spans="2:29" x14ac:dyDescent="0.2">
      <c r="B936" s="14"/>
      <c r="C936" s="660"/>
      <c r="D936" s="181"/>
      <c r="E936" s="14"/>
      <c r="F936" s="14"/>
      <c r="G936" s="181" t="str">
        <f>'II-I-DIST'!H936</f>
        <v>Factor</v>
      </c>
      <c r="H936" s="14"/>
      <c r="I936" s="181" t="str">
        <f>'II-I-MET'!H936</f>
        <v>Factor</v>
      </c>
      <c r="J936" s="14"/>
      <c r="K936" s="181" t="str">
        <f>'II-I-TBILLTDCS'!H936</f>
        <v>Factor</v>
      </c>
      <c r="L936" s="660" t="s">
        <v>31</v>
      </c>
      <c r="M936" s="939"/>
      <c r="Y936" s="321"/>
    </row>
    <row r="937" spans="2:29" ht="15.75" thickBot="1" x14ac:dyDescent="0.25">
      <c r="B937" s="182"/>
      <c r="C937" s="860"/>
      <c r="D937" s="184"/>
      <c r="E937" s="184"/>
      <c r="F937" s="15" t="str">
        <f>'II-I-DIST'!F937</f>
        <v>(a)</v>
      </c>
      <c r="G937" s="15" t="str">
        <f>'II-I-DIST'!H937</f>
        <v>(c)</v>
      </c>
      <c r="H937" s="664" t="str">
        <f>'II-I-MET'!F937</f>
        <v>(a)</v>
      </c>
      <c r="I937" s="15" t="str">
        <f>'II-I-MET'!H937</f>
        <v>(c)</v>
      </c>
      <c r="J937" s="664" t="str">
        <f>'II-I-TBILLTDCS'!F937</f>
        <v>(a)</v>
      </c>
      <c r="K937" s="15" t="str">
        <f>'II-I-TBILLTDCS'!H937</f>
        <v>(c)</v>
      </c>
      <c r="L937" s="664" t="s">
        <v>19</v>
      </c>
      <c r="M937" s="934" t="s">
        <v>20</v>
      </c>
      <c r="Y937" s="321"/>
    </row>
    <row r="938" spans="2:29" ht="15" x14ac:dyDescent="0.25">
      <c r="B938" s="16"/>
      <c r="C938" s="1"/>
      <c r="D938" s="8"/>
      <c r="E938" s="18"/>
      <c r="F938" s="18"/>
      <c r="G938" s="18"/>
      <c r="H938" s="18"/>
      <c r="I938" s="18"/>
      <c r="J938" s="18"/>
      <c r="K938" s="18"/>
      <c r="L938" s="647"/>
      <c r="Y938" s="321"/>
    </row>
    <row r="939" spans="2:29" ht="15" x14ac:dyDescent="0.25">
      <c r="B939" s="16">
        <f t="shared" ref="B939:B957" si="43">B938+1</f>
        <v>1</v>
      </c>
      <c r="C939" s="8" t="s">
        <v>1110</v>
      </c>
      <c r="D939" s="8"/>
      <c r="E939" s="831" t="s">
        <v>262</v>
      </c>
      <c r="F939" s="805"/>
      <c r="G939" s="1308"/>
      <c r="H939" s="805"/>
      <c r="I939" s="1308"/>
      <c r="J939" s="805"/>
      <c r="K939" s="1308"/>
      <c r="L939" s="8"/>
      <c r="Y939" s="321"/>
    </row>
    <row r="940" spans="2:29" s="321" customFormat="1" ht="28.5" x14ac:dyDescent="0.2">
      <c r="B940" s="16">
        <f t="shared" si="43"/>
        <v>2</v>
      </c>
      <c r="C940" s="1" t="s">
        <v>237</v>
      </c>
      <c r="D940" s="1" t="s">
        <v>238</v>
      </c>
      <c r="E940" s="18"/>
      <c r="F940" s="646">
        <f>'II-I-DIST'!F940</f>
        <v>67365447.639999986</v>
      </c>
      <c r="G940" s="620" t="str">
        <f>'II-I-DIST'!H940</f>
        <v>O&amp;M x565</v>
      </c>
      <c r="H940" s="97">
        <f>'II-I-MET'!F940</f>
        <v>18757079.369999997</v>
      </c>
      <c r="I940" s="45" t="str">
        <f>'II-I-MET'!H940</f>
        <v>O&amp;M x565</v>
      </c>
      <c r="J940" s="97">
        <f>'II-I-TBILLTDCS'!F940</f>
        <v>20904714.86999999</v>
      </c>
      <c r="K940" s="45" t="str">
        <f>'II-I-TBILLTDCS'!H940</f>
        <v>O&amp;M x565</v>
      </c>
      <c r="L940" s="802">
        <f t="shared" si="42"/>
        <v>107027241.87999998</v>
      </c>
      <c r="M940" s="935" t="s">
        <v>1027</v>
      </c>
      <c r="R940"/>
      <c r="S940"/>
      <c r="T940"/>
      <c r="U940"/>
      <c r="V940"/>
      <c r="W940"/>
      <c r="X940"/>
      <c r="Z940"/>
      <c r="AA940"/>
      <c r="AB940"/>
      <c r="AC940"/>
    </row>
    <row r="941" spans="2:29" s="321" customFormat="1" ht="28.5" x14ac:dyDescent="0.2">
      <c r="B941" s="16">
        <f t="shared" si="43"/>
        <v>3</v>
      </c>
      <c r="C941" s="1" t="s">
        <v>239</v>
      </c>
      <c r="D941" s="1" t="s">
        <v>240</v>
      </c>
      <c r="E941" s="18"/>
      <c r="F941" s="646">
        <f>'II-I-DIST'!F941</f>
        <v>0</v>
      </c>
      <c r="G941" s="620" t="str">
        <f>'II-I-DIST'!H941</f>
        <v>O&amp;M x565</v>
      </c>
      <c r="H941" s="97">
        <f>'II-I-MET'!F941</f>
        <v>0</v>
      </c>
      <c r="I941" s="45" t="str">
        <f>'II-I-MET'!H941</f>
        <v>O&amp;M x565</v>
      </c>
      <c r="J941" s="97">
        <f>'II-I-TBILLTDCS'!F941</f>
        <v>0</v>
      </c>
      <c r="K941" s="45" t="str">
        <f>'II-I-TBILLTDCS'!H941</f>
        <v>O&amp;M x565</v>
      </c>
      <c r="L941" s="802">
        <f t="shared" si="42"/>
        <v>0</v>
      </c>
      <c r="M941" s="935" t="s">
        <v>1027</v>
      </c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21" customFormat="1" x14ac:dyDescent="0.2">
      <c r="B942" s="16">
        <f t="shared" si="43"/>
        <v>4</v>
      </c>
      <c r="C942" s="1" t="s">
        <v>241</v>
      </c>
      <c r="D942" s="1" t="s">
        <v>242</v>
      </c>
      <c r="E942" s="18"/>
      <c r="F942" s="646">
        <f>'II-I-DIST'!F942</f>
        <v>0</v>
      </c>
      <c r="G942" s="620" t="str">
        <f>'II-I-DIST'!H942</f>
        <v>O&amp;M x565</v>
      </c>
      <c r="H942" s="97">
        <f>'II-I-MET'!F942</f>
        <v>0</v>
      </c>
      <c r="I942" s="45" t="str">
        <f>'II-I-MET'!H942</f>
        <v>O&amp;M x565</v>
      </c>
      <c r="J942" s="97">
        <f>'II-I-TBILLTDCS'!F942</f>
        <v>0</v>
      </c>
      <c r="K942" s="45" t="str">
        <f>'II-I-TBILLTDCS'!H942</f>
        <v>O&amp;M x565</v>
      </c>
      <c r="L942" s="802">
        <f t="shared" si="42"/>
        <v>0</v>
      </c>
      <c r="M942" s="935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21" customFormat="1" x14ac:dyDescent="0.2">
      <c r="B943" s="16">
        <f t="shared" si="43"/>
        <v>5</v>
      </c>
      <c r="C943" s="1" t="s">
        <v>243</v>
      </c>
      <c r="D943" s="1" t="s">
        <v>244</v>
      </c>
      <c r="E943" s="18"/>
      <c r="F943" s="646">
        <f>'II-I-DIST'!F943</f>
        <v>0</v>
      </c>
      <c r="G943" s="620" t="str">
        <f>'II-I-DIST'!H943</f>
        <v>O&amp;M x565</v>
      </c>
      <c r="H943" s="97">
        <f>'II-I-MET'!F943</f>
        <v>0</v>
      </c>
      <c r="I943" s="45" t="str">
        <f>'II-I-MET'!H943</f>
        <v>O&amp;M x565</v>
      </c>
      <c r="J943" s="97">
        <f>'II-I-TBILLTDCS'!F943</f>
        <v>0</v>
      </c>
      <c r="K943" s="45" t="str">
        <f>'II-I-TBILLTDCS'!H943</f>
        <v>O&amp;M x565</v>
      </c>
      <c r="L943" s="802">
        <f t="shared" si="42"/>
        <v>0</v>
      </c>
      <c r="M943" s="942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21" customFormat="1" x14ac:dyDescent="0.2">
      <c r="B944" s="16">
        <f t="shared" si="43"/>
        <v>6</v>
      </c>
      <c r="C944" s="29" t="s">
        <v>245</v>
      </c>
      <c r="D944" s="1" t="s">
        <v>246</v>
      </c>
      <c r="E944" s="18"/>
      <c r="F944" s="646">
        <f>'II-I-DIST'!F944</f>
        <v>0</v>
      </c>
      <c r="G944" s="620" t="str">
        <f>'II-I-DIST'!H944</f>
        <v>PLANT</v>
      </c>
      <c r="H944" s="97">
        <f>'II-I-MET'!F944</f>
        <v>0</v>
      </c>
      <c r="I944" s="45" t="str">
        <f>'II-I-MET'!H944</f>
        <v>PLANT</v>
      </c>
      <c r="J944" s="97">
        <f>'II-I-TBILLTDCS'!F944</f>
        <v>0</v>
      </c>
      <c r="K944" s="45" t="str">
        <f>'II-I-TBILLTDCS'!H944</f>
        <v>PLANT</v>
      </c>
      <c r="L944" s="802">
        <f t="shared" si="42"/>
        <v>0</v>
      </c>
      <c r="M944" s="935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21" customFormat="1" x14ac:dyDescent="0.2">
      <c r="B945" s="16">
        <f t="shared" si="43"/>
        <v>7</v>
      </c>
      <c r="C945" s="29" t="s">
        <v>247</v>
      </c>
      <c r="D945" s="1" t="s">
        <v>248</v>
      </c>
      <c r="E945" s="18"/>
      <c r="F945" s="646">
        <f>'II-I-DIST'!F945</f>
        <v>0</v>
      </c>
      <c r="G945" s="620" t="str">
        <f>'II-I-DIST'!H945</f>
        <v>O&amp;M x565</v>
      </c>
      <c r="H945" s="97">
        <f>'II-I-MET'!F945</f>
        <v>0</v>
      </c>
      <c r="I945" s="45" t="str">
        <f>'II-I-MET'!H945</f>
        <v>O&amp;M x565</v>
      </c>
      <c r="J945" s="97">
        <f>'II-I-TBILLTDCS'!F945</f>
        <v>0</v>
      </c>
      <c r="K945" s="45" t="str">
        <f>'II-I-TBILLTDCS'!H945</f>
        <v>O&amp;M x565</v>
      </c>
      <c r="L945" s="802">
        <f t="shared" ref="L945:L953" si="44">F945+H945+J945</f>
        <v>0</v>
      </c>
      <c r="M945" s="93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21" customFormat="1" ht="28.5" x14ac:dyDescent="0.2">
      <c r="B946" s="16">
        <f t="shared" si="43"/>
        <v>8</v>
      </c>
      <c r="C946" s="1" t="s">
        <v>249</v>
      </c>
      <c r="D946" s="1" t="s">
        <v>250</v>
      </c>
      <c r="E946" s="18"/>
      <c r="F946" s="646">
        <f>'II-I-DIST'!F946</f>
        <v>0</v>
      </c>
      <c r="G946" s="620" t="str">
        <f>'II-I-DIST'!H946</f>
        <v>PAYROLL XAG</v>
      </c>
      <c r="H946" s="97">
        <f>'II-I-MET'!F946</f>
        <v>0</v>
      </c>
      <c r="I946" s="45" t="str">
        <f>'II-I-MET'!H946</f>
        <v>O&amp;M x565</v>
      </c>
      <c r="J946" s="97">
        <f>'II-I-TBILLTDCS'!F946</f>
        <v>0</v>
      </c>
      <c r="K946" s="45" t="str">
        <f>'II-I-TBILLTDCS'!H946</f>
        <v>O&amp;M x565</v>
      </c>
      <c r="L946" s="802">
        <f t="shared" si="44"/>
        <v>0</v>
      </c>
      <c r="M946" s="935" t="s">
        <v>1027</v>
      </c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21" customFormat="1" x14ac:dyDescent="0.2">
      <c r="B947" s="16">
        <f t="shared" si="43"/>
        <v>9</v>
      </c>
      <c r="C947" s="1" t="s">
        <v>251</v>
      </c>
      <c r="D947" s="1" t="s">
        <v>252</v>
      </c>
      <c r="E947" s="18"/>
      <c r="F947" s="646">
        <f>'II-I-DIST'!F947</f>
        <v>0</v>
      </c>
      <c r="G947" s="620" t="str">
        <f>'II-I-DIST'!H947</f>
        <v>REVENUE</v>
      </c>
      <c r="H947" s="97">
        <f>'II-I-MET'!F947</f>
        <v>0</v>
      </c>
      <c r="I947" s="45" t="str">
        <f>'II-I-MET'!H947</f>
        <v>REVENUE</v>
      </c>
      <c r="J947" s="97">
        <f>'II-I-TBILLTDCS'!F947</f>
        <v>0</v>
      </c>
      <c r="K947" s="45" t="str">
        <f>'II-I-TBILLTDCS'!H947</f>
        <v>REVENUE</v>
      </c>
      <c r="L947" s="802">
        <f t="shared" si="44"/>
        <v>0</v>
      </c>
      <c r="M947" s="935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21" customFormat="1" ht="28.5" x14ac:dyDescent="0.2">
      <c r="B948" s="16">
        <f t="shared" si="43"/>
        <v>10</v>
      </c>
      <c r="C948" s="1" t="s">
        <v>253</v>
      </c>
      <c r="D948" s="1" t="s">
        <v>254</v>
      </c>
      <c r="E948" s="18"/>
      <c r="F948" s="646">
        <f>'II-I-DIST'!F948</f>
        <v>0</v>
      </c>
      <c r="G948" s="620" t="str">
        <f>'II-I-DIST'!H948</f>
        <v>O&amp;M x565</v>
      </c>
      <c r="H948" s="97">
        <f>'II-I-MET'!F948</f>
        <v>0</v>
      </c>
      <c r="I948" s="45" t="str">
        <f>'II-I-MET'!H948</f>
        <v>O&amp;M x565</v>
      </c>
      <c r="J948" s="97">
        <f>'II-I-TBILLTDCS'!F948</f>
        <v>0</v>
      </c>
      <c r="K948" s="45" t="str">
        <f>'II-I-TBILLTDCS'!H948</f>
        <v>O&amp;M x565</v>
      </c>
      <c r="L948" s="802">
        <f t="shared" si="44"/>
        <v>0</v>
      </c>
      <c r="M948" s="935" t="s">
        <v>1027</v>
      </c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21" customFormat="1" ht="28.5" x14ac:dyDescent="0.2">
      <c r="B949" s="16">
        <f t="shared" si="43"/>
        <v>11</v>
      </c>
      <c r="C949" s="1" t="s">
        <v>255</v>
      </c>
      <c r="D949" s="1" t="s">
        <v>256</v>
      </c>
      <c r="E949" s="18"/>
      <c r="F949" s="646">
        <f>'II-I-DIST'!F949</f>
        <v>2356.6799999999998</v>
      </c>
      <c r="G949" s="620" t="str">
        <f>'II-I-DIST'!H949</f>
        <v>O&amp;M x565</v>
      </c>
      <c r="H949" s="97">
        <f>'II-I-MET'!F949</f>
        <v>659.04</v>
      </c>
      <c r="I949" s="45" t="str">
        <f>'II-I-MET'!H949</f>
        <v>O&amp;M x565</v>
      </c>
      <c r="J949" s="97">
        <f>'II-I-TBILLTDCS'!F949</f>
        <v>27.090000000000146</v>
      </c>
      <c r="K949" s="45" t="str">
        <f>'II-I-TBILLTDCS'!H949</f>
        <v>O&amp;M x565</v>
      </c>
      <c r="L949" s="802">
        <f t="shared" si="44"/>
        <v>3042.81</v>
      </c>
      <c r="M949" s="935" t="s">
        <v>1027</v>
      </c>
      <c r="R949"/>
      <c r="S949"/>
      <c r="X949"/>
      <c r="Y949"/>
      <c r="Z949"/>
      <c r="AA949"/>
      <c r="AB949"/>
      <c r="AC949"/>
    </row>
    <row r="950" spans="2:29" s="321" customFormat="1" x14ac:dyDescent="0.2">
      <c r="B950" s="16">
        <f t="shared" si="43"/>
        <v>12</v>
      </c>
      <c r="C950" s="29" t="s">
        <v>257</v>
      </c>
      <c r="D950" s="1" t="s">
        <v>189</v>
      </c>
      <c r="E950" s="18"/>
      <c r="F950" s="646">
        <f>'II-I-DIST'!F950</f>
        <v>0</v>
      </c>
      <c r="G950" s="620" t="str">
        <f>'II-I-DIST'!H950</f>
        <v>O&amp;M x565</v>
      </c>
      <c r="H950" s="97">
        <f>'II-I-MET'!F950</f>
        <v>0</v>
      </c>
      <c r="I950" s="45" t="str">
        <f>'II-I-MET'!H950</f>
        <v>O&amp;M x565</v>
      </c>
      <c r="J950" s="97">
        <f>'II-I-TBILLTDCS'!F950</f>
        <v>0</v>
      </c>
      <c r="K950" s="45" t="str">
        <f>'II-I-TBILLTDCS'!H950</f>
        <v>O&amp;M x565</v>
      </c>
      <c r="L950" s="802">
        <f t="shared" si="44"/>
        <v>0</v>
      </c>
      <c r="M950" s="935"/>
      <c r="R950"/>
      <c r="S950"/>
      <c r="X950"/>
      <c r="Y950"/>
      <c r="Z950"/>
      <c r="AA950"/>
      <c r="AB950"/>
      <c r="AC950"/>
    </row>
    <row r="951" spans="2:29" s="321" customFormat="1" x14ac:dyDescent="0.2">
      <c r="B951" s="16">
        <f t="shared" si="43"/>
        <v>13</v>
      </c>
      <c r="C951" s="29" t="s">
        <v>258</v>
      </c>
      <c r="D951" s="1" t="s">
        <v>259</v>
      </c>
      <c r="E951" s="18"/>
      <c r="F951" s="646">
        <f>'II-I-DIST'!F951</f>
        <v>4100.4599999999991</v>
      </c>
      <c r="G951" s="620" t="str">
        <f>'II-I-DIST'!H951</f>
        <v>PLTGEN</v>
      </c>
      <c r="H951" s="97">
        <f>'II-I-MET'!F951</f>
        <v>0</v>
      </c>
      <c r="I951" s="45" t="str">
        <f>'II-I-MET'!H951</f>
        <v>PLTGEN</v>
      </c>
      <c r="J951" s="97">
        <f>'II-I-TBILLTDCS'!F951</f>
        <v>0</v>
      </c>
      <c r="K951" s="45" t="str">
        <f>'II-I-TBILLTDCS'!H951</f>
        <v>PLTGEN</v>
      </c>
      <c r="L951" s="802">
        <f t="shared" si="44"/>
        <v>4100.4599999999991</v>
      </c>
      <c r="M951" s="935"/>
      <c r="R951"/>
      <c r="S951"/>
      <c r="X951"/>
      <c r="Y951"/>
      <c r="Z951"/>
      <c r="AA951"/>
      <c r="AB951"/>
      <c r="AC951"/>
    </row>
    <row r="952" spans="2:29" s="321" customFormat="1" x14ac:dyDescent="0.2">
      <c r="B952" s="16">
        <f t="shared" si="43"/>
        <v>14</v>
      </c>
      <c r="C952" s="26" t="s">
        <v>260</v>
      </c>
      <c r="D952" s="1" t="s">
        <v>259</v>
      </c>
      <c r="E952" s="18"/>
      <c r="F952" s="646">
        <f>'II-I-DIST'!F952</f>
        <v>1044798.28</v>
      </c>
      <c r="G952" s="620" t="str">
        <f>'II-I-DIST'!H952</f>
        <v>PLTGEN</v>
      </c>
      <c r="H952" s="97">
        <f>'II-I-MET'!F952</f>
        <v>291823.53000000003</v>
      </c>
      <c r="I952" s="45" t="str">
        <f>'II-I-MET'!H952</f>
        <v>PLTGEN</v>
      </c>
      <c r="J952" s="97">
        <f>'II-I-TBILLTDCS'!F952</f>
        <v>11992.730000000074</v>
      </c>
      <c r="K952" s="45" t="str">
        <f>'II-I-TBILLTDCS'!H952</f>
        <v>PLTGEN</v>
      </c>
      <c r="L952" s="802">
        <f t="shared" si="44"/>
        <v>1348614.54</v>
      </c>
      <c r="M952" s="935"/>
      <c r="R952"/>
      <c r="S952"/>
      <c r="Y952"/>
      <c r="Z952"/>
      <c r="AA952"/>
      <c r="AB952"/>
      <c r="AC952"/>
    </row>
    <row r="953" spans="2:29" ht="15" x14ac:dyDescent="0.25">
      <c r="B953" s="16">
        <f t="shared" si="43"/>
        <v>15</v>
      </c>
      <c r="C953" s="8" t="s">
        <v>636</v>
      </c>
      <c r="D953" s="32"/>
      <c r="E953" s="805"/>
      <c r="F953" s="805">
        <f>'II-I-DIST'!F953</f>
        <v>68416703.059999987</v>
      </c>
      <c r="G953" s="805">
        <f>'II-I-DIST'!H953</f>
        <v>0</v>
      </c>
      <c r="H953" s="805">
        <f>'II-I-MET'!F953</f>
        <v>19049561.939999998</v>
      </c>
      <c r="I953" s="805">
        <f>'II-I-MET'!H953</f>
        <v>0</v>
      </c>
      <c r="J953" s="805">
        <f>'II-I-TBILLTDCS'!F953</f>
        <v>20916734.68999999</v>
      </c>
      <c r="K953" s="805">
        <f>'II-I-TBILLTDCS'!H953</f>
        <v>0</v>
      </c>
      <c r="L953" s="805">
        <f t="shared" si="44"/>
        <v>108382999.68999997</v>
      </c>
      <c r="T953" s="321"/>
      <c r="U953" s="321"/>
      <c r="V953" s="321"/>
      <c r="W953" s="321"/>
      <c r="X953" s="321"/>
    </row>
    <row r="954" spans="2:29" x14ac:dyDescent="0.2">
      <c r="B954" s="16">
        <f t="shared" si="43"/>
        <v>16</v>
      </c>
      <c r="C954" s="1"/>
      <c r="D954" s="1"/>
      <c r="E954" s="18"/>
      <c r="F954" s="803">
        <f>'II-I-DIST'!F954</f>
        <v>0</v>
      </c>
      <c r="G954" s="803">
        <f>'II-I-DIST'!H954</f>
        <v>0</v>
      </c>
      <c r="H954" s="18">
        <f>'II-I-MET'!F954</f>
        <v>0</v>
      </c>
      <c r="I954" s="18">
        <f>'II-I-MET'!H954</f>
        <v>0</v>
      </c>
      <c r="J954" s="18">
        <f>'II-I-TBILLTDCS'!F954</f>
        <v>0</v>
      </c>
      <c r="K954" s="18">
        <f>'II-I-TBILLTDCS'!H954</f>
        <v>0</v>
      </c>
      <c r="L954" s="647"/>
      <c r="X954" s="321"/>
    </row>
    <row r="955" spans="2:29" ht="15" x14ac:dyDescent="0.25">
      <c r="B955" s="16">
        <f t="shared" si="43"/>
        <v>17</v>
      </c>
      <c r="C955" s="8"/>
      <c r="D955" s="233" t="s">
        <v>637</v>
      </c>
      <c r="E955" s="831"/>
      <c r="F955" s="805">
        <f>'II-I-DIST'!F955</f>
        <v>1051255.42</v>
      </c>
      <c r="G955" s="1308"/>
      <c r="H955" s="805">
        <f>'II-I-MET'!F955</f>
        <v>292482.57</v>
      </c>
      <c r="I955" s="1308"/>
      <c r="J955" s="805">
        <f>'II-I-TBILLTDCS'!F955</f>
        <v>12019.820000000074</v>
      </c>
      <c r="K955" s="1308"/>
      <c r="L955" s="805">
        <f>F955+H955+J955</f>
        <v>1355757.81</v>
      </c>
      <c r="X955" s="321"/>
    </row>
    <row r="956" spans="2:29" ht="15" thickBot="1" x14ac:dyDescent="0.25">
      <c r="B956" s="16">
        <f t="shared" si="43"/>
        <v>18</v>
      </c>
      <c r="C956" s="1"/>
      <c r="D956" s="49"/>
      <c r="E956" s="16"/>
      <c r="F956" s="803">
        <f>'II-I-DIST'!F956</f>
        <v>0</v>
      </c>
      <c r="G956" s="645"/>
      <c r="H956" s="18">
        <f>'II-I-MET'!F956</f>
        <v>0</v>
      </c>
      <c r="I956" s="16"/>
      <c r="J956" s="18">
        <f>'II-I-TBILLTDCS'!F956</f>
        <v>0</v>
      </c>
      <c r="K956" s="16"/>
      <c r="L956" s="803"/>
      <c r="X956" s="321"/>
    </row>
    <row r="957" spans="2:29" ht="15.75" thickBot="1" x14ac:dyDescent="0.3">
      <c r="B957" s="16">
        <f t="shared" si="43"/>
        <v>19</v>
      </c>
      <c r="C957" s="223" t="s">
        <v>638</v>
      </c>
      <c r="D957" s="224"/>
      <c r="E957" s="309" t="s">
        <v>262</v>
      </c>
      <c r="F957" s="812">
        <f>'II-I-DIST'!F957</f>
        <v>222468970.81999999</v>
      </c>
      <c r="G957" s="402"/>
      <c r="H957" s="812">
        <f>'II-I-MET'!F957</f>
        <v>57783928.270000003</v>
      </c>
      <c r="I957" s="402"/>
      <c r="J957" s="812">
        <f>'II-I-TBILLTDCS'!F957</f>
        <v>22504463.84999999</v>
      </c>
      <c r="K957" s="402"/>
      <c r="L957" s="315">
        <f>F957+H957+J957</f>
        <v>302757362.93999994</v>
      </c>
    </row>
    <row r="958" spans="2:29" x14ac:dyDescent="0.2">
      <c r="B958" s="64"/>
      <c r="C958" s="64"/>
      <c r="D958" s="64"/>
      <c r="E958" s="64"/>
      <c r="F958" s="589"/>
      <c r="G958" s="589"/>
      <c r="H958" s="64"/>
      <c r="I958" s="64"/>
      <c r="J958" s="64"/>
      <c r="K958" s="64"/>
    </row>
    <row r="959" spans="2:29" ht="15" x14ac:dyDescent="0.25">
      <c r="B959" s="783"/>
      <c r="C959" s="783"/>
      <c r="D959" s="783"/>
      <c r="E959" s="783"/>
      <c r="F959" s="589"/>
      <c r="G959" s="653"/>
      <c r="H959" s="64"/>
      <c r="I959" s="105"/>
      <c r="J959" s="64"/>
      <c r="K959" s="105"/>
      <c r="L959" s="783"/>
    </row>
    <row r="960" spans="2:29" ht="15.75" thickBot="1" x14ac:dyDescent="0.3">
      <c r="B960" s="783"/>
      <c r="C960" s="783"/>
      <c r="D960" s="783"/>
      <c r="E960" s="783"/>
      <c r="F960" s="589"/>
      <c r="G960" s="589"/>
      <c r="H960" s="64"/>
      <c r="I960" s="64"/>
      <c r="J960" s="64"/>
      <c r="K960" s="64"/>
      <c r="L960" s="783"/>
      <c r="Y960" s="321"/>
    </row>
    <row r="961" spans="2:29" ht="15" x14ac:dyDescent="0.25">
      <c r="B961" s="829" t="str">
        <f>$B$4</f>
        <v>2025 RATE CASE</v>
      </c>
      <c r="C961" s="835"/>
      <c r="D961" s="836"/>
      <c r="E961" s="783"/>
      <c r="F961" s="654"/>
      <c r="G961" s="589"/>
      <c r="H961" s="267"/>
      <c r="J961" s="267"/>
      <c r="K961"/>
      <c r="L961" s="783"/>
      <c r="Y961" s="321"/>
    </row>
    <row r="962" spans="2:29" ht="15" x14ac:dyDescent="0.25">
      <c r="B962" s="826" t="str">
        <f>$B$5</f>
        <v>ONCOR ELECTRIC DELIVERY COMPANY LLC</v>
      </c>
      <c r="C962" s="304"/>
      <c r="D962" s="837"/>
      <c r="E962" s="783"/>
      <c r="F962" s="654"/>
      <c r="G962" s="589"/>
      <c r="H962" s="267"/>
      <c r="J962" s="267"/>
      <c r="K962"/>
      <c r="L962" s="783"/>
      <c r="Y962" s="321"/>
    </row>
    <row r="963" spans="2:29" ht="15" x14ac:dyDescent="0.25">
      <c r="B963" s="341" t="str">
        <f>$B$6</f>
        <v>II-I-2.1f:  CONSOLIDATED FUNCTIONALIZED COST OF SERVICE</v>
      </c>
      <c r="C963" s="304"/>
      <c r="D963" s="837"/>
      <c r="E963" s="783"/>
      <c r="F963" s="654"/>
      <c r="G963" s="589"/>
      <c r="H963" s="267"/>
      <c r="J963" s="267"/>
      <c r="K963"/>
      <c r="L963" s="783"/>
      <c r="Y963" s="321"/>
    </row>
    <row r="964" spans="2:29" ht="15.75" x14ac:dyDescent="0.25">
      <c r="B964" s="341" t="str">
        <f>$B$7</f>
        <v>TEST YEAR ENDING 12/31/2024</v>
      </c>
      <c r="C964" s="752"/>
      <c r="D964" s="830"/>
      <c r="E964" s="64"/>
      <c r="F964" s="654"/>
      <c r="G964" s="589"/>
      <c r="H964" s="267"/>
      <c r="J964" s="267"/>
      <c r="K964"/>
      <c r="Y964" s="321"/>
    </row>
    <row r="965" spans="2:29" ht="15" x14ac:dyDescent="0.25">
      <c r="B965" s="341" t="str">
        <f>$B$8</f>
        <v>SPONSOR:  MATTHEW A. TROXLE</v>
      </c>
      <c r="C965" s="304"/>
      <c r="D965" s="837"/>
      <c r="E965" s="304"/>
      <c r="F965" s="654"/>
      <c r="G965" s="589"/>
      <c r="H965" s="267"/>
      <c r="J965" s="267"/>
      <c r="K965"/>
      <c r="L965" s="304"/>
    </row>
    <row r="966" spans="2:29" ht="15.75" thickBot="1" x14ac:dyDescent="0.3">
      <c r="B966" s="345"/>
      <c r="C966" s="843"/>
      <c r="D966" s="845"/>
      <c r="F966" s="654"/>
      <c r="G966" s="589"/>
      <c r="H966" s="267"/>
      <c r="J966" s="267"/>
      <c r="K966"/>
      <c r="L966" s="654"/>
    </row>
    <row r="967" spans="2:29" x14ac:dyDescent="0.2">
      <c r="B967" s="12"/>
      <c r="C967" s="13"/>
      <c r="D967" s="177"/>
      <c r="E967" s="13"/>
      <c r="F967" s="655"/>
      <c r="G967" s="656"/>
      <c r="H967" s="12"/>
      <c r="I967" s="13"/>
      <c r="J967" s="12"/>
      <c r="K967" s="13"/>
      <c r="L967" s="855"/>
      <c r="M967" s="938"/>
    </row>
    <row r="968" spans="2:29" ht="15" x14ac:dyDescent="0.25">
      <c r="B968" s="14" t="s">
        <v>2</v>
      </c>
      <c r="C968" s="14" t="s">
        <v>349</v>
      </c>
      <c r="D968" s="180" t="s">
        <v>639</v>
      </c>
      <c r="E968" s="14" t="s">
        <v>350</v>
      </c>
      <c r="F968" s="226" t="str">
        <f>'II-I-DIST'!F968</f>
        <v>DIST</v>
      </c>
      <c r="G968" s="661" t="str">
        <f>'II-I-DIST'!H968</f>
        <v>Allocation</v>
      </c>
      <c r="H968" s="226" t="str">
        <f>'II-I-MET'!F968</f>
        <v>MET</v>
      </c>
      <c r="I968" s="181" t="str">
        <f>'II-I-MET'!H968</f>
        <v>Allocation</v>
      </c>
      <c r="J968" s="226" t="str">
        <f>'II-I-TBILLTDCS'!F968</f>
        <v>TBILLTDCS</v>
      </c>
      <c r="K968" s="181" t="str">
        <f>'II-I-TBILLTDCS'!H968</f>
        <v>Allocation</v>
      </c>
      <c r="L968" s="660" t="s">
        <v>434</v>
      </c>
      <c r="M968" s="932" t="s">
        <v>970</v>
      </c>
    </row>
    <row r="969" spans="2:29" x14ac:dyDescent="0.2">
      <c r="B969" s="14"/>
      <c r="C969" s="14"/>
      <c r="D969" s="181"/>
      <c r="E969" s="14"/>
      <c r="F969" s="660"/>
      <c r="G969" s="661" t="str">
        <f>'II-I-DIST'!H969</f>
        <v>Factor</v>
      </c>
      <c r="H969" s="14"/>
      <c r="I969" s="181" t="str">
        <f>'II-I-MET'!H969</f>
        <v>Factor</v>
      </c>
      <c r="J969" s="14"/>
      <c r="K969" s="181" t="str">
        <f>'II-I-TBILLTDCS'!H969</f>
        <v>Factor</v>
      </c>
      <c r="L969" s="660" t="s">
        <v>31</v>
      </c>
      <c r="M969" s="939"/>
    </row>
    <row r="970" spans="2:29" ht="15.75" thickBot="1" x14ac:dyDescent="0.25">
      <c r="B970" s="182"/>
      <c r="C970" s="860"/>
      <c r="D970" s="184"/>
      <c r="E970" s="184"/>
      <c r="F970" s="664" t="str">
        <f>'II-I-DIST'!F970</f>
        <v>(a)</v>
      </c>
      <c r="G970" s="664" t="str">
        <f>'II-I-DIST'!H970</f>
        <v>(c)</v>
      </c>
      <c r="H970" s="664" t="str">
        <f>'II-I-MET'!F970</f>
        <v>(a)</v>
      </c>
      <c r="I970" s="15" t="str">
        <f>'II-I-MET'!H970</f>
        <v>(c)</v>
      </c>
      <c r="J970" s="664" t="str">
        <f>'II-I-TBILLTDCS'!F970</f>
        <v>(a)</v>
      </c>
      <c r="K970" s="15" t="str">
        <f>'II-I-TBILLTDCS'!H970</f>
        <v>(c)</v>
      </c>
      <c r="L970" s="664" t="s">
        <v>19</v>
      </c>
      <c r="M970" s="934" t="s">
        <v>1056</v>
      </c>
    </row>
    <row r="971" spans="2:29" ht="15" x14ac:dyDescent="0.25">
      <c r="B971" s="64"/>
      <c r="C971" s="268"/>
      <c r="D971" s="268"/>
      <c r="E971" s="806"/>
      <c r="F971" s="611"/>
      <c r="G971" s="806"/>
      <c r="H971" s="268"/>
      <c r="I971" s="806"/>
      <c r="J971" s="268"/>
      <c r="K971" s="806"/>
      <c r="L971" s="611"/>
    </row>
    <row r="972" spans="2:29" s="321" customFormat="1" ht="15" x14ac:dyDescent="0.25">
      <c r="B972" s="16">
        <f t="shared" ref="B972:B978" si="45">B971+1</f>
        <v>1</v>
      </c>
      <c r="C972" s="311"/>
      <c r="D972" s="41" t="s">
        <v>272</v>
      </c>
      <c r="E972" s="806" t="s">
        <v>273</v>
      </c>
      <c r="F972" s="312">
        <f>'II-I-DIST'!F972</f>
        <v>0</v>
      </c>
      <c r="G972" s="647" t="str">
        <f>'II-I-DIST'!H972</f>
        <v>CUS W ALL</v>
      </c>
      <c r="H972" s="312">
        <f>'II-I-MET'!F972</f>
        <v>0</v>
      </c>
      <c r="I972" s="45" t="str">
        <f>'II-I-MET'!H972</f>
        <v>CUS W ALL</v>
      </c>
      <c r="J972" s="312">
        <f>'II-I-TBILLTDCS'!F972</f>
        <v>0</v>
      </c>
      <c r="K972" s="45" t="str">
        <f>'II-I-TBILLTDCS'!H972</f>
        <v>CUS W ALL</v>
      </c>
      <c r="L972" s="802">
        <f>F972+H972+J972</f>
        <v>0</v>
      </c>
      <c r="M972" s="935"/>
      <c r="R972"/>
      <c r="S972"/>
      <c r="X972"/>
      <c r="Y972"/>
      <c r="Z972"/>
      <c r="AA972"/>
      <c r="AB972"/>
      <c r="AC972"/>
    </row>
    <row r="973" spans="2:29" s="321" customFormat="1" ht="15" x14ac:dyDescent="0.25">
      <c r="B973" s="16">
        <f t="shared" si="45"/>
        <v>2</v>
      </c>
      <c r="C973" s="269"/>
      <c r="D973" s="41" t="s">
        <v>274</v>
      </c>
      <c r="E973" s="806" t="s">
        <v>273</v>
      </c>
      <c r="F973" s="312">
        <f>'II-I-DIST'!F973</f>
        <v>0</v>
      </c>
      <c r="G973" s="647" t="str">
        <f>'II-I-DIST'!H973</f>
        <v>CUS W ALL</v>
      </c>
      <c r="H973" s="312">
        <f>'II-I-MET'!F973</f>
        <v>0</v>
      </c>
      <c r="I973" s="45" t="str">
        <f>'II-I-MET'!H973</f>
        <v>CUS W ALL</v>
      </c>
      <c r="J973" s="312">
        <f>'II-I-TBILLTDCS'!F973</f>
        <v>0</v>
      </c>
      <c r="K973" s="45" t="str">
        <f>'II-I-TBILLTDCS'!H973</f>
        <v>CUS W ALL</v>
      </c>
      <c r="L973" s="802">
        <f>F973+H973+J973</f>
        <v>0</v>
      </c>
      <c r="M973" s="935"/>
      <c r="R973"/>
      <c r="S973"/>
      <c r="X973"/>
      <c r="Y973"/>
      <c r="Z973"/>
      <c r="AA973"/>
      <c r="AB973"/>
      <c r="AC973"/>
    </row>
    <row r="974" spans="2:29" s="321" customFormat="1" ht="15" x14ac:dyDescent="0.25">
      <c r="B974" s="16">
        <f t="shared" si="45"/>
        <v>3</v>
      </c>
      <c r="C974" s="41"/>
      <c r="D974" s="41" t="s">
        <v>275</v>
      </c>
      <c r="E974" s="806" t="s">
        <v>276</v>
      </c>
      <c r="F974" s="312">
        <f>'II-I-DIST'!F974</f>
        <v>0</v>
      </c>
      <c r="G974" s="647" t="str">
        <f>'II-I-DIST'!H974</f>
        <v>CUS W ALL</v>
      </c>
      <c r="H974" s="312">
        <f>'II-I-MET'!F974</f>
        <v>0</v>
      </c>
      <c r="I974" s="45" t="str">
        <f>'II-I-MET'!H974</f>
        <v>CUS W ALL</v>
      </c>
      <c r="J974" s="312">
        <f>'II-I-TBILLTDCS'!F974</f>
        <v>0</v>
      </c>
      <c r="K974" s="45" t="str">
        <f>'II-I-TBILLTDCS'!H974</f>
        <v>CUS W ALL</v>
      </c>
      <c r="L974" s="802">
        <f>F974+H974+J974</f>
        <v>0</v>
      </c>
      <c r="M974" s="935"/>
      <c r="R974"/>
      <c r="S974"/>
      <c r="X974"/>
      <c r="Y974"/>
      <c r="Z974"/>
      <c r="AA974"/>
      <c r="AB974"/>
      <c r="AC974"/>
    </row>
    <row r="975" spans="2:29" s="321" customFormat="1" ht="15" x14ac:dyDescent="0.25">
      <c r="B975" s="16">
        <f t="shared" si="45"/>
        <v>4</v>
      </c>
      <c r="C975" s="41"/>
      <c r="D975" s="41" t="s">
        <v>277</v>
      </c>
      <c r="E975" s="806" t="s">
        <v>276</v>
      </c>
      <c r="F975" s="312">
        <f>'II-I-DIST'!F975</f>
        <v>0</v>
      </c>
      <c r="G975" s="647" t="str">
        <f>'II-I-DIST'!H975</f>
        <v>CUS W ALL</v>
      </c>
      <c r="H975" s="312">
        <f>'II-I-MET'!F975</f>
        <v>0</v>
      </c>
      <c r="I975" s="45" t="str">
        <f>'II-I-MET'!H975</f>
        <v>CUS W ALL</v>
      </c>
      <c r="J975" s="312">
        <f>'II-I-TBILLTDCS'!F975</f>
        <v>0</v>
      </c>
      <c r="K975" s="45" t="str">
        <f>'II-I-TBILLTDCS'!H975</f>
        <v>CUS W ALL</v>
      </c>
      <c r="L975" s="802">
        <f>F975+H975+J975</f>
        <v>0</v>
      </c>
      <c r="M975" s="935"/>
      <c r="R975"/>
      <c r="S975"/>
      <c r="T975"/>
      <c r="U975"/>
      <c r="V975"/>
      <c r="W975"/>
      <c r="Y975"/>
      <c r="Z975"/>
      <c r="AA975"/>
      <c r="AB975"/>
      <c r="AC975"/>
    </row>
    <row r="976" spans="2:29" s="321" customFormat="1" ht="15" x14ac:dyDescent="0.25">
      <c r="B976" s="16">
        <f t="shared" si="45"/>
        <v>5</v>
      </c>
      <c r="C976" s="41"/>
      <c r="D976" s="41" t="s">
        <v>278</v>
      </c>
      <c r="E976" s="806" t="s">
        <v>276</v>
      </c>
      <c r="F976" s="312">
        <f>'II-I-DIST'!F976</f>
        <v>0</v>
      </c>
      <c r="G976" s="647" t="str">
        <f>'II-I-DIST'!H976</f>
        <v>CUS W ALL</v>
      </c>
      <c r="H976" s="312">
        <f>'II-I-MET'!F976</f>
        <v>0</v>
      </c>
      <c r="I976" s="45" t="str">
        <f>'II-I-MET'!H976</f>
        <v>CUS W ALL</v>
      </c>
      <c r="J976" s="312">
        <f>'II-I-TBILLTDCS'!F976</f>
        <v>0</v>
      </c>
      <c r="K976" s="45" t="str">
        <f>'II-I-TBILLTDCS'!H976</f>
        <v>CUS W ALL</v>
      </c>
      <c r="L976" s="802">
        <f>F976+H976+J976</f>
        <v>0</v>
      </c>
      <c r="M976" s="935"/>
      <c r="R976"/>
      <c r="S976"/>
      <c r="T976"/>
      <c r="U976"/>
      <c r="V976"/>
      <c r="W976"/>
      <c r="Y976"/>
      <c r="Z976"/>
      <c r="AA976"/>
      <c r="AB976"/>
      <c r="AC976"/>
    </row>
    <row r="977" spans="2:25" ht="15.75" thickBot="1" x14ac:dyDescent="0.3">
      <c r="B977" s="16">
        <f t="shared" si="45"/>
        <v>6</v>
      </c>
      <c r="C977" s="41"/>
      <c r="D977" s="41"/>
      <c r="E977" s="806"/>
      <c r="F977" s="312">
        <f>'II-I-DIST'!F977</f>
        <v>0</v>
      </c>
      <c r="G977" s="806"/>
      <c r="H977" s="312">
        <f>'II-I-MET'!F977</f>
        <v>0</v>
      </c>
      <c r="I977" s="806"/>
      <c r="J977" s="312">
        <f>'II-I-TBILLTDCS'!F977</f>
        <v>0</v>
      </c>
      <c r="K977" s="806"/>
      <c r="L977" s="802"/>
      <c r="X977" s="321"/>
    </row>
    <row r="978" spans="2:25" ht="15.75" thickBot="1" x14ac:dyDescent="0.3">
      <c r="B978" s="16">
        <f t="shared" si="45"/>
        <v>7</v>
      </c>
      <c r="C978" s="276" t="s">
        <v>640</v>
      </c>
      <c r="D978" s="271"/>
      <c r="E978" s="272"/>
      <c r="F978" s="814">
        <f>'II-I-DIST'!F978</f>
        <v>0</v>
      </c>
      <c r="G978" s="392"/>
      <c r="H978" s="814">
        <f>'II-I-MET'!F978</f>
        <v>0</v>
      </c>
      <c r="I978" s="392"/>
      <c r="J978" s="814">
        <f>'II-I-TBILLTDCS'!F978</f>
        <v>0</v>
      </c>
      <c r="K978" s="392"/>
      <c r="L978" s="218"/>
      <c r="T978" s="321"/>
      <c r="U978" s="321"/>
      <c r="V978" s="321"/>
      <c r="W978" s="321"/>
    </row>
    <row r="979" spans="2:25" ht="15" x14ac:dyDescent="0.25">
      <c r="B979" s="783"/>
      <c r="C979" s="783"/>
      <c r="D979" s="783"/>
      <c r="E979" s="783"/>
      <c r="F979" s="589"/>
      <c r="G979" s="589"/>
      <c r="H979" s="64"/>
      <c r="I979" s="64"/>
      <c r="J979" s="64"/>
      <c r="K979" s="64"/>
      <c r="L979" s="783"/>
      <c r="T979" s="321"/>
      <c r="U979" s="321"/>
      <c r="V979" s="321"/>
      <c r="W979" s="321"/>
    </row>
    <row r="980" spans="2:25" ht="15.75" thickBot="1" x14ac:dyDescent="0.3">
      <c r="B980" s="783"/>
      <c r="C980" s="783"/>
      <c r="D980" s="783"/>
      <c r="E980" s="783"/>
      <c r="F980" s="589"/>
      <c r="G980" s="653"/>
      <c r="H980" s="64"/>
      <c r="I980" s="105"/>
      <c r="J980" s="64"/>
      <c r="K980" s="105"/>
      <c r="L980" s="783"/>
      <c r="T980" s="321"/>
      <c r="U980" s="321"/>
      <c r="V980" s="321"/>
      <c r="W980" s="321"/>
    </row>
    <row r="981" spans="2:25" ht="15" x14ac:dyDescent="0.25">
      <c r="B981" s="829" t="str">
        <f>$B$4</f>
        <v>2025 RATE CASE</v>
      </c>
      <c r="C981" s="835"/>
      <c r="D981" s="836"/>
      <c r="E981" s="783"/>
      <c r="F981" s="654"/>
      <c r="G981" s="589"/>
      <c r="H981" s="267"/>
      <c r="J981" s="267"/>
      <c r="K981"/>
      <c r="L981" s="783"/>
      <c r="T981" s="321"/>
      <c r="U981" s="321"/>
      <c r="V981" s="321"/>
      <c r="W981" s="321"/>
      <c r="X981" s="321"/>
    </row>
    <row r="982" spans="2:25" ht="15" x14ac:dyDescent="0.25">
      <c r="B982" s="826" t="str">
        <f>$B$5</f>
        <v>ONCOR ELECTRIC DELIVERY COMPANY LLC</v>
      </c>
      <c r="C982" s="304"/>
      <c r="D982" s="837"/>
      <c r="E982" s="783"/>
      <c r="F982" s="654"/>
      <c r="G982" s="589"/>
      <c r="H982" s="267"/>
      <c r="J982" s="267"/>
      <c r="K982"/>
      <c r="L982" s="783"/>
      <c r="T982" s="321"/>
      <c r="U982" s="321"/>
      <c r="V982" s="321"/>
      <c r="W982" s="321"/>
      <c r="X982" s="321"/>
    </row>
    <row r="983" spans="2:25" ht="15" x14ac:dyDescent="0.25">
      <c r="B983" s="341" t="str">
        <f>$B$6</f>
        <v>II-I-2.1f:  CONSOLIDATED FUNCTIONALIZED COST OF SERVICE</v>
      </c>
      <c r="C983" s="304"/>
      <c r="D983" s="837"/>
      <c r="E983" s="783"/>
      <c r="F983" s="654"/>
      <c r="G983" s="589"/>
      <c r="H983" s="267"/>
      <c r="J983" s="267"/>
      <c r="K983"/>
      <c r="L983" s="783"/>
      <c r="T983" s="321"/>
      <c r="U983" s="321"/>
      <c r="V983" s="321"/>
      <c r="W983" s="321"/>
      <c r="X983" s="321"/>
      <c r="Y983" s="321"/>
    </row>
    <row r="984" spans="2:25" ht="15.75" x14ac:dyDescent="0.25">
      <c r="B984" s="341" t="str">
        <f>$B$7</f>
        <v>TEST YEAR ENDING 12/31/2024</v>
      </c>
      <c r="C984" s="752"/>
      <c r="D984" s="830"/>
      <c r="E984" s="64"/>
      <c r="F984" s="654"/>
      <c r="G984" s="589"/>
      <c r="H984" s="267"/>
      <c r="J984" s="267"/>
      <c r="K984"/>
      <c r="T984" s="321"/>
      <c r="U984" s="321"/>
      <c r="V984" s="321"/>
      <c r="W984" s="321"/>
      <c r="X984" s="321"/>
      <c r="Y984" s="321"/>
    </row>
    <row r="985" spans="2:25" ht="15" x14ac:dyDescent="0.25">
      <c r="B985" s="341" t="str">
        <f>$B$8</f>
        <v>SPONSOR:  MATTHEW A. TROXLE</v>
      </c>
      <c r="C985" s="304"/>
      <c r="D985" s="837"/>
      <c r="E985" s="304"/>
      <c r="F985" s="654"/>
      <c r="G985" s="589"/>
      <c r="H985" s="267"/>
      <c r="J985" s="267"/>
      <c r="K985"/>
      <c r="L985" s="304"/>
      <c r="T985" s="321"/>
      <c r="U985" s="321"/>
      <c r="V985" s="321"/>
      <c r="W985" s="321"/>
      <c r="X985" s="321"/>
      <c r="Y985" s="321"/>
    </row>
    <row r="986" spans="2:25" ht="15.75" thickBot="1" x14ac:dyDescent="0.3">
      <c r="B986" s="345"/>
      <c r="C986" s="843"/>
      <c r="D986" s="845"/>
      <c r="F986" s="654"/>
      <c r="G986" s="589"/>
      <c r="H986" s="267"/>
      <c r="J986" s="267"/>
      <c r="K986"/>
      <c r="L986" s="654"/>
      <c r="T986" s="321"/>
      <c r="U986" s="321"/>
      <c r="V986" s="321"/>
      <c r="W986" s="321"/>
      <c r="X986" s="321"/>
    </row>
    <row r="987" spans="2:25" x14ac:dyDescent="0.2">
      <c r="B987" s="12"/>
      <c r="C987" s="13"/>
      <c r="D987" s="177"/>
      <c r="E987" s="13"/>
      <c r="F987" s="655"/>
      <c r="G987" s="656"/>
      <c r="H987" s="12"/>
      <c r="I987" s="13"/>
      <c r="J987" s="12"/>
      <c r="K987" s="13"/>
      <c r="L987" s="855"/>
      <c r="M987" s="938"/>
      <c r="X987" s="321"/>
    </row>
    <row r="988" spans="2:25" ht="15" x14ac:dyDescent="0.25">
      <c r="B988" s="14" t="s">
        <v>2</v>
      </c>
      <c r="C988" s="14" t="s">
        <v>349</v>
      </c>
      <c r="D988" s="180" t="s">
        <v>641</v>
      </c>
      <c r="E988" s="14" t="s">
        <v>350</v>
      </c>
      <c r="F988" s="226" t="str">
        <f>'II-I-DIST'!F988</f>
        <v>DIST</v>
      </c>
      <c r="G988" s="661" t="str">
        <f>'II-I-DIST'!H988</f>
        <v>Allocation</v>
      </c>
      <c r="H988" s="226" t="str">
        <f>'II-I-MET'!F988</f>
        <v>MET</v>
      </c>
      <c r="I988" s="181" t="str">
        <f>'II-I-MET'!H988</f>
        <v>Allocation</v>
      </c>
      <c r="J988" s="226" t="str">
        <f>'II-I-TBILLTDCS'!F988</f>
        <v>TBILLTDCS</v>
      </c>
      <c r="K988" s="181" t="str">
        <f>'II-I-TBILLTDCS'!H988</f>
        <v>Allocation</v>
      </c>
      <c r="L988" s="226" t="s">
        <v>907</v>
      </c>
      <c r="M988" s="932" t="s">
        <v>970</v>
      </c>
      <c r="X988" s="321"/>
    </row>
    <row r="989" spans="2:25" ht="15" x14ac:dyDescent="0.25">
      <c r="B989" s="14"/>
      <c r="C989" s="14"/>
      <c r="D989" s="181"/>
      <c r="E989" s="14"/>
      <c r="F989" s="660"/>
      <c r="G989" s="661" t="str">
        <f>'II-I-DIST'!H989</f>
        <v>Factor</v>
      </c>
      <c r="H989" s="14"/>
      <c r="I989" s="181" t="str">
        <f>'II-I-MET'!H989</f>
        <v>Factor</v>
      </c>
      <c r="J989" s="14"/>
      <c r="K989" s="181" t="str">
        <f>'II-I-TBILLTDCS'!H989</f>
        <v>Factor</v>
      </c>
      <c r="L989" s="226" t="s">
        <v>908</v>
      </c>
      <c r="M989" s="939"/>
      <c r="X989" s="321"/>
      <c r="Y989" s="321"/>
    </row>
    <row r="990" spans="2:25" ht="15.75" thickBot="1" x14ac:dyDescent="0.25">
      <c r="B990" s="182"/>
      <c r="C990" s="860"/>
      <c r="D990" s="184"/>
      <c r="E990" s="184"/>
      <c r="F990" s="664" t="str">
        <f>'II-I-DIST'!F990</f>
        <v>(a)</v>
      </c>
      <c r="G990" s="664" t="str">
        <f>'II-I-DIST'!H990</f>
        <v>(c)</v>
      </c>
      <c r="H990" s="664" t="str">
        <f>'II-I-MET'!F990</f>
        <v>(a)</v>
      </c>
      <c r="I990" s="15" t="str">
        <f>'II-I-MET'!H990</f>
        <v>(c)</v>
      </c>
      <c r="J990" s="664" t="str">
        <f>'II-I-TBILLTDCS'!F990</f>
        <v>(a)</v>
      </c>
      <c r="K990" s="15" t="str">
        <f>'II-I-TBILLTDCS'!H990</f>
        <v>(c)</v>
      </c>
      <c r="L990" s="664" t="s">
        <v>19</v>
      </c>
      <c r="M990" s="934" t="s">
        <v>1056</v>
      </c>
      <c r="T990" s="321"/>
      <c r="U990" s="321"/>
      <c r="V990" s="321"/>
      <c r="W990" s="321"/>
      <c r="Y990" s="321"/>
    </row>
    <row r="991" spans="2:25" x14ac:dyDescent="0.2">
      <c r="B991" s="64"/>
      <c r="C991" s="268"/>
      <c r="D991" s="268"/>
      <c r="E991" s="268"/>
      <c r="F991" s="666"/>
      <c r="G991" s="666"/>
      <c r="H991" s="268"/>
      <c r="I991" s="268"/>
      <c r="J991" s="268"/>
      <c r="K991" s="268"/>
      <c r="L991" s="611"/>
      <c r="T991" s="321"/>
      <c r="U991" s="321"/>
      <c r="V991" s="321"/>
      <c r="W991" s="321"/>
      <c r="Y991" s="321"/>
    </row>
    <row r="992" spans="2:25" ht="15" x14ac:dyDescent="0.25">
      <c r="B992" s="16">
        <f t="shared" ref="B992:B1032" si="46">B991+1</f>
        <v>1</v>
      </c>
      <c r="C992" s="301" t="s">
        <v>279</v>
      </c>
      <c r="D992" s="8"/>
      <c r="E992" s="831"/>
      <c r="F992" s="8"/>
      <c r="G992" s="1308"/>
      <c r="H992" s="8"/>
      <c r="I992" s="1308"/>
      <c r="J992" s="8"/>
      <c r="K992" s="1308"/>
      <c r="L992" s="8"/>
      <c r="N992" s="305"/>
      <c r="T992" s="321"/>
      <c r="U992" s="321"/>
      <c r="V992" s="321"/>
      <c r="W992" s="321"/>
      <c r="Y992" s="321"/>
    </row>
    <row r="993" spans="2:29" x14ac:dyDescent="0.2">
      <c r="B993" s="16">
        <f t="shared" si="46"/>
        <v>2</v>
      </c>
      <c r="C993" s="1"/>
      <c r="D993" s="1"/>
      <c r="E993" s="16"/>
      <c r="F993" s="647"/>
      <c r="G993" s="645"/>
      <c r="H993" s="1"/>
      <c r="I993" s="16"/>
      <c r="J993" s="1"/>
      <c r="K993" s="16"/>
      <c r="L993" s="647"/>
      <c r="N993" s="305" t="b">
        <f>IF(' WP II-I-1.4'!L993=L993,TRUE)</f>
        <v>1</v>
      </c>
      <c r="T993" s="321"/>
      <c r="U993" s="321"/>
      <c r="V993" s="321"/>
      <c r="W993" s="321"/>
      <c r="X993" s="321"/>
      <c r="Y993" s="321"/>
    </row>
    <row r="994" spans="2:29" ht="15" x14ac:dyDescent="0.25">
      <c r="B994" s="16">
        <f t="shared" si="46"/>
        <v>3</v>
      </c>
      <c r="C994" s="8" t="s">
        <v>642</v>
      </c>
      <c r="D994" s="8"/>
      <c r="E994" s="831" t="s">
        <v>280</v>
      </c>
      <c r="F994" s="313"/>
      <c r="G994" s="1308"/>
      <c r="H994" s="313"/>
      <c r="I994" s="1308"/>
      <c r="J994" s="313"/>
      <c r="K994" s="1308"/>
      <c r="L994" s="811"/>
      <c r="N994" s="305" t="b">
        <f>IF(' WP II-I-1.4'!L994=L994,TRUE)</f>
        <v>1</v>
      </c>
      <c r="T994" s="321"/>
      <c r="U994" s="321"/>
      <c r="V994" s="321"/>
      <c r="W994" s="321"/>
      <c r="X994" s="321"/>
      <c r="Y994" s="321"/>
    </row>
    <row r="995" spans="2:29" s="321" customFormat="1" x14ac:dyDescent="0.2">
      <c r="B995" s="16">
        <f t="shared" si="46"/>
        <v>4</v>
      </c>
      <c r="C995" s="1" t="s">
        <v>25</v>
      </c>
      <c r="D995" s="1" t="s">
        <v>26</v>
      </c>
      <c r="E995" s="16"/>
      <c r="F995" s="646">
        <f>'II-I-DIST'!F995</f>
        <v>0</v>
      </c>
      <c r="G995" s="620" t="str">
        <f>'II-I-DIST'!H995</f>
        <v>PLT INT_N</v>
      </c>
      <c r="H995" s="97">
        <f>'II-I-MET'!F995</f>
        <v>0</v>
      </c>
      <c r="I995" s="45" t="str">
        <f>'II-I-MET'!H995</f>
        <v>PLT INT_N</v>
      </c>
      <c r="J995" s="98">
        <f>'II-I-TBILLTDCS'!F995</f>
        <v>0</v>
      </c>
      <c r="K995" s="45" t="str">
        <f>'II-I-TBILLTDCS'!H995</f>
        <v>PLT INT_N</v>
      </c>
      <c r="L995" s="802">
        <f>F995+H995+J995</f>
        <v>0</v>
      </c>
      <c r="M995" s="935"/>
      <c r="N995" s="305" t="b">
        <f>IF(' WP II-I-1.4'!L995=L995,TRUE)</f>
        <v>1</v>
      </c>
      <c r="R995"/>
      <c r="S995"/>
      <c r="Z995"/>
      <c r="AA995"/>
      <c r="AB995"/>
      <c r="AC995"/>
    </row>
    <row r="996" spans="2:29" s="321" customFormat="1" x14ac:dyDescent="0.2">
      <c r="B996" s="16">
        <f t="shared" si="46"/>
        <v>5</v>
      </c>
      <c r="C996" s="1" t="s">
        <v>27</v>
      </c>
      <c r="D996" s="1" t="s">
        <v>35</v>
      </c>
      <c r="E996" s="16"/>
      <c r="F996" s="646">
        <f>'II-I-DIST'!F996</f>
        <v>0</v>
      </c>
      <c r="G996" s="620" t="str">
        <f>'II-I-DIST'!H996</f>
        <v>PLT INT_N</v>
      </c>
      <c r="H996" s="97">
        <f>'II-I-MET'!F996</f>
        <v>0</v>
      </c>
      <c r="I996" s="45" t="str">
        <f>'II-I-MET'!H996</f>
        <v>PLT INT_N</v>
      </c>
      <c r="J996" s="98">
        <f>'II-I-TBILLTDCS'!F996</f>
        <v>0</v>
      </c>
      <c r="K996" s="45" t="str">
        <f>'II-I-TBILLTDCS'!H996</f>
        <v>PLT INT_N</v>
      </c>
      <c r="L996" s="802">
        <f>F996+H996+J996</f>
        <v>0</v>
      </c>
      <c r="M996" s="935"/>
      <c r="N996" s="305" t="b">
        <f>IF(' WP II-I-1.4'!L996=L996,TRUE)</f>
        <v>1</v>
      </c>
      <c r="R996"/>
      <c r="S996"/>
      <c r="Z996"/>
      <c r="AA996"/>
      <c r="AB996"/>
      <c r="AC996"/>
    </row>
    <row r="997" spans="2:29" s="321" customFormat="1" ht="42.75" x14ac:dyDescent="0.2">
      <c r="B997" s="16">
        <f t="shared" si="46"/>
        <v>6</v>
      </c>
      <c r="C997" s="1" t="s">
        <v>29</v>
      </c>
      <c r="D997" s="1" t="s">
        <v>32</v>
      </c>
      <c r="E997" s="16"/>
      <c r="F997" s="646">
        <f>'II-I-DIST'!F997</f>
        <v>620475.91</v>
      </c>
      <c r="G997" s="620" t="str">
        <f>'II-I-DIST'!H997</f>
        <v>PLT INT_N</v>
      </c>
      <c r="H997" s="97">
        <f>'II-I-MET'!F997</f>
        <v>23278.12</v>
      </c>
      <c r="I997" s="45" t="str">
        <f>'II-I-MET'!H997</f>
        <v>PLT INT_N</v>
      </c>
      <c r="J997" s="98">
        <f>'II-I-TBILLTDCS'!F997</f>
        <v>10429.510000005943</v>
      </c>
      <c r="K997" s="45" t="str">
        <f>'II-I-TBILLTDCS'!H997</f>
        <v>PLT INT_N</v>
      </c>
      <c r="L997" s="802">
        <f>F997+H997+J997</f>
        <v>654183.54000000597</v>
      </c>
      <c r="M997" s="935" t="s">
        <v>1028</v>
      </c>
      <c r="N997" s="305" t="b">
        <f>IF(' WP II-I-1.4'!L997=L997,TRUE)</f>
        <v>1</v>
      </c>
      <c r="R997"/>
      <c r="S997"/>
      <c r="Z997"/>
      <c r="AA997"/>
      <c r="AB997"/>
      <c r="AC997"/>
    </row>
    <row r="998" spans="2:29" ht="15" x14ac:dyDescent="0.25">
      <c r="B998" s="16">
        <f t="shared" si="46"/>
        <v>7</v>
      </c>
      <c r="C998" s="805"/>
      <c r="D998" s="825" t="s">
        <v>444</v>
      </c>
      <c r="E998" s="805"/>
      <c r="F998" s="805">
        <f>'II-I-DIST'!F998</f>
        <v>620475.91</v>
      </c>
      <c r="G998" s="805">
        <f>'II-I-DIST'!H998</f>
        <v>0</v>
      </c>
      <c r="H998" s="805">
        <f>'II-I-MET'!F998</f>
        <v>23278.12</v>
      </c>
      <c r="I998" s="805">
        <f>'II-I-MET'!H998</f>
        <v>0</v>
      </c>
      <c r="J998" s="805">
        <f>'II-I-TBILLTDCS'!F998</f>
        <v>10429.510000005943</v>
      </c>
      <c r="K998" s="805">
        <f>'II-I-TBILLTDCS'!H998</f>
        <v>0</v>
      </c>
      <c r="L998" s="805">
        <f>F998+H998+J998</f>
        <v>654183.54000000597</v>
      </c>
      <c r="N998" s="305" t="b">
        <f>IF(' WP II-I-1.4'!L998=L998,TRUE)</f>
        <v>1</v>
      </c>
      <c r="T998" s="321"/>
      <c r="U998" s="321"/>
      <c r="V998" s="321"/>
      <c r="W998" s="321"/>
      <c r="X998" s="321"/>
    </row>
    <row r="999" spans="2:29" x14ac:dyDescent="0.2">
      <c r="B999" s="16">
        <f t="shared" si="46"/>
        <v>8</v>
      </c>
      <c r="C999" s="1"/>
      <c r="D999" s="1"/>
      <c r="E999" s="16"/>
      <c r="F999" s="803">
        <f>'II-I-DIST'!F999</f>
        <v>0</v>
      </c>
      <c r="G999" s="645"/>
      <c r="H999" s="18">
        <f>'II-I-MET'!F999</f>
        <v>0</v>
      </c>
      <c r="I999" s="16"/>
      <c r="J999" s="18">
        <f>'II-I-TBILLTDCS'!F999</f>
        <v>0</v>
      </c>
      <c r="K999" s="16"/>
      <c r="L999" s="803"/>
      <c r="M999" s="937"/>
      <c r="N999" s="305"/>
      <c r="T999" s="321"/>
      <c r="U999" s="321"/>
      <c r="V999" s="321"/>
      <c r="W999" s="321"/>
      <c r="X999" s="321"/>
    </row>
    <row r="1000" spans="2:29" ht="15" x14ac:dyDescent="0.25">
      <c r="B1000" s="16">
        <f t="shared" si="46"/>
        <v>9</v>
      </c>
      <c r="C1000" s="8" t="s">
        <v>643</v>
      </c>
      <c r="D1000" s="8"/>
      <c r="E1000" s="831" t="s">
        <v>280</v>
      </c>
      <c r="F1000" s="805">
        <f>'II-I-DIST'!F1000</f>
        <v>0</v>
      </c>
      <c r="G1000" s="1308"/>
      <c r="H1000" s="805">
        <f>'II-I-MET'!F1000</f>
        <v>0</v>
      </c>
      <c r="I1000" s="1308"/>
      <c r="J1000" s="805">
        <f>'II-I-TBILLTDCS'!F1000</f>
        <v>0</v>
      </c>
      <c r="K1000" s="1308"/>
      <c r="L1000" s="805"/>
      <c r="M1000" s="937"/>
      <c r="N1000" s="305"/>
      <c r="T1000" s="321"/>
      <c r="U1000" s="321"/>
      <c r="V1000" s="321"/>
      <c r="W1000" s="321"/>
      <c r="X1000" s="321"/>
    </row>
    <row r="1001" spans="2:29" s="321" customFormat="1" x14ac:dyDescent="0.2">
      <c r="B1001" s="16">
        <f t="shared" si="46"/>
        <v>10</v>
      </c>
      <c r="C1001" s="1" t="s">
        <v>39</v>
      </c>
      <c r="D1001" s="1" t="s">
        <v>40</v>
      </c>
      <c r="E1001" s="16"/>
      <c r="F1001" s="646">
        <f>'II-I-DIST'!F1001</f>
        <v>0</v>
      </c>
      <c r="G1001" s="620" t="str">
        <f>'II-I-DIST'!H1001</f>
        <v>PLTTRAN_N</v>
      </c>
      <c r="H1001" s="97">
        <f>'II-I-MET'!F1001</f>
        <v>0</v>
      </c>
      <c r="I1001" s="45" t="str">
        <f>'II-I-MET'!H1001</f>
        <v>PLTTRAN_N</v>
      </c>
      <c r="J1001" s="98">
        <f>'II-I-TBILLTDCS'!F1001</f>
        <v>0</v>
      </c>
      <c r="K1001" s="45" t="str">
        <f>'II-I-TBILLTDCS'!H1001</f>
        <v>PLTTRAN_N</v>
      </c>
      <c r="L1001" s="802">
        <f t="shared" ref="L1001:L1011" si="47">F1001+H1001+J1001</f>
        <v>0</v>
      </c>
      <c r="M1001" s="937"/>
      <c r="N1001" s="305"/>
      <c r="R1001"/>
      <c r="S1001"/>
      <c r="Z1001"/>
      <c r="AA1001"/>
      <c r="AB1001"/>
      <c r="AC1001"/>
    </row>
    <row r="1002" spans="2:29" s="321" customFormat="1" ht="28.5" x14ac:dyDescent="0.2">
      <c r="B1002" s="16">
        <f t="shared" si="46"/>
        <v>11</v>
      </c>
      <c r="C1002" s="1" t="s">
        <v>1229</v>
      </c>
      <c r="D1002" s="1" t="s">
        <v>1230</v>
      </c>
      <c r="E1002" s="16"/>
      <c r="F1002" s="668">
        <f>'II-I-DIST'!F1002</f>
        <v>0</v>
      </c>
      <c r="G1002" s="620" t="str">
        <f>'II-I-DIST'!H1002</f>
        <v>PLTTRAN_N</v>
      </c>
      <c r="H1002" s="229">
        <f>'II-I-MET'!F1002</f>
        <v>0</v>
      </c>
      <c r="I1002" s="45" t="str">
        <f>'II-I-MET'!H1002</f>
        <v>PLTTRAN_N</v>
      </c>
      <c r="J1002" s="23">
        <f>'II-I-TBILLTDCS'!F1002</f>
        <v>0</v>
      </c>
      <c r="K1002" s="45" t="str">
        <f>'II-I-TBILLTDCS'!H1002</f>
        <v>PLTTRAN_N</v>
      </c>
      <c r="L1002" s="802">
        <f t="shared" si="47"/>
        <v>0</v>
      </c>
      <c r="M1002" s="1475" t="s">
        <v>1341</v>
      </c>
      <c r="N1002" s="305" t="b">
        <f>IF(' WP II-I-1.4'!L1002=L1002,TRUE)</f>
        <v>1</v>
      </c>
      <c r="R1002"/>
      <c r="S1002"/>
      <c r="Z1002"/>
      <c r="AA1002"/>
      <c r="AB1002"/>
      <c r="AC1002"/>
    </row>
    <row r="1003" spans="2:29" s="321" customFormat="1" ht="28.5" x14ac:dyDescent="0.2">
      <c r="B1003" s="16">
        <f t="shared" si="46"/>
        <v>12</v>
      </c>
      <c r="C1003" s="1" t="s">
        <v>1231</v>
      </c>
      <c r="D1003" s="1" t="s">
        <v>1232</v>
      </c>
      <c r="E1003" s="16"/>
      <c r="F1003" s="668">
        <f>'II-I-DIST'!F1003</f>
        <v>0</v>
      </c>
      <c r="G1003" s="620" t="str">
        <f>'II-I-DIST'!H1003</f>
        <v>PLTTRAN_N</v>
      </c>
      <c r="H1003" s="229">
        <f>'II-I-MET'!F1003</f>
        <v>0</v>
      </c>
      <c r="I1003" s="45" t="str">
        <f>'II-I-MET'!H1003</f>
        <v>PLTTRAN_N</v>
      </c>
      <c r="J1003" s="23">
        <f>'II-I-TBILLTDCS'!F1003</f>
        <v>0</v>
      </c>
      <c r="K1003" s="45" t="str">
        <f>'II-I-TBILLTDCS'!H1003</f>
        <v>PLTTRAN_N</v>
      </c>
      <c r="L1003" s="802">
        <f t="shared" si="47"/>
        <v>0</v>
      </c>
      <c r="M1003" s="1475" t="s">
        <v>1342</v>
      </c>
      <c r="N1003" s="305" t="b">
        <f>IF(' WP II-I-1.4'!L1003=L1003,TRUE)</f>
        <v>1</v>
      </c>
      <c r="R1003"/>
      <c r="S1003"/>
      <c r="Z1003"/>
      <c r="AA1003"/>
      <c r="AB1003"/>
      <c r="AC1003"/>
    </row>
    <row r="1004" spans="2:29" s="321" customFormat="1" ht="28.5" x14ac:dyDescent="0.2">
      <c r="B1004" s="16">
        <f t="shared" si="46"/>
        <v>13</v>
      </c>
      <c r="C1004" s="1" t="s">
        <v>1233</v>
      </c>
      <c r="D1004" s="1" t="s">
        <v>103</v>
      </c>
      <c r="E1004" s="16"/>
      <c r="F1004" s="668">
        <f>'II-I-DIST'!F1004</f>
        <v>0</v>
      </c>
      <c r="G1004" s="620" t="str">
        <f>'II-I-DIST'!H1004</f>
        <v>PLTTRAN_N</v>
      </c>
      <c r="H1004" s="229">
        <f>'II-I-MET'!F1004</f>
        <v>0</v>
      </c>
      <c r="I1004" s="45" t="str">
        <f>'II-I-MET'!H1004</f>
        <v>PLTTRAN_N</v>
      </c>
      <c r="J1004" s="23">
        <f>'II-I-TBILLTDCS'!F1004</f>
        <v>0</v>
      </c>
      <c r="K1004" s="45" t="str">
        <f>'II-I-TBILLTDCS'!H1004</f>
        <v>PLTTRAN_N</v>
      </c>
      <c r="L1004" s="802">
        <f t="shared" si="47"/>
        <v>0</v>
      </c>
      <c r="M1004" s="1475" t="s">
        <v>1343</v>
      </c>
      <c r="N1004" s="305" t="b">
        <f>IF(' WP II-I-1.4'!L1004=L1004,TRUE)</f>
        <v>1</v>
      </c>
      <c r="R1004"/>
      <c r="S1004"/>
      <c r="Z1004"/>
      <c r="AA1004"/>
      <c r="AB1004"/>
      <c r="AC1004"/>
    </row>
    <row r="1005" spans="2:29" s="321" customFormat="1" ht="42.75" x14ac:dyDescent="0.2">
      <c r="B1005" s="16">
        <f t="shared" si="46"/>
        <v>14</v>
      </c>
      <c r="C1005" s="1" t="s">
        <v>41</v>
      </c>
      <c r="D1005" s="1" t="s">
        <v>42</v>
      </c>
      <c r="E1005" s="16"/>
      <c r="F1005" s="646">
        <f>'II-I-DIST'!F1005</f>
        <v>0</v>
      </c>
      <c r="G1005" s="620" t="str">
        <f>'II-I-DIST'!H1005</f>
        <v>PLTTRAN_N</v>
      </c>
      <c r="H1005" s="97">
        <f>'II-I-MET'!F1005</f>
        <v>0</v>
      </c>
      <c r="I1005" s="45" t="str">
        <f>'II-I-MET'!H1005</f>
        <v>NCP XHV</v>
      </c>
      <c r="J1005" s="98">
        <f>'II-I-TBILLTDCS'!F1005</f>
        <v>0</v>
      </c>
      <c r="K1005" s="45" t="str">
        <f>'II-I-TBILLTDCS'!H1005</f>
        <v>PLTTRAN_N</v>
      </c>
      <c r="L1005" s="802">
        <f t="shared" si="47"/>
        <v>0</v>
      </c>
      <c r="M1005" s="952" t="s">
        <v>1111</v>
      </c>
      <c r="N1005" s="305" t="b">
        <f>IF(' WP II-I-1.4'!L1005=L1005,TRUE)</f>
        <v>1</v>
      </c>
      <c r="R1005"/>
      <c r="S1005"/>
      <c r="Z1005"/>
      <c r="AA1005"/>
      <c r="AB1005"/>
      <c r="AC1005"/>
    </row>
    <row r="1006" spans="2:29" s="321" customFormat="1" ht="28.5" x14ac:dyDescent="0.2">
      <c r="B1006" s="16">
        <f t="shared" si="46"/>
        <v>15</v>
      </c>
      <c r="C1006" s="1" t="s">
        <v>43</v>
      </c>
      <c r="D1006" s="1" t="s">
        <v>44</v>
      </c>
      <c r="E1006" s="16"/>
      <c r="F1006" s="646">
        <f>'II-I-DIST'!F1006</f>
        <v>11435177.9</v>
      </c>
      <c r="G1006" s="620" t="str">
        <f>'II-I-DIST'!H1006</f>
        <v>NCP XHV</v>
      </c>
      <c r="H1006" s="97">
        <f>'II-I-MET'!F1006</f>
        <v>0</v>
      </c>
      <c r="I1006" s="45" t="str">
        <f>'II-I-MET'!H1006</f>
        <v>NCP XHV</v>
      </c>
      <c r="J1006" s="98">
        <f>'II-I-TBILLTDCS'!F1006</f>
        <v>0</v>
      </c>
      <c r="K1006" s="45" t="str">
        <f>'II-I-TBILLTDCS'!H1006</f>
        <v>PLTTRAN_N</v>
      </c>
      <c r="L1006" s="802">
        <f t="shared" si="47"/>
        <v>11435177.9</v>
      </c>
      <c r="M1006" s="952" t="s">
        <v>1112</v>
      </c>
      <c r="N1006" s="305" t="b">
        <f>IF(' WP II-I-1.4'!L1006=L1006,TRUE)</f>
        <v>1</v>
      </c>
      <c r="R1006"/>
      <c r="S1006"/>
      <c r="Z1006"/>
      <c r="AA1006"/>
      <c r="AB1006"/>
      <c r="AC1006"/>
    </row>
    <row r="1007" spans="2:29" s="321" customFormat="1" x14ac:dyDescent="0.2">
      <c r="B1007" s="16">
        <f t="shared" si="46"/>
        <v>16</v>
      </c>
      <c r="C1007" s="1" t="s">
        <v>45</v>
      </c>
      <c r="D1007" s="1" t="s">
        <v>46</v>
      </c>
      <c r="E1007" s="16"/>
      <c r="F1007" s="646">
        <f>'II-I-DIST'!F1007</f>
        <v>0</v>
      </c>
      <c r="G1007" s="620" t="str">
        <f>'II-I-DIST'!H1007</f>
        <v>PLTTRAN_N</v>
      </c>
      <c r="H1007" s="97">
        <f>'II-I-MET'!F1007</f>
        <v>0</v>
      </c>
      <c r="I1007" s="45" t="str">
        <f>'II-I-MET'!H1007</f>
        <v>PLTTRAN_N</v>
      </c>
      <c r="J1007" s="98">
        <f>'II-I-TBILLTDCS'!F1007</f>
        <v>0</v>
      </c>
      <c r="K1007" s="45" t="str">
        <f>'II-I-TBILLTDCS'!H1007</f>
        <v>PLTTRAN_N</v>
      </c>
      <c r="L1007" s="802">
        <f t="shared" si="47"/>
        <v>0</v>
      </c>
      <c r="M1007" s="937"/>
      <c r="N1007" s="305" t="b">
        <f>IF(' WP II-I-1.4'!L1007=L1007,TRUE)</f>
        <v>1</v>
      </c>
      <c r="R1007"/>
      <c r="S1007"/>
      <c r="T1007"/>
      <c r="U1007"/>
      <c r="V1007"/>
      <c r="W1007"/>
      <c r="Z1007"/>
      <c r="AA1007"/>
      <c r="AB1007"/>
      <c r="AC1007"/>
    </row>
    <row r="1008" spans="2:29" s="321" customFormat="1" x14ac:dyDescent="0.2">
      <c r="B1008" s="16">
        <f t="shared" si="46"/>
        <v>17</v>
      </c>
      <c r="C1008" s="1" t="s">
        <v>47</v>
      </c>
      <c r="D1008" s="1" t="s">
        <v>48</v>
      </c>
      <c r="E1008" s="16"/>
      <c r="F1008" s="646">
        <f>'II-I-DIST'!F1008</f>
        <v>0</v>
      </c>
      <c r="G1008" s="620" t="str">
        <f>'II-I-DIST'!H1008</f>
        <v>PLTTRAN_N</v>
      </c>
      <c r="H1008" s="97">
        <f>'II-I-MET'!F1008</f>
        <v>0</v>
      </c>
      <c r="I1008" s="45" t="str">
        <f>'II-I-MET'!H1008</f>
        <v>PLTTRAN_N</v>
      </c>
      <c r="J1008" s="98">
        <f>'II-I-TBILLTDCS'!F1008</f>
        <v>0</v>
      </c>
      <c r="K1008" s="45" t="str">
        <f>'II-I-TBILLTDCS'!H1008</f>
        <v>PLTTRAN_N</v>
      </c>
      <c r="L1008" s="802">
        <f t="shared" si="47"/>
        <v>0</v>
      </c>
      <c r="M1008" s="937"/>
      <c r="N1008" s="305" t="b">
        <f>IF(' WP II-I-1.4'!L1008=L1008,TRUE)</f>
        <v>1</v>
      </c>
      <c r="R1008"/>
      <c r="S1008"/>
      <c r="T1008"/>
      <c r="U1008"/>
      <c r="V1008"/>
      <c r="W1008"/>
      <c r="Z1008"/>
      <c r="AA1008"/>
      <c r="AB1008"/>
      <c r="AC1008"/>
    </row>
    <row r="1009" spans="2:35" s="321" customFormat="1" x14ac:dyDescent="0.2">
      <c r="B1009" s="16">
        <f t="shared" si="46"/>
        <v>18</v>
      </c>
      <c r="C1009" s="1" t="s">
        <v>49</v>
      </c>
      <c r="D1009" s="1" t="s">
        <v>486</v>
      </c>
      <c r="E1009" s="16"/>
      <c r="F1009" s="646">
        <f>'II-I-DIST'!F1009</f>
        <v>0</v>
      </c>
      <c r="G1009" s="620" t="str">
        <f>'II-I-DIST'!H1009</f>
        <v>PLTTRAN_N</v>
      </c>
      <c r="H1009" s="97">
        <f>'II-I-MET'!F1009</f>
        <v>0</v>
      </c>
      <c r="I1009" s="45" t="str">
        <f>'II-I-MET'!H1009</f>
        <v>PLTTRAN_N</v>
      </c>
      <c r="J1009" s="98">
        <f>'II-I-TBILLTDCS'!F1009</f>
        <v>0</v>
      </c>
      <c r="K1009" s="45" t="str">
        <f>'II-I-TBILLTDCS'!H1009</f>
        <v>PLTTRAN_N</v>
      </c>
      <c r="L1009" s="802">
        <f t="shared" si="47"/>
        <v>0</v>
      </c>
      <c r="M1009" s="937"/>
      <c r="N1009" s="305" t="b">
        <f>IF(' WP II-I-1.4'!L1009=L1009,TRUE)</f>
        <v>1</v>
      </c>
      <c r="R1009"/>
      <c r="S1009"/>
      <c r="T1009"/>
      <c r="U1009"/>
      <c r="V1009"/>
      <c r="W1009"/>
      <c r="Z1009"/>
      <c r="AA1009"/>
      <c r="AB1009"/>
      <c r="AC1009"/>
    </row>
    <row r="1010" spans="2:35" s="321" customFormat="1" x14ac:dyDescent="0.2">
      <c r="B1010" s="16">
        <f t="shared" si="46"/>
        <v>19</v>
      </c>
      <c r="C1010" s="1" t="s">
        <v>51</v>
      </c>
      <c r="D1010" s="1" t="s">
        <v>644</v>
      </c>
      <c r="E1010" s="16"/>
      <c r="F1010" s="646">
        <f>'II-I-DIST'!F1010</f>
        <v>0</v>
      </c>
      <c r="G1010" s="620" t="str">
        <f>'II-I-DIST'!H1010</f>
        <v>PLTTRAN_N</v>
      </c>
      <c r="H1010" s="97">
        <f>'II-I-MET'!F1010</f>
        <v>0</v>
      </c>
      <c r="I1010" s="45" t="str">
        <f>'II-I-MET'!H1010</f>
        <v>PLTTRAN_N</v>
      </c>
      <c r="J1010" s="98">
        <f>'II-I-TBILLTDCS'!F1010</f>
        <v>0</v>
      </c>
      <c r="K1010" s="45" t="str">
        <f>'II-I-TBILLTDCS'!H1010</f>
        <v>PLTTRAN_N</v>
      </c>
      <c r="L1010" s="802">
        <f t="shared" si="47"/>
        <v>0</v>
      </c>
      <c r="M1010" s="937"/>
      <c r="N1010" s="305" t="b">
        <f>IF(' WP II-I-1.4'!L1010=L1010,TRUE)</f>
        <v>1</v>
      </c>
      <c r="R1010"/>
      <c r="S1010"/>
      <c r="T1010"/>
      <c r="U1010"/>
      <c r="V1010"/>
      <c r="W1010"/>
      <c r="X1010"/>
      <c r="Z1010"/>
      <c r="AA1010"/>
      <c r="AB1010"/>
      <c r="AC1010"/>
      <c r="AD1010"/>
      <c r="AE1010"/>
      <c r="AF1010"/>
      <c r="AG1010"/>
      <c r="AH1010"/>
      <c r="AI1010"/>
    </row>
    <row r="1011" spans="2:35" s="321" customFormat="1" x14ac:dyDescent="0.2">
      <c r="B1011" s="16">
        <f t="shared" si="46"/>
        <v>20</v>
      </c>
      <c r="C1011" s="1" t="s">
        <v>53</v>
      </c>
      <c r="D1011" s="29" t="s">
        <v>487</v>
      </c>
      <c r="E1011" s="16"/>
      <c r="F1011" s="646">
        <f>'II-I-DIST'!F1011</f>
        <v>0</v>
      </c>
      <c r="G1011" s="620" t="str">
        <f>'II-I-DIST'!H1011</f>
        <v>PLTTRAN_N</v>
      </c>
      <c r="H1011" s="97">
        <f>'II-I-MET'!F1011</f>
        <v>0</v>
      </c>
      <c r="I1011" s="45" t="str">
        <f>'II-I-MET'!H1011</f>
        <v>PLTTRAN_N</v>
      </c>
      <c r="J1011" s="98">
        <f>'II-I-TBILLTDCS'!F1011</f>
        <v>0</v>
      </c>
      <c r="K1011" s="45" t="str">
        <f>'II-I-TBILLTDCS'!H1011</f>
        <v>PLTTRAN_N</v>
      </c>
      <c r="L1011" s="802">
        <f t="shared" si="47"/>
        <v>0</v>
      </c>
      <c r="M1011" s="937"/>
      <c r="N1011" s="305" t="b">
        <f>IF(' WP II-I-1.4'!L1011=L1011,TRUE)</f>
        <v>1</v>
      </c>
      <c r="R1011"/>
      <c r="S1011"/>
      <c r="T1011"/>
      <c r="U1011"/>
      <c r="V1011"/>
      <c r="W1011"/>
      <c r="X1011"/>
      <c r="Z1011"/>
      <c r="AA1011"/>
      <c r="AB1011"/>
      <c r="AC1011"/>
      <c r="AD1011"/>
      <c r="AE1011"/>
      <c r="AF1011"/>
      <c r="AG1011"/>
      <c r="AH1011"/>
      <c r="AI1011"/>
    </row>
    <row r="1012" spans="2:35" s="321" customFormat="1" x14ac:dyDescent="0.2">
      <c r="B1012" s="16">
        <f t="shared" si="46"/>
        <v>21</v>
      </c>
      <c r="C1012" s="1" t="s">
        <v>55</v>
      </c>
      <c r="D1012" s="1" t="s">
        <v>56</v>
      </c>
      <c r="E1012" s="16"/>
      <c r="F1012" s="646">
        <f>'II-I-DIST'!F1012</f>
        <v>0</v>
      </c>
      <c r="G1012" s="620" t="str">
        <f>'II-I-DIST'!H1012</f>
        <v>PLTTRAN_N</v>
      </c>
      <c r="H1012" s="97">
        <f>'II-I-MET'!F1012</f>
        <v>0</v>
      </c>
      <c r="I1012" s="45" t="str">
        <f>'II-I-MET'!H1012</f>
        <v>PLTTRAN_N</v>
      </c>
      <c r="J1012" s="98">
        <f>'II-I-TBILLTDCS'!F1012</f>
        <v>0</v>
      </c>
      <c r="K1012" s="45" t="str">
        <f>'II-I-TBILLTDCS'!H1012</f>
        <v>PLTTRAN_N</v>
      </c>
      <c r="L1012" s="802">
        <f t="shared" ref="L1012:L1070" si="48">F1012+H1012+J1012</f>
        <v>0</v>
      </c>
      <c r="M1012" s="937"/>
      <c r="N1012" s="305" t="b">
        <f>IF(' WP II-I-1.4'!L1012=L1012,TRUE)</f>
        <v>1</v>
      </c>
      <c r="R1012"/>
      <c r="S1012"/>
      <c r="T1012"/>
      <c r="U1012"/>
      <c r="V1012"/>
      <c r="W1012"/>
      <c r="X1012"/>
      <c r="Z1012"/>
      <c r="AA1012"/>
      <c r="AB1012"/>
      <c r="AC1012"/>
      <c r="AD1012"/>
      <c r="AE1012"/>
      <c r="AF1012"/>
      <c r="AG1012"/>
      <c r="AH1012"/>
      <c r="AI1012"/>
    </row>
    <row r="1013" spans="2:35" ht="15" x14ac:dyDescent="0.25">
      <c r="B1013" s="16">
        <f t="shared" si="46"/>
        <v>22</v>
      </c>
      <c r="C1013" s="8"/>
      <c r="D1013" s="233" t="s">
        <v>444</v>
      </c>
      <c r="E1013" s="831"/>
      <c r="F1013" s="805">
        <f>'II-I-DIST'!F1013</f>
        <v>11435177.9</v>
      </c>
      <c r="G1013" s="1308"/>
      <c r="H1013" s="805">
        <f>'II-I-MET'!F1013</f>
        <v>0</v>
      </c>
      <c r="I1013" s="1308"/>
      <c r="J1013" s="805">
        <f>'II-I-TBILLTDCS'!F1013</f>
        <v>0</v>
      </c>
      <c r="K1013" s="1308"/>
      <c r="L1013" s="805">
        <f t="shared" si="48"/>
        <v>11435177.9</v>
      </c>
      <c r="M1013" s="937"/>
      <c r="N1013" s="305" t="b">
        <f>IF(' WP II-I-1.4'!L1013=L1013,TRUE)</f>
        <v>1</v>
      </c>
      <c r="Y1013" s="321"/>
      <c r="AD1013" s="321"/>
      <c r="AE1013" s="321"/>
      <c r="AF1013" s="321"/>
      <c r="AG1013" s="321"/>
      <c r="AH1013" s="321"/>
      <c r="AI1013" s="321"/>
    </row>
    <row r="1014" spans="2:35" x14ac:dyDescent="0.2">
      <c r="B1014" s="16">
        <f t="shared" si="46"/>
        <v>23</v>
      </c>
      <c r="C1014" s="1"/>
      <c r="D1014" s="1"/>
      <c r="E1014" s="16"/>
      <c r="F1014" s="803">
        <f>'II-I-DIST'!F1014</f>
        <v>0</v>
      </c>
      <c r="G1014" s="645"/>
      <c r="H1014" s="18">
        <f>'II-I-MET'!F1014</f>
        <v>0</v>
      </c>
      <c r="I1014" s="16"/>
      <c r="J1014" s="18">
        <f>'II-I-TBILLTDCS'!F1014</f>
        <v>0</v>
      </c>
      <c r="K1014" s="16"/>
      <c r="L1014" s="803"/>
      <c r="M1014" s="937"/>
      <c r="N1014" s="305"/>
      <c r="Y1014" s="321"/>
      <c r="AD1014" s="321"/>
      <c r="AE1014" s="321"/>
      <c r="AF1014" s="321"/>
      <c r="AG1014" s="321"/>
      <c r="AH1014" s="321"/>
      <c r="AI1014" s="321"/>
    </row>
    <row r="1015" spans="2:35" ht="15" x14ac:dyDescent="0.25">
      <c r="B1015" s="16">
        <f t="shared" si="46"/>
        <v>24</v>
      </c>
      <c r="C1015" s="8" t="s">
        <v>645</v>
      </c>
      <c r="D1015" s="8"/>
      <c r="E1015" s="831" t="s">
        <v>280</v>
      </c>
      <c r="F1015" s="805">
        <f>'II-I-DIST'!F1015</f>
        <v>0</v>
      </c>
      <c r="G1015" s="1308"/>
      <c r="H1015" s="805">
        <f>'II-I-MET'!F1015</f>
        <v>0</v>
      </c>
      <c r="I1015" s="1308"/>
      <c r="J1015" s="805">
        <f>'II-I-TBILLTDCS'!F1015</f>
        <v>0</v>
      </c>
      <c r="K1015" s="1308"/>
      <c r="L1015" s="805"/>
      <c r="M1015" s="937"/>
      <c r="N1015" s="305"/>
      <c r="Y1015" s="321"/>
      <c r="AD1015" s="321"/>
      <c r="AE1015" s="321"/>
      <c r="AF1015" s="321"/>
      <c r="AG1015" s="321"/>
      <c r="AH1015" s="321"/>
      <c r="AI1015" s="321"/>
    </row>
    <row r="1016" spans="2:35" s="321" customFormat="1" ht="42.75" x14ac:dyDescent="0.2">
      <c r="B1016" s="16">
        <f t="shared" si="46"/>
        <v>25</v>
      </c>
      <c r="C1016" s="1" t="s">
        <v>59</v>
      </c>
      <c r="D1016" s="1" t="s">
        <v>40</v>
      </c>
      <c r="E1016" s="16"/>
      <c r="F1016" s="646">
        <f>'II-I-DIST'!F1016</f>
        <v>360797.93</v>
      </c>
      <c r="G1016" s="620" t="str">
        <f>'II-I-DIST'!H1016</f>
        <v>PLT 362-373</v>
      </c>
      <c r="H1016" s="97">
        <f>'II-I-MET'!F1016</f>
        <v>0</v>
      </c>
      <c r="I1016" s="45" t="str">
        <f>'II-I-MET'!H1016</f>
        <v>PLT 362-373</v>
      </c>
      <c r="J1016" s="98">
        <f>'II-I-TBILLTDCS'!F1016</f>
        <v>0</v>
      </c>
      <c r="K1016" s="45" t="str">
        <f>'II-I-TBILLTDCS'!H1016</f>
        <v>PLT 362-373</v>
      </c>
      <c r="L1016" s="802">
        <f t="shared" si="48"/>
        <v>360797.93</v>
      </c>
      <c r="M1016" s="937" t="s">
        <v>1029</v>
      </c>
      <c r="N1016" s="305" t="b">
        <f>IF(' WP II-I-1.4'!L1016=L1016,TRUE)</f>
        <v>1</v>
      </c>
      <c r="R1016"/>
      <c r="S1016"/>
      <c r="T1016"/>
      <c r="U1016"/>
      <c r="V1016"/>
      <c r="W1016"/>
      <c r="X1016"/>
      <c r="Z1016"/>
      <c r="AA1016"/>
      <c r="AB1016"/>
      <c r="AC1016"/>
    </row>
    <row r="1017" spans="2:35" s="321" customFormat="1" ht="42.75" x14ac:dyDescent="0.2">
      <c r="B1017" s="16">
        <f t="shared" si="46"/>
        <v>26</v>
      </c>
      <c r="C1017" s="1" t="s">
        <v>60</v>
      </c>
      <c r="D1017" s="29" t="s">
        <v>42</v>
      </c>
      <c r="E1017" s="16"/>
      <c r="F1017" s="646">
        <f>'II-I-DIST'!F1017</f>
        <v>5614303.75</v>
      </c>
      <c r="G1017" s="620" t="str">
        <f>'II-I-DIST'!H1017</f>
        <v>PLT 361</v>
      </c>
      <c r="H1017" s="97">
        <f>'II-I-MET'!F1017</f>
        <v>0</v>
      </c>
      <c r="I1017" s="45" t="str">
        <f>'II-I-MET'!H1017</f>
        <v>PLT 361</v>
      </c>
      <c r="J1017" s="98">
        <f>'II-I-TBILLTDCS'!F1017</f>
        <v>0</v>
      </c>
      <c r="K1017" s="45" t="str">
        <f>'II-I-TBILLTDCS'!H1017</f>
        <v>PLT 361</v>
      </c>
      <c r="L1017" s="802">
        <f t="shared" si="48"/>
        <v>5614303.75</v>
      </c>
      <c r="M1017" s="937" t="s">
        <v>1005</v>
      </c>
      <c r="N1017" s="305" t="b">
        <f>IF(' WP II-I-1.4'!L1017=L1017,TRUE)</f>
        <v>1</v>
      </c>
      <c r="R1017"/>
      <c r="S1017"/>
      <c r="T1017"/>
      <c r="U1017"/>
      <c r="V1017"/>
      <c r="W1017"/>
      <c r="X1017"/>
      <c r="Z1017"/>
      <c r="AA1017"/>
      <c r="AB1017"/>
      <c r="AC1017"/>
    </row>
    <row r="1018" spans="2:35" s="321" customFormat="1" ht="42.75" x14ac:dyDescent="0.2">
      <c r="B1018" s="16">
        <f t="shared" si="46"/>
        <v>27</v>
      </c>
      <c r="C1018" s="1" t="s">
        <v>61</v>
      </c>
      <c r="D1018" s="1" t="s">
        <v>44</v>
      </c>
      <c r="E1018" s="16"/>
      <c r="F1018" s="646">
        <f>'II-I-DIST'!F1018</f>
        <v>58018119.409999996</v>
      </c>
      <c r="G1018" s="620" t="str">
        <f>'II-I-DIST'!H1018</f>
        <v>PLT 362</v>
      </c>
      <c r="H1018" s="97">
        <f>'II-I-MET'!F1018</f>
        <v>0</v>
      </c>
      <c r="I1018" s="45" t="str">
        <f>'II-I-MET'!H1018</f>
        <v>PLT 362</v>
      </c>
      <c r="J1018" s="98">
        <f>'II-I-TBILLTDCS'!F1018</f>
        <v>0</v>
      </c>
      <c r="K1018" s="45" t="str">
        <f>'II-I-TBILLTDCS'!H1018</f>
        <v>PLT 362</v>
      </c>
      <c r="L1018" s="802">
        <f t="shared" si="48"/>
        <v>58018119.409999996</v>
      </c>
      <c r="M1018" s="937" t="s">
        <v>1006</v>
      </c>
      <c r="N1018" s="305" t="b">
        <f>IF(' WP II-I-1.4'!L1018=L1018,TRUE)</f>
        <v>1</v>
      </c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35" s="321" customFormat="1" ht="30" customHeight="1" x14ac:dyDescent="0.2">
      <c r="B1019" s="16">
        <f t="shared" si="46"/>
        <v>28</v>
      </c>
      <c r="C1019" s="1" t="s">
        <v>1234</v>
      </c>
      <c r="D1019" s="1" t="s">
        <v>1230</v>
      </c>
      <c r="E1019" s="16"/>
      <c r="F1019" s="668">
        <f>'II-I-DIST'!F1019</f>
        <v>0</v>
      </c>
      <c r="G1019" s="620" t="str">
        <f>'II-I-DIST'!H1019</f>
        <v>PLTDIST_N</v>
      </c>
      <c r="H1019" s="229">
        <f>'II-I-MET'!F1019</f>
        <v>0</v>
      </c>
      <c r="I1019" s="45" t="str">
        <f>'II-I-MET'!H1019</f>
        <v>PLTDIST_N</v>
      </c>
      <c r="J1019" s="23">
        <f>'II-I-TBILLTDCS'!F1019</f>
        <v>0</v>
      </c>
      <c r="K1019" s="45" t="str">
        <f>'II-I-TBILLTDCS'!H1019</f>
        <v>PLTDIST_N</v>
      </c>
      <c r="L1019" s="802">
        <f t="shared" si="48"/>
        <v>0</v>
      </c>
      <c r="M1019" s="1475" t="s">
        <v>1345</v>
      </c>
      <c r="N1019" s="751" t="b">
        <f>IF(' WP II-I-1.4'!L1019=L1019,TRUE)</f>
        <v>1</v>
      </c>
    </row>
    <row r="1020" spans="2:35" s="321" customFormat="1" ht="28.5" x14ac:dyDescent="0.2">
      <c r="B1020" s="16">
        <f t="shared" si="46"/>
        <v>29</v>
      </c>
      <c r="C1020" s="1" t="s">
        <v>1235</v>
      </c>
      <c r="D1020" s="1" t="s">
        <v>1232</v>
      </c>
      <c r="E1020" s="16"/>
      <c r="F1020" s="668">
        <f>'II-I-DIST'!F1020</f>
        <v>27237168.699999999</v>
      </c>
      <c r="G1020" s="620" t="str">
        <f>'II-I-DIST'!H1020</f>
        <v>PLTDIST_N</v>
      </c>
      <c r="H1020" s="229">
        <f>'II-I-MET'!F1020</f>
        <v>3385973.72</v>
      </c>
      <c r="I1020" s="45" t="str">
        <f>'II-I-MET'!H1020</f>
        <v>PLTDIST_N</v>
      </c>
      <c r="J1020" s="23">
        <f>'II-I-TBILLTDCS'!F1020</f>
        <v>30500116.5</v>
      </c>
      <c r="K1020" s="45" t="str">
        <f>'II-I-TBILLTDCS'!H1020</f>
        <v>PLTDIST_N</v>
      </c>
      <c r="L1020" s="802">
        <f t="shared" si="48"/>
        <v>61123258.920000002</v>
      </c>
      <c r="M1020" s="1475" t="s">
        <v>1346</v>
      </c>
      <c r="N1020" s="751" t="b">
        <f>IF(' WP II-I-1.4'!L1020=L1020,TRUE)</f>
        <v>1</v>
      </c>
    </row>
    <row r="1021" spans="2:35" s="321" customFormat="1" ht="28.5" x14ac:dyDescent="0.2">
      <c r="B1021" s="16">
        <f t="shared" si="46"/>
        <v>30</v>
      </c>
      <c r="C1021" s="1" t="s">
        <v>1236</v>
      </c>
      <c r="D1021" s="1" t="s">
        <v>103</v>
      </c>
      <c r="E1021" s="16"/>
      <c r="F1021" s="668">
        <f>'II-I-DIST'!F1021</f>
        <v>0</v>
      </c>
      <c r="G1021" s="620" t="str">
        <f>'II-I-DIST'!H1021</f>
        <v>PLTDIST_N</v>
      </c>
      <c r="H1021" s="229">
        <f>'II-I-MET'!F1021</f>
        <v>0</v>
      </c>
      <c r="I1021" s="45" t="str">
        <f>'II-I-MET'!H1021</f>
        <v>PLTDIST_N</v>
      </c>
      <c r="J1021" s="23">
        <f>'II-I-TBILLTDCS'!F1021</f>
        <v>0</v>
      </c>
      <c r="K1021" s="45" t="str">
        <f>'II-I-TBILLTDCS'!H1021</f>
        <v>PLTDIST_N</v>
      </c>
      <c r="L1021" s="802">
        <f t="shared" si="48"/>
        <v>0</v>
      </c>
      <c r="M1021" s="1475" t="s">
        <v>1347</v>
      </c>
      <c r="N1021" s="751" t="b">
        <f>IF(' WP II-I-1.4'!L1021=L1021,TRUE)</f>
        <v>1</v>
      </c>
    </row>
    <row r="1022" spans="2:35" s="321" customFormat="1" ht="28.5" x14ac:dyDescent="0.2">
      <c r="B1022" s="16">
        <f t="shared" si="46"/>
        <v>31</v>
      </c>
      <c r="C1022" s="1" t="s">
        <v>62</v>
      </c>
      <c r="D1022" s="29" t="s">
        <v>646</v>
      </c>
      <c r="E1022" s="16"/>
      <c r="F1022" s="646">
        <f>'II-I-DIST'!F1022</f>
        <v>132772031.77</v>
      </c>
      <c r="G1022" s="620" t="str">
        <f>'II-I-DIST'!H1022</f>
        <v>PLT 364</v>
      </c>
      <c r="H1022" s="97">
        <f>'II-I-MET'!F1022</f>
        <v>0</v>
      </c>
      <c r="I1022" s="45" t="str">
        <f>'II-I-MET'!H1022</f>
        <v>PLT 364</v>
      </c>
      <c r="J1022" s="98">
        <f>'II-I-TBILLTDCS'!F1022</f>
        <v>0</v>
      </c>
      <c r="K1022" s="45" t="str">
        <f>'II-I-TBILLTDCS'!H1022</f>
        <v>PLT 364</v>
      </c>
      <c r="L1022" s="802">
        <f t="shared" si="48"/>
        <v>132772031.77</v>
      </c>
      <c r="M1022" s="937" t="s">
        <v>1030</v>
      </c>
      <c r="N1022" s="305" t="b">
        <f>IF(' WP II-I-1.4'!L1022=L1022,TRUE)</f>
        <v>1</v>
      </c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35" s="321" customFormat="1" ht="28.5" x14ac:dyDescent="0.2">
      <c r="B1023" s="16">
        <f t="shared" si="46"/>
        <v>32</v>
      </c>
      <c r="C1023" s="1" t="s">
        <v>64</v>
      </c>
      <c r="D1023" s="1" t="s">
        <v>486</v>
      </c>
      <c r="E1023" s="16"/>
      <c r="F1023" s="646">
        <f>'II-I-DIST'!F1023</f>
        <v>61699776.700000003</v>
      </c>
      <c r="G1023" s="620" t="str">
        <f>'II-I-DIST'!H1023</f>
        <v>PLT 365</v>
      </c>
      <c r="H1023" s="97">
        <f>'II-I-MET'!F1023</f>
        <v>0</v>
      </c>
      <c r="I1023" s="45" t="str">
        <f>'II-I-MET'!H1023</f>
        <v>PLT 365</v>
      </c>
      <c r="J1023" s="98">
        <f>'II-I-TBILLTDCS'!F1023</f>
        <v>0</v>
      </c>
      <c r="K1023" s="45" t="str">
        <f>'II-I-TBILLTDCS'!H1023</f>
        <v>PLT 365</v>
      </c>
      <c r="L1023" s="802">
        <f t="shared" si="48"/>
        <v>61699776.700000003</v>
      </c>
      <c r="M1023" s="937" t="s">
        <v>1031</v>
      </c>
      <c r="N1023" s="305" t="b">
        <f>IF(' WP II-I-1.4'!L1023=L1023,TRUE)</f>
        <v>1</v>
      </c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35" s="321" customFormat="1" ht="28.5" x14ac:dyDescent="0.2">
      <c r="B1024" s="16">
        <f t="shared" si="46"/>
        <v>33</v>
      </c>
      <c r="C1024" s="1" t="s">
        <v>66</v>
      </c>
      <c r="D1024" s="1" t="s">
        <v>647</v>
      </c>
      <c r="E1024" s="16"/>
      <c r="F1024" s="646">
        <f>'II-I-DIST'!F1024</f>
        <v>40143407.219999999</v>
      </c>
      <c r="G1024" s="620" t="str">
        <f>'II-I-DIST'!H1024</f>
        <v>PLT 366</v>
      </c>
      <c r="H1024" s="97">
        <f>'II-I-MET'!F1024</f>
        <v>0</v>
      </c>
      <c r="I1024" s="45" t="str">
        <f>'II-I-MET'!H1024</f>
        <v>PLT 366</v>
      </c>
      <c r="J1024" s="98">
        <f>'II-I-TBILLTDCS'!F1024</f>
        <v>0</v>
      </c>
      <c r="K1024" s="45" t="str">
        <f>'II-I-TBILLTDCS'!H1024</f>
        <v>PLT 366</v>
      </c>
      <c r="L1024" s="802">
        <f t="shared" si="48"/>
        <v>40143407.219999999</v>
      </c>
      <c r="M1024" s="937" t="s">
        <v>1032</v>
      </c>
      <c r="N1024" s="305" t="b">
        <f>IF(' WP II-I-1.4'!L1024=L1024,TRUE)</f>
        <v>1</v>
      </c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35" s="321" customFormat="1" ht="28.5" x14ac:dyDescent="0.2">
      <c r="B1025" s="16">
        <f t="shared" si="46"/>
        <v>34</v>
      </c>
      <c r="C1025" s="1" t="s">
        <v>68</v>
      </c>
      <c r="D1025" s="29" t="s">
        <v>648</v>
      </c>
      <c r="E1025" s="16"/>
      <c r="F1025" s="646">
        <f>'II-I-DIST'!F1025</f>
        <v>79884161.159999996</v>
      </c>
      <c r="G1025" s="620" t="str">
        <f>'II-I-DIST'!H1025</f>
        <v>PLT 367</v>
      </c>
      <c r="H1025" s="97">
        <f>'II-I-MET'!F1025</f>
        <v>0</v>
      </c>
      <c r="I1025" s="45" t="str">
        <f>'II-I-MET'!H1025</f>
        <v>PLT 367</v>
      </c>
      <c r="J1025" s="98">
        <f>'II-I-TBILLTDCS'!F1025</f>
        <v>0</v>
      </c>
      <c r="K1025" s="45" t="str">
        <f>'II-I-TBILLTDCS'!H1025</f>
        <v>PLT 367</v>
      </c>
      <c r="L1025" s="802">
        <f t="shared" si="48"/>
        <v>79884161.159999996</v>
      </c>
      <c r="M1025" s="937" t="s">
        <v>1033</v>
      </c>
      <c r="N1025" s="305" t="b">
        <f>IF(' WP II-I-1.4'!L1025=L1025,TRUE)</f>
        <v>1</v>
      </c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35" s="321" customFormat="1" ht="28.5" x14ac:dyDescent="0.2">
      <c r="B1026" s="16">
        <f t="shared" si="46"/>
        <v>35</v>
      </c>
      <c r="C1026" s="1" t="s">
        <v>70</v>
      </c>
      <c r="D1026" s="1" t="s">
        <v>649</v>
      </c>
      <c r="E1026" s="16"/>
      <c r="F1026" s="646">
        <f>'II-I-DIST'!F1026</f>
        <v>74745921.769999996</v>
      </c>
      <c r="G1026" s="620" t="str">
        <f>'II-I-DIST'!H1026</f>
        <v>PLT 368</v>
      </c>
      <c r="H1026" s="97">
        <f>'II-I-MET'!F1026</f>
        <v>0</v>
      </c>
      <c r="I1026" s="45" t="str">
        <f>'II-I-MET'!H1026</f>
        <v>PLT 368</v>
      </c>
      <c r="J1026" s="98">
        <f>'II-I-TBILLTDCS'!F1026</f>
        <v>0</v>
      </c>
      <c r="K1026" s="45" t="str">
        <f>'II-I-TBILLTDCS'!H1026</f>
        <v>PLT 368</v>
      </c>
      <c r="L1026" s="802">
        <f t="shared" si="48"/>
        <v>74745921.769999996</v>
      </c>
      <c r="M1026" s="937" t="s">
        <v>1034</v>
      </c>
      <c r="N1026" s="305" t="b">
        <f>IF(' WP II-I-1.4'!L1026=L1026,TRUE)</f>
        <v>1</v>
      </c>
      <c r="R1026"/>
      <c r="S1026"/>
      <c r="X1026"/>
      <c r="Y1026"/>
      <c r="Z1026"/>
      <c r="AA1026"/>
      <c r="AB1026"/>
      <c r="AC1026"/>
    </row>
    <row r="1027" spans="2:35" s="321" customFormat="1" ht="28.5" x14ac:dyDescent="0.2">
      <c r="B1027" s="16">
        <f t="shared" si="46"/>
        <v>36</v>
      </c>
      <c r="C1027" s="1" t="s">
        <v>72</v>
      </c>
      <c r="D1027" s="29" t="s">
        <v>73</v>
      </c>
      <c r="E1027" s="16"/>
      <c r="F1027" s="646">
        <f>'II-I-DIST'!F1027</f>
        <v>69028413.349999994</v>
      </c>
      <c r="G1027" s="620" t="str">
        <f>'II-I-DIST'!H1027</f>
        <v>PLT 369</v>
      </c>
      <c r="H1027" s="97">
        <f>'II-I-MET'!F1027</f>
        <v>0</v>
      </c>
      <c r="I1027" s="45" t="str">
        <f>'II-I-MET'!H1027</f>
        <v>PLT 369</v>
      </c>
      <c r="J1027" s="98">
        <f>'II-I-TBILLTDCS'!F1027</f>
        <v>0</v>
      </c>
      <c r="K1027" s="45" t="str">
        <f>'II-I-TBILLTDCS'!H1027</f>
        <v>PLT 369</v>
      </c>
      <c r="L1027" s="802">
        <f t="shared" si="48"/>
        <v>69028413.349999994</v>
      </c>
      <c r="M1027" s="937" t="s">
        <v>1035</v>
      </c>
      <c r="N1027" s="305" t="b">
        <f>IF(' WP II-I-1.4'!L1027=L1027,TRUE)</f>
        <v>1</v>
      </c>
      <c r="R1027"/>
      <c r="S1027"/>
      <c r="X1027"/>
      <c r="Y1027"/>
      <c r="Z1027"/>
      <c r="AA1027"/>
      <c r="AB1027"/>
      <c r="AC1027"/>
      <c r="AD1027"/>
      <c r="AE1027"/>
      <c r="AF1027"/>
      <c r="AG1027"/>
      <c r="AH1027"/>
    </row>
    <row r="1028" spans="2:35" s="321" customFormat="1" ht="28.5" x14ac:dyDescent="0.2">
      <c r="B1028" s="16">
        <f t="shared" si="46"/>
        <v>37</v>
      </c>
      <c r="C1028" s="1" t="s">
        <v>74</v>
      </c>
      <c r="D1028" s="1" t="s">
        <v>75</v>
      </c>
      <c r="E1028" s="16"/>
      <c r="F1028" s="646">
        <f>'II-I-DIST'!F1028</f>
        <v>0</v>
      </c>
      <c r="G1028" s="620" t="str">
        <f>'II-I-DIST'!H1028</f>
        <v>CUS W ALL</v>
      </c>
      <c r="H1028" s="97">
        <f>'II-I-MET'!F1028</f>
        <v>20313009.949999999</v>
      </c>
      <c r="I1028" s="45" t="str">
        <f>'II-I-MET'!H1028</f>
        <v>CUS W ALL</v>
      </c>
      <c r="J1028" s="98">
        <f>'II-I-TBILLTDCS'!F1028</f>
        <v>0</v>
      </c>
      <c r="K1028" s="45" t="str">
        <f>'II-I-TBILLTDCS'!H1028</f>
        <v>CUS W ALL</v>
      </c>
      <c r="L1028" s="802">
        <f t="shared" si="48"/>
        <v>20313009.949999999</v>
      </c>
      <c r="M1028" s="937" t="s">
        <v>1036</v>
      </c>
      <c r="N1028" s="305" t="b">
        <f>IF(' WP II-I-1.4'!L1028=L1028,TRUE)</f>
        <v>1</v>
      </c>
      <c r="R1028"/>
      <c r="S1028"/>
      <c r="X1028"/>
      <c r="Y1028"/>
      <c r="Z1028"/>
      <c r="AA1028"/>
      <c r="AB1028"/>
      <c r="AC1028"/>
      <c r="AD1028"/>
      <c r="AE1028"/>
      <c r="AF1028"/>
      <c r="AG1028"/>
      <c r="AH1028"/>
    </row>
    <row r="1029" spans="2:35" s="321" customFormat="1" x14ac:dyDescent="0.2">
      <c r="B1029" s="16">
        <f t="shared" si="46"/>
        <v>38</v>
      </c>
      <c r="C1029" s="1" t="s">
        <v>76</v>
      </c>
      <c r="D1029" s="1" t="s">
        <v>495</v>
      </c>
      <c r="E1029" s="16"/>
      <c r="F1029" s="646">
        <f>'II-I-DIST'!F1029</f>
        <v>2687947.96</v>
      </c>
      <c r="G1029" s="620" t="str">
        <f>'II-I-DIST'!H1029</f>
        <v>NCP LGT</v>
      </c>
      <c r="H1029" s="97">
        <f>'II-I-MET'!F1029</f>
        <v>0</v>
      </c>
      <c r="I1029" s="45" t="str">
        <f>'II-I-MET'!H1029</f>
        <v>NCP LGT</v>
      </c>
      <c r="J1029" s="98">
        <f>'II-I-TBILLTDCS'!F1029</f>
        <v>0</v>
      </c>
      <c r="K1029" s="45" t="str">
        <f>'II-I-TBILLTDCS'!H1029</f>
        <v>NCP LGT</v>
      </c>
      <c r="L1029" s="802">
        <f t="shared" si="48"/>
        <v>2687947.96</v>
      </c>
      <c r="M1029" s="937" t="s">
        <v>1037</v>
      </c>
      <c r="N1029" s="305" t="b">
        <f>IF(' WP II-I-1.4'!L1029=L1029,TRUE)</f>
        <v>1</v>
      </c>
      <c r="R1029"/>
      <c r="S1029"/>
      <c r="Y1029"/>
      <c r="Z1029"/>
      <c r="AA1029"/>
      <c r="AB1029"/>
      <c r="AC1029"/>
      <c r="AD1029"/>
      <c r="AE1029"/>
      <c r="AF1029"/>
      <c r="AG1029"/>
      <c r="AH1029"/>
      <c r="AI1029"/>
    </row>
    <row r="1030" spans="2:35" s="321" customFormat="1" x14ac:dyDescent="0.2">
      <c r="B1030" s="16">
        <f t="shared" si="46"/>
        <v>39</v>
      </c>
      <c r="C1030" s="1" t="s">
        <v>78</v>
      </c>
      <c r="D1030" s="1" t="s">
        <v>496</v>
      </c>
      <c r="E1030" s="16"/>
      <c r="F1030" s="646">
        <f>'II-I-DIST'!F1030</f>
        <v>0</v>
      </c>
      <c r="G1030" s="620" t="str">
        <f>'II-I-DIST'!H1030</f>
        <v>CUS W ALL</v>
      </c>
      <c r="H1030" s="97">
        <f>'II-I-MET'!F1030</f>
        <v>0</v>
      </c>
      <c r="I1030" s="45" t="str">
        <f>'II-I-MET'!H1030</f>
        <v>CUS W ALL</v>
      </c>
      <c r="J1030" s="98">
        <f>'II-I-TBILLTDCS'!F1030</f>
        <v>0</v>
      </c>
      <c r="K1030" s="45" t="str">
        <f>'II-I-TBILLTDCS'!H1030</f>
        <v>CUS W ALL</v>
      </c>
      <c r="L1030" s="802">
        <f t="shared" si="48"/>
        <v>0</v>
      </c>
      <c r="M1030" s="937"/>
      <c r="N1030" s="305" t="b">
        <f>IF(' WP II-I-1.4'!L1030=L1030,TRUE)</f>
        <v>1</v>
      </c>
      <c r="R1030"/>
      <c r="S1030"/>
      <c r="Y1030"/>
      <c r="Z1030"/>
      <c r="AA1030"/>
      <c r="AB1030"/>
      <c r="AC1030"/>
      <c r="AD1030"/>
      <c r="AE1030"/>
      <c r="AF1030"/>
      <c r="AG1030"/>
      <c r="AH1030"/>
      <c r="AI1030"/>
    </row>
    <row r="1031" spans="2:35" s="321" customFormat="1" x14ac:dyDescent="0.2">
      <c r="B1031" s="16">
        <f t="shared" si="46"/>
        <v>40</v>
      </c>
      <c r="C1031" s="1" t="s">
        <v>80</v>
      </c>
      <c r="D1031" s="1" t="s">
        <v>84</v>
      </c>
      <c r="E1031" s="16"/>
      <c r="F1031" s="646">
        <f>'II-I-DIST'!F1031</f>
        <v>25905960.890000001</v>
      </c>
      <c r="G1031" s="620" t="str">
        <f>'II-I-DIST'!H1031</f>
        <v>NCP LGT</v>
      </c>
      <c r="H1031" s="97">
        <f>'II-I-MET'!F1031</f>
        <v>0</v>
      </c>
      <c r="I1031" s="45" t="str">
        <f>'II-I-MET'!H1031</f>
        <v>NCP LGT</v>
      </c>
      <c r="J1031" s="98">
        <f>'II-I-TBILLTDCS'!F1031</f>
        <v>0</v>
      </c>
      <c r="K1031" s="45" t="str">
        <f>'II-I-TBILLTDCS'!H1031</f>
        <v>NCP LGT</v>
      </c>
      <c r="L1031" s="802">
        <f t="shared" si="48"/>
        <v>25905960.890000001</v>
      </c>
      <c r="M1031" s="937" t="s">
        <v>1037</v>
      </c>
      <c r="N1031" s="305" t="b">
        <f>IF(' WP II-I-1.4'!L1031=L1031,TRUE)</f>
        <v>1</v>
      </c>
      <c r="R1031"/>
      <c r="S1031"/>
      <c r="Y1031"/>
      <c r="Z1031"/>
      <c r="AA1031"/>
      <c r="AB1031"/>
      <c r="AC1031"/>
      <c r="AD1031"/>
      <c r="AE1031"/>
      <c r="AF1031"/>
      <c r="AG1031"/>
      <c r="AH1031"/>
      <c r="AI1031"/>
    </row>
    <row r="1032" spans="2:35" ht="15" x14ac:dyDescent="0.25">
      <c r="B1032" s="16">
        <f t="shared" si="46"/>
        <v>41</v>
      </c>
      <c r="C1032" s="8"/>
      <c r="D1032" s="233" t="s">
        <v>444</v>
      </c>
      <c r="E1032" s="831"/>
      <c r="F1032" s="805">
        <f>'II-I-DIST'!F1032</f>
        <v>578098010.61000001</v>
      </c>
      <c r="G1032" s="1308"/>
      <c r="H1032" s="805">
        <f>'II-I-MET'!F1032</f>
        <v>23698983.669999998</v>
      </c>
      <c r="I1032" s="1308"/>
      <c r="J1032" s="805">
        <f>'II-I-TBILLTDCS'!F1032</f>
        <v>30500116.5</v>
      </c>
      <c r="K1032" s="1308"/>
      <c r="L1032" s="805">
        <f t="shared" si="48"/>
        <v>632297110.77999997</v>
      </c>
      <c r="M1032" s="937"/>
      <c r="N1032" s="305" t="b">
        <f>IF(' WP II-I-1.4'!L1032=L1032,TRUE)</f>
        <v>1</v>
      </c>
      <c r="T1032" s="321"/>
      <c r="U1032" s="321"/>
      <c r="V1032" s="321"/>
      <c r="W1032" s="321"/>
      <c r="X1032" s="321"/>
    </row>
    <row r="1033" spans="2:35" x14ac:dyDescent="0.2">
      <c r="B1033" s="16"/>
      <c r="C1033" s="1"/>
      <c r="D1033" s="1"/>
      <c r="E1033" s="16"/>
      <c r="F1033" s="803"/>
      <c r="G1033" s="645"/>
      <c r="H1033" s="18"/>
      <c r="I1033" s="16"/>
      <c r="J1033" s="18"/>
      <c r="K1033" s="16"/>
      <c r="L1033" s="803"/>
      <c r="M1033" s="937"/>
      <c r="N1033" s="305"/>
      <c r="T1033" s="321"/>
      <c r="U1033" s="321"/>
      <c r="V1033" s="321"/>
      <c r="W1033" s="321"/>
      <c r="X1033" s="321"/>
    </row>
    <row r="1034" spans="2:35" ht="15" x14ac:dyDescent="0.25">
      <c r="B1034" s="783"/>
      <c r="C1034" s="783"/>
      <c r="D1034" s="783"/>
      <c r="E1034" s="783"/>
      <c r="F1034" s="803"/>
      <c r="G1034" s="653"/>
      <c r="H1034" s="18"/>
      <c r="I1034" s="105"/>
      <c r="J1034" s="18"/>
      <c r="K1034" s="105"/>
      <c r="L1034" s="834"/>
      <c r="M1034" s="937"/>
      <c r="N1034" s="305"/>
      <c r="T1034" s="321"/>
      <c r="U1034" s="321"/>
      <c r="V1034" s="321"/>
      <c r="W1034" s="321"/>
      <c r="X1034" s="321"/>
    </row>
    <row r="1035" spans="2:35" ht="15.75" thickBot="1" x14ac:dyDescent="0.3">
      <c r="B1035" s="783"/>
      <c r="C1035" s="783"/>
      <c r="D1035" s="783"/>
      <c r="E1035" s="783"/>
      <c r="F1035" s="803"/>
      <c r="G1035" s="645"/>
      <c r="H1035" s="18"/>
      <c r="I1035" s="16"/>
      <c r="J1035" s="18"/>
      <c r="K1035" s="16"/>
      <c r="L1035" s="834"/>
      <c r="M1035" s="937"/>
      <c r="N1035" s="305"/>
      <c r="T1035" s="321"/>
      <c r="U1035" s="321"/>
      <c r="V1035" s="321"/>
      <c r="W1035" s="321"/>
      <c r="X1035" s="321"/>
    </row>
    <row r="1036" spans="2:35" ht="15" x14ac:dyDescent="0.25">
      <c r="B1036" s="829" t="str">
        <f>$B$4</f>
        <v>2025 RATE CASE</v>
      </c>
      <c r="C1036" s="835"/>
      <c r="D1036" s="836"/>
      <c r="E1036" s="783"/>
      <c r="F1036" s="654"/>
      <c r="G1036" s="589"/>
      <c r="H1036" s="267"/>
      <c r="J1036" s="267"/>
      <c r="K1036"/>
      <c r="L1036" s="783"/>
      <c r="N1036" s="305"/>
      <c r="T1036" s="321"/>
      <c r="U1036" s="321"/>
      <c r="V1036" s="321"/>
      <c r="W1036" s="321"/>
      <c r="X1036" s="321"/>
    </row>
    <row r="1037" spans="2:35" ht="15" x14ac:dyDescent="0.25">
      <c r="B1037" s="826" t="str">
        <f>$B$5</f>
        <v>ONCOR ELECTRIC DELIVERY COMPANY LLC</v>
      </c>
      <c r="C1037" s="304"/>
      <c r="D1037" s="837"/>
      <c r="E1037" s="783"/>
      <c r="F1037" s="654"/>
      <c r="G1037" s="589"/>
      <c r="H1037" s="267"/>
      <c r="J1037" s="267"/>
      <c r="K1037"/>
      <c r="L1037" s="783"/>
      <c r="N1037" s="305"/>
      <c r="T1037" s="321"/>
      <c r="U1037" s="321"/>
      <c r="V1037" s="321"/>
      <c r="W1037" s="321"/>
      <c r="X1037" s="321"/>
      <c r="Y1037" s="321"/>
    </row>
    <row r="1038" spans="2:35" ht="15" x14ac:dyDescent="0.25">
      <c r="B1038" s="341" t="str">
        <f>$B$6</f>
        <v>II-I-2.1f:  CONSOLIDATED FUNCTIONALIZED COST OF SERVICE</v>
      </c>
      <c r="C1038" s="304"/>
      <c r="D1038" s="837"/>
      <c r="E1038" s="783"/>
      <c r="F1038" s="654"/>
      <c r="G1038" s="589"/>
      <c r="H1038" s="267"/>
      <c r="J1038" s="267"/>
      <c r="K1038"/>
      <c r="L1038" s="783"/>
      <c r="N1038" s="305"/>
      <c r="X1038" s="321"/>
      <c r="Y1038" s="321"/>
    </row>
    <row r="1039" spans="2:35" ht="15.75" x14ac:dyDescent="0.25">
      <c r="B1039" s="341" t="str">
        <f>$B$7</f>
        <v>TEST YEAR ENDING 12/31/2024</v>
      </c>
      <c r="C1039" s="752"/>
      <c r="D1039" s="830"/>
      <c r="E1039" s="64"/>
      <c r="F1039" s="654"/>
      <c r="G1039" s="589"/>
      <c r="H1039" s="267"/>
      <c r="J1039" s="267"/>
      <c r="K1039"/>
      <c r="N1039" s="305"/>
      <c r="X1039" s="321"/>
      <c r="Y1039" s="321"/>
    </row>
    <row r="1040" spans="2:35" ht="15" x14ac:dyDescent="0.25">
      <c r="B1040" s="341" t="str">
        <f>$B$8</f>
        <v>SPONSOR:  MATTHEW A. TROXLE</v>
      </c>
      <c r="C1040" s="304"/>
      <c r="D1040" s="837"/>
      <c r="E1040" s="304"/>
      <c r="F1040" s="654"/>
      <c r="G1040" s="589"/>
      <c r="H1040" s="267"/>
      <c r="J1040" s="267"/>
      <c r="K1040"/>
      <c r="L1040" s="304"/>
      <c r="N1040" s="305"/>
      <c r="X1040" s="321"/>
      <c r="Y1040" s="321"/>
    </row>
    <row r="1041" spans="2:35" ht="15.75" thickBot="1" x14ac:dyDescent="0.3">
      <c r="B1041" s="345"/>
      <c r="C1041" s="843"/>
      <c r="D1041" s="845"/>
      <c r="F1041" s="654"/>
      <c r="G1041" s="589"/>
      <c r="H1041" s="267"/>
      <c r="J1041" s="267"/>
      <c r="K1041"/>
      <c r="L1041" s="654"/>
      <c r="N1041" s="305"/>
      <c r="Y1041" s="321"/>
    </row>
    <row r="1042" spans="2:35" x14ac:dyDescent="0.2">
      <c r="B1042" s="12"/>
      <c r="C1042" s="13"/>
      <c r="D1042" s="177"/>
      <c r="E1042" s="13"/>
      <c r="F1042" s="655"/>
      <c r="G1042" s="656"/>
      <c r="H1042" s="12"/>
      <c r="I1042" s="13"/>
      <c r="J1042" s="12"/>
      <c r="K1042" s="13"/>
      <c r="L1042" s="855"/>
      <c r="M1042" s="938"/>
      <c r="N1042" s="305"/>
      <c r="Y1042" s="321"/>
    </row>
    <row r="1043" spans="2:35" ht="15" x14ac:dyDescent="0.25">
      <c r="B1043" s="14" t="s">
        <v>2</v>
      </c>
      <c r="C1043" s="14" t="s">
        <v>349</v>
      </c>
      <c r="D1043" s="180" t="s">
        <v>650</v>
      </c>
      <c r="E1043" s="14" t="s">
        <v>350</v>
      </c>
      <c r="F1043" s="226" t="str">
        <f>'II-I-DIST'!F1043</f>
        <v>DIST</v>
      </c>
      <c r="G1043" s="661" t="str">
        <f>'II-I-DIST'!H1043</f>
        <v>Allocation</v>
      </c>
      <c r="H1043" s="226" t="str">
        <f>'II-I-MET'!F1043</f>
        <v>MET</v>
      </c>
      <c r="I1043" s="181" t="str">
        <f>'II-I-MET'!H1043</f>
        <v>Allocation</v>
      </c>
      <c r="J1043" s="226" t="str">
        <f>'II-I-TBILLTDCS'!F1043</f>
        <v>TBILLTDCS</v>
      </c>
      <c r="K1043" s="181" t="str">
        <f>'II-I-TBILLTDCS'!H1043</f>
        <v>Allocation</v>
      </c>
      <c r="L1043" s="660" t="s">
        <v>434</v>
      </c>
      <c r="M1043" s="932" t="s">
        <v>970</v>
      </c>
      <c r="N1043" s="305"/>
      <c r="Y1043" s="321"/>
    </row>
    <row r="1044" spans="2:35" x14ac:dyDescent="0.2">
      <c r="B1044" s="14"/>
      <c r="C1044" s="14"/>
      <c r="D1044" s="181"/>
      <c r="E1044" s="14"/>
      <c r="F1044" s="660"/>
      <c r="G1044" s="661" t="str">
        <f>'II-I-DIST'!H1044</f>
        <v>Factor</v>
      </c>
      <c r="H1044" s="14"/>
      <c r="I1044" s="181" t="str">
        <f>'II-I-MET'!H1044</f>
        <v>Factor</v>
      </c>
      <c r="J1044" s="14"/>
      <c r="K1044" s="181" t="str">
        <f>'II-I-TBILLTDCS'!H1044</f>
        <v>Factor</v>
      </c>
      <c r="L1044" s="660" t="s">
        <v>31</v>
      </c>
      <c r="M1044" s="939"/>
      <c r="N1044" s="305"/>
      <c r="Y1044" s="321"/>
      <c r="AD1044" s="321"/>
      <c r="AE1044" s="321"/>
      <c r="AF1044" s="321"/>
      <c r="AG1044" s="321"/>
      <c r="AH1044" s="321"/>
    </row>
    <row r="1045" spans="2:35" ht="15.75" thickBot="1" x14ac:dyDescent="0.25">
      <c r="B1045" s="182"/>
      <c r="C1045" s="860"/>
      <c r="D1045" s="184"/>
      <c r="E1045" s="184"/>
      <c r="F1045" s="664" t="str">
        <f>'II-I-DIST'!F1045</f>
        <v>(a)</v>
      </c>
      <c r="G1045" s="664" t="str">
        <f>'II-I-DIST'!H1045</f>
        <v>(c)</v>
      </c>
      <c r="H1045" s="664" t="str">
        <f>'II-I-MET'!F1045</f>
        <v>(a)</v>
      </c>
      <c r="I1045" s="15" t="str">
        <f>'II-I-MET'!H1045</f>
        <v>(c)</v>
      </c>
      <c r="J1045" s="664" t="str">
        <f>'II-I-TBILLTDCS'!F1045</f>
        <v>(a)</v>
      </c>
      <c r="K1045" s="15" t="str">
        <f>'II-I-TBILLTDCS'!H1045</f>
        <v>(c)</v>
      </c>
      <c r="L1045" s="664" t="s">
        <v>19</v>
      </c>
      <c r="M1045" s="934" t="s">
        <v>1056</v>
      </c>
      <c r="N1045" s="305"/>
      <c r="Y1045" s="321"/>
      <c r="AD1045" s="321"/>
      <c r="AE1045" s="321"/>
      <c r="AF1045" s="321"/>
      <c r="AG1045" s="321"/>
      <c r="AH1045" s="321"/>
    </row>
    <row r="1046" spans="2:35" x14ac:dyDescent="0.2">
      <c r="B1046" s="64"/>
      <c r="C1046" s="268"/>
      <c r="D1046" s="268"/>
      <c r="E1046" s="268"/>
      <c r="F1046" s="666"/>
      <c r="G1046" s="666"/>
      <c r="H1046" s="268"/>
      <c r="I1046" s="268"/>
      <c r="J1046" s="268"/>
      <c r="K1046" s="268"/>
      <c r="L1046" s="611"/>
      <c r="N1046" s="305"/>
      <c r="Y1046" s="321"/>
      <c r="AD1046" s="321"/>
      <c r="AE1046" s="321"/>
      <c r="AF1046" s="321"/>
      <c r="AG1046" s="321"/>
      <c r="AH1046" s="321"/>
      <c r="AI1046" s="321"/>
    </row>
    <row r="1047" spans="2:35" ht="15" x14ac:dyDescent="0.25">
      <c r="B1047" s="16">
        <f>B1033+1</f>
        <v>1</v>
      </c>
      <c r="C1047" s="32" t="s">
        <v>651</v>
      </c>
      <c r="D1047" s="8"/>
      <c r="E1047" s="831" t="s">
        <v>280</v>
      </c>
      <c r="F1047" s="805"/>
      <c r="G1047" s="1308"/>
      <c r="H1047" s="805"/>
      <c r="I1047" s="1308"/>
      <c r="J1047" s="805"/>
      <c r="K1047" s="1308"/>
      <c r="L1047" s="805"/>
      <c r="N1047" s="305"/>
      <c r="Y1047" s="321"/>
      <c r="AD1047" s="321"/>
      <c r="AE1047" s="321"/>
      <c r="AF1047" s="321"/>
      <c r="AG1047" s="321"/>
      <c r="AH1047" s="321"/>
      <c r="AI1047" s="321"/>
    </row>
    <row r="1048" spans="2:35" x14ac:dyDescent="0.2">
      <c r="B1048" s="16">
        <f t="shared" ref="B1048:B1056" si="49">B1047+1</f>
        <v>2</v>
      </c>
      <c r="C1048" s="1"/>
      <c r="D1048" s="1"/>
      <c r="E1048" s="16"/>
      <c r="F1048" s="803"/>
      <c r="G1048" s="645"/>
      <c r="H1048" s="18"/>
      <c r="I1048" s="16"/>
      <c r="J1048" s="18"/>
      <c r="K1048" s="16"/>
      <c r="L1048" s="803"/>
      <c r="N1048" s="305"/>
      <c r="Y1048" s="321"/>
      <c r="AD1048" s="321"/>
      <c r="AE1048" s="321"/>
      <c r="AF1048" s="321"/>
      <c r="AG1048" s="321"/>
      <c r="AH1048" s="321"/>
      <c r="AI1048" s="321"/>
    </row>
    <row r="1049" spans="2:35" s="321" customFormat="1" ht="42.75" x14ac:dyDescent="0.2">
      <c r="B1049" s="16">
        <f t="shared" si="49"/>
        <v>3</v>
      </c>
      <c r="C1049" s="1" t="s">
        <v>652</v>
      </c>
      <c r="D1049" s="1" t="s">
        <v>40</v>
      </c>
      <c r="E1049" s="16"/>
      <c r="F1049" s="646">
        <f>'II-I-DIST'!F1049</f>
        <v>1539.35</v>
      </c>
      <c r="G1049" s="620" t="str">
        <f>'II-I-DIST'!H1049</f>
        <v>PLTGEN_N</v>
      </c>
      <c r="H1049" s="97">
        <f>'II-I-MET'!F1049</f>
        <v>64.39</v>
      </c>
      <c r="I1049" s="45" t="str">
        <f>'II-I-MET'!H1049</f>
        <v>PLTGEN_N</v>
      </c>
      <c r="J1049" s="98">
        <f>'II-I-TBILLTDCS'!F1049</f>
        <v>26.13</v>
      </c>
      <c r="K1049" s="45" t="str">
        <f>'II-I-TBILLTDCS'!H1049</f>
        <v>PLTGEN_N</v>
      </c>
      <c r="L1049" s="802">
        <f t="shared" si="48"/>
        <v>1629.8700000000001</v>
      </c>
      <c r="M1049" s="935" t="s">
        <v>1038</v>
      </c>
      <c r="N1049" s="305" t="b">
        <f>IF(' WP II-I-1.4'!L1049=L1049,TRUE)</f>
        <v>1</v>
      </c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35" s="321" customFormat="1" x14ac:dyDescent="0.2">
      <c r="B1050" s="16">
        <f t="shared" si="49"/>
        <v>4</v>
      </c>
      <c r="C1050" s="1" t="s">
        <v>89</v>
      </c>
      <c r="D1050" s="1" t="s">
        <v>42</v>
      </c>
      <c r="E1050" s="16"/>
      <c r="F1050" s="646">
        <f>'II-I-DIST'!F1050</f>
        <v>4484234.24</v>
      </c>
      <c r="G1050" s="620" t="str">
        <f>'II-I-DIST'!H1050</f>
        <v>PLTGEN_N</v>
      </c>
      <c r="H1050" s="97">
        <f>'II-I-MET'!F1050</f>
        <v>666116.93999999994</v>
      </c>
      <c r="I1050" s="45" t="str">
        <f>'II-I-MET'!H1050</f>
        <v>PLTGEN_N</v>
      </c>
      <c r="J1050" s="98">
        <f>'II-I-TBILLTDCS'!F1050</f>
        <v>378511.92</v>
      </c>
      <c r="K1050" s="45" t="str">
        <f>'II-I-TBILLTDCS'!H1050</f>
        <v>PLTGEN_N</v>
      </c>
      <c r="L1050" s="802">
        <f t="shared" si="48"/>
        <v>5528863.0999999996</v>
      </c>
      <c r="M1050" s="935" t="s">
        <v>1039</v>
      </c>
      <c r="N1050" s="305" t="b">
        <f>IF(' WP II-I-1.4'!L1050=L1050,TRUE)</f>
        <v>1</v>
      </c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35" s="321" customFormat="1" x14ac:dyDescent="0.2">
      <c r="B1051" s="16">
        <f t="shared" si="49"/>
        <v>5</v>
      </c>
      <c r="C1051" s="1" t="s">
        <v>90</v>
      </c>
      <c r="D1051" s="1" t="s">
        <v>91</v>
      </c>
      <c r="E1051" s="16"/>
      <c r="F1051" s="646">
        <f>'II-I-DIST'!F1051</f>
        <v>872993.73</v>
      </c>
      <c r="G1051" s="620" t="str">
        <f>'II-I-DIST'!H1051</f>
        <v>PLTGEN_N</v>
      </c>
      <c r="H1051" s="97">
        <f>'II-I-MET'!F1051</f>
        <v>103421.83</v>
      </c>
      <c r="I1051" s="45" t="str">
        <f>'II-I-MET'!H1051</f>
        <v>PLTGEN_N</v>
      </c>
      <c r="J1051" s="98">
        <f>'II-I-TBILLTDCS'!F1051</f>
        <v>71119.63</v>
      </c>
      <c r="K1051" s="45" t="str">
        <f>'II-I-TBILLTDCS'!H1051</f>
        <v>PLTGEN_N</v>
      </c>
      <c r="L1051" s="802">
        <f t="shared" si="48"/>
        <v>1047535.19</v>
      </c>
      <c r="M1051" s="935" t="s">
        <v>1039</v>
      </c>
      <c r="N1051" s="305" t="b">
        <f>IF(' WP II-I-1.4'!L1051=L1051,TRUE)</f>
        <v>1</v>
      </c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35" s="321" customFormat="1" x14ac:dyDescent="0.2">
      <c r="B1052" s="16">
        <f t="shared" si="49"/>
        <v>6</v>
      </c>
      <c r="C1052" s="1" t="s">
        <v>92</v>
      </c>
      <c r="D1052" s="1" t="s">
        <v>653</v>
      </c>
      <c r="E1052" s="16"/>
      <c r="F1052" s="646">
        <f>'II-I-DIST'!F1052</f>
        <v>1019555.56</v>
      </c>
      <c r="G1052" s="620" t="str">
        <f>'II-I-DIST'!H1052</f>
        <v>PLTGEN_N</v>
      </c>
      <c r="H1052" s="97">
        <f>'II-I-MET'!F1052</f>
        <v>0</v>
      </c>
      <c r="I1052" s="45" t="str">
        <f>'II-I-MET'!H1052</f>
        <v>PLTGEN_N</v>
      </c>
      <c r="J1052" s="98">
        <f>'II-I-TBILLTDCS'!F1052</f>
        <v>0</v>
      </c>
      <c r="K1052" s="45" t="str">
        <f>'II-I-TBILLTDCS'!H1052</f>
        <v>PLTGEN_N</v>
      </c>
      <c r="L1052" s="802">
        <f t="shared" si="48"/>
        <v>1019555.56</v>
      </c>
      <c r="M1052" s="935" t="s">
        <v>1039</v>
      </c>
      <c r="N1052" s="305" t="b">
        <f>IF(' WP II-I-1.4'!L1052=L1052,TRUE)</f>
        <v>1</v>
      </c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35" s="321" customFormat="1" x14ac:dyDescent="0.2">
      <c r="B1053" s="16">
        <f t="shared" si="49"/>
        <v>7</v>
      </c>
      <c r="C1053" s="1" t="s">
        <v>95</v>
      </c>
      <c r="D1053" s="1" t="s">
        <v>654</v>
      </c>
      <c r="E1053" s="16"/>
      <c r="F1053" s="646">
        <f>'II-I-DIST'!F1053</f>
        <v>241776.52</v>
      </c>
      <c r="G1053" s="620" t="str">
        <f>'II-I-DIST'!H1053</f>
        <v>PLTGEN_N</v>
      </c>
      <c r="H1053" s="97">
        <f>'II-I-MET'!F1053</f>
        <v>18900.36</v>
      </c>
      <c r="I1053" s="45" t="str">
        <f>'II-I-MET'!H1053</f>
        <v>PLTGEN_N</v>
      </c>
      <c r="J1053" s="98">
        <f>'II-I-TBILLTDCS'!F1053</f>
        <v>0</v>
      </c>
      <c r="K1053" s="45" t="str">
        <f>'II-I-TBILLTDCS'!H1053</f>
        <v>PLTGEN_N</v>
      </c>
      <c r="L1053" s="802">
        <f t="shared" si="48"/>
        <v>260676.88</v>
      </c>
      <c r="M1053" s="935" t="s">
        <v>1039</v>
      </c>
      <c r="N1053" s="305" t="b">
        <f>IF(' WP II-I-1.4'!L1053=L1053,TRUE)</f>
        <v>1</v>
      </c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35" s="321" customFormat="1" x14ac:dyDescent="0.2">
      <c r="B1054" s="16">
        <f t="shared" si="49"/>
        <v>8</v>
      </c>
      <c r="C1054" s="1" t="s">
        <v>97</v>
      </c>
      <c r="D1054" s="1" t="s">
        <v>655</v>
      </c>
      <c r="E1054" s="16"/>
      <c r="F1054" s="646">
        <f>'II-I-DIST'!F1054</f>
        <v>1862721.24</v>
      </c>
      <c r="G1054" s="620" t="str">
        <f>'II-I-DIST'!H1054</f>
        <v>PLTGEN_N</v>
      </c>
      <c r="H1054" s="97">
        <f>'II-I-MET'!F1054</f>
        <v>149028.20000000001</v>
      </c>
      <c r="I1054" s="45" t="str">
        <f>'II-I-MET'!H1054</f>
        <v>PLTGEN_N</v>
      </c>
      <c r="J1054" s="98">
        <f>'II-I-TBILLTDCS'!F1054</f>
        <v>0</v>
      </c>
      <c r="K1054" s="45" t="str">
        <f>'II-I-TBILLTDCS'!H1054</f>
        <v>PLTGEN_N</v>
      </c>
      <c r="L1054" s="802">
        <f t="shared" si="48"/>
        <v>2011749.44</v>
      </c>
      <c r="M1054" s="935" t="s">
        <v>1039</v>
      </c>
      <c r="N1054" s="305" t="b">
        <f>IF(' WP II-I-1.4'!L1054=L1054,TRUE)</f>
        <v>1</v>
      </c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35" s="321" customFormat="1" x14ac:dyDescent="0.2">
      <c r="B1055" s="16">
        <f t="shared" si="49"/>
        <v>9</v>
      </c>
      <c r="C1055" s="1" t="s">
        <v>99</v>
      </c>
      <c r="D1055" s="1" t="s">
        <v>656</v>
      </c>
      <c r="E1055" s="16"/>
      <c r="F1055" s="646">
        <f>'II-I-DIST'!F1055</f>
        <v>1349974.31</v>
      </c>
      <c r="G1055" s="620" t="str">
        <f>'II-I-DIST'!H1055</f>
        <v>PLTGEN_N</v>
      </c>
      <c r="H1055" s="97">
        <f>'II-I-MET'!F1055</f>
        <v>175526.25</v>
      </c>
      <c r="I1055" s="45" t="str">
        <f>'II-I-MET'!H1055</f>
        <v>PLTGEN_N</v>
      </c>
      <c r="J1055" s="98">
        <f>'II-I-TBILLTDCS'!F1055</f>
        <v>0</v>
      </c>
      <c r="K1055" s="45" t="str">
        <f>'II-I-TBILLTDCS'!H1055</f>
        <v>PLTGEN_N</v>
      </c>
      <c r="L1055" s="802">
        <f t="shared" si="48"/>
        <v>1525500.56</v>
      </c>
      <c r="M1055" s="935" t="s">
        <v>1039</v>
      </c>
      <c r="N1055" s="305" t="b">
        <f>IF(' WP II-I-1.4'!L1055=L1055,TRUE)</f>
        <v>1</v>
      </c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35" s="321" customFormat="1" x14ac:dyDescent="0.2">
      <c r="B1056" s="16">
        <f t="shared" si="49"/>
        <v>10</v>
      </c>
      <c r="C1056" s="1" t="s">
        <v>101</v>
      </c>
      <c r="D1056" s="1" t="s">
        <v>102</v>
      </c>
      <c r="E1056" s="16"/>
      <c r="F1056" s="646">
        <f>'II-I-DIST'!F1056</f>
        <v>670961.80000000005</v>
      </c>
      <c r="G1056" s="620" t="str">
        <f>'II-I-DIST'!H1056</f>
        <v>PLTGEN_N</v>
      </c>
      <c r="H1056" s="97">
        <f>'II-I-MET'!F1056</f>
        <v>74852.31</v>
      </c>
      <c r="I1056" s="45" t="str">
        <f>'II-I-MET'!H1056</f>
        <v>PLTGEN_N</v>
      </c>
      <c r="J1056" s="98">
        <f>'II-I-TBILLTDCS'!F1056</f>
        <v>0</v>
      </c>
      <c r="K1056" s="45" t="str">
        <f>'II-I-TBILLTDCS'!H1056</f>
        <v>PLTGEN_N</v>
      </c>
      <c r="L1056" s="802">
        <f t="shared" si="48"/>
        <v>745814.1100000001</v>
      </c>
      <c r="M1056" s="935" t="s">
        <v>1039</v>
      </c>
      <c r="N1056" s="305" t="b">
        <f>IF(' WP II-I-1.4'!L1056=L1056,TRUE)</f>
        <v>1</v>
      </c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</row>
    <row r="1057" spans="2:35" s="321" customFormat="1" x14ac:dyDescent="0.2">
      <c r="B1057" s="16">
        <f>B1056+1</f>
        <v>11</v>
      </c>
      <c r="C1057" s="1" t="s">
        <v>1237</v>
      </c>
      <c r="D1057" s="1" t="s">
        <v>1230</v>
      </c>
      <c r="E1057" s="16"/>
      <c r="F1057" s="668">
        <f>'II-I-DIST'!F1057</f>
        <v>13211162.220000001</v>
      </c>
      <c r="G1057" s="620" t="str">
        <f>'II-I-DIST'!H1057</f>
        <v>PLTGEN_N</v>
      </c>
      <c r="H1057" s="229">
        <f>'II-I-MET'!F1057</f>
        <v>3187582.92</v>
      </c>
      <c r="I1057" s="45" t="str">
        <f>'II-I-MET'!H1057</f>
        <v>PLTGEN_N</v>
      </c>
      <c r="J1057" s="23">
        <f>'II-I-TBILLTDCS'!F1057</f>
        <v>8445873.6300000008</v>
      </c>
      <c r="K1057" s="45" t="str">
        <f>'II-I-TBILLTDCS'!H1057</f>
        <v>PLTGEN_N</v>
      </c>
      <c r="L1057" s="802">
        <f t="shared" si="48"/>
        <v>24844618.770000003</v>
      </c>
      <c r="M1057" s="1476" t="s">
        <v>1311</v>
      </c>
      <c r="N1057" s="751" t="b">
        <f>IF(' WP II-I-1.4'!L1057=L1057,TRUE)</f>
        <v>1</v>
      </c>
    </row>
    <row r="1058" spans="2:35" s="321" customFormat="1" x14ac:dyDescent="0.2">
      <c r="B1058" s="16">
        <f t="shared" ref="B1058:B1070" si="50">B1057+1</f>
        <v>12</v>
      </c>
      <c r="C1058" s="1" t="s">
        <v>1238</v>
      </c>
      <c r="D1058" s="1" t="s">
        <v>1232</v>
      </c>
      <c r="E1058" s="16"/>
      <c r="F1058" s="668">
        <f>'II-I-DIST'!F1058</f>
        <v>31269918.829999998</v>
      </c>
      <c r="G1058" s="620" t="str">
        <f>'II-I-DIST'!H1058</f>
        <v>PLTGEN_N</v>
      </c>
      <c r="H1058" s="229">
        <f>'II-I-MET'!F1058</f>
        <v>860969.08</v>
      </c>
      <c r="I1058" s="45" t="str">
        <f>'II-I-MET'!H1058</f>
        <v>PLTGEN_N</v>
      </c>
      <c r="J1058" s="23">
        <f>'II-I-TBILLTDCS'!F1058</f>
        <v>60387.42</v>
      </c>
      <c r="K1058" s="45" t="str">
        <f>'II-I-TBILLTDCS'!H1058</f>
        <v>PLTGEN_N</v>
      </c>
      <c r="L1058" s="802">
        <f t="shared" si="48"/>
        <v>32191275.329999998</v>
      </c>
      <c r="M1058" s="1476" t="s">
        <v>1311</v>
      </c>
      <c r="N1058" s="751" t="b">
        <f>IF(' WP II-I-1.4'!L1058=L1058,TRUE)</f>
        <v>1</v>
      </c>
    </row>
    <row r="1059" spans="2:35" s="321" customFormat="1" x14ac:dyDescent="0.2">
      <c r="B1059" s="16">
        <f t="shared" si="50"/>
        <v>13</v>
      </c>
      <c r="C1059" s="1" t="s">
        <v>1239</v>
      </c>
      <c r="D1059" s="1" t="s">
        <v>103</v>
      </c>
      <c r="E1059" s="16"/>
      <c r="F1059" s="668">
        <f>'II-I-DIST'!F1059</f>
        <v>5714691.2800000003</v>
      </c>
      <c r="G1059" s="620" t="str">
        <f>'II-I-DIST'!H1059</f>
        <v>PLTGEN_N</v>
      </c>
      <c r="H1059" s="229">
        <f>'II-I-MET'!F1059</f>
        <v>789978.38</v>
      </c>
      <c r="I1059" s="45" t="str">
        <f>'II-I-MET'!H1059</f>
        <v>PLTGEN_N</v>
      </c>
      <c r="J1059" s="23">
        <f>'II-I-TBILLTDCS'!F1059</f>
        <v>527108.76</v>
      </c>
      <c r="K1059" s="45" t="str">
        <f>'II-I-TBILLTDCS'!H1059</f>
        <v>PLTGEN_N</v>
      </c>
      <c r="L1059" s="802">
        <f t="shared" si="48"/>
        <v>7031778.4199999999</v>
      </c>
      <c r="M1059" s="1476" t="s">
        <v>1311</v>
      </c>
      <c r="N1059" s="751" t="b">
        <f>IF(' WP II-I-1.4'!L1059=L1059,TRUE)</f>
        <v>1</v>
      </c>
    </row>
    <row r="1060" spans="2:35" s="321" customFormat="1" x14ac:dyDescent="0.2">
      <c r="B1060" s="16">
        <f t="shared" si="50"/>
        <v>14</v>
      </c>
      <c r="C1060" s="1" t="s">
        <v>105</v>
      </c>
      <c r="D1060" s="1" t="s">
        <v>657</v>
      </c>
      <c r="E1060" s="16"/>
      <c r="F1060" s="646">
        <f>'II-I-DIST'!F1060</f>
        <v>563858.28</v>
      </c>
      <c r="G1060" s="620" t="str">
        <f>'II-I-DIST'!H1060</f>
        <v>PLTGEN_N</v>
      </c>
      <c r="H1060" s="97">
        <f>'II-I-MET'!F1060</f>
        <v>88993.39</v>
      </c>
      <c r="I1060" s="45" t="str">
        <f>'II-I-MET'!H1060</f>
        <v>PLTGEN_N</v>
      </c>
      <c r="J1060" s="98">
        <f>'II-I-TBILLTDCS'!F1060</f>
        <v>0</v>
      </c>
      <c r="K1060" s="45" t="str">
        <f>'II-I-TBILLTDCS'!H1060</f>
        <v>PLTGEN_N</v>
      </c>
      <c r="L1060" s="802">
        <f t="shared" si="48"/>
        <v>652851.67000000004</v>
      </c>
      <c r="M1060" s="935" t="s">
        <v>1039</v>
      </c>
      <c r="N1060" s="305" t="b">
        <f>IF(' WP II-I-1.4'!L1060=L1060,TRUE)</f>
        <v>1</v>
      </c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</row>
    <row r="1061" spans="2:35" s="321" customFormat="1" x14ac:dyDescent="0.2">
      <c r="B1061" s="16">
        <f t="shared" si="50"/>
        <v>15</v>
      </c>
      <c r="C1061" s="1" t="s">
        <v>107</v>
      </c>
      <c r="D1061" s="1" t="s">
        <v>285</v>
      </c>
      <c r="E1061" s="16"/>
      <c r="F1061" s="646">
        <f>'II-I-DIST'!F1061</f>
        <v>0</v>
      </c>
      <c r="G1061" s="620" t="str">
        <f>'II-I-DIST'!H1061</f>
        <v>PLTGEN_N</v>
      </c>
      <c r="H1061" s="97">
        <f>'II-I-MET'!F1061</f>
        <v>0</v>
      </c>
      <c r="I1061" s="45" t="str">
        <f>'II-I-MET'!H1061</f>
        <v>PLTGEN_N</v>
      </c>
      <c r="J1061" s="98">
        <f>'II-I-TBILLTDCS'!F1061</f>
        <v>0</v>
      </c>
      <c r="K1061" s="45" t="str">
        <f>'II-I-TBILLTDCS'!H1061</f>
        <v>PLTGEN_N</v>
      </c>
      <c r="L1061" s="802">
        <f t="shared" si="48"/>
        <v>0</v>
      </c>
      <c r="M1061" s="935"/>
      <c r="N1061" s="305" t="b">
        <f>IF(' WP II-I-1.4'!L1061=L1061,TRUE)</f>
        <v>1</v>
      </c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</row>
    <row r="1062" spans="2:35" s="321" customFormat="1" x14ac:dyDescent="0.2">
      <c r="B1062" s="16">
        <f t="shared" si="50"/>
        <v>16</v>
      </c>
      <c r="C1062" s="1" t="s">
        <v>107</v>
      </c>
      <c r="D1062" s="1" t="s">
        <v>286</v>
      </c>
      <c r="E1062" s="16"/>
      <c r="F1062" s="646">
        <f>'II-I-DIST'!F1062</f>
        <v>0</v>
      </c>
      <c r="G1062" s="620" t="str">
        <f>'II-I-DIST'!H1062</f>
        <v>PLTGEN_N</v>
      </c>
      <c r="H1062" s="97">
        <f>'II-I-MET'!F1062</f>
        <v>0</v>
      </c>
      <c r="I1062" s="45" t="str">
        <f>'II-I-MET'!H1062</f>
        <v>PLTGEN_N</v>
      </c>
      <c r="J1062" s="98">
        <f>'II-I-TBILLTDCS'!F1062</f>
        <v>0</v>
      </c>
      <c r="K1062" s="45" t="str">
        <f>'II-I-TBILLTDCS'!H1062</f>
        <v>PLTGEN_N</v>
      </c>
      <c r="L1062" s="802">
        <f t="shared" si="48"/>
        <v>0</v>
      </c>
      <c r="M1062" s="935"/>
      <c r="N1062" s="305" t="b">
        <f>IF(' WP II-I-1.4'!L1062=L1062,TRUE)</f>
        <v>1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</row>
    <row r="1063" spans="2:35" ht="15" x14ac:dyDescent="0.25">
      <c r="B1063" s="16">
        <f t="shared" si="50"/>
        <v>17</v>
      </c>
      <c r="C1063" s="8"/>
      <c r="D1063" s="233" t="s">
        <v>444</v>
      </c>
      <c r="E1063" s="831"/>
      <c r="F1063" s="805">
        <f>'II-I-DIST'!F1063</f>
        <v>61263387.359999999</v>
      </c>
      <c r="G1063" s="1308"/>
      <c r="H1063" s="805">
        <f>'II-I-MET'!F1063</f>
        <v>6115434.0499999998</v>
      </c>
      <c r="I1063" s="1308"/>
      <c r="J1063" s="805">
        <f>'II-I-TBILLTDCS'!F1063</f>
        <v>9483027.4900000002</v>
      </c>
      <c r="K1063" s="1308"/>
      <c r="L1063" s="805">
        <f t="shared" si="48"/>
        <v>76861848.899999991</v>
      </c>
      <c r="N1063" s="305" t="b">
        <f>IF(' WP II-I-1.4'!L1063=L1063,TRUE)</f>
        <v>1</v>
      </c>
    </row>
    <row r="1064" spans="2:35" ht="15.75" thickBot="1" x14ac:dyDescent="0.3">
      <c r="B1064" s="16">
        <f t="shared" si="50"/>
        <v>18</v>
      </c>
      <c r="C1064" s="8"/>
      <c r="D1064" s="233"/>
      <c r="E1064" s="831"/>
      <c r="F1064" s="805">
        <f>'II-I-DIST'!F1064</f>
        <v>0</v>
      </c>
      <c r="G1064" s="1308"/>
      <c r="H1064" s="805">
        <f>'II-I-MET'!F1064</f>
        <v>0</v>
      </c>
      <c r="I1064" s="1308"/>
      <c r="J1064" s="805">
        <f>'II-I-TBILLTDCS'!F1064</f>
        <v>0</v>
      </c>
      <c r="K1064" s="1308"/>
      <c r="L1064" s="805"/>
      <c r="N1064" s="305"/>
    </row>
    <row r="1065" spans="2:35" ht="15.75" thickBot="1" x14ac:dyDescent="0.3">
      <c r="B1065" s="16">
        <f t="shared" si="50"/>
        <v>19</v>
      </c>
      <c r="C1065" s="223" t="s">
        <v>658</v>
      </c>
      <c r="D1065" s="224"/>
      <c r="E1065" s="309" t="s">
        <v>280</v>
      </c>
      <c r="F1065" s="812">
        <f>'II-I-DIST'!F1065</f>
        <v>651417051.77999997</v>
      </c>
      <c r="G1065" s="402"/>
      <c r="H1065" s="812">
        <f>'II-I-MET'!F1065</f>
        <v>29837695.84</v>
      </c>
      <c r="I1065" s="402"/>
      <c r="J1065" s="812">
        <f>'II-I-TBILLTDCS'!F1065</f>
        <v>39993573.500000007</v>
      </c>
      <c r="K1065" s="402"/>
      <c r="L1065" s="315">
        <f t="shared" si="48"/>
        <v>721248321.12</v>
      </c>
      <c r="N1065" s="305" t="b">
        <f>IF(' WP II-I-1.4'!L1065=L1065,TRUE)</f>
        <v>1</v>
      </c>
      <c r="T1065" s="321"/>
      <c r="U1065" s="321"/>
      <c r="V1065" s="321"/>
      <c r="W1065" s="321"/>
    </row>
    <row r="1066" spans="2:35" ht="15" x14ac:dyDescent="0.25">
      <c r="B1066" s="16">
        <f t="shared" si="50"/>
        <v>20</v>
      </c>
      <c r="C1066" s="8"/>
      <c r="D1066" s="233"/>
      <c r="E1066" s="831"/>
      <c r="F1066" s="805"/>
      <c r="G1066" s="1308"/>
      <c r="H1066" s="805"/>
      <c r="I1066" s="1308"/>
      <c r="J1066" s="805"/>
      <c r="K1066" s="1308"/>
      <c r="L1066" s="805"/>
      <c r="M1066" s="937"/>
      <c r="N1066" s="305"/>
      <c r="T1066" s="321"/>
      <c r="U1066" s="321"/>
      <c r="V1066" s="321"/>
      <c r="W1066" s="321"/>
    </row>
    <row r="1067" spans="2:35" ht="29.25" x14ac:dyDescent="0.25">
      <c r="B1067" s="16">
        <f t="shared" si="50"/>
        <v>21</v>
      </c>
      <c r="C1067" s="8" t="s">
        <v>659</v>
      </c>
      <c r="D1067" s="233"/>
      <c r="E1067" s="831" t="s">
        <v>313</v>
      </c>
      <c r="F1067" s="646">
        <f>'II-I-DIST'!F1067</f>
        <v>7439</v>
      </c>
      <c r="G1067" s="620" t="str">
        <f>'II-I-DIST'!H1067</f>
        <v>PLT_N XINT</v>
      </c>
      <c r="H1067" s="97">
        <f>'II-I-MET'!F1067</f>
        <v>0</v>
      </c>
      <c r="I1067" s="45" t="str">
        <f>'II-I-MET'!H1067</f>
        <v>N / A</v>
      </c>
      <c r="J1067" s="98">
        <f>'II-I-TBILLTDCS'!F1067</f>
        <v>0</v>
      </c>
      <c r="K1067" s="45" t="str">
        <f>'II-I-TBILLTDCS'!H1067</f>
        <v>CUS U RTL</v>
      </c>
      <c r="L1067" s="802">
        <f t="shared" si="48"/>
        <v>7439</v>
      </c>
      <c r="M1067" s="941" t="str">
        <f>M1180</f>
        <v xml:space="preserve"> Related primarily to the number of customers.</v>
      </c>
      <c r="N1067" s="305" t="b">
        <f>IF(' WP II-I-1.4'!L1067=L1067,TRUE)</f>
        <v>1</v>
      </c>
      <c r="T1067" s="321"/>
      <c r="U1067" s="321"/>
      <c r="V1067" s="321"/>
      <c r="W1067" s="321"/>
    </row>
    <row r="1068" spans="2:35" ht="29.25" x14ac:dyDescent="0.25">
      <c r="B1068" s="16">
        <f t="shared" si="50"/>
        <v>22</v>
      </c>
      <c r="C1068" s="8" t="s">
        <v>660</v>
      </c>
      <c r="D1068" s="233"/>
      <c r="E1068" s="831" t="s">
        <v>316</v>
      </c>
      <c r="F1068" s="646">
        <f>'II-I-DIST'!F1068</f>
        <v>15421186.759999998</v>
      </c>
      <c r="G1068" s="620" t="str">
        <f>'II-I-DIST'!H1068</f>
        <v>PLT_N XINT</v>
      </c>
      <c r="H1068" s="97">
        <f>'II-I-MET'!F1068</f>
        <v>25459958.280000001</v>
      </c>
      <c r="I1068" s="45" t="str">
        <f>'II-I-MET'!H1068</f>
        <v>PLT_N XINT</v>
      </c>
      <c r="J1068" s="98">
        <f>'II-I-TBILLTDCS'!F1068</f>
        <v>0</v>
      </c>
      <c r="K1068" s="45" t="str">
        <f>'II-I-TBILLTDCS'!H1068</f>
        <v>PLT_N XINT</v>
      </c>
      <c r="L1068" s="802">
        <f t="shared" si="48"/>
        <v>40881145.039999999</v>
      </c>
      <c r="M1068" s="941" t="s">
        <v>1040</v>
      </c>
      <c r="N1068" s="305" t="b">
        <f>IF(' WP II-I-1.4'!L1068=L1068,TRUE)</f>
        <v>1</v>
      </c>
      <c r="X1068" s="321"/>
    </row>
    <row r="1069" spans="2:35" ht="15.75" thickBot="1" x14ac:dyDescent="0.3">
      <c r="B1069" s="16">
        <f t="shared" si="50"/>
        <v>23</v>
      </c>
      <c r="C1069" s="8"/>
      <c r="D1069" s="233"/>
      <c r="E1069" s="831"/>
      <c r="F1069" s="805">
        <f>'II-I-DIST'!F1069</f>
        <v>0</v>
      </c>
      <c r="G1069" s="1308"/>
      <c r="H1069" s="805">
        <f>'II-I-MET'!F1069</f>
        <v>0</v>
      </c>
      <c r="I1069" s="1308"/>
      <c r="J1069" s="805">
        <f>'II-I-TBILLTDCS'!F1069</f>
        <v>0</v>
      </c>
      <c r="K1069" s="1308"/>
      <c r="L1069" s="805"/>
      <c r="M1069" s="937"/>
      <c r="N1069" s="305"/>
      <c r="X1069" s="321"/>
    </row>
    <row r="1070" spans="2:35" ht="15.75" thickBot="1" x14ac:dyDescent="0.3">
      <c r="B1070" s="16">
        <f t="shared" si="50"/>
        <v>24</v>
      </c>
      <c r="C1070" s="223" t="s">
        <v>661</v>
      </c>
      <c r="D1070" s="224"/>
      <c r="E1070" s="309"/>
      <c r="F1070" s="812">
        <f>'II-I-DIST'!F1070</f>
        <v>666845677.53999996</v>
      </c>
      <c r="G1070" s="402"/>
      <c r="H1070" s="812">
        <f>'II-I-MET'!F1070</f>
        <v>55297654.120000005</v>
      </c>
      <c r="I1070" s="402"/>
      <c r="J1070" s="812">
        <f>'II-I-TBILLTDCS'!F1070</f>
        <v>39993573.500000007</v>
      </c>
      <c r="K1070" s="402"/>
      <c r="L1070" s="315">
        <f t="shared" si="48"/>
        <v>762136905.15999997</v>
      </c>
      <c r="N1070" s="305" t="b">
        <f>IF(' WP II-I-1.4'!L1070=L1070,TRUE)</f>
        <v>1</v>
      </c>
      <c r="X1070" s="321"/>
    </row>
    <row r="1071" spans="2:35" x14ac:dyDescent="0.2">
      <c r="B1071" s="64"/>
      <c r="C1071" s="64"/>
      <c r="D1071" s="64"/>
      <c r="E1071" s="64"/>
      <c r="F1071" s="589"/>
      <c r="G1071" s="589"/>
      <c r="H1071" s="64"/>
      <c r="I1071" s="64"/>
      <c r="J1071" s="64"/>
      <c r="K1071" s="64"/>
      <c r="N1071" s="305"/>
      <c r="T1071" s="321"/>
      <c r="U1071" s="321"/>
      <c r="V1071" s="321"/>
      <c r="W1071" s="321"/>
    </row>
    <row r="1072" spans="2:35" ht="15" x14ac:dyDescent="0.25">
      <c r="B1072" s="783"/>
      <c r="C1072" s="783"/>
      <c r="D1072" s="783"/>
      <c r="E1072" s="783"/>
      <c r="F1072" s="589"/>
      <c r="G1072" s="653"/>
      <c r="H1072" s="64"/>
      <c r="I1072" s="105"/>
      <c r="J1072" s="64"/>
      <c r="K1072" s="105"/>
      <c r="L1072" s="783"/>
      <c r="N1072" s="305"/>
    </row>
    <row r="1073" spans="2:35" ht="15.75" thickBot="1" x14ac:dyDescent="0.3">
      <c r="B1073" s="783"/>
      <c r="C1073" s="783"/>
      <c r="D1073" s="783"/>
      <c r="E1073" s="783"/>
      <c r="F1073" s="589"/>
      <c r="G1073" s="589"/>
      <c r="H1073" s="64"/>
      <c r="I1073" s="64"/>
      <c r="J1073" s="64"/>
      <c r="K1073" s="64"/>
      <c r="L1073" s="783"/>
      <c r="N1073" s="305"/>
    </row>
    <row r="1074" spans="2:35" ht="15" x14ac:dyDescent="0.25">
      <c r="B1074" s="829" t="str">
        <f>$B$4</f>
        <v>2025 RATE CASE</v>
      </c>
      <c r="C1074" s="835"/>
      <c r="D1074" s="836"/>
      <c r="E1074" s="783"/>
      <c r="F1074" s="654"/>
      <c r="G1074" s="589"/>
      <c r="H1074" s="267"/>
      <c r="J1074" s="267"/>
      <c r="K1074"/>
      <c r="L1074" s="783"/>
      <c r="N1074" s="305"/>
      <c r="X1074" s="321"/>
    </row>
    <row r="1075" spans="2:35" ht="15" x14ac:dyDescent="0.25">
      <c r="B1075" s="826" t="str">
        <f>$B$5</f>
        <v>ONCOR ELECTRIC DELIVERY COMPANY LLC</v>
      </c>
      <c r="C1075" s="304"/>
      <c r="D1075" s="837"/>
      <c r="E1075" s="783"/>
      <c r="F1075" s="654"/>
      <c r="G1075" s="589"/>
      <c r="H1075" s="267"/>
      <c r="J1075" s="267"/>
      <c r="K1075"/>
      <c r="L1075" s="783"/>
      <c r="N1075" s="305"/>
      <c r="T1075" s="321"/>
      <c r="U1075" s="321"/>
      <c r="V1075" s="321"/>
      <c r="W1075" s="321"/>
    </row>
    <row r="1076" spans="2:35" ht="15" x14ac:dyDescent="0.25">
      <c r="B1076" s="341" t="str">
        <f>$B$6</f>
        <v>II-I-2.1f:  CONSOLIDATED FUNCTIONALIZED COST OF SERVICE</v>
      </c>
      <c r="C1076" s="304"/>
      <c r="D1076" s="837"/>
      <c r="E1076" s="783"/>
      <c r="F1076" s="654"/>
      <c r="G1076" s="589"/>
      <c r="H1076" s="267"/>
      <c r="J1076" s="267"/>
      <c r="K1076"/>
      <c r="L1076" s="783"/>
      <c r="N1076" s="305"/>
      <c r="T1076" s="321"/>
      <c r="U1076" s="321"/>
      <c r="V1076" s="321"/>
      <c r="W1076" s="321"/>
      <c r="Y1076" s="321"/>
    </row>
    <row r="1077" spans="2:35" ht="15.75" x14ac:dyDescent="0.25">
      <c r="B1077" s="341" t="str">
        <f>$B$7</f>
        <v>TEST YEAR ENDING 12/31/2024</v>
      </c>
      <c r="C1077" s="752"/>
      <c r="D1077" s="830"/>
      <c r="E1077" s="64"/>
      <c r="F1077" s="654"/>
      <c r="G1077" s="589"/>
      <c r="H1077" s="267"/>
      <c r="J1077" s="267"/>
      <c r="K1077"/>
      <c r="N1077" s="305"/>
      <c r="Y1077" s="321"/>
    </row>
    <row r="1078" spans="2:35" ht="15" x14ac:dyDescent="0.25">
      <c r="B1078" s="341" t="str">
        <f>$B$8</f>
        <v>SPONSOR:  MATTHEW A. TROXLE</v>
      </c>
      <c r="C1078" s="304"/>
      <c r="D1078" s="837"/>
      <c r="E1078" s="304"/>
      <c r="F1078" s="654"/>
      <c r="G1078" s="589"/>
      <c r="H1078" s="267"/>
      <c r="J1078" s="267"/>
      <c r="K1078"/>
      <c r="L1078" s="304"/>
      <c r="N1078" s="305"/>
      <c r="X1078" s="321"/>
      <c r="Y1078" s="321"/>
    </row>
    <row r="1079" spans="2:35" ht="15.75" thickBot="1" x14ac:dyDescent="0.3">
      <c r="B1079" s="345"/>
      <c r="C1079" s="843"/>
      <c r="D1079" s="845"/>
      <c r="F1079" s="654"/>
      <c r="G1079" s="589"/>
      <c r="H1079" s="267"/>
      <c r="J1079" s="267"/>
      <c r="K1079"/>
      <c r="L1079" s="654"/>
      <c r="N1079" s="305"/>
      <c r="X1079" s="321"/>
    </row>
    <row r="1080" spans="2:35" x14ac:dyDescent="0.2">
      <c r="B1080" s="12"/>
      <c r="C1080" s="13"/>
      <c r="D1080" s="177"/>
      <c r="E1080" s="13"/>
      <c r="F1080" s="655"/>
      <c r="G1080" s="656"/>
      <c r="H1080" s="12"/>
      <c r="I1080" s="13"/>
      <c r="J1080" s="12"/>
      <c r="K1080" s="13"/>
      <c r="L1080" s="855"/>
      <c r="M1080" s="938"/>
      <c r="N1080" s="305"/>
    </row>
    <row r="1081" spans="2:35" ht="15" x14ac:dyDescent="0.25">
      <c r="B1081" s="14" t="s">
        <v>2</v>
      </c>
      <c r="C1081" s="14" t="s">
        <v>349</v>
      </c>
      <c r="D1081" s="180" t="s">
        <v>287</v>
      </c>
      <c r="E1081" s="14" t="s">
        <v>350</v>
      </c>
      <c r="F1081" s="226" t="str">
        <f>'II-I-DIST'!F1081</f>
        <v>DIST</v>
      </c>
      <c r="G1081" s="661" t="str">
        <f>'II-I-DIST'!H1081</f>
        <v>Allocation</v>
      </c>
      <c r="H1081" s="226" t="str">
        <f>'II-I-MET'!F1081</f>
        <v>MET</v>
      </c>
      <c r="I1081" s="181" t="str">
        <f>'II-I-MET'!H1081</f>
        <v>Allocation</v>
      </c>
      <c r="J1081" s="226" t="str">
        <f>'II-I-TBILLTDCS'!F1081</f>
        <v>TBILLTDCS</v>
      </c>
      <c r="K1081" s="181" t="str">
        <f>'II-I-TBILLTDCS'!H1081</f>
        <v>Allocation</v>
      </c>
      <c r="L1081" s="660" t="s">
        <v>434</v>
      </c>
      <c r="M1081" s="932" t="s">
        <v>970</v>
      </c>
      <c r="N1081" s="305"/>
      <c r="AD1081" s="321"/>
      <c r="AE1081" s="321"/>
      <c r="AF1081" s="321"/>
      <c r="AG1081" s="321"/>
      <c r="AH1081" s="321"/>
    </row>
    <row r="1082" spans="2:35" x14ac:dyDescent="0.2">
      <c r="B1082" s="14"/>
      <c r="C1082" s="14"/>
      <c r="D1082" s="181"/>
      <c r="E1082" s="14"/>
      <c r="F1082" s="660"/>
      <c r="G1082" s="661" t="str">
        <f>'II-I-DIST'!H1082</f>
        <v>Factor</v>
      </c>
      <c r="H1082" s="14"/>
      <c r="I1082" s="181" t="str">
        <f>'II-I-MET'!H1082</f>
        <v>Factor</v>
      </c>
      <c r="J1082" s="14"/>
      <c r="K1082" s="181" t="str">
        <f>'II-I-TBILLTDCS'!H1082</f>
        <v>Factor</v>
      </c>
      <c r="L1082" s="660" t="s">
        <v>31</v>
      </c>
      <c r="M1082" s="939"/>
      <c r="N1082" s="305"/>
      <c r="Y1082" s="321"/>
      <c r="AD1082" s="321"/>
      <c r="AE1082" s="321"/>
      <c r="AF1082" s="321"/>
      <c r="AG1082" s="321"/>
      <c r="AH1082" s="321"/>
    </row>
    <row r="1083" spans="2:35" ht="15.75" thickBot="1" x14ac:dyDescent="0.25">
      <c r="B1083" s="182"/>
      <c r="C1083" s="860"/>
      <c r="D1083" s="184"/>
      <c r="E1083" s="184"/>
      <c r="F1083" s="664" t="str">
        <f>'II-I-DIST'!F1083</f>
        <v>(a)</v>
      </c>
      <c r="G1083" s="664" t="str">
        <f>'II-I-DIST'!H1083</f>
        <v>(c)</v>
      </c>
      <c r="H1083" s="664" t="str">
        <f>'II-I-MET'!F1083</f>
        <v>(a)</v>
      </c>
      <c r="I1083" s="15" t="str">
        <f>'II-I-MET'!H1083</f>
        <v>(c)</v>
      </c>
      <c r="J1083" s="664" t="str">
        <f>'II-I-TBILLTDCS'!F1083</f>
        <v>(a)</v>
      </c>
      <c r="K1083" s="15" t="str">
        <f>'II-I-TBILLTDCS'!H1083</f>
        <v>(c)</v>
      </c>
      <c r="L1083" s="664" t="s">
        <v>19</v>
      </c>
      <c r="M1083" s="934" t="s">
        <v>1056</v>
      </c>
      <c r="N1083" s="305"/>
      <c r="AD1083" s="321"/>
      <c r="AE1083" s="321"/>
      <c r="AF1083" s="321"/>
      <c r="AG1083" s="321"/>
      <c r="AH1083" s="321"/>
    </row>
    <row r="1084" spans="2:35" x14ac:dyDescent="0.2">
      <c r="B1084" s="64"/>
      <c r="C1084" s="268"/>
      <c r="D1084" s="268"/>
      <c r="E1084" s="268"/>
      <c r="F1084" s="666"/>
      <c r="G1084" s="666"/>
      <c r="H1084" s="268"/>
      <c r="I1084" s="268"/>
      <c r="J1084" s="268"/>
      <c r="K1084" s="268"/>
      <c r="L1084" s="611"/>
      <c r="N1084" s="305"/>
    </row>
    <row r="1085" spans="2:35" ht="15" x14ac:dyDescent="0.25">
      <c r="B1085" s="16">
        <f t="shared" ref="B1085:B1103" si="51">B1084+1</f>
        <v>1</v>
      </c>
      <c r="C1085" s="301" t="s">
        <v>287</v>
      </c>
      <c r="D1085" s="301"/>
      <c r="E1085" s="831"/>
      <c r="F1085" s="805"/>
      <c r="G1085" s="1308"/>
      <c r="H1085" s="805"/>
      <c r="I1085" s="1308"/>
      <c r="J1085" s="805"/>
      <c r="K1085" s="1308"/>
      <c r="L1085" s="8"/>
      <c r="N1085" s="305"/>
      <c r="AI1085" s="321"/>
    </row>
    <row r="1086" spans="2:35" x14ac:dyDescent="0.2">
      <c r="B1086" s="16">
        <f t="shared" si="51"/>
        <v>2</v>
      </c>
      <c r="C1086" s="1"/>
      <c r="D1086" s="1"/>
      <c r="E1086" s="16"/>
      <c r="F1086" s="803"/>
      <c r="G1086" s="645"/>
      <c r="H1086" s="18"/>
      <c r="I1086" s="16"/>
      <c r="J1086" s="18"/>
      <c r="K1086" s="16"/>
      <c r="L1086" s="647"/>
      <c r="N1086" s="305"/>
      <c r="Y1086" s="321"/>
      <c r="AI1086" s="321"/>
    </row>
    <row r="1087" spans="2:35" ht="15" x14ac:dyDescent="0.25">
      <c r="B1087" s="16">
        <f t="shared" si="51"/>
        <v>3</v>
      </c>
      <c r="C1087" s="8" t="s">
        <v>289</v>
      </c>
      <c r="D1087" s="8"/>
      <c r="E1087" s="831" t="s">
        <v>288</v>
      </c>
      <c r="F1087" s="805"/>
      <c r="G1087" s="1308"/>
      <c r="H1087" s="805"/>
      <c r="I1087" s="1308"/>
      <c r="J1087" s="805"/>
      <c r="K1087" s="1308"/>
      <c r="L1087" s="8"/>
      <c r="N1087" s="305"/>
      <c r="Y1087" s="321"/>
      <c r="AD1087" s="321"/>
      <c r="AE1087" s="321"/>
      <c r="AF1087" s="321"/>
      <c r="AG1087" s="321"/>
      <c r="AH1087" s="321"/>
      <c r="AI1087" s="321"/>
    </row>
    <row r="1088" spans="2:35" s="321" customFormat="1" ht="28.5" x14ac:dyDescent="0.2">
      <c r="B1088" s="16">
        <f t="shared" si="51"/>
        <v>4</v>
      </c>
      <c r="C1088" s="1"/>
      <c r="D1088" s="1" t="s">
        <v>290</v>
      </c>
      <c r="E1088" s="16"/>
      <c r="F1088" s="646">
        <f>'II-I-DIST'!F1088</f>
        <v>12228771.32</v>
      </c>
      <c r="G1088" s="620" t="str">
        <f>'II-I-DIST'!H1088</f>
        <v>PAYROLL</v>
      </c>
      <c r="H1088" s="97">
        <f>'II-I-MET'!F1088</f>
        <v>3419493.17</v>
      </c>
      <c r="I1088" s="45" t="str">
        <f>'II-I-MET'!H1088</f>
        <v>PAYROLL</v>
      </c>
      <c r="J1088" s="97">
        <f>'II-I-TBILLTDCS'!F1088</f>
        <v>140165.69000000134</v>
      </c>
      <c r="K1088" s="45" t="str">
        <f>'II-I-TBILLTDCS'!H1088</f>
        <v>PAYROLL</v>
      </c>
      <c r="L1088" s="802">
        <f>F1088+H1088+J1088</f>
        <v>15788430.180000002</v>
      </c>
      <c r="M1088" s="935" t="s">
        <v>1041</v>
      </c>
      <c r="N1088" s="305" t="b">
        <f>IF(' WP II-I-1.4'!L1088=L1088,TRUE)</f>
        <v>1</v>
      </c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</row>
    <row r="1089" spans="2:35" s="321" customFormat="1" ht="28.5" x14ac:dyDescent="0.2">
      <c r="B1089" s="16">
        <f t="shared" si="51"/>
        <v>5</v>
      </c>
      <c r="C1089" s="1"/>
      <c r="D1089" s="1" t="s">
        <v>291</v>
      </c>
      <c r="E1089" s="16"/>
      <c r="F1089" s="646">
        <f>'II-I-DIST'!F1089</f>
        <v>265455.3</v>
      </c>
      <c r="G1089" s="620" t="str">
        <f>'II-I-DIST'!H1089</f>
        <v>PAYROLL</v>
      </c>
      <c r="H1089" s="97">
        <f>'II-I-MET'!F1089</f>
        <v>74228.44</v>
      </c>
      <c r="I1089" s="45" t="str">
        <f>'II-I-MET'!H1089</f>
        <v>PAYROLL</v>
      </c>
      <c r="J1089" s="97">
        <f>'II-I-TBILLTDCS'!F1089</f>
        <v>3042.6300000000047</v>
      </c>
      <c r="K1089" s="45" t="str">
        <f>'II-I-TBILLTDCS'!H1089</f>
        <v>PAYROLL</v>
      </c>
      <c r="L1089" s="802">
        <f>F1089+H1089+J1089</f>
        <v>342726.37</v>
      </c>
      <c r="M1089" s="935" t="s">
        <v>1041</v>
      </c>
      <c r="N1089" s="305" t="b">
        <f>IF(' WP II-I-1.4'!L1089=L1089,TRUE)</f>
        <v>1</v>
      </c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</row>
    <row r="1090" spans="2:35" s="321" customFormat="1" ht="28.5" x14ac:dyDescent="0.2">
      <c r="B1090" s="16">
        <f t="shared" si="51"/>
        <v>6</v>
      </c>
      <c r="C1090" s="1"/>
      <c r="D1090" s="1" t="s">
        <v>292</v>
      </c>
      <c r="E1090" s="16"/>
      <c r="F1090" s="646">
        <f>'II-I-DIST'!F1090</f>
        <v>252338.55</v>
      </c>
      <c r="G1090" s="620" t="str">
        <f>'II-I-DIST'!H1090</f>
        <v>PAYROLL</v>
      </c>
      <c r="H1090" s="97">
        <f>'II-I-MET'!F1090</f>
        <v>70560.639999999999</v>
      </c>
      <c r="I1090" s="45" t="str">
        <f>'II-I-MET'!H1090</f>
        <v>PAYROLL</v>
      </c>
      <c r="J1090" s="97">
        <f>'II-I-TBILLTDCS'!F1090</f>
        <v>2892.2900000000518</v>
      </c>
      <c r="K1090" s="45" t="str">
        <f>'II-I-TBILLTDCS'!H1090</f>
        <v>PAYROLL</v>
      </c>
      <c r="L1090" s="802">
        <f>F1090+H1090+J1090</f>
        <v>325791.48000000004</v>
      </c>
      <c r="M1090" s="935" t="s">
        <v>1041</v>
      </c>
      <c r="N1090" s="305" t="b">
        <f>IF(' WP II-I-1.4'!L1090=L1090,TRUE)</f>
        <v>1</v>
      </c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</row>
    <row r="1091" spans="2:35" ht="15" x14ac:dyDescent="0.25">
      <c r="B1091" s="16">
        <f t="shared" si="51"/>
        <v>7</v>
      </c>
      <c r="C1091" s="8"/>
      <c r="D1091" s="233" t="s">
        <v>662</v>
      </c>
      <c r="E1091" s="831"/>
      <c r="F1091" s="191">
        <f>'II-I-DIST'!F1091</f>
        <v>12746565.170000002</v>
      </c>
      <c r="G1091" s="1308"/>
      <c r="H1091" s="191">
        <f>'II-I-MET'!F1091</f>
        <v>3564282.25</v>
      </c>
      <c r="I1091" s="1308"/>
      <c r="J1091" s="191">
        <f>'II-I-TBILLTDCS'!F1091</f>
        <v>146100.61000000138</v>
      </c>
      <c r="K1091" s="1308"/>
      <c r="L1091" s="191">
        <f>F1091+H1091+J1091</f>
        <v>16456948.030000003</v>
      </c>
      <c r="N1091" s="305" t="b">
        <f>IF(' WP II-I-1.4'!L1091=L1091,TRUE)</f>
        <v>1</v>
      </c>
      <c r="AD1091" s="321"/>
      <c r="AE1091" s="321"/>
      <c r="AF1091" s="321"/>
      <c r="AG1091" s="321"/>
      <c r="AH1091" s="321"/>
      <c r="AI1091" s="321"/>
    </row>
    <row r="1092" spans="2:35" x14ac:dyDescent="0.2">
      <c r="B1092" s="16">
        <f t="shared" si="51"/>
        <v>8</v>
      </c>
      <c r="C1092" s="1"/>
      <c r="D1092" s="1"/>
      <c r="E1092" s="16"/>
      <c r="F1092" s="803">
        <f>'II-I-DIST'!F1092</f>
        <v>0</v>
      </c>
      <c r="G1092" s="645"/>
      <c r="H1092" s="18">
        <f>'II-I-MET'!F1092</f>
        <v>0</v>
      </c>
      <c r="I1092" s="16"/>
      <c r="J1092" s="18">
        <f>'II-I-TBILLTDCS'!F1092</f>
        <v>0</v>
      </c>
      <c r="K1092" s="16"/>
      <c r="L1092" s="803"/>
      <c r="N1092" s="305" t="b">
        <f>IF(' WP II-I-1.4'!L1092=L1092,TRUE)</f>
        <v>1</v>
      </c>
      <c r="AD1092" s="321"/>
      <c r="AE1092" s="321"/>
      <c r="AF1092" s="321"/>
      <c r="AG1092" s="321"/>
      <c r="AH1092" s="321"/>
    </row>
    <row r="1093" spans="2:35" ht="15" x14ac:dyDescent="0.25">
      <c r="B1093" s="16">
        <f t="shared" si="51"/>
        <v>9</v>
      </c>
      <c r="C1093" s="8" t="s">
        <v>293</v>
      </c>
      <c r="D1093" s="8"/>
      <c r="E1093" s="831" t="s">
        <v>288</v>
      </c>
      <c r="F1093" s="805">
        <f>'II-I-DIST'!F1093</f>
        <v>0</v>
      </c>
      <c r="G1093" s="1308"/>
      <c r="H1093" s="805">
        <f>'II-I-MET'!F1093</f>
        <v>0</v>
      </c>
      <c r="I1093" s="1308"/>
      <c r="J1093" s="805">
        <f>'II-I-TBILLTDCS'!F1093</f>
        <v>0</v>
      </c>
      <c r="K1093" s="1308"/>
      <c r="L1093" s="805"/>
      <c r="N1093" s="305" t="b">
        <f>IF(' WP II-I-1.4'!L1093=L1093,TRUE)</f>
        <v>1</v>
      </c>
    </row>
    <row r="1094" spans="2:35" s="321" customFormat="1" ht="28.5" x14ac:dyDescent="0.2">
      <c r="B1094" s="16">
        <f t="shared" si="51"/>
        <v>10</v>
      </c>
      <c r="C1094" s="318"/>
      <c r="D1094" s="1" t="s">
        <v>294</v>
      </c>
      <c r="E1094" s="18"/>
      <c r="F1094" s="646">
        <f>'II-I-DIST'!F1094</f>
        <v>139899372.06999999</v>
      </c>
      <c r="G1094" s="620" t="str">
        <f>'II-I-DIST'!H1094</f>
        <v>PLANT</v>
      </c>
      <c r="H1094" s="97">
        <f>'II-I-MET'!F1094</f>
        <v>4193051.07</v>
      </c>
      <c r="I1094" s="45" t="str">
        <f>'II-I-MET'!H1094</f>
        <v>PLANT</v>
      </c>
      <c r="J1094" s="97">
        <f>'II-I-TBILLTDCS'!F1094</f>
        <v>2771920.8399999966</v>
      </c>
      <c r="K1094" s="45" t="str">
        <f>'II-I-TBILLTDCS'!H1094</f>
        <v>PLANT</v>
      </c>
      <c r="L1094" s="802">
        <f>F1094+H1094+J1094</f>
        <v>146864343.97999999</v>
      </c>
      <c r="M1094" s="935" t="s">
        <v>985</v>
      </c>
      <c r="N1094" s="305" t="b">
        <f>IF(' WP II-I-1.4'!L1094=L1094,TRUE)</f>
        <v>1</v>
      </c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</row>
    <row r="1095" spans="2:35" ht="15" x14ac:dyDescent="0.25">
      <c r="B1095" s="16">
        <f t="shared" si="51"/>
        <v>11</v>
      </c>
      <c r="C1095" s="8"/>
      <c r="D1095" s="233" t="s">
        <v>663</v>
      </c>
      <c r="E1095" s="831"/>
      <c r="F1095" s="805">
        <f>'II-I-DIST'!F1095</f>
        <v>139899372.06999999</v>
      </c>
      <c r="G1095" s="1308"/>
      <c r="H1095" s="805">
        <f>'II-I-MET'!F1095</f>
        <v>4193051.07</v>
      </c>
      <c r="I1095" s="1308"/>
      <c r="J1095" s="805">
        <f>'II-I-TBILLTDCS'!F1095</f>
        <v>2771920.8399999966</v>
      </c>
      <c r="K1095" s="1308"/>
      <c r="L1095" s="805">
        <f>F1095+H1095+J1095</f>
        <v>146864343.97999999</v>
      </c>
      <c r="N1095" s="305" t="b">
        <f>IF(' WP II-I-1.4'!L1095=L1095,TRUE)</f>
        <v>1</v>
      </c>
      <c r="AI1095" s="321"/>
    </row>
    <row r="1096" spans="2:35" x14ac:dyDescent="0.2">
      <c r="B1096" s="16">
        <f t="shared" si="51"/>
        <v>12</v>
      </c>
      <c r="C1096" s="1"/>
      <c r="D1096" s="1"/>
      <c r="E1096" s="16"/>
      <c r="F1096" s="803">
        <f>'II-I-DIST'!F1096</f>
        <v>0</v>
      </c>
      <c r="G1096" s="645"/>
      <c r="H1096" s="18">
        <f>'II-I-MET'!F1096</f>
        <v>0</v>
      </c>
      <c r="I1096" s="16"/>
      <c r="J1096" s="18">
        <f>'II-I-TBILLTDCS'!F1096</f>
        <v>0</v>
      </c>
      <c r="K1096" s="16"/>
      <c r="L1096" s="803"/>
      <c r="N1096" s="305" t="b">
        <f>IF(' WP II-I-1.4'!L1096=L1096,TRUE)</f>
        <v>1</v>
      </c>
      <c r="AI1096" s="321"/>
    </row>
    <row r="1097" spans="2:35" ht="15" x14ac:dyDescent="0.25">
      <c r="B1097" s="16">
        <f t="shared" si="51"/>
        <v>13</v>
      </c>
      <c r="C1097" s="8" t="s">
        <v>295</v>
      </c>
      <c r="D1097" s="8"/>
      <c r="E1097" s="831" t="s">
        <v>288</v>
      </c>
      <c r="F1097" s="805">
        <f>'II-I-DIST'!F1097</f>
        <v>0</v>
      </c>
      <c r="G1097" s="1308"/>
      <c r="H1097" s="805">
        <f>'II-I-MET'!F1097</f>
        <v>0</v>
      </c>
      <c r="I1097" s="1308"/>
      <c r="J1097" s="805">
        <f>'II-I-TBILLTDCS'!F1097</f>
        <v>0</v>
      </c>
      <c r="K1097" s="1308"/>
      <c r="L1097" s="805"/>
      <c r="N1097" s="305" t="b">
        <f>IF(' WP II-I-1.4'!L1097=L1097,TRUE)</f>
        <v>1</v>
      </c>
      <c r="T1097" s="321"/>
      <c r="U1097" s="321"/>
      <c r="V1097" s="321"/>
      <c r="W1097" s="321"/>
    </row>
    <row r="1098" spans="2:35" s="321" customFormat="1" ht="28.5" x14ac:dyDescent="0.2">
      <c r="B1098" s="16">
        <f t="shared" si="51"/>
        <v>14</v>
      </c>
      <c r="C1098" s="1"/>
      <c r="D1098" s="1" t="s">
        <v>296</v>
      </c>
      <c r="E1098" s="16"/>
      <c r="F1098" s="668">
        <f>'II-I-DIST'!F1098</f>
        <v>29832300.199999999</v>
      </c>
      <c r="G1098" s="620" t="str">
        <f>'II-I-DIST'!H1098</f>
        <v>TAX INC</v>
      </c>
      <c r="H1098" s="97">
        <f>'II-I-MET'!F1098</f>
        <v>1151630.57</v>
      </c>
      <c r="I1098" s="45" t="str">
        <f>'II-I-MET'!H1098</f>
        <v>TAX INC</v>
      </c>
      <c r="J1098" s="97">
        <f>'II-I-TBILLTDCS'!F1098</f>
        <v>639188.18000000005</v>
      </c>
      <c r="K1098" s="45" t="str">
        <f>'II-I-TBILLTDCS'!H1098</f>
        <v>TAX INC</v>
      </c>
      <c r="L1098" s="802">
        <f>F1098+H1098+J1098</f>
        <v>31623118.949999999</v>
      </c>
      <c r="M1098" s="935" t="s">
        <v>1042</v>
      </c>
      <c r="N1098" s="305" t="b">
        <f>IF(' WP II-I-1.4'!L1098=L1098,TRUE)</f>
        <v>1</v>
      </c>
      <c r="R1098"/>
      <c r="S1098"/>
      <c r="X1098"/>
      <c r="Y1098"/>
      <c r="Z1098"/>
      <c r="AA1098"/>
      <c r="AB1098"/>
      <c r="AC1098"/>
      <c r="AD1098"/>
      <c r="AE1098"/>
      <c r="AF1098"/>
      <c r="AG1098"/>
      <c r="AH1098"/>
      <c r="AI1098"/>
    </row>
    <row r="1099" spans="2:35" s="321" customFormat="1" ht="42.75" x14ac:dyDescent="0.2">
      <c r="B1099" s="16">
        <f t="shared" si="51"/>
        <v>15</v>
      </c>
      <c r="C1099" s="1"/>
      <c r="D1099" s="1" t="s">
        <v>297</v>
      </c>
      <c r="E1099" s="16"/>
      <c r="F1099" s="646">
        <f>'II-I-DIST'!F1099</f>
        <v>300041884.94999999</v>
      </c>
      <c r="G1099" s="620" t="str">
        <f>'II-I-DIST'!H1099</f>
        <v>ENERGY ICL</v>
      </c>
      <c r="H1099" s="97">
        <f>'II-I-MET'!F1099</f>
        <v>0</v>
      </c>
      <c r="I1099" s="45" t="str">
        <f>'II-I-MET'!H1099</f>
        <v>ENERGY ICL</v>
      </c>
      <c r="J1099" s="97">
        <f>'II-I-TBILLTDCS'!F1099</f>
        <v>0</v>
      </c>
      <c r="K1099" s="45" t="str">
        <f>'II-I-TBILLTDCS'!H1099</f>
        <v>ENERGY ICL</v>
      </c>
      <c r="L1099" s="802">
        <f>F1099+H1099+J1099</f>
        <v>300041884.94999999</v>
      </c>
      <c r="M1099" s="935" t="s">
        <v>1043</v>
      </c>
      <c r="N1099" s="305" t="b">
        <f>IF(' WP II-I-1.4'!L1099=L1099,TRUE)</f>
        <v>1</v>
      </c>
      <c r="R1099"/>
      <c r="S1099"/>
      <c r="X1099"/>
      <c r="Y1099"/>
      <c r="Z1099"/>
      <c r="AA1099"/>
      <c r="AB1099"/>
      <c r="AC1099"/>
      <c r="AD1099"/>
      <c r="AE1099"/>
      <c r="AF1099"/>
      <c r="AG1099"/>
      <c r="AH1099"/>
      <c r="AI1099"/>
    </row>
    <row r="1100" spans="2:35" s="321" customFormat="1" x14ac:dyDescent="0.2">
      <c r="B1100" s="16">
        <f t="shared" si="51"/>
        <v>16</v>
      </c>
      <c r="C1100" s="1"/>
      <c r="D1100" s="647" t="s">
        <v>1313</v>
      </c>
      <c r="E1100" s="16"/>
      <c r="F1100" s="668">
        <f>'II-I-DIST'!F1100</f>
        <v>155.75</v>
      </c>
      <c r="G1100" s="620" t="str">
        <f>'II-I-DIST'!H1100</f>
        <v>ENERGY ICL</v>
      </c>
      <c r="H1100" s="229">
        <f>'II-I-MET'!F1100</f>
        <v>4.67</v>
      </c>
      <c r="I1100" s="45" t="str">
        <f>'II-I-MET'!H1100</f>
        <v>ENERGY ICL</v>
      </c>
      <c r="J1100" s="229">
        <f>'II-I-TBILLTDCS'!F1100</f>
        <v>303.08999999999997</v>
      </c>
      <c r="K1100" s="45" t="str">
        <f>'II-I-TBILLTDCS'!H1100</f>
        <v>ENERGY ICL</v>
      </c>
      <c r="L1100" s="802">
        <f>F1100+H1100+J1100</f>
        <v>463.51</v>
      </c>
      <c r="M1100" s="942" t="s">
        <v>1322</v>
      </c>
      <c r="N1100" s="751" t="b">
        <f>IF(' WP II-I-1.4'!L1100=L1100,TRUE)</f>
        <v>1</v>
      </c>
    </row>
    <row r="1101" spans="2:35" ht="15" x14ac:dyDescent="0.25">
      <c r="B1101" s="16">
        <f t="shared" si="51"/>
        <v>17</v>
      </c>
      <c r="C1101" s="8"/>
      <c r="D1101" s="233" t="s">
        <v>664</v>
      </c>
      <c r="E1101" s="831"/>
      <c r="F1101" s="805">
        <f>'II-I-DIST'!F1101</f>
        <v>329874340.89999998</v>
      </c>
      <c r="G1101" s="1308"/>
      <c r="H1101" s="805">
        <f>'II-I-MET'!F1101</f>
        <v>1151635.24</v>
      </c>
      <c r="I1101" s="1308"/>
      <c r="J1101" s="805">
        <f>'II-I-TBILLTDCS'!F1101</f>
        <v>639491.27</v>
      </c>
      <c r="K1101" s="1308"/>
      <c r="L1101" s="805">
        <f>F1101+H1101+J1101</f>
        <v>331665467.40999997</v>
      </c>
      <c r="N1101" s="305" t="b">
        <f>IF(' WP II-I-1.4'!L1101=L1101,TRUE)</f>
        <v>1</v>
      </c>
      <c r="T1101" s="321"/>
      <c r="U1101" s="321"/>
      <c r="V1101" s="321"/>
      <c r="W1101" s="321"/>
      <c r="X1101" s="321"/>
    </row>
    <row r="1102" spans="2:35" ht="15" thickBot="1" x14ac:dyDescent="0.25">
      <c r="B1102" s="16">
        <f t="shared" si="51"/>
        <v>18</v>
      </c>
      <c r="C1102" s="1"/>
      <c r="D1102" s="1"/>
      <c r="E1102" s="16"/>
      <c r="F1102" s="320">
        <f>'II-I-DIST'!F1102</f>
        <v>0</v>
      </c>
      <c r="G1102" s="645"/>
      <c r="H1102" s="320">
        <f>'II-I-MET'!F1102</f>
        <v>0</v>
      </c>
      <c r="I1102" s="16"/>
      <c r="J1102" s="320">
        <f>'II-I-TBILLTDCS'!F1102</f>
        <v>0</v>
      </c>
      <c r="K1102" s="16"/>
      <c r="L1102" s="670"/>
      <c r="N1102" s="305" t="b">
        <f>IF(' WP II-I-1.4'!L1102=L1102,TRUE)</f>
        <v>1</v>
      </c>
      <c r="T1102" s="321"/>
      <c r="U1102" s="321"/>
      <c r="V1102" s="321"/>
      <c r="W1102" s="321"/>
      <c r="X1102" s="321"/>
    </row>
    <row r="1103" spans="2:35" ht="15.75" thickBot="1" x14ac:dyDescent="0.3">
      <c r="B1103" s="16">
        <f t="shared" si="51"/>
        <v>19</v>
      </c>
      <c r="C1103" s="223" t="s">
        <v>665</v>
      </c>
      <c r="D1103" s="224"/>
      <c r="E1103" s="309" t="s">
        <v>288</v>
      </c>
      <c r="F1103" s="812">
        <f>'II-I-DIST'!F1103</f>
        <v>482520278.13999999</v>
      </c>
      <c r="G1103" s="402"/>
      <c r="H1103" s="812">
        <f>'II-I-MET'!F1103</f>
        <v>8908968.5599999987</v>
      </c>
      <c r="I1103" s="402"/>
      <c r="J1103" s="812">
        <f>'II-I-TBILLTDCS'!F1103</f>
        <v>3557512.7199999979</v>
      </c>
      <c r="K1103" s="402"/>
      <c r="L1103" s="315">
        <f>F1103+H1103+J1103</f>
        <v>494986759.41999996</v>
      </c>
      <c r="N1103" s="305" t="b">
        <f>IF(' WP II-I-1.4'!L1103=L1103,TRUE)</f>
        <v>1</v>
      </c>
      <c r="T1103" s="321"/>
      <c r="U1103" s="321"/>
      <c r="V1103" s="321"/>
      <c r="W1103" s="321"/>
      <c r="X1103" s="321"/>
    </row>
    <row r="1104" spans="2:35" ht="15.75" thickBot="1" x14ac:dyDescent="0.3">
      <c r="B1104" s="783"/>
      <c r="C1104" s="783"/>
      <c r="D1104" s="783"/>
      <c r="E1104" s="783"/>
      <c r="F1104" s="589"/>
      <c r="G1104" s="589"/>
      <c r="H1104" s="64"/>
      <c r="I1104" s="64"/>
      <c r="J1104" s="64"/>
      <c r="K1104" s="64"/>
      <c r="L1104" s="783"/>
      <c r="X1104" s="321"/>
    </row>
    <row r="1105" spans="2:35" ht="15" x14ac:dyDescent="0.25">
      <c r="B1105" s="829" t="str">
        <f>$B$4</f>
        <v>2025 RATE CASE</v>
      </c>
      <c r="C1105" s="835"/>
      <c r="D1105" s="836"/>
      <c r="E1105" s="783"/>
      <c r="F1105" s="654"/>
      <c r="G1105" s="653"/>
      <c r="H1105" s="267"/>
      <c r="I1105" s="105"/>
      <c r="J1105" s="267"/>
      <c r="K1105" s="105"/>
      <c r="L1105" s="783"/>
      <c r="X1105" s="321"/>
    </row>
    <row r="1106" spans="2:35" ht="15" x14ac:dyDescent="0.25">
      <c r="B1106" s="826" t="str">
        <f>$B$5</f>
        <v>ONCOR ELECTRIC DELIVERY COMPANY LLC</v>
      </c>
      <c r="C1106" s="304"/>
      <c r="D1106" s="837"/>
      <c r="E1106" s="783"/>
      <c r="F1106" s="654"/>
      <c r="G1106" s="589"/>
      <c r="H1106" s="267"/>
      <c r="J1106" s="267"/>
      <c r="K1106"/>
      <c r="L1106" s="783"/>
      <c r="X1106" s="321"/>
    </row>
    <row r="1107" spans="2:35" ht="15" x14ac:dyDescent="0.25">
      <c r="B1107" s="341" t="str">
        <f>$B$6</f>
        <v>II-I-2.1f:  CONSOLIDATED FUNCTIONALIZED COST OF SERVICE</v>
      </c>
      <c r="C1107" s="304"/>
      <c r="D1107" s="837"/>
      <c r="E1107" s="783"/>
      <c r="F1107" s="654"/>
      <c r="G1107" s="589"/>
      <c r="H1107" s="267"/>
      <c r="J1107" s="267"/>
      <c r="K1107"/>
      <c r="L1107" s="783"/>
    </row>
    <row r="1108" spans="2:35" ht="15" x14ac:dyDescent="0.25">
      <c r="B1108" s="341" t="str">
        <f>$B$7</f>
        <v>TEST YEAR ENDING 12/31/2024</v>
      </c>
      <c r="C1108" s="304"/>
      <c r="D1108" s="837"/>
      <c r="E1108" s="783"/>
      <c r="F1108" s="803"/>
      <c r="G1108" s="589"/>
      <c r="H1108" s="18"/>
      <c r="J1108" s="18"/>
      <c r="K1108"/>
      <c r="L1108" s="783"/>
    </row>
    <row r="1109" spans="2:35" ht="15.75" x14ac:dyDescent="0.25">
      <c r="B1109" s="341" t="str">
        <f>$B$8</f>
        <v>SPONSOR:  MATTHEW A. TROXLE</v>
      </c>
      <c r="C1109" s="752"/>
      <c r="D1109" s="830"/>
      <c r="E1109" s="64"/>
      <c r="F1109" s="654"/>
      <c r="G1109" s="589"/>
      <c r="H1109" s="267"/>
      <c r="J1109" s="267"/>
      <c r="K1109"/>
      <c r="Y1109" s="321"/>
    </row>
    <row r="1110" spans="2:35" ht="15.75" thickBot="1" x14ac:dyDescent="0.3">
      <c r="B1110" s="345"/>
      <c r="C1110" s="840"/>
      <c r="D1110" s="841"/>
      <c r="E1110" s="304"/>
      <c r="F1110" s="654"/>
      <c r="G1110" s="589"/>
      <c r="H1110" s="267"/>
      <c r="J1110" s="267"/>
      <c r="K1110"/>
      <c r="L1110" s="304"/>
      <c r="T1110" s="321"/>
      <c r="U1110" s="321"/>
      <c r="V1110" s="321"/>
      <c r="W1110" s="321"/>
      <c r="Y1110" s="321"/>
    </row>
    <row r="1111" spans="2:35" x14ac:dyDescent="0.2">
      <c r="B1111" s="12"/>
      <c r="C1111" s="13"/>
      <c r="D1111" s="177"/>
      <c r="E1111" s="13"/>
      <c r="F1111" s="655"/>
      <c r="G1111" s="656"/>
      <c r="H1111" s="12"/>
      <c r="I1111" s="13"/>
      <c r="J1111" s="12"/>
      <c r="K1111" s="13"/>
      <c r="L1111" s="855"/>
      <c r="M1111" s="938"/>
      <c r="T1111" s="321"/>
      <c r="U1111" s="321"/>
      <c r="V1111" s="321"/>
      <c r="W1111" s="321"/>
      <c r="Y1111" s="321"/>
    </row>
    <row r="1112" spans="2:35" ht="15" x14ac:dyDescent="0.25">
      <c r="B1112" s="14" t="s">
        <v>2</v>
      </c>
      <c r="C1112" s="14" t="s">
        <v>349</v>
      </c>
      <c r="D1112" s="180" t="s">
        <v>298</v>
      </c>
      <c r="E1112" s="14" t="s">
        <v>350</v>
      </c>
      <c r="F1112" s="226" t="str">
        <f>'II-I-DIST'!F1112</f>
        <v>DIST</v>
      </c>
      <c r="G1112" s="661" t="str">
        <f>'II-I-DIST'!H1112</f>
        <v>Allocation</v>
      </c>
      <c r="H1112" s="226" t="str">
        <f>'II-I-MET'!F1112</f>
        <v>MET</v>
      </c>
      <c r="I1112" s="181" t="str">
        <f>'II-I-MET'!H1112</f>
        <v>Allocation</v>
      </c>
      <c r="J1112" s="226" t="str">
        <f>'II-I-TBILLTDCS'!F1112</f>
        <v>TBILLTDCS</v>
      </c>
      <c r="K1112" s="181" t="str">
        <f>'II-I-TBILLTDCS'!H1112</f>
        <v>Allocation</v>
      </c>
      <c r="L1112" s="660" t="s">
        <v>434</v>
      </c>
      <c r="M1112" s="932" t="s">
        <v>970</v>
      </c>
      <c r="T1112" s="321"/>
      <c r="U1112" s="321"/>
      <c r="V1112" s="321"/>
      <c r="W1112" s="321"/>
      <c r="Y1112" s="321"/>
    </row>
    <row r="1113" spans="2:35" x14ac:dyDescent="0.2">
      <c r="B1113" s="14"/>
      <c r="C1113" s="14"/>
      <c r="D1113" s="181"/>
      <c r="E1113" s="14"/>
      <c r="F1113" s="660"/>
      <c r="G1113" s="661" t="str">
        <f>'II-I-DIST'!H1113</f>
        <v>Factor</v>
      </c>
      <c r="H1113" s="14"/>
      <c r="I1113" s="181" t="str">
        <f>'II-I-MET'!H1113</f>
        <v>Factor</v>
      </c>
      <c r="J1113" s="14"/>
      <c r="K1113" s="181" t="str">
        <f>'II-I-TBILLTDCS'!H1113</f>
        <v>Factor</v>
      </c>
      <c r="L1113" s="660" t="s">
        <v>31</v>
      </c>
      <c r="M1113" s="939"/>
      <c r="T1113" s="321"/>
      <c r="U1113" s="321"/>
      <c r="V1113" s="321"/>
      <c r="W1113" s="321"/>
      <c r="X1113" s="321"/>
      <c r="Y1113" s="321"/>
    </row>
    <row r="1114" spans="2:35" ht="15.75" thickBot="1" x14ac:dyDescent="0.25">
      <c r="B1114" s="182"/>
      <c r="C1114" s="860"/>
      <c r="D1114" s="184"/>
      <c r="E1114" s="184"/>
      <c r="F1114" s="664" t="str">
        <f>'II-I-DIST'!F1114</f>
        <v>(a)</v>
      </c>
      <c r="G1114" s="664" t="str">
        <f>'II-I-DIST'!H1114</f>
        <v>(c)</v>
      </c>
      <c r="H1114" s="664" t="str">
        <f>'II-I-MET'!F1114</f>
        <v>(a)</v>
      </c>
      <c r="I1114" s="15" t="str">
        <f>'II-I-MET'!H1114</f>
        <v>(c)</v>
      </c>
      <c r="J1114" s="664" t="str">
        <f>'II-I-TBILLTDCS'!F1114</f>
        <v>(a)</v>
      </c>
      <c r="K1114" s="15" t="str">
        <f>'II-I-TBILLTDCS'!H1114</f>
        <v>(c)</v>
      </c>
      <c r="L1114" s="664" t="s">
        <v>19</v>
      </c>
      <c r="M1114" s="934" t="s">
        <v>1056</v>
      </c>
      <c r="T1114" s="321"/>
      <c r="U1114" s="321"/>
      <c r="V1114" s="321"/>
      <c r="W1114" s="321"/>
      <c r="X1114" s="321"/>
      <c r="Y1114" s="321"/>
      <c r="AD1114" s="321"/>
      <c r="AE1114" s="321"/>
      <c r="AF1114" s="321"/>
      <c r="AG1114" s="321"/>
      <c r="AH1114" s="321"/>
    </row>
    <row r="1115" spans="2:35" x14ac:dyDescent="0.2">
      <c r="B1115" s="64"/>
      <c r="C1115" s="268"/>
      <c r="D1115" s="268"/>
      <c r="E1115" s="268"/>
      <c r="F1115" s="666"/>
      <c r="G1115" s="666"/>
      <c r="H1115" s="268"/>
      <c r="I1115" s="268"/>
      <c r="J1115" s="268"/>
      <c r="K1115" s="268"/>
      <c r="L1115" s="611"/>
      <c r="T1115" s="321"/>
      <c r="U1115" s="321"/>
      <c r="V1115" s="321"/>
      <c r="W1115" s="321"/>
      <c r="X1115" s="321"/>
      <c r="AD1115" s="321"/>
      <c r="AE1115" s="321"/>
      <c r="AF1115" s="321"/>
      <c r="AG1115" s="321"/>
      <c r="AH1115" s="321"/>
    </row>
    <row r="1116" spans="2:35" ht="15" x14ac:dyDescent="0.25">
      <c r="B1116" s="16">
        <f t="shared" ref="B1116:B1137" si="52">B1115+1</f>
        <v>1</v>
      </c>
      <c r="C1116" s="301" t="s">
        <v>298</v>
      </c>
      <c r="D1116" s="8"/>
      <c r="E1116" s="831"/>
      <c r="F1116" s="805"/>
      <c r="G1116" s="1308"/>
      <c r="H1116" s="805"/>
      <c r="I1116" s="1308"/>
      <c r="J1116" s="805"/>
      <c r="K1116" s="1308"/>
      <c r="L1116" s="8"/>
      <c r="X1116" s="321"/>
      <c r="AD1116" s="321"/>
      <c r="AE1116" s="321"/>
      <c r="AF1116" s="321"/>
      <c r="AG1116" s="321"/>
      <c r="AH1116" s="321"/>
    </row>
    <row r="1117" spans="2:35" x14ac:dyDescent="0.2">
      <c r="B1117" s="16">
        <f t="shared" si="52"/>
        <v>2</v>
      </c>
      <c r="C1117" s="1"/>
      <c r="D1117" s="1"/>
      <c r="E1117" s="16"/>
      <c r="F1117" s="803"/>
      <c r="G1117" s="645"/>
      <c r="H1117" s="18"/>
      <c r="I1117" s="16"/>
      <c r="J1117" s="18"/>
      <c r="K1117" s="16"/>
      <c r="L1117" s="647"/>
      <c r="X1117" s="321"/>
      <c r="AD1117" s="321"/>
      <c r="AE1117" s="321"/>
      <c r="AF1117" s="321"/>
      <c r="AG1117" s="321"/>
      <c r="AH1117" s="321"/>
    </row>
    <row r="1118" spans="2:35" ht="15" x14ac:dyDescent="0.25">
      <c r="B1118" s="16">
        <f t="shared" si="52"/>
        <v>3</v>
      </c>
      <c r="C1118" s="8"/>
      <c r="D1118" s="32" t="s">
        <v>340</v>
      </c>
      <c r="E1118" s="831" t="s">
        <v>462</v>
      </c>
      <c r="F1118" s="805">
        <f>'II-I-DIST'!F1118</f>
        <v>1009018361.9291829</v>
      </c>
      <c r="G1118" s="1308"/>
      <c r="H1118" s="805">
        <f>'II-I-MET'!F1118</f>
        <v>32952955.556200724</v>
      </c>
      <c r="I1118" s="1308"/>
      <c r="J1118" s="805">
        <f>'II-I-TBILLTDCS'!F1118</f>
        <v>17186005.438984014</v>
      </c>
      <c r="K1118" s="1308"/>
      <c r="L1118" s="805">
        <f>F1118+H1118+J1118</f>
        <v>1059157322.9243677</v>
      </c>
      <c r="N1118" s="305" t="b">
        <f>IF(' WP II-I-1.4'!$L$27=L1118,TRUE)</f>
        <v>1</v>
      </c>
      <c r="X1118" s="321"/>
      <c r="AD1118" s="321"/>
      <c r="AE1118" s="321"/>
      <c r="AF1118" s="321"/>
      <c r="AG1118" s="321"/>
      <c r="AH1118" s="321"/>
      <c r="AI1118" s="321"/>
    </row>
    <row r="1119" spans="2:35" x14ac:dyDescent="0.2">
      <c r="B1119" s="16">
        <f t="shared" si="52"/>
        <v>4</v>
      </c>
      <c r="C1119" s="1"/>
      <c r="D1119" s="1"/>
      <c r="E1119" s="16"/>
      <c r="F1119" s="803">
        <f>'II-I-DIST'!F1119</f>
        <v>0</v>
      </c>
      <c r="G1119" s="645"/>
      <c r="H1119" s="18">
        <f>'II-I-MET'!F1119</f>
        <v>0</v>
      </c>
      <c r="I1119" s="16"/>
      <c r="J1119" s="18">
        <f>'II-I-TBILLTDCS'!F1119</f>
        <v>0</v>
      </c>
      <c r="K1119" s="16"/>
      <c r="L1119" s="647"/>
      <c r="AD1119" s="321"/>
      <c r="AE1119" s="321"/>
      <c r="AF1119" s="321"/>
      <c r="AG1119" s="321"/>
      <c r="AH1119" s="321"/>
      <c r="AI1119" s="321"/>
    </row>
    <row r="1120" spans="2:35" ht="15" x14ac:dyDescent="0.25">
      <c r="B1120" s="16">
        <f t="shared" si="52"/>
        <v>5</v>
      </c>
      <c r="C1120" s="1"/>
      <c r="D1120" s="8" t="s">
        <v>300</v>
      </c>
      <c r="E1120" s="831" t="s">
        <v>299</v>
      </c>
      <c r="F1120" s="803">
        <f>'II-I-DIST'!F1120</f>
        <v>0</v>
      </c>
      <c r="G1120" s="1308"/>
      <c r="H1120" s="18">
        <f>'II-I-MET'!F1120</f>
        <v>0</v>
      </c>
      <c r="I1120" s="1308"/>
      <c r="J1120" s="18">
        <f>'II-I-TBILLTDCS'!F1120</f>
        <v>0</v>
      </c>
      <c r="K1120" s="1308"/>
      <c r="L1120" s="647"/>
      <c r="AI1120" s="321"/>
    </row>
    <row r="1121" spans="2:35" s="321" customFormat="1" ht="42.75" x14ac:dyDescent="0.2">
      <c r="B1121" s="16">
        <f t="shared" si="52"/>
        <v>6</v>
      </c>
      <c r="C1121" s="1"/>
      <c r="D1121" t="s">
        <v>301</v>
      </c>
      <c r="E1121" s="16"/>
      <c r="F1121" s="646">
        <f>'II-I-DIST'!F1121</f>
        <v>367406953.74000001</v>
      </c>
      <c r="G1121" s="620" t="str">
        <f>'II-I-DIST'!H1121</f>
        <v>RATEBASE</v>
      </c>
      <c r="H1121" s="97">
        <f>'II-I-MET'!F1121</f>
        <v>11998934.289999999</v>
      </c>
      <c r="I1121" s="45" t="str">
        <f>'II-I-MET'!H1121</f>
        <v>RATEBASE</v>
      </c>
      <c r="J1121" s="97">
        <f>'II-I-TBILLTDCS'!F1121</f>
        <v>6257822.5999999996</v>
      </c>
      <c r="K1121" s="45" t="str">
        <f>'II-I-TBILLTDCS'!H1121</f>
        <v>RATEBASE</v>
      </c>
      <c r="L1121" s="802">
        <f t="shared" ref="L1121:L1126" si="53">F1121+H1121+J1121</f>
        <v>385663710.63000005</v>
      </c>
      <c r="M1121" s="935" t="s">
        <v>1044</v>
      </c>
      <c r="N1121" s="305" t="b">
        <f>IF(' WP II-I-1.4'!$L1121=L1121,TRUE)</f>
        <v>1</v>
      </c>
      <c r="R1121"/>
      <c r="S1121"/>
      <c r="T1121"/>
      <c r="U1121"/>
      <c r="V1121"/>
      <c r="W1121"/>
      <c r="X1121"/>
      <c r="Z1121"/>
      <c r="AA1121"/>
      <c r="AB1121"/>
      <c r="AC1121"/>
      <c r="AD1121"/>
      <c r="AE1121"/>
      <c r="AF1121"/>
      <c r="AG1121"/>
      <c r="AH1121"/>
    </row>
    <row r="1122" spans="2:35" s="321" customFormat="1" x14ac:dyDescent="0.2">
      <c r="B1122" s="16">
        <f t="shared" si="52"/>
        <v>7</v>
      </c>
      <c r="C1122" s="1"/>
      <c r="D1122" t="s">
        <v>302</v>
      </c>
      <c r="E1122" s="16"/>
      <c r="F1122" s="646">
        <f>'II-I-DIST'!F1122</f>
        <v>0</v>
      </c>
      <c r="G1122" s="620" t="str">
        <f>'II-I-DIST'!H1122</f>
        <v>PLANT_N</v>
      </c>
      <c r="H1122" s="97">
        <f>'II-I-MET'!F1122</f>
        <v>0</v>
      </c>
      <c r="I1122" s="45" t="str">
        <f>'II-I-MET'!H1122</f>
        <v>PLANT_N</v>
      </c>
      <c r="J1122" s="97">
        <f>'II-I-TBILLTDCS'!F1122</f>
        <v>0</v>
      </c>
      <c r="K1122" s="45" t="str">
        <f>'II-I-TBILLTDCS'!H1122</f>
        <v>PLANT_N</v>
      </c>
      <c r="L1122" s="802">
        <f t="shared" si="53"/>
        <v>0</v>
      </c>
      <c r="M1122" s="935"/>
      <c r="N1122" s="305" t="b">
        <f>IF(' WP II-I-1.4'!$L1122=L1122,TRUE)</f>
        <v>1</v>
      </c>
      <c r="R1122"/>
      <c r="S1122"/>
      <c r="T1122"/>
      <c r="U1122"/>
      <c r="V1122"/>
      <c r="W1122"/>
      <c r="X1122"/>
      <c r="Z1122"/>
      <c r="AA1122"/>
      <c r="AB1122"/>
      <c r="AC1122"/>
      <c r="AD1122"/>
      <c r="AE1122"/>
      <c r="AF1122"/>
      <c r="AG1122"/>
      <c r="AH1122"/>
    </row>
    <row r="1123" spans="2:35" s="321" customFormat="1" ht="42.75" x14ac:dyDescent="0.2">
      <c r="B1123" s="16">
        <f t="shared" si="52"/>
        <v>8</v>
      </c>
      <c r="C1123" s="1"/>
      <c r="D1123" t="s">
        <v>1128</v>
      </c>
      <c r="E1123" s="16"/>
      <c r="F1123" s="646">
        <f>'II-I-DIST'!F1123</f>
        <v>7936236.2800000003</v>
      </c>
      <c r="G1123" s="620" t="str">
        <f>'II-I-DIST'!H1123</f>
        <v>RATEBASE</v>
      </c>
      <c r="H1123" s="97">
        <f>'II-I-MET'!F1123</f>
        <v>237864.14</v>
      </c>
      <c r="I1123" s="45" t="str">
        <f>'II-I-MET'!H1123</f>
        <v>RATEBASE</v>
      </c>
      <c r="J1123" s="97">
        <f>'II-I-TBILLTDCS'!F1123</f>
        <v>157246.0099999985</v>
      </c>
      <c r="K1123" s="45" t="str">
        <f>'II-I-TBILLTDCS'!H1123</f>
        <v>RATEBASE</v>
      </c>
      <c r="L1123" s="802">
        <f t="shared" si="53"/>
        <v>8331346.4299999988</v>
      </c>
      <c r="M1123" s="935" t="s">
        <v>1044</v>
      </c>
      <c r="N1123" s="305" t="b">
        <f>IF(' WP II-I-1.4'!$L1123=L1123,TRUE)</f>
        <v>1</v>
      </c>
      <c r="R1123"/>
      <c r="S1123"/>
      <c r="T1123"/>
      <c r="U1123"/>
      <c r="V1123"/>
      <c r="W1123"/>
      <c r="X1123"/>
      <c r="Z1123"/>
      <c r="AA1123"/>
      <c r="AB1123"/>
      <c r="AC1123"/>
      <c r="AD1123"/>
      <c r="AE1123"/>
      <c r="AF1123"/>
      <c r="AG1123"/>
      <c r="AH1123"/>
    </row>
    <row r="1124" spans="2:35" s="321" customFormat="1" ht="42.75" x14ac:dyDescent="0.2">
      <c r="B1124" s="16">
        <f t="shared" si="52"/>
        <v>9</v>
      </c>
      <c r="C1124" s="1"/>
      <c r="D1124" t="s">
        <v>1129</v>
      </c>
      <c r="E1124" s="16"/>
      <c r="F1124" s="646">
        <f>'II-I-DIST'!F1124</f>
        <v>18862682.34</v>
      </c>
      <c r="G1124" s="620" t="str">
        <f>'II-I-DIST'!H1124</f>
        <v>RATEBASE</v>
      </c>
      <c r="H1124" s="97">
        <f>'II-I-MET'!F1124</f>
        <v>2497334.4699999997</v>
      </c>
      <c r="I1124" s="45" t="str">
        <f>'II-I-MET'!H1124</f>
        <v>RATEBASE</v>
      </c>
      <c r="J1124" s="97">
        <f>'II-I-TBILLTDCS'!F1124</f>
        <v>-252101.1100000001</v>
      </c>
      <c r="K1124" s="45" t="str">
        <f>'II-I-TBILLTDCS'!H1124</f>
        <v>RATEBASE</v>
      </c>
      <c r="L1124" s="802">
        <f t="shared" si="53"/>
        <v>21107915.699999999</v>
      </c>
      <c r="M1124" s="935" t="s">
        <v>1044</v>
      </c>
      <c r="N1124" s="305" t="b">
        <f>IF(' WP II-I-1.4'!$L1124=L1124,TRUE)</f>
        <v>1</v>
      </c>
      <c r="R1124"/>
      <c r="S1124"/>
      <c r="X1124"/>
      <c r="Z1124"/>
      <c r="AA1124"/>
      <c r="AB1124"/>
      <c r="AC1124"/>
      <c r="AD1124"/>
      <c r="AE1124"/>
      <c r="AF1124"/>
      <c r="AG1124"/>
      <c r="AH1124"/>
      <c r="AI1124"/>
    </row>
    <row r="1125" spans="2:35" s="321" customFormat="1" ht="42.75" x14ac:dyDescent="0.2">
      <c r="B1125" s="16">
        <f>B1124+1</f>
        <v>10</v>
      </c>
      <c r="C1125" s="1"/>
      <c r="D1125" t="s">
        <v>1130</v>
      </c>
      <c r="E1125" s="16"/>
      <c r="F1125" s="646">
        <f>'II-I-DIST'!F1125</f>
        <v>-3166047.5599999996</v>
      </c>
      <c r="G1125" s="620" t="str">
        <f>'II-I-DIST'!H1125</f>
        <v>RATEBASE</v>
      </c>
      <c r="H1125" s="97">
        <f>'II-I-MET'!F1125</f>
        <v>-94892.49</v>
      </c>
      <c r="I1125" s="45" t="str">
        <f>'II-I-MET'!H1125</f>
        <v>RATEBASE</v>
      </c>
      <c r="J1125" s="97">
        <f>'II-I-TBILLTDCS'!F1125</f>
        <v>-62731.040000000001</v>
      </c>
      <c r="K1125" s="45" t="str">
        <f>'II-I-TBILLTDCS'!H1125</f>
        <v>RATEBASE</v>
      </c>
      <c r="L1125" s="802">
        <f t="shared" si="53"/>
        <v>-3323671.09</v>
      </c>
      <c r="M1125" s="935" t="s">
        <v>1044</v>
      </c>
      <c r="N1125" s="305" t="b">
        <f>IF(' WP II-I-1.4'!$L1125=L1125,TRUE)</f>
        <v>1</v>
      </c>
      <c r="R1125"/>
      <c r="S1125"/>
      <c r="X1125"/>
      <c r="Z1125"/>
      <c r="AA1125"/>
      <c r="AB1125"/>
      <c r="AC1125"/>
      <c r="AD1125"/>
      <c r="AE1125"/>
      <c r="AF1125"/>
      <c r="AG1125"/>
      <c r="AH1125"/>
      <c r="AI1125"/>
    </row>
    <row r="1126" spans="2:35" s="321" customFormat="1" x14ac:dyDescent="0.2">
      <c r="B1126" s="16">
        <f t="shared" si="52"/>
        <v>11</v>
      </c>
      <c r="C1126" s="1"/>
      <c r="D1126" s="321" t="s">
        <v>1303</v>
      </c>
      <c r="E1126" s="16"/>
      <c r="F1126" s="646">
        <f>'II-I-DIST'!F1126</f>
        <v>41205.93</v>
      </c>
      <c r="G1126" s="620" t="str">
        <f>'II-I-DIST'!H1126</f>
        <v>RATEBASE</v>
      </c>
      <c r="H1126" s="97">
        <f>'II-I-MET'!F1126</f>
        <v>1235.02</v>
      </c>
      <c r="I1126" s="45" t="str">
        <f>'II-I-MET'!H1126</f>
        <v>RATEBASE</v>
      </c>
      <c r="J1126" s="97">
        <f>'II-I-TBILLTDCS'!F1126</f>
        <v>816.43000000000438</v>
      </c>
      <c r="K1126" s="45" t="str">
        <f>'II-I-TBILLTDCS'!H1126</f>
        <v>RATEBASE</v>
      </c>
      <c r="L1126" s="802">
        <f t="shared" si="53"/>
        <v>43257.380000000005</v>
      </c>
      <c r="M1126" s="935"/>
      <c r="N1126" s="305" t="b">
        <f>IF(' WP II-I-1.4'!$L1126=L1126,TRUE)</f>
        <v>1</v>
      </c>
      <c r="R1126"/>
      <c r="S1126"/>
      <c r="X1126"/>
      <c r="Z1126"/>
      <c r="AA1126"/>
      <c r="AB1126"/>
      <c r="AC1126"/>
      <c r="AI1126"/>
    </row>
    <row r="1127" spans="2:35" x14ac:dyDescent="0.2">
      <c r="B1127" s="16">
        <f>B1126+1</f>
        <v>12</v>
      </c>
      <c r="C1127" s="1"/>
      <c r="E1127" s="16"/>
      <c r="F1127" s="646">
        <f>'II-I-DIST'!F1127</f>
        <v>0</v>
      </c>
      <c r="G1127" s="620"/>
      <c r="H1127" s="97">
        <f>'II-I-MET'!F1127</f>
        <v>0</v>
      </c>
      <c r="I1127" s="45"/>
      <c r="J1127" s="97">
        <f>'II-I-TBILLTDCS'!F1127</f>
        <v>0</v>
      </c>
      <c r="K1127" s="45"/>
      <c r="L1127" s="802">
        <f t="shared" ref="L1127" si="54">F1127+H1127+J1127</f>
        <v>0</v>
      </c>
      <c r="T1127" s="321"/>
      <c r="U1127" s="321"/>
      <c r="V1127" s="321"/>
      <c r="W1127" s="321"/>
      <c r="X1127" s="321"/>
      <c r="AD1127" s="321"/>
      <c r="AE1127" s="321"/>
      <c r="AF1127" s="321"/>
      <c r="AG1127" s="321"/>
      <c r="AH1127" s="321"/>
    </row>
    <row r="1128" spans="2:35" x14ac:dyDescent="0.2">
      <c r="B1128" s="16">
        <f t="shared" si="52"/>
        <v>13</v>
      </c>
      <c r="C1128" s="1"/>
      <c r="D1128" s="1"/>
      <c r="E1128" s="16"/>
      <c r="F1128" s="646">
        <f>'II-I-DIST'!F1128</f>
        <v>0</v>
      </c>
      <c r="G1128" s="620"/>
      <c r="H1128" s="97">
        <f>'II-I-MET'!F1128</f>
        <v>0</v>
      </c>
      <c r="I1128" s="45"/>
      <c r="J1128" s="97">
        <f>'II-I-TBILLTDCS'!F1128</f>
        <v>0</v>
      </c>
      <c r="K1128" s="45"/>
      <c r="L1128" s="802"/>
      <c r="T1128" s="321"/>
      <c r="U1128" s="321"/>
      <c r="V1128" s="321"/>
      <c r="W1128" s="321"/>
      <c r="X1128" s="321"/>
      <c r="AD1128" s="321"/>
      <c r="AE1128" s="321"/>
      <c r="AF1128" s="321"/>
      <c r="AG1128" s="321"/>
      <c r="AH1128" s="321"/>
    </row>
    <row r="1129" spans="2:35" ht="12.95" customHeight="1" x14ac:dyDescent="0.2">
      <c r="B1129" s="16">
        <f t="shared" si="52"/>
        <v>14</v>
      </c>
      <c r="C1129" s="1"/>
      <c r="D1129" s="1"/>
      <c r="E1129" s="16"/>
      <c r="F1129" s="646">
        <f>'II-I-DIST'!F1129</f>
        <v>0</v>
      </c>
      <c r="G1129" s="620"/>
      <c r="H1129" s="97">
        <f>'II-I-MET'!F1129</f>
        <v>0</v>
      </c>
      <c r="I1129" s="45"/>
      <c r="J1129" s="97">
        <f>'II-I-TBILLTDCS'!F1129</f>
        <v>0</v>
      </c>
      <c r="K1129" s="45"/>
      <c r="L1129" s="802"/>
      <c r="X1129" s="321"/>
      <c r="AD1129" s="321"/>
      <c r="AE1129" s="321"/>
      <c r="AF1129" s="321"/>
      <c r="AG1129" s="321"/>
      <c r="AH1129" s="321"/>
    </row>
    <row r="1130" spans="2:35" ht="15" x14ac:dyDescent="0.25">
      <c r="B1130" s="16">
        <f>B1129+1</f>
        <v>15</v>
      </c>
      <c r="C1130" s="8"/>
      <c r="D1130" s="233" t="s">
        <v>444</v>
      </c>
      <c r="E1130" s="831"/>
      <c r="F1130" s="805">
        <f>'II-I-DIST'!F1130</f>
        <v>391081030.72999996</v>
      </c>
      <c r="G1130" s="1308"/>
      <c r="H1130" s="805">
        <f>'II-I-MET'!F1130</f>
        <v>14640475.429999998</v>
      </c>
      <c r="I1130" s="1308"/>
      <c r="J1130" s="805">
        <f>'II-I-TBILLTDCS'!F1130</f>
        <v>6101052.8899999978</v>
      </c>
      <c r="K1130" s="1308"/>
      <c r="L1130" s="805">
        <f>F1130+H1130+J1130</f>
        <v>411822559.04999995</v>
      </c>
      <c r="N1130" s="305" t="b">
        <f>IF(' WP II-I-1.4'!$L1130=L1130,TRUE)</f>
        <v>1</v>
      </c>
      <c r="X1130" s="321"/>
      <c r="AD1130" s="321"/>
      <c r="AE1130" s="321"/>
      <c r="AF1130" s="321"/>
      <c r="AG1130" s="321"/>
      <c r="AH1130" s="321"/>
      <c r="AI1130" s="321"/>
    </row>
    <row r="1131" spans="2:35" x14ac:dyDescent="0.2">
      <c r="B1131" s="16">
        <f t="shared" si="52"/>
        <v>16</v>
      </c>
      <c r="C1131" s="1"/>
      <c r="D1131" s="1"/>
      <c r="E1131" s="16"/>
      <c r="F1131" s="670"/>
      <c r="G1131" s="645"/>
      <c r="H1131" s="100"/>
      <c r="I1131" s="16"/>
      <c r="J1131" s="100"/>
      <c r="K1131" s="16"/>
      <c r="L1131" s="670"/>
      <c r="X1131" s="321"/>
      <c r="AD1131" s="321"/>
      <c r="AE1131" s="321"/>
      <c r="AF1131" s="321"/>
      <c r="AG1131" s="321"/>
      <c r="AH1131" s="321"/>
      <c r="AI1131" s="321"/>
    </row>
    <row r="1132" spans="2:35" ht="15" x14ac:dyDescent="0.25">
      <c r="B1132" s="16">
        <f t="shared" si="52"/>
        <v>17</v>
      </c>
      <c r="C1132" s="8"/>
      <c r="D1132" s="8" t="s">
        <v>304</v>
      </c>
      <c r="E1132" s="831" t="s">
        <v>299</v>
      </c>
      <c r="F1132" s="805"/>
      <c r="G1132" s="1308"/>
      <c r="H1132" s="805"/>
      <c r="I1132" s="1308"/>
      <c r="J1132" s="805"/>
      <c r="K1132" s="1308"/>
      <c r="L1132" s="8"/>
      <c r="T1132" s="321"/>
      <c r="U1132" s="321"/>
      <c r="V1132" s="321"/>
      <c r="W1132" s="321"/>
      <c r="AI1132" s="321"/>
    </row>
    <row r="1133" spans="2:35" s="321" customFormat="1" x14ac:dyDescent="0.2">
      <c r="B1133" s="16">
        <f t="shared" si="52"/>
        <v>18</v>
      </c>
      <c r="C1133" s="1"/>
      <c r="D1133" s="1" t="s">
        <v>306</v>
      </c>
      <c r="E1133" s="16"/>
      <c r="F1133" s="668">
        <f>'II-I-DIST'!F1133</f>
        <v>459298.48</v>
      </c>
      <c r="G1133" s="620" t="str">
        <f>'II-I-DIST'!H1133</f>
        <v>PLANT_N</v>
      </c>
      <c r="H1133" s="97">
        <f>'II-I-MET'!F1133</f>
        <v>13766.05</v>
      </c>
      <c r="I1133" s="45" t="str">
        <f>'II-I-MET'!H1133</f>
        <v>PLANT_N</v>
      </c>
      <c r="J1133" s="97">
        <f>'II-I-TBILLTDCS'!F1133</f>
        <v>9100.39</v>
      </c>
      <c r="K1133" s="45" t="str">
        <f>'II-I-TBILLTDCS'!H1133</f>
        <v>PLANT_N</v>
      </c>
      <c r="L1133" s="802">
        <f t="shared" ref="L1133:L1137" si="55">F1133+H1133+J1133</f>
        <v>482164.92</v>
      </c>
      <c r="M1133" s="935" t="s">
        <v>1045</v>
      </c>
      <c r="N1133" s="305" t="b">
        <f>IF(' WP II-I-1.4'!$L1133=L1133,TRUE)</f>
        <v>1</v>
      </c>
      <c r="R1133"/>
      <c r="S1133"/>
      <c r="X1133"/>
      <c r="Y1133"/>
      <c r="Z1133"/>
      <c r="AA1133"/>
      <c r="AB1133"/>
      <c r="AC1133"/>
      <c r="AD1133"/>
      <c r="AE1133"/>
      <c r="AF1133"/>
      <c r="AG1133"/>
      <c r="AH1133"/>
    </row>
    <row r="1134" spans="2:35" s="321" customFormat="1" x14ac:dyDescent="0.2">
      <c r="B1134" s="16">
        <f t="shared" si="52"/>
        <v>19</v>
      </c>
      <c r="C1134" s="1"/>
      <c r="D1134" s="1" t="s">
        <v>1131</v>
      </c>
      <c r="E1134" s="16"/>
      <c r="F1134" s="668">
        <f>'II-I-DIST'!F1134</f>
        <v>2588073.41</v>
      </c>
      <c r="G1134" s="620" t="str">
        <f>'II-I-DIST'!H1134</f>
        <v>RATEBASE</v>
      </c>
      <c r="H1134" s="97">
        <f>'II-I-MET'!F1134</f>
        <v>723694.89</v>
      </c>
      <c r="I1134" s="45" t="str">
        <f>'II-I-MET'!H1134</f>
        <v>RATEBASE</v>
      </c>
      <c r="J1134" s="97">
        <f>'II-I-TBILLTDCS'!F1134</f>
        <v>29664.399999999558</v>
      </c>
      <c r="K1134" s="45" t="str">
        <f>'II-I-TBILLTDCS'!H1134</f>
        <v>RATEBASE</v>
      </c>
      <c r="L1134" s="802">
        <f t="shared" si="55"/>
        <v>3341432.6999999997</v>
      </c>
      <c r="M1134" s="935"/>
      <c r="N1134" s="305" t="b">
        <f>IF(' WP II-I-1.4'!$L1134=L1134,TRUE)</f>
        <v>1</v>
      </c>
      <c r="R1134"/>
      <c r="S1134"/>
      <c r="X1134"/>
      <c r="Y1134"/>
      <c r="Z1134"/>
      <c r="AA1134"/>
      <c r="AB1134"/>
      <c r="AC1134"/>
      <c r="AD1134"/>
      <c r="AE1134"/>
      <c r="AF1134"/>
      <c r="AG1134"/>
      <c r="AH1134"/>
    </row>
    <row r="1135" spans="2:35" s="321" customFormat="1" x14ac:dyDescent="0.2">
      <c r="B1135" s="16">
        <f t="shared" si="52"/>
        <v>20</v>
      </c>
      <c r="C1135" s="1"/>
      <c r="D1135" s="1" t="s">
        <v>1132</v>
      </c>
      <c r="E1135" s="16"/>
      <c r="F1135" s="668">
        <f>'II-I-DIST'!F1135</f>
        <v>0</v>
      </c>
      <c r="G1135" s="620" t="str">
        <f>'II-I-DIST'!H1135</f>
        <v>RATEBASE</v>
      </c>
      <c r="H1135" s="97">
        <f>'II-I-MET'!F1135</f>
        <v>0</v>
      </c>
      <c r="I1135" s="45" t="str">
        <f>'II-I-MET'!H1135</f>
        <v>RATEBASE</v>
      </c>
      <c r="J1135" s="97">
        <f>'II-I-TBILLTDCS'!F1135</f>
        <v>0</v>
      </c>
      <c r="K1135" s="45" t="str">
        <f>'II-I-TBILLTDCS'!H1135</f>
        <v>RATEBASE</v>
      </c>
      <c r="L1135" s="802">
        <f t="shared" si="55"/>
        <v>0</v>
      </c>
      <c r="M1135" s="935"/>
      <c r="N1135" s="305" t="b">
        <f>IF(' WP II-I-1.4'!$L1135=L1135,TRUE)</f>
        <v>1</v>
      </c>
      <c r="R1135"/>
      <c r="S1135"/>
      <c r="T1135"/>
      <c r="U1135"/>
      <c r="V1135"/>
      <c r="W1135"/>
      <c r="Z1135"/>
      <c r="AA1135"/>
      <c r="AB1135"/>
      <c r="AC1135"/>
      <c r="AD1135"/>
      <c r="AE1135"/>
      <c r="AF1135"/>
      <c r="AG1135"/>
      <c r="AH1135"/>
    </row>
    <row r="1136" spans="2:35" s="321" customFormat="1" x14ac:dyDescent="0.2">
      <c r="B1136" s="16">
        <f t="shared" si="52"/>
        <v>21</v>
      </c>
      <c r="C1136" s="1"/>
      <c r="D1136" s="1" t="s">
        <v>1133</v>
      </c>
      <c r="E1136" s="16"/>
      <c r="F1136" s="668">
        <f>'II-I-DIST'!F1136</f>
        <v>915563.86</v>
      </c>
      <c r="G1136" s="620" t="str">
        <f>'II-I-DIST'!H1136</f>
        <v>PAYROLL</v>
      </c>
      <c r="H1136" s="97">
        <f>'II-I-MET'!F1136</f>
        <v>256016.27</v>
      </c>
      <c r="I1136" s="45" t="str">
        <f>'II-I-MET'!H1136</f>
        <v>PAYROLL</v>
      </c>
      <c r="J1136" s="97">
        <f>'II-I-TBILLTDCS'!F1136</f>
        <v>10494.150000000052</v>
      </c>
      <c r="K1136" s="45" t="str">
        <f>'II-I-TBILLTDCS'!H1136</f>
        <v>PAYROLL</v>
      </c>
      <c r="L1136" s="802">
        <f t="shared" si="55"/>
        <v>1182074.28</v>
      </c>
      <c r="M1136" s="935" t="s">
        <v>1046</v>
      </c>
      <c r="N1136" s="305" t="b">
        <f>IF(' WP II-I-1.4'!$L1136=L1136,TRUE)</f>
        <v>1</v>
      </c>
      <c r="R1136"/>
      <c r="S1136"/>
      <c r="T1136"/>
      <c r="U1136"/>
      <c r="V1136"/>
      <c r="W1136"/>
      <c r="Z1136"/>
      <c r="AA1136"/>
      <c r="AB1136"/>
      <c r="AC1136"/>
      <c r="AD1136"/>
      <c r="AE1136"/>
      <c r="AF1136"/>
      <c r="AG1136"/>
      <c r="AH1136"/>
      <c r="AI1136"/>
    </row>
    <row r="1137" spans="2:35" s="321" customFormat="1" ht="28.5" x14ac:dyDescent="0.2">
      <c r="B1137" s="16">
        <f t="shared" si="52"/>
        <v>22</v>
      </c>
      <c r="C1137" s="1"/>
      <c r="D1137" s="26" t="s">
        <v>1134</v>
      </c>
      <c r="E1137" s="16"/>
      <c r="F1137" s="668">
        <f>'II-I-DIST'!F1137</f>
        <v>-7595322.4699999997</v>
      </c>
      <c r="G1137" s="620" t="str">
        <f>'II-I-DIST'!H1137</f>
        <v>OPEB MED</v>
      </c>
      <c r="H1137" s="97">
        <f>'II-I-MET'!F1137</f>
        <v>-2721141.47</v>
      </c>
      <c r="I1137" s="45" t="str">
        <f>'II-I-MET'!H1137</f>
        <v>OPEB MED</v>
      </c>
      <c r="J1137" s="97">
        <f>'II-I-TBILLTDCS'!F1137</f>
        <v>-936334.28000000259</v>
      </c>
      <c r="K1137" s="45" t="str">
        <f>'II-I-TBILLTDCS'!H1137</f>
        <v>OPEB MED</v>
      </c>
      <c r="L1137" s="802">
        <f t="shared" si="55"/>
        <v>-11252798.220000003</v>
      </c>
      <c r="M1137" s="935" t="s">
        <v>990</v>
      </c>
      <c r="N1137" s="305" t="b">
        <f>IF(' WP II-I-1.4'!$L1137=L1137,TRUE)</f>
        <v>1</v>
      </c>
      <c r="R1137"/>
      <c r="S1137"/>
      <c r="T1137"/>
      <c r="U1137"/>
      <c r="V1137"/>
      <c r="W1137"/>
      <c r="Z1137"/>
      <c r="AA1137"/>
      <c r="AB1137"/>
      <c r="AC1137"/>
      <c r="AD1137"/>
      <c r="AE1137"/>
      <c r="AF1137"/>
      <c r="AG1137"/>
      <c r="AH1137"/>
      <c r="AI1137"/>
    </row>
    <row r="1138" spans="2:35" s="321" customFormat="1" x14ac:dyDescent="0.2">
      <c r="B1138" s="16">
        <f>B1137+1</f>
        <v>23</v>
      </c>
      <c r="C1138" s="1"/>
      <c r="D1138" t="s">
        <v>1296</v>
      </c>
      <c r="E1138" s="16"/>
      <c r="F1138" s="668">
        <f>'II-I-DIST'!F1138</f>
        <v>0</v>
      </c>
      <c r="G1138" s="620" t="str">
        <f>'II-I-DIST'!H1138</f>
        <v>RATEBASE</v>
      </c>
      <c r="H1138" s="97">
        <f>'II-I-MET'!F1138</f>
        <v>0</v>
      </c>
      <c r="I1138" s="45" t="str">
        <f>'II-I-MET'!H1138</f>
        <v>RATEBASE</v>
      </c>
      <c r="J1138" s="97">
        <f>'II-I-TBILLTDCS'!F1138</f>
        <v>0</v>
      </c>
      <c r="K1138" s="45" t="str">
        <f>'II-I-TBILLTDCS'!H1138</f>
        <v>RATEBASE</v>
      </c>
      <c r="L1138" s="802">
        <f t="shared" ref="L1138:L1139" si="56">F1138+H1138+J1138</f>
        <v>0</v>
      </c>
      <c r="M1138" s="935"/>
      <c r="N1138" s="305" t="b">
        <f>IF(' WP II-I-1.4'!$L1138=L1138,TRUE)</f>
        <v>1</v>
      </c>
      <c r="R1138"/>
      <c r="S1138"/>
      <c r="T1138"/>
      <c r="U1138"/>
      <c r="V1138"/>
      <c r="W1138"/>
      <c r="X1138"/>
      <c r="Z1138"/>
      <c r="AA1138"/>
      <c r="AB1138"/>
      <c r="AC1138"/>
      <c r="AD1138"/>
      <c r="AE1138"/>
      <c r="AF1138"/>
      <c r="AG1138"/>
      <c r="AH1138"/>
      <c r="AI1138"/>
    </row>
    <row r="1139" spans="2:35" x14ac:dyDescent="0.2">
      <c r="B1139" s="16">
        <f t="shared" ref="B1139:B1162" si="57">B1138+1</f>
        <v>24</v>
      </c>
      <c r="C1139" s="1"/>
      <c r="D1139" t="s">
        <v>305</v>
      </c>
      <c r="F1139" s="589">
        <f>'II-I-DIST'!F1139</f>
        <v>0</v>
      </c>
      <c r="G1139" s="620" t="str">
        <f>'II-I-DIST'!H1139</f>
        <v>RATEBASE</v>
      </c>
      <c r="H1139">
        <f>'II-I-MET'!F1139</f>
        <v>0</v>
      </c>
      <c r="I1139" s="45" t="str">
        <f>'II-I-MET'!H1139</f>
        <v>RATEBASE</v>
      </c>
      <c r="J1139">
        <f>'II-I-TBILLTDCS'!F1139</f>
        <v>0</v>
      </c>
      <c r="K1139" s="45" t="str">
        <f>'II-I-TBILLTDCS'!H1139</f>
        <v>RATEBASE</v>
      </c>
      <c r="L1139" s="589">
        <f t="shared" si="56"/>
        <v>0</v>
      </c>
      <c r="N1139" s="305" t="b">
        <f>IF(' WP II-I-1.4'!$L1139=L1139,TRUE)</f>
        <v>1</v>
      </c>
      <c r="Y1139" s="321"/>
    </row>
    <row r="1140" spans="2:35" ht="15" x14ac:dyDescent="0.25">
      <c r="B1140" s="16">
        <f t="shared" si="57"/>
        <v>25</v>
      </c>
      <c r="C1140" s="1"/>
      <c r="D1140" s="233" t="s">
        <v>444</v>
      </c>
      <c r="E1140" s="16"/>
      <c r="F1140" s="805">
        <f>'II-I-DIST'!F1140</f>
        <v>-3632386.7199999997</v>
      </c>
      <c r="G1140" s="645"/>
      <c r="H1140" s="805">
        <f>'II-I-MET'!F1140</f>
        <v>-1727664.2600000002</v>
      </c>
      <c r="I1140" s="16"/>
      <c r="J1140" s="805">
        <f>'II-I-TBILLTDCS'!F1140</f>
        <v>-887075.34000000299</v>
      </c>
      <c r="K1140" s="16"/>
      <c r="L1140" s="805">
        <f>F1140+H1140+J1140</f>
        <v>-6247126.3200000031</v>
      </c>
      <c r="N1140" s="305" t="b">
        <f>IF(' WP II-I-1.4'!$L1140=L1140,TRUE)</f>
        <v>1</v>
      </c>
      <c r="AD1140" s="321"/>
      <c r="AE1140" s="321"/>
      <c r="AF1140" s="321"/>
      <c r="AG1140" s="321"/>
      <c r="AH1140" s="321"/>
    </row>
    <row r="1141" spans="2:35" ht="15" x14ac:dyDescent="0.25">
      <c r="B1141" s="16">
        <f t="shared" si="57"/>
        <v>26</v>
      </c>
      <c r="C1141" s="1"/>
      <c r="D1141" s="233"/>
      <c r="E1141" s="16"/>
      <c r="F1141" s="805">
        <f>'II-I-DIST'!F1141</f>
        <v>0</v>
      </c>
      <c r="G1141" s="645"/>
      <c r="H1141" s="805">
        <f>'II-I-MET'!F1141</f>
        <v>0</v>
      </c>
      <c r="I1141" s="16"/>
      <c r="J1141" s="805">
        <f>'II-I-TBILLTDCS'!F1141</f>
        <v>0</v>
      </c>
      <c r="K1141" s="16"/>
      <c r="L1141" s="805"/>
      <c r="N1141" s="305" t="b">
        <f>IF(' WP II-I-1.4'!$L1141=L1141,TRUE)</f>
        <v>1</v>
      </c>
      <c r="AD1141" s="321"/>
      <c r="AE1141" s="321"/>
      <c r="AF1141" s="321"/>
      <c r="AG1141" s="321"/>
      <c r="AH1141" s="321"/>
    </row>
    <row r="1142" spans="2:35" ht="15" x14ac:dyDescent="0.25">
      <c r="B1142" s="16">
        <f t="shared" si="57"/>
        <v>27</v>
      </c>
      <c r="C1142" s="8"/>
      <c r="D1142" s="8" t="s">
        <v>402</v>
      </c>
      <c r="E1142" s="1151"/>
      <c r="F1142" s="805">
        <f>'II-I-DIST'!F1142</f>
        <v>614304944.47918296</v>
      </c>
      <c r="G1142" s="1308"/>
      <c r="H1142" s="805">
        <f>'II-I-MET'!F1142</f>
        <v>16584815.866200728</v>
      </c>
      <c r="I1142" s="1308"/>
      <c r="J1142" s="805">
        <f>'II-I-TBILLTDCS'!F1142</f>
        <v>10197877.208984014</v>
      </c>
      <c r="K1142" s="1308"/>
      <c r="L1142" s="805">
        <f>F1142+H1142+J1142</f>
        <v>641087637.55436766</v>
      </c>
      <c r="N1142" s="305" t="b">
        <f>IF(' WP II-I-1.4'!$L1142=L1142,TRUE)</f>
        <v>1</v>
      </c>
      <c r="AD1142" s="321"/>
      <c r="AE1142" s="321"/>
      <c r="AF1142" s="321"/>
      <c r="AG1142" s="321"/>
      <c r="AH1142" s="321"/>
    </row>
    <row r="1143" spans="2:35" ht="15" x14ac:dyDescent="0.25">
      <c r="B1143" s="16">
        <f t="shared" si="57"/>
        <v>28</v>
      </c>
      <c r="C1143" s="8"/>
      <c r="D1143" s="8" t="s">
        <v>403</v>
      </c>
      <c r="E1143" s="1151" t="s">
        <v>299</v>
      </c>
      <c r="F1143" s="811">
        <f>'II-I-DIST'!F1143</f>
        <v>0.26582278481012656</v>
      </c>
      <c r="G1143" s="1308"/>
      <c r="H1143" s="99">
        <f>'II-I-MET'!F1143</f>
        <v>0.26582278481012656</v>
      </c>
      <c r="I1143" s="1308"/>
      <c r="J1143" s="99">
        <f>'II-I-TBILLTDCS'!F1143</f>
        <v>0.26582278481012656</v>
      </c>
      <c r="K1143" s="1308"/>
      <c r="L1143" s="811">
        <v>0.53846153846153844</v>
      </c>
      <c r="N1143" s="305"/>
      <c r="AD1143" s="321"/>
      <c r="AE1143" s="321"/>
      <c r="AF1143" s="321"/>
      <c r="AG1143" s="321"/>
      <c r="AH1143" s="321"/>
    </row>
    <row r="1144" spans="2:35" x14ac:dyDescent="0.2">
      <c r="B1144" s="16">
        <f t="shared" si="57"/>
        <v>29</v>
      </c>
      <c r="C1144" s="1"/>
      <c r="D1144" s="1"/>
      <c r="E1144" s="16"/>
      <c r="F1144" s="803">
        <f>'II-I-DIST'!F1144</f>
        <v>0</v>
      </c>
      <c r="G1144" s="645"/>
      <c r="H1144" s="18">
        <f>'II-I-MET'!F1144</f>
        <v>0</v>
      </c>
      <c r="I1144" s="16"/>
      <c r="J1144" s="18">
        <f>'II-I-TBILLTDCS'!F1144</f>
        <v>0</v>
      </c>
      <c r="K1144" s="16"/>
      <c r="L1144" s="647"/>
      <c r="N1144" s="305"/>
      <c r="Y1144" s="321"/>
      <c r="AD1144" s="321"/>
      <c r="AE1144" s="321"/>
      <c r="AF1144" s="321"/>
      <c r="AG1144" s="321"/>
      <c r="AH1144" s="321"/>
      <c r="AI1144" s="321"/>
    </row>
    <row r="1145" spans="2:35" ht="15" x14ac:dyDescent="0.25">
      <c r="B1145" s="16">
        <f t="shared" si="57"/>
        <v>30</v>
      </c>
      <c r="C1145" s="8"/>
      <c r="D1145" s="8" t="s">
        <v>666</v>
      </c>
      <c r="E1145" s="1151"/>
      <c r="F1145" s="805">
        <f>'II-I-DIST'!F1145</f>
        <v>163296251.06408659</v>
      </c>
      <c r="G1145" s="1308"/>
      <c r="H1145" s="805">
        <f>'II-I-MET'!F1145</f>
        <v>4408621.9391166484</v>
      </c>
      <c r="I1145" s="1308"/>
      <c r="J1145" s="805">
        <f>'II-I-TBILLTDCS'!F1145</f>
        <v>2710828.1188438516</v>
      </c>
      <c r="K1145" s="1308"/>
      <c r="L1145" s="805">
        <f>F1145+H1145+J1145</f>
        <v>170415701.1220471</v>
      </c>
      <c r="N1145" s="305" t="b">
        <f>IF(' WP II-I-1.4'!$L1145=L1145,TRUE)</f>
        <v>1</v>
      </c>
      <c r="Y1145" s="321"/>
      <c r="AI1145" s="321"/>
    </row>
    <row r="1146" spans="2:35" x14ac:dyDescent="0.2">
      <c r="B1146" s="16">
        <f t="shared" si="57"/>
        <v>31</v>
      </c>
      <c r="C1146" s="1"/>
      <c r="D1146" s="1"/>
      <c r="E1146" s="16"/>
      <c r="F1146" s="803">
        <f>'II-I-DIST'!F1146</f>
        <v>0</v>
      </c>
      <c r="G1146" s="645"/>
      <c r="H1146" s="18">
        <f>'II-I-MET'!F1146</f>
        <v>0</v>
      </c>
      <c r="I1146" s="16"/>
      <c r="J1146" s="18">
        <f>'II-I-TBILLTDCS'!F1146</f>
        <v>0</v>
      </c>
      <c r="K1146" s="16"/>
      <c r="L1146" s="647"/>
      <c r="N1146" s="305"/>
      <c r="Y1146" s="321"/>
      <c r="AI1146" s="321"/>
    </row>
    <row r="1147" spans="2:35" ht="15" x14ac:dyDescent="0.25">
      <c r="B1147" s="16">
        <f t="shared" si="57"/>
        <v>32</v>
      </c>
      <c r="C1147" s="8"/>
      <c r="D1147" s="8" t="s">
        <v>307</v>
      </c>
      <c r="E1147" s="1151" t="s">
        <v>299</v>
      </c>
      <c r="F1147" s="805"/>
      <c r="G1147" s="1308"/>
      <c r="H1147" s="805"/>
      <c r="I1147" s="1308"/>
      <c r="J1147" s="805">
        <f>'II-I-TBILLTDCS'!F1147</f>
        <v>0</v>
      </c>
      <c r="K1147" s="1308"/>
      <c r="L1147" s="8"/>
      <c r="N1147" s="305"/>
      <c r="AI1147" s="321"/>
    </row>
    <row r="1148" spans="2:35" s="321" customFormat="1" ht="28.5" x14ac:dyDescent="0.2">
      <c r="B1148" s="16">
        <f t="shared" si="57"/>
        <v>33</v>
      </c>
      <c r="C1148" s="1"/>
      <c r="D1148" s="695" t="s">
        <v>302</v>
      </c>
      <c r="E1148" s="16"/>
      <c r="F1148" s="692">
        <f>'II-I-DIST'!F1148</f>
        <v>0</v>
      </c>
      <c r="G1148" s="647" t="str">
        <f>'II-I-DIST'!H1148</f>
        <v>PLANT_N</v>
      </c>
      <c r="H1148" s="97">
        <f>'II-I-MET'!F1148</f>
        <v>0</v>
      </c>
      <c r="I1148" s="45" t="str">
        <f>'II-I-MET'!H1148</f>
        <v>PLANT_N</v>
      </c>
      <c r="J1148" s="97">
        <f>'II-I-TBILLTDCS'!F1148</f>
        <v>0</v>
      </c>
      <c r="K1148" s="45" t="str">
        <f>'II-I-TBILLTDCS'!H1148</f>
        <v>PLANT_N</v>
      </c>
      <c r="L1148" s="802">
        <f>F1148+H1148+J1148</f>
        <v>0</v>
      </c>
      <c r="M1148" s="935" t="s">
        <v>1047</v>
      </c>
      <c r="N1148" s="305" t="b">
        <f>IF(' WP II-I-1.4'!$L1148=L1148,TRUE)</f>
        <v>1</v>
      </c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35" s="321" customFormat="1" ht="42.75" x14ac:dyDescent="0.2">
      <c r="B1149" s="16">
        <f t="shared" si="57"/>
        <v>34</v>
      </c>
      <c r="C1149" s="1"/>
      <c r="D1149" s="695" t="s">
        <v>1128</v>
      </c>
      <c r="E1149" s="16"/>
      <c r="F1149" s="692">
        <f>'II-I-DIST'!F1149</f>
        <v>7936236.2800000003</v>
      </c>
      <c r="G1149" s="647" t="str">
        <f>'II-I-DIST'!H1149</f>
        <v>RATEBASE</v>
      </c>
      <c r="H1149" s="97">
        <f>'II-I-MET'!F1149</f>
        <v>237864.14</v>
      </c>
      <c r="I1149" s="45" t="str">
        <f>'II-I-MET'!H1149</f>
        <v>RATEBASE</v>
      </c>
      <c r="J1149" s="97">
        <f>'II-I-TBILLTDCS'!F1149</f>
        <v>157246.0099999985</v>
      </c>
      <c r="K1149" s="45" t="str">
        <f>'II-I-TBILLTDCS'!H1149</f>
        <v>RATEBASE</v>
      </c>
      <c r="L1149" s="802">
        <f>F1149+H1149+J1149</f>
        <v>8331346.4299999988</v>
      </c>
      <c r="M1149" s="935" t="s">
        <v>1044</v>
      </c>
      <c r="N1149" s="305" t="b">
        <f>IF(' WP II-I-1.4'!$L1149=L1149,TRUE)</f>
        <v>1</v>
      </c>
      <c r="R1149"/>
      <c r="S1149"/>
      <c r="T1149"/>
      <c r="U1149"/>
      <c r="V1149"/>
      <c r="W1149"/>
      <c r="X1149"/>
      <c r="Y1149"/>
      <c r="Z1149"/>
      <c r="AA1149"/>
      <c r="AB1149"/>
      <c r="AC1149"/>
      <c r="AI1149"/>
    </row>
    <row r="1150" spans="2:35" s="321" customFormat="1" ht="42.75" x14ac:dyDescent="0.2">
      <c r="B1150" s="16">
        <f t="shared" si="57"/>
        <v>35</v>
      </c>
      <c r="C1150" s="1"/>
      <c r="D1150" s="695" t="s">
        <v>1129</v>
      </c>
      <c r="E1150" s="16"/>
      <c r="F1150" s="692">
        <f>'II-I-DIST'!F1150</f>
        <v>18862682.34</v>
      </c>
      <c r="G1150" s="647" t="str">
        <f>'II-I-DIST'!H1150</f>
        <v>RATEBASE</v>
      </c>
      <c r="H1150" s="97">
        <f>'II-I-MET'!F1150</f>
        <v>2497334.4699999997</v>
      </c>
      <c r="I1150" s="45" t="str">
        <f>'II-I-MET'!H1150</f>
        <v>RATEBASE</v>
      </c>
      <c r="J1150" s="97">
        <f>'II-I-TBILLTDCS'!F1150</f>
        <v>-252101.1100000001</v>
      </c>
      <c r="K1150" s="45" t="str">
        <f>'II-I-TBILLTDCS'!H1150</f>
        <v>RATEBASE</v>
      </c>
      <c r="L1150" s="802">
        <f>F1150+H1150+J1150</f>
        <v>21107915.699999999</v>
      </c>
      <c r="M1150" s="935" t="s">
        <v>1044</v>
      </c>
      <c r="N1150" s="305" t="b">
        <f>IF(' WP II-I-1.4'!$L1150=L1150,TRUE)</f>
        <v>1</v>
      </c>
      <c r="R1150"/>
      <c r="S1150"/>
      <c r="T1150"/>
      <c r="U1150"/>
      <c r="V1150"/>
      <c r="W1150"/>
      <c r="X1150"/>
      <c r="Y1150"/>
      <c r="Z1150"/>
      <c r="AA1150"/>
      <c r="AB1150"/>
      <c r="AC1150"/>
      <c r="AI1150"/>
    </row>
    <row r="1151" spans="2:35" s="321" customFormat="1" x14ac:dyDescent="0.2">
      <c r="B1151" s="16">
        <f t="shared" si="57"/>
        <v>36</v>
      </c>
      <c r="C1151" s="1"/>
      <c r="D1151" s="695" t="s">
        <v>1130</v>
      </c>
      <c r="E1151" s="16"/>
      <c r="F1151" s="692">
        <f>'II-I-DIST'!F1151</f>
        <v>-3166047.5599999996</v>
      </c>
      <c r="G1151" s="647" t="str">
        <f>'II-I-DIST'!H1151</f>
        <v>RATEBASE</v>
      </c>
      <c r="H1151" s="97">
        <f>'II-I-MET'!F1151</f>
        <v>-94892.49</v>
      </c>
      <c r="I1151" s="45" t="str">
        <f>'II-I-MET'!H1151</f>
        <v>RATEBASE</v>
      </c>
      <c r="J1151" s="97">
        <f>'II-I-TBILLTDCS'!F1151</f>
        <v>-62731.040000000001</v>
      </c>
      <c r="K1151" s="45" t="str">
        <f>'II-I-TBILLTDCS'!H1151</f>
        <v>RATEBASE</v>
      </c>
      <c r="L1151" s="802">
        <f t="shared" ref="L1151:L1152" si="58">F1151+H1151+J1151</f>
        <v>-3323671.09</v>
      </c>
      <c r="M1151" s="935"/>
      <c r="N1151" s="305" t="b">
        <f>IF(' WP II-I-1.4'!$L1151=L1151,TRUE)</f>
        <v>1</v>
      </c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</row>
    <row r="1152" spans="2:35" s="321" customFormat="1" x14ac:dyDescent="0.2">
      <c r="B1152" s="16">
        <f t="shared" si="57"/>
        <v>37</v>
      </c>
      <c r="C1152" s="1"/>
      <c r="D1152" s="321" t="s">
        <v>1303</v>
      </c>
      <c r="E1152" s="16"/>
      <c r="F1152" s="692">
        <f>'II-I-DIST'!F1152</f>
        <v>41205.93</v>
      </c>
      <c r="G1152" s="647" t="str">
        <f>'II-I-DIST'!H1152</f>
        <v>RATEBASE</v>
      </c>
      <c r="H1152" s="97">
        <f>'II-I-MET'!F1152</f>
        <v>1235.02</v>
      </c>
      <c r="I1152" s="45" t="str">
        <f>'II-I-MET'!H1152</f>
        <v>RATEBASE</v>
      </c>
      <c r="J1152" s="97">
        <f>'II-I-TBILLTDCS'!F1152</f>
        <v>816.43</v>
      </c>
      <c r="K1152" s="45" t="str">
        <f>'II-I-TBILLTDCS'!H1152</f>
        <v>RATEBASE</v>
      </c>
      <c r="L1152" s="802">
        <f t="shared" si="58"/>
        <v>43257.38</v>
      </c>
      <c r="M1152" s="935"/>
      <c r="N1152" s="305" t="b">
        <f>IF(' WP II-I-1.4'!$L1152=L1152,TRUE)</f>
        <v>1</v>
      </c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G1152"/>
      <c r="AH1152"/>
    </row>
    <row r="1153" spans="2:35" ht="15" x14ac:dyDescent="0.25">
      <c r="B1153" s="16">
        <f t="shared" si="57"/>
        <v>38</v>
      </c>
      <c r="C1153" s="1"/>
      <c r="D1153" s="233" t="s">
        <v>444</v>
      </c>
      <c r="E1153" s="16"/>
      <c r="F1153" s="805">
        <f>'II-I-DIST'!F1153</f>
        <v>23674076.990000002</v>
      </c>
      <c r="G1153" s="620"/>
      <c r="H1153" s="805">
        <f>'II-I-MET'!F1153</f>
        <v>2641541.1399999997</v>
      </c>
      <c r="I1153" s="16"/>
      <c r="J1153" s="805">
        <f>'II-I-TBILLTDCS'!F1153</f>
        <v>-156769.71000000162</v>
      </c>
      <c r="K1153" s="16"/>
      <c r="L1153" s="805">
        <f>F1153+H1153+J1153</f>
        <v>26158848.420000002</v>
      </c>
      <c r="N1153" s="305">
        <f>' WP II-I-1.4'!$L1153-L1153</f>
        <v>0</v>
      </c>
      <c r="AI1153" s="321"/>
    </row>
    <row r="1154" spans="2:35" ht="23.25" x14ac:dyDescent="0.35">
      <c r="B1154" s="16">
        <f t="shared" si="57"/>
        <v>39</v>
      </c>
      <c r="C1154" s="1"/>
      <c r="D1154" s="1"/>
      <c r="E1154" s="16"/>
      <c r="F1154" s="230">
        <f>'II-I-DIST'!F1154</f>
        <v>0</v>
      </c>
      <c r="G1154" s="645"/>
      <c r="H1154" s="230">
        <f>'II-I-MET'!F1154</f>
        <v>0</v>
      </c>
      <c r="I1154" s="16"/>
      <c r="J1154" s="230">
        <f>'II-I-TBILLTDCS'!F1154</f>
        <v>0</v>
      </c>
      <c r="K1154" s="16"/>
      <c r="L1154" s="802"/>
      <c r="N1154" s="305" t="b">
        <f>IF(' WP II-I-1.4'!$L1154=L1154,TRUE)</f>
        <v>1</v>
      </c>
      <c r="O1154" s="1009">
        <f>O1150-O1153</f>
        <v>0</v>
      </c>
      <c r="AI1154" s="321"/>
    </row>
    <row r="1155" spans="2:35" ht="15" x14ac:dyDescent="0.25">
      <c r="B1155" s="16">
        <f t="shared" si="57"/>
        <v>40</v>
      </c>
      <c r="C1155" s="8"/>
      <c r="D1155" s="8" t="s">
        <v>308</v>
      </c>
      <c r="E1155" s="1151" t="s">
        <v>299</v>
      </c>
      <c r="F1155" s="805">
        <f>'II-I-DIST'!F1155</f>
        <v>0</v>
      </c>
      <c r="G1155" s="1308"/>
      <c r="H1155" s="805">
        <f>'II-I-MET'!F1155</f>
        <v>0</v>
      </c>
      <c r="I1155" s="1308"/>
      <c r="J1155" s="805">
        <f>'II-I-TBILLTDCS'!F1155</f>
        <v>0</v>
      </c>
      <c r="K1155" s="1308"/>
      <c r="L1155" s="8"/>
      <c r="N1155" s="305" t="b">
        <f>IF(' WP II-I-1.4'!$L1155=L1155,TRUE)</f>
        <v>1</v>
      </c>
    </row>
    <row r="1156" spans="2:35" s="321" customFormat="1" x14ac:dyDescent="0.2">
      <c r="B1156" s="16">
        <f t="shared" si="57"/>
        <v>41</v>
      </c>
      <c r="C1156" s="1"/>
      <c r="D1156" s="803" t="s">
        <v>306</v>
      </c>
      <c r="E1156" s="16"/>
      <c r="F1156" s="646">
        <f>'II-I-DIST'!F1156</f>
        <v>459298.48</v>
      </c>
      <c r="G1156" s="620" t="str">
        <f>'II-I-DIST'!H1156</f>
        <v>RATEBASE</v>
      </c>
      <c r="H1156" s="97">
        <f>'II-I-MET'!F1156</f>
        <v>13766.05</v>
      </c>
      <c r="I1156" s="45" t="str">
        <f>'II-I-MET'!H1156</f>
        <v>RATEBASE</v>
      </c>
      <c r="J1156" s="97">
        <f>'II-I-TBILLTDCS'!F1156</f>
        <v>9100.39</v>
      </c>
      <c r="K1156" s="45" t="str">
        <f>'II-I-TBILLTDCS'!H1156</f>
        <v>RATEBASE</v>
      </c>
      <c r="L1156" s="802">
        <f>F1156+H1156+J1156</f>
        <v>482164.92</v>
      </c>
      <c r="M1156" s="935" t="s">
        <v>1046</v>
      </c>
      <c r="N1156" s="305" t="b">
        <f>IF(' WP II-I-1.4'!$L1156=L1156,TRUE)</f>
        <v>1</v>
      </c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</row>
    <row r="1157" spans="2:35" s="321" customFormat="1" x14ac:dyDescent="0.2">
      <c r="B1157" s="16">
        <f t="shared" si="57"/>
        <v>42</v>
      </c>
      <c r="C1157" s="1"/>
      <c r="D1157" s="26" t="s">
        <v>1178</v>
      </c>
      <c r="E1157" s="16"/>
      <c r="F1157" s="646">
        <f>'II-I-DIST'!F1157</f>
        <v>0</v>
      </c>
      <c r="G1157" s="620" t="str">
        <f>'II-I-DIST'!H1157</f>
        <v>RATEBASE</v>
      </c>
      <c r="H1157" s="97">
        <f>'II-I-MET'!F1157</f>
        <v>0</v>
      </c>
      <c r="I1157" s="45" t="str">
        <f>'II-I-MET'!H1157</f>
        <v>RATEBASE</v>
      </c>
      <c r="J1157" s="97">
        <f>'II-I-TBILLTDCS'!F1157</f>
        <v>0</v>
      </c>
      <c r="K1157" s="45" t="str">
        <f>'II-I-TBILLTDCS'!H1157</f>
        <v>RATEBASE</v>
      </c>
      <c r="L1157" s="802">
        <f>F1157+H1157+J1157</f>
        <v>0</v>
      </c>
      <c r="M1157" s="935"/>
      <c r="N1157" s="305" t="b">
        <f>IF(' WP II-I-1.4'!$L1157=L1157,TRUE)</f>
        <v>1</v>
      </c>
      <c r="R1157"/>
      <c r="S1157"/>
      <c r="X1157"/>
      <c r="Y1157"/>
      <c r="Z1157"/>
      <c r="AA1157"/>
      <c r="AB1157"/>
      <c r="AC1157"/>
      <c r="AD1157"/>
      <c r="AE1157"/>
      <c r="AF1157"/>
      <c r="AG1157"/>
      <c r="AH1157"/>
      <c r="AI1157"/>
    </row>
    <row r="1158" spans="2:35" s="321" customFormat="1" x14ac:dyDescent="0.2">
      <c r="B1158" s="16">
        <f t="shared" si="57"/>
        <v>43</v>
      </c>
      <c r="C1158" s="1"/>
      <c r="D1158" s="803" t="s">
        <v>309</v>
      </c>
      <c r="F1158" s="646">
        <f>'II-I-DIST'!F1158</f>
        <v>0</v>
      </c>
      <c r="G1158" s="620" t="str">
        <f>'II-I-DIST'!H1158</f>
        <v>PLANT_N</v>
      </c>
      <c r="H1158" s="97">
        <f>'II-I-MET'!F1158</f>
        <v>0</v>
      </c>
      <c r="I1158" s="45" t="str">
        <f>'II-I-MET'!H1158</f>
        <v>PLANT_N</v>
      </c>
      <c r="J1158" s="97">
        <f>'II-I-TBILLTDCS'!F1158</f>
        <v>0</v>
      </c>
      <c r="K1158" s="45" t="str">
        <f>'II-I-TBILLTDCS'!H1158</f>
        <v>PLANT_N</v>
      </c>
      <c r="L1158" s="802">
        <f>F1158+H1158+J1158</f>
        <v>0</v>
      </c>
      <c r="M1158" s="935"/>
      <c r="N1158" s="305" t="b">
        <f>IF(' WP II-I-1.4'!$L1158=L1158,TRUE)</f>
        <v>1</v>
      </c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</row>
    <row r="1159" spans="2:35" x14ac:dyDescent="0.2">
      <c r="B1159" s="16">
        <f t="shared" si="57"/>
        <v>44</v>
      </c>
      <c r="C1159" s="1"/>
      <c r="D1159" s="18"/>
      <c r="E1159" s="16"/>
      <c r="F1159" s="646">
        <f>'II-I-DIST'!F1159</f>
        <v>0</v>
      </c>
      <c r="G1159" s="620"/>
      <c r="H1159" s="97">
        <f>'II-I-MET'!F1159</f>
        <v>0</v>
      </c>
      <c r="I1159" s="45"/>
      <c r="J1159" s="97">
        <f>'II-I-TBILLTDCS'!F1159</f>
        <v>0</v>
      </c>
      <c r="K1159" s="45"/>
      <c r="L1159" s="802"/>
      <c r="N1159" s="305" t="b">
        <f>IF(' WP II-I-1.4'!$L1159=L1159,TRUE)</f>
        <v>1</v>
      </c>
    </row>
    <row r="1160" spans="2:35" ht="15" x14ac:dyDescent="0.25">
      <c r="B1160" s="16">
        <f t="shared" si="57"/>
        <v>45</v>
      </c>
      <c r="C1160" s="1"/>
      <c r="D1160" s="233" t="s">
        <v>444</v>
      </c>
      <c r="E1160" s="16"/>
      <c r="F1160" s="805">
        <f>'II-I-DIST'!F1160</f>
        <v>459298.48</v>
      </c>
      <c r="G1160" s="645"/>
      <c r="H1160" s="805">
        <f>'II-I-MET'!F1160</f>
        <v>13766.05</v>
      </c>
      <c r="I1160" s="16"/>
      <c r="J1160" s="805">
        <f>'II-I-TBILLTDCS'!F1160</f>
        <v>9100.39</v>
      </c>
      <c r="K1160" s="16"/>
      <c r="L1160" s="805">
        <f>F1160+H1160+J1160</f>
        <v>482164.92</v>
      </c>
      <c r="N1160" s="305" t="b">
        <f>IF(' WP II-I-1.4'!$L1161=L1160,TRUE)</f>
        <v>1</v>
      </c>
      <c r="X1160" s="321"/>
    </row>
    <row r="1161" spans="2:35" ht="15" thickBot="1" x14ac:dyDescent="0.25">
      <c r="B1161" s="16">
        <f t="shared" si="57"/>
        <v>46</v>
      </c>
      <c r="C1161" s="1"/>
      <c r="D1161" s="1"/>
      <c r="E1161" s="16"/>
      <c r="F1161" s="803">
        <f>'II-I-DIST'!F1161</f>
        <v>0</v>
      </c>
      <c r="G1161" s="645"/>
      <c r="H1161" s="18">
        <f>'II-I-MET'!F1161</f>
        <v>0</v>
      </c>
      <c r="I1161" s="16"/>
      <c r="J1161" s="18">
        <f>'II-I-TBILLTDCS'!F1161</f>
        <v>0</v>
      </c>
      <c r="K1161" s="16"/>
      <c r="L1161" s="647"/>
    </row>
    <row r="1162" spans="2:35" ht="15.75" thickBot="1" x14ac:dyDescent="0.3">
      <c r="B1162" s="16">
        <f t="shared" si="57"/>
        <v>47</v>
      </c>
      <c r="C1162" s="223" t="s">
        <v>667</v>
      </c>
      <c r="D1162" s="224"/>
      <c r="E1162" s="309" t="s">
        <v>299</v>
      </c>
      <c r="F1162" s="812">
        <f>'II-I-DIST'!F1162</f>
        <v>140081472.55408657</v>
      </c>
      <c r="G1162" s="402"/>
      <c r="H1162" s="812">
        <f>'II-I-MET'!F1162</f>
        <v>1780846.8491166488</v>
      </c>
      <c r="I1162" s="402"/>
      <c r="J1162" s="812">
        <f>'II-I-TBILLTDCS'!F1162</f>
        <v>2876698.2188438536</v>
      </c>
      <c r="K1162" s="402"/>
      <c r="L1162" s="315">
        <f>F1162+H1162+J1162</f>
        <v>144739017.62204707</v>
      </c>
      <c r="N1162" s="305" t="b">
        <f>IF(' WP II-I-1.4'!$L$25=L1162,TRUE)</f>
        <v>1</v>
      </c>
    </row>
    <row r="1163" spans="2:35" x14ac:dyDescent="0.2">
      <c r="B1163" s="64"/>
      <c r="C1163" s="64"/>
      <c r="D1163" s="64"/>
      <c r="E1163" s="64"/>
      <c r="F1163" s="589"/>
      <c r="G1163" s="589"/>
      <c r="H1163" s="64"/>
      <c r="I1163" s="64"/>
      <c r="J1163" s="64"/>
      <c r="K1163" s="64"/>
    </row>
    <row r="1164" spans="2:35" ht="15" x14ac:dyDescent="0.25">
      <c r="B1164" s="783"/>
      <c r="C1164" s="783"/>
      <c r="D1164" s="783"/>
      <c r="E1164" s="783"/>
      <c r="F1164" s="589"/>
      <c r="G1164" s="653"/>
      <c r="H1164" s="64"/>
      <c r="I1164" s="105"/>
      <c r="J1164" s="64"/>
      <c r="K1164" s="105"/>
      <c r="L1164" s="783"/>
    </row>
    <row r="1165" spans="2:35" ht="15.75" thickBot="1" x14ac:dyDescent="0.3">
      <c r="B1165" s="783"/>
      <c r="C1165" s="783"/>
      <c r="D1165" s="783"/>
      <c r="E1165" s="783"/>
      <c r="F1165" s="854"/>
      <c r="G1165" s="854"/>
      <c r="H1165" s="64"/>
      <c r="I1165" s="64"/>
      <c r="J1165" s="64"/>
      <c r="K1165" s="64"/>
      <c r="L1165" s="783"/>
    </row>
    <row r="1166" spans="2:35" ht="15" x14ac:dyDescent="0.25">
      <c r="B1166" s="829" t="str">
        <f>$B$4</f>
        <v>2025 RATE CASE</v>
      </c>
      <c r="C1166" s="835"/>
      <c r="D1166" s="836"/>
      <c r="E1166" s="783"/>
      <c r="F1166" s="654"/>
      <c r="G1166" s="589"/>
      <c r="H1166" s="267"/>
      <c r="J1166" s="267"/>
      <c r="K1166"/>
      <c r="L1166" s="783"/>
    </row>
    <row r="1167" spans="2:35" ht="15" x14ac:dyDescent="0.25">
      <c r="B1167" s="826" t="str">
        <f>$B$5</f>
        <v>ONCOR ELECTRIC DELIVERY COMPANY LLC</v>
      </c>
      <c r="C1167" s="304"/>
      <c r="D1167" s="837"/>
      <c r="E1167" s="783"/>
      <c r="F1167" s="654"/>
      <c r="G1167" s="589"/>
      <c r="H1167" s="267"/>
      <c r="J1167" s="267"/>
      <c r="K1167"/>
      <c r="L1167" s="783"/>
    </row>
    <row r="1168" spans="2:35" ht="15" x14ac:dyDescent="0.25">
      <c r="B1168" s="341" t="str">
        <f>$B$6</f>
        <v>II-I-2.1f:  CONSOLIDATED FUNCTIONALIZED COST OF SERVICE</v>
      </c>
      <c r="C1168" s="304"/>
      <c r="D1168" s="837"/>
      <c r="E1168" s="783"/>
      <c r="F1168" s="654"/>
      <c r="G1168" s="589"/>
      <c r="H1168" s="267"/>
      <c r="J1168" s="267"/>
      <c r="K1168"/>
      <c r="L1168" s="783"/>
      <c r="Y1168" s="321"/>
    </row>
    <row r="1169" spans="2:35" ht="15.75" x14ac:dyDescent="0.25">
      <c r="B1169" s="341" t="str">
        <f>$B$7</f>
        <v>TEST YEAR ENDING 12/31/2024</v>
      </c>
      <c r="C1169" s="752"/>
      <c r="D1169" s="830"/>
      <c r="E1169" s="64"/>
      <c r="F1169" s="654"/>
      <c r="G1169" s="589"/>
      <c r="H1169" s="267"/>
      <c r="J1169" s="267"/>
      <c r="K1169"/>
    </row>
    <row r="1170" spans="2:35" ht="15" x14ac:dyDescent="0.25">
      <c r="B1170" s="341" t="str">
        <f>$B$8</f>
        <v>SPONSOR:  MATTHEW A. TROXLE</v>
      </c>
      <c r="C1170" s="304"/>
      <c r="D1170" s="837"/>
      <c r="E1170" s="304"/>
      <c r="F1170" s="654"/>
      <c r="G1170" s="589"/>
      <c r="H1170" s="267"/>
      <c r="J1170" s="267"/>
      <c r="K1170"/>
      <c r="L1170" s="304"/>
    </row>
    <row r="1171" spans="2:35" ht="15.75" thickBot="1" x14ac:dyDescent="0.3">
      <c r="B1171" s="345"/>
      <c r="C1171" s="843"/>
      <c r="D1171" s="845"/>
      <c r="F1171" s="654"/>
      <c r="G1171" s="589"/>
      <c r="H1171" s="267"/>
      <c r="J1171" s="267"/>
      <c r="K1171"/>
      <c r="L1171" s="654"/>
    </row>
    <row r="1172" spans="2:35" x14ac:dyDescent="0.2">
      <c r="B1172" s="12"/>
      <c r="C1172" s="13"/>
      <c r="D1172" s="177"/>
      <c r="E1172" s="13"/>
      <c r="F1172" s="655"/>
      <c r="G1172" s="656"/>
      <c r="H1172" s="12"/>
      <c r="I1172" s="13"/>
      <c r="J1172" s="12"/>
      <c r="K1172" s="13"/>
      <c r="L1172" s="855"/>
      <c r="M1172" s="938"/>
      <c r="AD1172" s="321"/>
      <c r="AE1172" s="321"/>
      <c r="AF1172" s="321"/>
      <c r="AG1172" s="321"/>
      <c r="AH1172" s="321"/>
    </row>
    <row r="1173" spans="2:35" ht="15" x14ac:dyDescent="0.25">
      <c r="B1173" s="14" t="s">
        <v>2</v>
      </c>
      <c r="C1173" s="14" t="s">
        <v>349</v>
      </c>
      <c r="D1173" s="180" t="s">
        <v>668</v>
      </c>
      <c r="E1173" s="14" t="s">
        <v>350</v>
      </c>
      <c r="F1173" s="226" t="str">
        <f>'II-I-DIST'!F1173</f>
        <v>DIST</v>
      </c>
      <c r="G1173" s="661" t="str">
        <f>'II-I-DIST'!H1173</f>
        <v>Allocation</v>
      </c>
      <c r="H1173" s="226" t="str">
        <f>'II-I-MET'!F1173</f>
        <v>MET</v>
      </c>
      <c r="I1173" s="181" t="str">
        <f>'II-I-MET'!H1173</f>
        <v>Allocation</v>
      </c>
      <c r="J1173" s="226" t="str">
        <f>'II-I-TBILLTDCS'!F1173</f>
        <v>TBILLTDCS</v>
      </c>
      <c r="K1173" s="181" t="str">
        <f>'II-I-TBILLTDCS'!H1173</f>
        <v>Allocation</v>
      </c>
      <c r="L1173" s="660" t="s">
        <v>434</v>
      </c>
      <c r="M1173" s="932" t="s">
        <v>970</v>
      </c>
    </row>
    <row r="1174" spans="2:35" x14ac:dyDescent="0.2">
      <c r="B1174" s="14"/>
      <c r="C1174" s="14"/>
      <c r="D1174" s="181"/>
      <c r="E1174" s="14"/>
      <c r="F1174" s="660"/>
      <c r="G1174" s="661" t="str">
        <f>'II-I-DIST'!H1174</f>
        <v>Factor</v>
      </c>
      <c r="H1174" s="14"/>
      <c r="I1174" s="181" t="str">
        <f>'II-I-MET'!H1174</f>
        <v>Factor</v>
      </c>
      <c r="J1174" s="14"/>
      <c r="K1174" s="181" t="str">
        <f>'II-I-TBILLTDCS'!H1174</f>
        <v>Factor</v>
      </c>
      <c r="L1174" s="660" t="s">
        <v>31</v>
      </c>
      <c r="M1174" s="939"/>
    </row>
    <row r="1175" spans="2:35" ht="15.75" thickBot="1" x14ac:dyDescent="0.25">
      <c r="B1175" s="182"/>
      <c r="C1175" s="860"/>
      <c r="D1175" s="184"/>
      <c r="E1175" s="184"/>
      <c r="F1175" s="664" t="str">
        <f>'II-I-DIST'!F1175</f>
        <v>(a)</v>
      </c>
      <c r="G1175" s="664" t="str">
        <f>'II-I-DIST'!H1175</f>
        <v>(c)</v>
      </c>
      <c r="H1175" s="664" t="str">
        <f>'II-I-MET'!F1175</f>
        <v>(a)</v>
      </c>
      <c r="I1175" s="15" t="str">
        <f>'II-I-MET'!H1175</f>
        <v>(c)</v>
      </c>
      <c r="J1175" s="664" t="str">
        <f>'II-I-TBILLTDCS'!F1175</f>
        <v>(a)</v>
      </c>
      <c r="K1175" s="15" t="str">
        <f>'II-I-TBILLTDCS'!H1175</f>
        <v>(c)</v>
      </c>
      <c r="L1175" s="664" t="s">
        <v>19</v>
      </c>
      <c r="M1175" s="934" t="s">
        <v>1056</v>
      </c>
    </row>
    <row r="1176" spans="2:35" x14ac:dyDescent="0.2">
      <c r="B1176" s="64"/>
      <c r="C1176" s="268"/>
      <c r="D1176" s="268"/>
      <c r="E1176" s="268"/>
      <c r="F1176" s="666"/>
      <c r="G1176" s="666"/>
      <c r="H1176" s="268"/>
      <c r="I1176" s="268"/>
      <c r="J1176" s="268"/>
      <c r="K1176" s="268"/>
      <c r="L1176" s="611"/>
      <c r="AI1176" s="321"/>
    </row>
    <row r="1177" spans="2:35" ht="15" x14ac:dyDescent="0.25">
      <c r="B1177" s="16">
        <f t="shared" ref="B1177:B1188" si="59">B1176+1</f>
        <v>1</v>
      </c>
      <c r="C1177" s="301" t="s">
        <v>668</v>
      </c>
      <c r="D1177" s="8"/>
      <c r="E1177" s="831"/>
      <c r="F1177" s="805"/>
      <c r="G1177" s="1308"/>
      <c r="H1177" s="805"/>
      <c r="I1177" s="1308"/>
      <c r="J1177" s="805"/>
      <c r="K1177" s="1308"/>
      <c r="L1177" s="8"/>
    </row>
    <row r="1178" spans="2:35" x14ac:dyDescent="0.2">
      <c r="B1178" s="16">
        <f t="shared" si="59"/>
        <v>2</v>
      </c>
      <c r="D1178" s="1"/>
      <c r="E1178" s="16"/>
      <c r="F1178" s="803"/>
      <c r="G1178" s="645"/>
      <c r="H1178" s="18"/>
      <c r="I1178" s="16"/>
      <c r="J1178" s="18"/>
      <c r="K1178" s="16"/>
      <c r="L1178" s="647"/>
    </row>
    <row r="1179" spans="2:35" ht="15" x14ac:dyDescent="0.25">
      <c r="B1179" s="16">
        <f t="shared" si="59"/>
        <v>3</v>
      </c>
      <c r="C1179" s="8" t="s">
        <v>669</v>
      </c>
      <c r="F1179" s="589"/>
      <c r="G1179" s="589"/>
      <c r="I1179" s="1308"/>
      <c r="K1179" s="1308"/>
    </row>
    <row r="1180" spans="2:35" s="321" customFormat="1" ht="29.25" x14ac:dyDescent="0.25">
      <c r="B1180" s="16">
        <f t="shared" si="59"/>
        <v>4</v>
      </c>
      <c r="C1180" s="1">
        <v>431</v>
      </c>
      <c r="D1180" s="1" t="s">
        <v>312</v>
      </c>
      <c r="E1180" s="831" t="s">
        <v>313</v>
      </c>
      <c r="F1180" s="646">
        <f>'II-I-DIST'!F1180</f>
        <v>7439</v>
      </c>
      <c r="G1180" s="620" t="str">
        <f>'II-I-DIST'!H1180</f>
        <v>CUS U RTL</v>
      </c>
      <c r="H1180" s="97">
        <f>'II-I-MET'!F1180</f>
        <v>0</v>
      </c>
      <c r="I1180" s="45" t="str">
        <f>'II-I-MET'!H1180</f>
        <v>CUS U RTL</v>
      </c>
      <c r="J1180" s="97">
        <f>'II-I-TBILLTDCS'!F1180</f>
        <v>0</v>
      </c>
      <c r="K1180" s="45" t="str">
        <f>'II-I-TBILLTDCS'!H1180</f>
        <v>CUS U RTL</v>
      </c>
      <c r="L1180" s="802">
        <f>F1180+H1180+J1180</f>
        <v>7439</v>
      </c>
      <c r="M1180" s="935" t="s">
        <v>1048</v>
      </c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</row>
    <row r="1181" spans="2:35" ht="15" thickBot="1" x14ac:dyDescent="0.25">
      <c r="B1181" s="16">
        <f t="shared" si="59"/>
        <v>5</v>
      </c>
      <c r="C1181" s="1"/>
      <c r="D1181" s="1"/>
      <c r="E1181" s="16"/>
      <c r="F1181" s="803">
        <f>'II-I-DIST'!F1181</f>
        <v>0</v>
      </c>
      <c r="G1181" s="645"/>
      <c r="H1181" s="18">
        <f>'II-I-MET'!F1181</f>
        <v>0</v>
      </c>
      <c r="I1181" s="16"/>
      <c r="J1181" s="18">
        <f>'II-I-TBILLTDCS'!F1181</f>
        <v>0</v>
      </c>
      <c r="K1181" s="16"/>
      <c r="L1181" s="647"/>
    </row>
    <row r="1182" spans="2:35" ht="15.75" thickBot="1" x14ac:dyDescent="0.3">
      <c r="B1182" s="16">
        <f t="shared" si="59"/>
        <v>6</v>
      </c>
      <c r="C1182" s="223" t="s">
        <v>670</v>
      </c>
      <c r="D1182" s="271"/>
      <c r="E1182" s="272"/>
      <c r="F1182" s="814">
        <f>'II-I-DIST'!F1182</f>
        <v>1133944768.9199998</v>
      </c>
      <c r="G1182" s="392"/>
      <c r="H1182" s="814">
        <f>'II-I-MET'!F1182</f>
        <v>38746664.400000006</v>
      </c>
      <c r="I1182" s="392"/>
      <c r="J1182" s="814">
        <f>'II-I-TBILLTDCS'!F1182</f>
        <v>43551086.220000006</v>
      </c>
      <c r="K1182" s="392"/>
      <c r="L1182" s="218">
        <f>F1182+H1182+J1182</f>
        <v>1216242519.54</v>
      </c>
      <c r="T1182" s="321"/>
      <c r="U1182" s="321"/>
      <c r="V1182" s="321"/>
      <c r="W1182" s="321"/>
    </row>
    <row r="1183" spans="2:35" ht="15.75" thickBot="1" x14ac:dyDescent="0.3">
      <c r="B1183" s="16">
        <f t="shared" si="59"/>
        <v>7</v>
      </c>
      <c r="C1183" s="8"/>
      <c r="D1183" s="34"/>
      <c r="E1183" s="806"/>
      <c r="F1183" s="807">
        <f>'II-I-DIST'!F1183</f>
        <v>0</v>
      </c>
      <c r="G1183" s="806"/>
      <c r="H1183" s="807">
        <f>'II-I-MET'!F1183</f>
        <v>0</v>
      </c>
      <c r="I1183" s="806"/>
      <c r="J1183" s="807">
        <f>'II-I-TBILLTDCS'!F1183</f>
        <v>0</v>
      </c>
      <c r="K1183" s="806"/>
      <c r="L1183" s="805"/>
      <c r="T1183" s="321"/>
      <c r="U1183" s="321"/>
      <c r="V1183" s="321"/>
      <c r="W1183" s="321"/>
    </row>
    <row r="1184" spans="2:35" ht="15.75" thickBot="1" x14ac:dyDescent="0.3">
      <c r="B1184" s="16">
        <f t="shared" si="59"/>
        <v>8</v>
      </c>
      <c r="C1184" s="223" t="s">
        <v>671</v>
      </c>
      <c r="D1184" s="271"/>
      <c r="E1184" s="272"/>
      <c r="F1184" s="814">
        <f>'II-I-DIST'!F1184</f>
        <v>1274026241.4740863</v>
      </c>
      <c r="G1184" s="392"/>
      <c r="H1184" s="814">
        <f>'II-I-MET'!F1184</f>
        <v>40527511.249116652</v>
      </c>
      <c r="I1184" s="392"/>
      <c r="J1184" s="814">
        <f>'II-I-TBILLTDCS'!F1184</f>
        <v>46427784.438843861</v>
      </c>
      <c r="K1184" s="392"/>
      <c r="L1184" s="218">
        <f>F1184+H1184+J1184</f>
        <v>1360981537.1620469</v>
      </c>
      <c r="T1184" s="321"/>
      <c r="U1184" s="321"/>
      <c r="V1184" s="321"/>
      <c r="W1184" s="321"/>
    </row>
    <row r="1185" spans="2:34" ht="15.75" thickBot="1" x14ac:dyDescent="0.3">
      <c r="B1185" s="16">
        <f t="shared" si="59"/>
        <v>9</v>
      </c>
      <c r="C1185" s="8"/>
      <c r="D1185" s="34"/>
      <c r="E1185" s="806"/>
      <c r="F1185" s="807">
        <f>'II-I-DIST'!F1185</f>
        <v>0</v>
      </c>
      <c r="G1185" s="806"/>
      <c r="H1185" s="807">
        <f>'II-I-MET'!F1185</f>
        <v>0</v>
      </c>
      <c r="I1185" s="806"/>
      <c r="J1185" s="807">
        <f>'II-I-TBILLTDCS'!F1185</f>
        <v>0</v>
      </c>
      <c r="K1185" s="806"/>
      <c r="L1185" s="805"/>
      <c r="T1185" s="321"/>
      <c r="U1185" s="321"/>
      <c r="V1185" s="321"/>
      <c r="W1185" s="321"/>
      <c r="X1185" s="321"/>
    </row>
    <row r="1186" spans="2:34" ht="15.75" thickBot="1" x14ac:dyDescent="0.3">
      <c r="B1186" s="16">
        <f t="shared" si="59"/>
        <v>10</v>
      </c>
      <c r="C1186" s="223" t="s">
        <v>672</v>
      </c>
      <c r="D1186" s="271"/>
      <c r="E1186" s="272"/>
      <c r="F1186" s="814">
        <f>'II-I-DIST'!F1186</f>
        <v>4617887231.4740868</v>
      </c>
      <c r="G1186" s="392"/>
      <c r="H1186" s="814">
        <f>'II-I-MET'!F1186</f>
        <v>186405248.59911665</v>
      </c>
      <c r="I1186" s="392"/>
      <c r="J1186" s="814">
        <f>'II-I-TBILLTDCS'!F1186</f>
        <v>104564123.46884386</v>
      </c>
      <c r="K1186" s="392"/>
      <c r="L1186" s="218">
        <f>F1186+H1186+J1186</f>
        <v>4908856603.5420465</v>
      </c>
      <c r="T1186" s="321"/>
      <c r="U1186" s="321"/>
      <c r="V1186" s="321"/>
      <c r="W1186" s="321"/>
      <c r="X1186" s="321"/>
    </row>
    <row r="1187" spans="2:34" ht="15.75" thickBot="1" x14ac:dyDescent="0.3">
      <c r="B1187" s="16">
        <f t="shared" si="59"/>
        <v>11</v>
      </c>
      <c r="C1187" s="8"/>
      <c r="D1187" s="34"/>
      <c r="E1187" s="806"/>
      <c r="F1187" s="807">
        <f>'II-I-DIST'!F1187</f>
        <v>0</v>
      </c>
      <c r="G1187" s="806"/>
      <c r="H1187" s="807">
        <f>'II-I-MET'!F1187</f>
        <v>0</v>
      </c>
      <c r="I1187" s="806"/>
      <c r="J1187" s="807">
        <f>'II-I-TBILLTDCS'!F1187</f>
        <v>0</v>
      </c>
      <c r="K1187" s="806"/>
      <c r="L1187" s="805"/>
      <c r="T1187" s="321"/>
      <c r="U1187" s="321"/>
      <c r="V1187" s="321"/>
      <c r="W1187" s="321"/>
      <c r="X1187" s="321"/>
    </row>
    <row r="1188" spans="2:34" ht="15.75" thickBot="1" x14ac:dyDescent="0.3">
      <c r="B1188" s="16">
        <f t="shared" si="59"/>
        <v>12</v>
      </c>
      <c r="C1188" s="223" t="s">
        <v>966</v>
      </c>
      <c r="D1188" s="271"/>
      <c r="E1188" s="272"/>
      <c r="F1188" s="814">
        <f>'II-I-DIST'!F1188</f>
        <v>2517045758.8140869</v>
      </c>
      <c r="G1188" s="392"/>
      <c r="H1188" s="814">
        <f>'II-I-MET'!F1188</f>
        <v>186405248.59911665</v>
      </c>
      <c r="I1188" s="392"/>
      <c r="J1188" s="814">
        <f>'II-I-TBILLTDCS'!F1188</f>
        <v>104564123.46884386</v>
      </c>
      <c r="K1188" s="392"/>
      <c r="L1188" s="218">
        <f>F1188+H1188+J1188</f>
        <v>2808015130.8820477</v>
      </c>
      <c r="T1188" s="321"/>
      <c r="U1188" s="321"/>
      <c r="V1188" s="321"/>
      <c r="W1188" s="321"/>
      <c r="X1188" s="321"/>
    </row>
    <row r="1189" spans="2:34" x14ac:dyDescent="0.2">
      <c r="B1189" s="64"/>
      <c r="C1189" s="64"/>
      <c r="D1189" s="64"/>
      <c r="E1189" s="64"/>
      <c r="F1189" s="589"/>
      <c r="G1189" s="589"/>
      <c r="H1189" s="64"/>
      <c r="I1189" s="64"/>
      <c r="J1189" s="64"/>
      <c r="K1189" s="64"/>
      <c r="T1189" s="321"/>
      <c r="U1189" s="321"/>
      <c r="V1189" s="321"/>
      <c r="W1189" s="321"/>
      <c r="X1189" s="321"/>
    </row>
    <row r="1190" spans="2:34" x14ac:dyDescent="0.2">
      <c r="B1190" s="64"/>
      <c r="C1190" s="64"/>
      <c r="D1190" s="64"/>
      <c r="E1190" s="64"/>
      <c r="F1190" s="589"/>
      <c r="G1190" s="653"/>
      <c r="H1190" s="64"/>
      <c r="I1190" s="105"/>
      <c r="J1190" s="64"/>
      <c r="K1190" s="105"/>
      <c r="T1190" s="321"/>
      <c r="U1190" s="321"/>
      <c r="V1190" s="321"/>
      <c r="W1190" s="321"/>
      <c r="X1190" s="321"/>
    </row>
    <row r="1191" spans="2:34" ht="15.75" thickBot="1" x14ac:dyDescent="0.3">
      <c r="B1191" s="783"/>
      <c r="C1191" s="783"/>
      <c r="D1191" s="783"/>
      <c r="E1191" s="783"/>
      <c r="F1191" s="589"/>
      <c r="G1191" s="589"/>
      <c r="H1191" s="64"/>
      <c r="I1191" s="64"/>
      <c r="J1191" s="64"/>
      <c r="K1191" s="64"/>
      <c r="L1191" s="783"/>
      <c r="T1191" s="321"/>
      <c r="U1191" s="321"/>
      <c r="V1191" s="321"/>
      <c r="W1191" s="321"/>
      <c r="X1191" s="321"/>
    </row>
    <row r="1192" spans="2:34" ht="15" x14ac:dyDescent="0.25">
      <c r="B1192" s="829" t="str">
        <f>$B$4</f>
        <v>2025 RATE CASE</v>
      </c>
      <c r="C1192" s="835"/>
      <c r="D1192" s="836"/>
      <c r="E1192" s="783"/>
      <c r="F1192" s="571"/>
      <c r="G1192" s="589"/>
      <c r="H1192" s="11"/>
      <c r="J1192" s="11"/>
      <c r="K1192"/>
      <c r="L1192" s="783"/>
      <c r="T1192" s="321"/>
      <c r="U1192" s="321"/>
      <c r="V1192" s="321"/>
      <c r="W1192" s="321"/>
      <c r="X1192" s="321"/>
    </row>
    <row r="1193" spans="2:34" ht="15" x14ac:dyDescent="0.25">
      <c r="B1193" s="826" t="str">
        <f>$B$5</f>
        <v>ONCOR ELECTRIC DELIVERY COMPANY LLC</v>
      </c>
      <c r="C1193" s="304"/>
      <c r="D1193" s="837"/>
      <c r="E1193" s="783"/>
      <c r="F1193" s="571"/>
      <c r="G1193" s="1195"/>
      <c r="H1193" s="11"/>
      <c r="J1193" s="11"/>
      <c r="K1193"/>
      <c r="L1193" s="783"/>
      <c r="X1193" s="321"/>
      <c r="Y1193" s="321"/>
    </row>
    <row r="1194" spans="2:34" ht="15" x14ac:dyDescent="0.25">
      <c r="B1194" s="341" t="str">
        <f>$B$6</f>
        <v>II-I-2.1f:  CONSOLIDATED FUNCTIONALIZED COST OF SERVICE</v>
      </c>
      <c r="C1194" s="304"/>
      <c r="D1194" s="837"/>
      <c r="E1194" s="783"/>
      <c r="F1194" s="571"/>
      <c r="G1194" s="589"/>
      <c r="H1194" s="11"/>
      <c r="J1194" s="11"/>
      <c r="K1194"/>
      <c r="L1194" s="783"/>
      <c r="X1194" s="321"/>
      <c r="Y1194" s="321"/>
    </row>
    <row r="1195" spans="2:34" ht="15" x14ac:dyDescent="0.25">
      <c r="B1195" s="341" t="str">
        <f>$B$7</f>
        <v>TEST YEAR ENDING 12/31/2024</v>
      </c>
      <c r="C1195" s="304"/>
      <c r="D1195" s="837"/>
      <c r="E1195" s="783"/>
      <c r="F1195" s="571"/>
      <c r="G1195" s="589"/>
      <c r="H1195" s="11"/>
      <c r="J1195" s="11"/>
      <c r="K1195"/>
      <c r="L1195" s="783"/>
      <c r="X1195" s="321"/>
      <c r="Y1195" s="321"/>
    </row>
    <row r="1196" spans="2:34" ht="15.75" x14ac:dyDescent="0.25">
      <c r="B1196" s="341" t="str">
        <f>$B$8</f>
        <v>SPONSOR:  MATTHEW A. TROXLE</v>
      </c>
      <c r="C1196" s="752"/>
      <c r="D1196" s="830"/>
      <c r="E1196" s="64"/>
      <c r="F1196" s="571"/>
      <c r="G1196" s="589"/>
      <c r="H1196" s="11"/>
      <c r="J1196" s="11"/>
      <c r="K1196"/>
      <c r="Y1196" s="321"/>
    </row>
    <row r="1197" spans="2:34" ht="15.75" thickBot="1" x14ac:dyDescent="0.3">
      <c r="B1197" s="345"/>
      <c r="C1197" s="840"/>
      <c r="D1197" s="841"/>
      <c r="E1197" s="304"/>
      <c r="F1197" s="571"/>
      <c r="G1197" s="589"/>
      <c r="H1197" s="11"/>
      <c r="J1197" s="11"/>
      <c r="K1197"/>
      <c r="L1197" s="304"/>
      <c r="Y1197" s="321"/>
      <c r="AD1197" s="321"/>
      <c r="AE1197" s="321"/>
      <c r="AF1197" s="321"/>
      <c r="AG1197" s="321"/>
      <c r="AH1197" s="321"/>
    </row>
    <row r="1198" spans="2:34" x14ac:dyDescent="0.2">
      <c r="B1198" s="12"/>
      <c r="C1198" s="13"/>
      <c r="D1198" s="177"/>
      <c r="E1198" s="13"/>
      <c r="F1198" s="655"/>
      <c r="G1198" s="656"/>
      <c r="H1198" s="12"/>
      <c r="I1198" s="13"/>
      <c r="J1198" s="12"/>
      <c r="K1198" s="13"/>
      <c r="L1198" s="855"/>
      <c r="M1198" s="938"/>
      <c r="Y1198" s="321"/>
      <c r="AD1198" s="321"/>
      <c r="AE1198" s="321"/>
      <c r="AF1198" s="321"/>
      <c r="AG1198" s="321"/>
      <c r="AH1198" s="321"/>
    </row>
    <row r="1199" spans="2:34" ht="15" x14ac:dyDescent="0.25">
      <c r="B1199" s="14" t="s">
        <v>2</v>
      </c>
      <c r="C1199" s="14" t="s">
        <v>349</v>
      </c>
      <c r="D1199" s="180" t="s">
        <v>317</v>
      </c>
      <c r="E1199" s="14" t="s">
        <v>350</v>
      </c>
      <c r="F1199" s="226" t="str">
        <f>'II-I-DIST'!F1199</f>
        <v>DIST</v>
      </c>
      <c r="G1199" s="661" t="str">
        <f>'II-I-DIST'!H1199</f>
        <v>Allocation</v>
      </c>
      <c r="H1199" s="226" t="str">
        <f>'II-I-MET'!F1199</f>
        <v>MET</v>
      </c>
      <c r="I1199" s="181" t="str">
        <f>'II-I-MET'!H1199</f>
        <v>Allocation</v>
      </c>
      <c r="J1199" s="226" t="str">
        <f>'II-I-TBILLTDCS'!F1199</f>
        <v>TBILLTDCS</v>
      </c>
      <c r="K1199" s="181" t="str">
        <f>'II-I-TBILLTDCS'!H1199</f>
        <v>Allocation</v>
      </c>
      <c r="L1199" s="660" t="s">
        <v>434</v>
      </c>
      <c r="M1199" s="932" t="s">
        <v>970</v>
      </c>
      <c r="Y1199" s="321"/>
      <c r="AD1199" s="321"/>
      <c r="AE1199" s="321"/>
      <c r="AF1199" s="321"/>
      <c r="AG1199" s="321"/>
      <c r="AH1199" s="321"/>
    </row>
    <row r="1200" spans="2:34" x14ac:dyDescent="0.2">
      <c r="B1200" s="14"/>
      <c r="C1200" s="14"/>
      <c r="D1200" s="181"/>
      <c r="E1200" s="14"/>
      <c r="F1200" s="660"/>
      <c r="G1200" s="661" t="str">
        <f>'II-I-DIST'!H1200</f>
        <v>Factor</v>
      </c>
      <c r="H1200" s="14"/>
      <c r="I1200" s="181" t="str">
        <f>'II-I-MET'!H1200</f>
        <v>Factor</v>
      </c>
      <c r="J1200" s="14"/>
      <c r="K1200" s="181" t="str">
        <f>'II-I-TBILLTDCS'!H1200</f>
        <v>Factor</v>
      </c>
      <c r="L1200" s="660" t="s">
        <v>31</v>
      </c>
      <c r="M1200" s="939"/>
      <c r="Y1200" s="321"/>
      <c r="AD1200" s="321"/>
      <c r="AE1200" s="321"/>
      <c r="AF1200" s="321"/>
      <c r="AG1200" s="321"/>
      <c r="AH1200" s="321"/>
    </row>
    <row r="1201" spans="2:35" ht="15.75" thickBot="1" x14ac:dyDescent="0.25">
      <c r="B1201" s="182"/>
      <c r="C1201" s="860"/>
      <c r="D1201" s="184"/>
      <c r="E1201" s="184"/>
      <c r="F1201" s="664" t="str">
        <f>'II-I-DIST'!F1201</f>
        <v>(a)</v>
      </c>
      <c r="G1201" s="664" t="str">
        <f>'II-I-DIST'!H1201</f>
        <v>(c)</v>
      </c>
      <c r="H1201" s="664" t="str">
        <f>'II-I-MET'!F1201</f>
        <v>(a)</v>
      </c>
      <c r="I1201" s="15" t="str">
        <f>'II-I-MET'!H1201</f>
        <v>(c)</v>
      </c>
      <c r="J1201" s="664" t="str">
        <f>'II-I-TBILLTDCS'!F1201</f>
        <v>(a)</v>
      </c>
      <c r="K1201" s="15" t="str">
        <f>'II-I-TBILLTDCS'!H1201</f>
        <v>(c)</v>
      </c>
      <c r="L1201" s="664" t="s">
        <v>19</v>
      </c>
      <c r="M1201" s="934" t="s">
        <v>1056</v>
      </c>
      <c r="Y1201" s="321"/>
      <c r="AD1201" s="321"/>
      <c r="AE1201" s="321"/>
      <c r="AF1201" s="321"/>
      <c r="AG1201" s="321"/>
      <c r="AH1201" s="321"/>
      <c r="AI1201" s="321"/>
    </row>
    <row r="1202" spans="2:35" x14ac:dyDescent="0.2">
      <c r="B1202" s="64"/>
      <c r="C1202" s="96"/>
      <c r="D1202" s="96"/>
      <c r="E1202" s="251"/>
      <c r="F1202" s="674"/>
      <c r="G1202" s="673"/>
      <c r="H1202" s="308"/>
      <c r="I1202" s="251"/>
      <c r="J1202" s="308"/>
      <c r="K1202" s="251"/>
      <c r="L1202" s="647"/>
      <c r="Y1202" s="321"/>
      <c r="AD1202" s="321"/>
      <c r="AE1202" s="321"/>
      <c r="AF1202" s="321"/>
      <c r="AG1202" s="321"/>
      <c r="AH1202" s="321"/>
      <c r="AI1202" s="321"/>
    </row>
    <row r="1203" spans="2:35" ht="15" x14ac:dyDescent="0.25">
      <c r="B1203" s="16">
        <f t="shared" ref="B1203:B1230" si="60">B1202+1</f>
        <v>1</v>
      </c>
      <c r="C1203" s="8" t="s">
        <v>673</v>
      </c>
      <c r="D1203" s="8"/>
      <c r="E1203" s="831" t="s">
        <v>318</v>
      </c>
      <c r="F1203" s="805"/>
      <c r="G1203" s="1308"/>
      <c r="H1203" s="805"/>
      <c r="I1203" s="1308"/>
      <c r="J1203" s="805"/>
      <c r="K1203" s="1308"/>
      <c r="L1203" s="8"/>
      <c r="Y1203" s="321"/>
      <c r="AD1203" s="321"/>
      <c r="AE1203" s="321"/>
      <c r="AF1203" s="321"/>
      <c r="AG1203" s="321"/>
      <c r="AH1203" s="321"/>
      <c r="AI1203" s="321"/>
    </row>
    <row r="1204" spans="2:35" ht="15" x14ac:dyDescent="0.25">
      <c r="B1204" s="16">
        <f t="shared" si="60"/>
        <v>2</v>
      </c>
      <c r="C1204" s="8" t="s">
        <v>319</v>
      </c>
      <c r="D1204" s="8"/>
      <c r="E1204" s="831" t="s">
        <v>0</v>
      </c>
      <c r="F1204" s="805"/>
      <c r="G1204" s="1308"/>
      <c r="H1204" s="805"/>
      <c r="I1204" s="1308"/>
      <c r="J1204" s="805"/>
      <c r="K1204" s="1308"/>
      <c r="L1204" s="8"/>
      <c r="AD1204" s="321"/>
      <c r="AE1204" s="321"/>
      <c r="AF1204" s="321"/>
      <c r="AG1204" s="321"/>
      <c r="AH1204" s="321"/>
      <c r="AI1204" s="321"/>
    </row>
    <row r="1205" spans="2:35" s="321" customFormat="1" ht="48.75" customHeight="1" x14ac:dyDescent="0.2">
      <c r="B1205" s="16">
        <f t="shared" si="60"/>
        <v>3</v>
      </c>
      <c r="C1205" s="1" t="s">
        <v>320</v>
      </c>
      <c r="D1205" s="1" t="s">
        <v>321</v>
      </c>
      <c r="E1205" s="16"/>
      <c r="F1205" s="668">
        <f>'II-I-DIST'!F1205</f>
        <v>34378539</v>
      </c>
      <c r="G1205" s="620" t="str">
        <f>'II-I-DIST'!H1205</f>
        <v>NCP ALL</v>
      </c>
      <c r="H1205" s="229">
        <f>'II-I-MET'!F1205</f>
        <v>0</v>
      </c>
      <c r="I1205" s="45" t="str">
        <f>'II-I-MET'!H1205</f>
        <v>NCP ALL</v>
      </c>
      <c r="J1205" s="229">
        <f>'II-I-TBILLTDCS'!F1205</f>
        <v>0</v>
      </c>
      <c r="K1205" s="45" t="str">
        <f>'II-I-TBILLTDCS'!H1205</f>
        <v>NCP ALL</v>
      </c>
      <c r="L1205" s="802">
        <f t="shared" ref="L1205:L1213" si="61">F1205+H1205+J1205</f>
        <v>34378539</v>
      </c>
      <c r="M1205" s="1476" t="s">
        <v>1312</v>
      </c>
      <c r="N1205" s="751" t="b">
        <f>IF(' WP II-I-1.4'!$L1206=L1205,TRUE)</f>
        <v>1</v>
      </c>
    </row>
    <row r="1206" spans="2:35" s="321" customFormat="1" ht="42.75" x14ac:dyDescent="0.2">
      <c r="B1206" s="16">
        <f t="shared" si="60"/>
        <v>4</v>
      </c>
      <c r="C1206" s="1" t="s">
        <v>322</v>
      </c>
      <c r="D1206" s="1" t="s">
        <v>323</v>
      </c>
      <c r="E1206" s="16"/>
      <c r="F1206" s="668">
        <f>'II-I-DIST'!F1206</f>
        <v>758930.8</v>
      </c>
      <c r="G1206" s="620" t="str">
        <f>'II-I-DIST'!H1206</f>
        <v>RCOS x565</v>
      </c>
      <c r="H1206" s="229">
        <f>'II-I-MET'!F1206</f>
        <v>0</v>
      </c>
      <c r="I1206" s="45" t="str">
        <f>'II-I-MET'!H1206</f>
        <v>RCOS x565</v>
      </c>
      <c r="J1206" s="229">
        <f>'II-I-TBILLTDCS'!F1206</f>
        <v>0</v>
      </c>
      <c r="K1206" s="45" t="str">
        <f>'II-I-TBILLTDCS'!H1206</f>
        <v>RCOS x565</v>
      </c>
      <c r="L1206" s="802">
        <f t="shared" si="61"/>
        <v>758930.8</v>
      </c>
      <c r="M1206" s="942" t="s">
        <v>1049</v>
      </c>
      <c r="N1206" s="751" t="b">
        <f>IF(' WP II-I-1.4'!$L1207=L1206,TRUE)</f>
        <v>1</v>
      </c>
    </row>
    <row r="1207" spans="2:35" s="321" customFormat="1" x14ac:dyDescent="0.2">
      <c r="B1207" s="16">
        <f t="shared" si="60"/>
        <v>5</v>
      </c>
      <c r="C1207" s="321" t="s">
        <v>322</v>
      </c>
      <c r="D1207" s="321" t="s">
        <v>1297</v>
      </c>
      <c r="E1207" s="16"/>
      <c r="F1207" s="668">
        <f>'II-I-DIST'!F1207</f>
        <v>0</v>
      </c>
      <c r="G1207" s="620" t="str">
        <f>'II-I-DIST'!H1207</f>
        <v>CUS W ALL</v>
      </c>
      <c r="H1207" s="229">
        <f>'II-I-MET'!F1207</f>
        <v>0</v>
      </c>
      <c r="I1207" s="45" t="str">
        <f>'II-I-MET'!H1207</f>
        <v>CUS W ALL</v>
      </c>
      <c r="J1207" s="229">
        <f>'II-I-TBILLTDCS'!F1207</f>
        <v>0</v>
      </c>
      <c r="K1207" s="45" t="str">
        <f>'II-I-TBILLTDCS'!H1207</f>
        <v>CUS W ALL</v>
      </c>
      <c r="L1207" s="802"/>
      <c r="M1207" s="942"/>
      <c r="N1207" s="751" t="b">
        <f>IF(' WP II-I-1.4'!$L1208=L1207,TRUE)</f>
        <v>1</v>
      </c>
    </row>
    <row r="1208" spans="2:35" s="321" customFormat="1" ht="28.5" x14ac:dyDescent="0.2">
      <c r="B1208" s="16">
        <f t="shared" si="60"/>
        <v>6</v>
      </c>
      <c r="C1208" s="1" t="s">
        <v>674</v>
      </c>
      <c r="D1208" s="26" t="s">
        <v>324</v>
      </c>
      <c r="E1208" s="16"/>
      <c r="F1208" s="668">
        <f>'II-I-DIST'!F1208</f>
        <v>13606322</v>
      </c>
      <c r="G1208" s="620" t="str">
        <f>'II-I-DIST'!H1208</f>
        <v>CUS U RTL</v>
      </c>
      <c r="H1208" s="97">
        <f>'II-I-MET'!F1208</f>
        <v>14115591</v>
      </c>
      <c r="I1208" s="45" t="str">
        <f>'II-I-MET'!H1208</f>
        <v>CUS W RTL</v>
      </c>
      <c r="J1208" s="97">
        <f>'II-I-TBILLTDCS'!F1208</f>
        <v>85782</v>
      </c>
      <c r="K1208" s="45" t="str">
        <f>'II-I-TBILLTDCS'!H1208</f>
        <v>CUS U RTL</v>
      </c>
      <c r="L1208" s="802">
        <f t="shared" si="61"/>
        <v>27807695</v>
      </c>
      <c r="M1208" s="935" t="s">
        <v>1050</v>
      </c>
      <c r="N1208" s="305" t="b">
        <f>IF(' WP II-I-1.4'!$L1209=L1208,TRUE)</f>
        <v>1</v>
      </c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</row>
    <row r="1209" spans="2:35" s="321" customFormat="1" x14ac:dyDescent="0.2">
      <c r="B1209" s="16">
        <f t="shared" si="60"/>
        <v>7</v>
      </c>
      <c r="C1209" s="1" t="s">
        <v>674</v>
      </c>
      <c r="D1209" s="1" t="s">
        <v>325</v>
      </c>
      <c r="E1209" s="16"/>
      <c r="F1209" s="668">
        <f>'II-I-DIST'!F1209</f>
        <v>107361.28</v>
      </c>
      <c r="G1209" s="620" t="str">
        <f>'II-I-DIST'!H1209</f>
        <v>PLTDIST_N</v>
      </c>
      <c r="H1209" s="97">
        <f>'II-I-MET'!F1209</f>
        <v>0</v>
      </c>
      <c r="I1209" s="45" t="str">
        <f>'II-I-MET'!H1209</f>
        <v>PLTDIST_N</v>
      </c>
      <c r="J1209" s="97">
        <f>'II-I-TBILLTDCS'!F1209</f>
        <v>0</v>
      </c>
      <c r="K1209" s="45" t="str">
        <f>'II-I-TBILLTDCS'!H1209</f>
        <v>PLTDIST_N</v>
      </c>
      <c r="L1209" s="802">
        <f t="shared" si="61"/>
        <v>107361.28</v>
      </c>
      <c r="M1209" s="935" t="s">
        <v>1051</v>
      </c>
      <c r="N1209" s="305" t="b">
        <f>IF(' WP II-I-1.4'!$L1210=L1209,TRUE)</f>
        <v>1</v>
      </c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</row>
    <row r="1210" spans="2:35" s="321" customFormat="1" x14ac:dyDescent="0.2">
      <c r="B1210" s="16">
        <f t="shared" si="60"/>
        <v>8</v>
      </c>
      <c r="C1210" s="647" t="s">
        <v>1135</v>
      </c>
      <c r="D1210" s="1" t="s">
        <v>327</v>
      </c>
      <c r="E1210" s="16"/>
      <c r="F1210" s="668">
        <f>'II-I-DIST'!F1210</f>
        <v>10615770.26</v>
      </c>
      <c r="G1210" s="620" t="str">
        <f>'II-I-DIST'!H1210</f>
        <v>PLT 364</v>
      </c>
      <c r="H1210" s="229">
        <f>'II-I-MET'!F1210</f>
        <v>0</v>
      </c>
      <c r="I1210" s="45" t="str">
        <f>'II-I-MET'!H1210</f>
        <v>PLT 364</v>
      </c>
      <c r="J1210" s="229">
        <f>'II-I-TBILLTDCS'!F1210</f>
        <v>0</v>
      </c>
      <c r="K1210" s="45" t="str">
        <f>'II-I-TBILLTDCS'!H1210</f>
        <v>PLT 364</v>
      </c>
      <c r="L1210" s="802">
        <f t="shared" si="61"/>
        <v>10615770.26</v>
      </c>
      <c r="M1210" s="935" t="s">
        <v>1052</v>
      </c>
      <c r="N1210" s="305" t="b">
        <f>IF(' WP II-I-1.4'!$L1211=L1210,TRUE)</f>
        <v>1</v>
      </c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</row>
    <row r="1211" spans="2:35" s="321" customFormat="1" x14ac:dyDescent="0.2">
      <c r="B1211" s="16">
        <f t="shared" si="60"/>
        <v>9</v>
      </c>
      <c r="C1211" s="647" t="s">
        <v>1135</v>
      </c>
      <c r="D1211" s="1" t="s">
        <v>900</v>
      </c>
      <c r="E1211" s="16" t="s">
        <v>902</v>
      </c>
      <c r="F1211" s="668">
        <f>'II-I-DIST'!F1211</f>
        <v>191157.49081999998</v>
      </c>
      <c r="G1211" s="620" t="str">
        <f>'II-I-DIST'!H1211</f>
        <v>PLT 364</v>
      </c>
      <c r="H1211" s="229">
        <f>'II-I-MET'!F1211</f>
        <v>0</v>
      </c>
      <c r="I1211" s="45" t="str">
        <f>'II-I-MET'!H1211</f>
        <v>PLT 364</v>
      </c>
      <c r="J1211" s="229">
        <f>'II-I-TBILLTDCS'!F1211</f>
        <v>0</v>
      </c>
      <c r="K1211" s="45" t="str">
        <f>'II-I-TBILLTDCS'!H1211</f>
        <v>PLT 364</v>
      </c>
      <c r="L1211" s="802">
        <f t="shared" si="61"/>
        <v>191157.49081999998</v>
      </c>
      <c r="M1211" s="935" t="s">
        <v>1053</v>
      </c>
      <c r="N1211" s="305" t="b">
        <f>IF(' WP II-I-1.4'!$L1212=L1211,TRUE)</f>
        <v>1</v>
      </c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</row>
    <row r="1212" spans="2:35" s="321" customFormat="1" ht="28.5" x14ac:dyDescent="0.2">
      <c r="B1212" s="16">
        <f t="shared" si="60"/>
        <v>10</v>
      </c>
      <c r="C1212" s="647" t="s">
        <v>1135</v>
      </c>
      <c r="D1212" s="1" t="s">
        <v>901</v>
      </c>
      <c r="E1212" s="16" t="s">
        <v>902</v>
      </c>
      <c r="F1212" s="668">
        <f>'II-I-DIST'!F1212</f>
        <v>1091778.68918</v>
      </c>
      <c r="G1212" s="620" t="str">
        <f>'II-I-DIST'!H1212</f>
        <v>PLT 366</v>
      </c>
      <c r="H1212" s="229">
        <f>'II-I-MET'!F1212</f>
        <v>0</v>
      </c>
      <c r="I1212" s="45" t="str">
        <f>'II-I-MET'!H1212</f>
        <v>PLT 366</v>
      </c>
      <c r="J1212" s="229">
        <f>'II-I-TBILLTDCS'!F1212</f>
        <v>0</v>
      </c>
      <c r="K1212" s="45" t="str">
        <f>'II-I-TBILLTDCS'!H1212</f>
        <v>PLT 366</v>
      </c>
      <c r="L1212" s="802">
        <f t="shared" si="61"/>
        <v>1091778.68918</v>
      </c>
      <c r="M1212" s="935" t="s">
        <v>1054</v>
      </c>
      <c r="N1212" s="305" t="b">
        <f>IF(' WP II-I-1.4'!$L1213=L1212,TRUE)</f>
        <v>1</v>
      </c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</row>
    <row r="1213" spans="2:35" s="321" customFormat="1" x14ac:dyDescent="0.2">
      <c r="B1213" s="16">
        <f t="shared" si="60"/>
        <v>11</v>
      </c>
      <c r="C1213" s="647" t="s">
        <v>1135</v>
      </c>
      <c r="D1213" s="1" t="s">
        <v>331</v>
      </c>
      <c r="E1213" s="16"/>
      <c r="F1213" s="668">
        <f>'II-I-DIST'!F1213</f>
        <v>0</v>
      </c>
      <c r="G1213" s="620" t="str">
        <f>'II-I-DIST'!H1213</f>
        <v>PLT 364</v>
      </c>
      <c r="H1213" s="229">
        <f>'II-I-MET'!F1213</f>
        <v>0</v>
      </c>
      <c r="I1213" s="45" t="str">
        <f>'II-I-MET'!H1213</f>
        <v>PLT 364</v>
      </c>
      <c r="J1213" s="229">
        <f>'II-I-TBILLTDCS'!F1213</f>
        <v>0</v>
      </c>
      <c r="K1213" s="45" t="str">
        <f>'II-I-TBILLTDCS'!H1213</f>
        <v>PLT 364</v>
      </c>
      <c r="L1213" s="802">
        <f t="shared" si="61"/>
        <v>0</v>
      </c>
      <c r="M1213" s="935"/>
      <c r="N1213" s="305" t="b">
        <f>IF(' WP II-I-1.4'!$L1214=L1213,TRUE)</f>
        <v>1</v>
      </c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</row>
    <row r="1214" spans="2:35" s="321" customFormat="1" x14ac:dyDescent="0.2">
      <c r="B1214" s="16">
        <f t="shared" si="60"/>
        <v>12</v>
      </c>
      <c r="C1214" s="647" t="s">
        <v>1135</v>
      </c>
      <c r="D1214" s="647" t="s">
        <v>1308</v>
      </c>
      <c r="E1214" s="16"/>
      <c r="F1214" s="668">
        <f>'II-I-DIST'!F1214</f>
        <v>36752.630000000005</v>
      </c>
      <c r="G1214" s="620" t="str">
        <f>'II-I-DIST'!H1214</f>
        <v>PLTGEN</v>
      </c>
      <c r="H1214" s="229">
        <f>'II-I-MET'!F1214</f>
        <v>0</v>
      </c>
      <c r="I1214" s="45" t="str">
        <f>'II-I-MET'!H1214</f>
        <v>PLTGEN</v>
      </c>
      <c r="J1214" s="229">
        <f>'II-I-TBILLTDCS'!F1214</f>
        <v>0</v>
      </c>
      <c r="K1214" s="45" t="str">
        <f>'II-I-TBILLTDCS'!H1214</f>
        <v>PLTGEN</v>
      </c>
      <c r="L1214" s="802">
        <f t="shared" ref="L1214:L1230" si="62">F1214+H1214+J1214</f>
        <v>36752.630000000005</v>
      </c>
      <c r="M1214" s="935" t="s">
        <v>1055</v>
      </c>
      <c r="N1214" s="305" t="b">
        <f>IF(' WP II-I-1.4'!$L1215=L1214,TRUE)</f>
        <v>1</v>
      </c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</row>
    <row r="1215" spans="2:35" s="321" customFormat="1" x14ac:dyDescent="0.2">
      <c r="B1215" s="16">
        <f t="shared" si="60"/>
        <v>13</v>
      </c>
      <c r="C1215" s="647" t="s">
        <v>1135</v>
      </c>
      <c r="D1215" s="647" t="s">
        <v>1305</v>
      </c>
      <c r="E1215" s="16"/>
      <c r="F1215" s="668">
        <f>'II-I-DIST'!F1215</f>
        <v>0</v>
      </c>
      <c r="G1215" s="620" t="str">
        <f>'II-I-DIST'!H1215</f>
        <v>CUS W ALL</v>
      </c>
      <c r="H1215" s="229">
        <f>'II-I-MET'!F1215</f>
        <v>0</v>
      </c>
      <c r="I1215" s="45" t="str">
        <f>'II-I-MET'!H1215</f>
        <v>CUS W ALL</v>
      </c>
      <c r="J1215" s="229">
        <f>'II-I-TBILLTDCS'!F1215</f>
        <v>0</v>
      </c>
      <c r="K1215" s="45" t="str">
        <f>'II-I-TBILLTDCS'!H1215</f>
        <v>CUS W ALL</v>
      </c>
      <c r="L1215" s="802">
        <f t="shared" si="62"/>
        <v>0</v>
      </c>
      <c r="M1215" s="942"/>
      <c r="N1215" s="751" t="b">
        <f>IF(' WP II-I-1.4'!$L1216=L1215,TRUE)</f>
        <v>1</v>
      </c>
    </row>
    <row r="1216" spans="2:35" s="321" customFormat="1" x14ac:dyDescent="0.2">
      <c r="B1216" s="16">
        <f t="shared" si="60"/>
        <v>14</v>
      </c>
      <c r="C1216" s="1" t="s">
        <v>1135</v>
      </c>
      <c r="D1216" s="1" t="s">
        <v>1306</v>
      </c>
      <c r="E1216" s="16"/>
      <c r="F1216" s="668">
        <f>'II-I-DIST'!F1216</f>
        <v>0</v>
      </c>
      <c r="G1216" s="620" t="str">
        <f>'II-I-DIST'!H1216</f>
        <v>CUS W ALL</v>
      </c>
      <c r="H1216" s="229">
        <f>'II-I-MET'!F1216</f>
        <v>0</v>
      </c>
      <c r="I1216" s="45" t="str">
        <f>'II-I-MET'!H1216</f>
        <v>CUS W ALL</v>
      </c>
      <c r="J1216" s="229">
        <f>'II-I-TBILLTDCS'!F1216</f>
        <v>0</v>
      </c>
      <c r="K1216" s="45" t="str">
        <f>'II-I-TBILLTDCS'!H1216</f>
        <v>CUS W ALL</v>
      </c>
      <c r="L1216" s="802">
        <f t="shared" si="62"/>
        <v>0</v>
      </c>
      <c r="M1216" s="942"/>
      <c r="N1216" s="751" t="b">
        <f>IF(' WP II-I-1.4'!$L1217=L1216,TRUE)</f>
        <v>1</v>
      </c>
    </row>
    <row r="1217" spans="2:14" s="321" customFormat="1" x14ac:dyDescent="0.2">
      <c r="B1217" s="16">
        <f t="shared" si="60"/>
        <v>15</v>
      </c>
      <c r="C1217" s="1" t="s">
        <v>334</v>
      </c>
      <c r="D1217" s="1" t="s">
        <v>335</v>
      </c>
      <c r="E1217" s="16"/>
      <c r="F1217" s="668">
        <f>'II-I-DIST'!F1217</f>
        <v>6026344.0000000075</v>
      </c>
      <c r="G1217" s="620" t="str">
        <f>'II-I-DIST'!H1217</f>
        <v>PLTDIST_N</v>
      </c>
      <c r="H1217" s="229">
        <f>'II-I-MET'!F1217</f>
        <v>0</v>
      </c>
      <c r="I1217" s="45" t="str">
        <f>'II-I-MET'!H1217</f>
        <v>PLTDIST_N</v>
      </c>
      <c r="J1217" s="229">
        <f>'II-I-TBILLTDCS'!F1217</f>
        <v>0</v>
      </c>
      <c r="K1217" s="45" t="str">
        <f>'II-I-TBILLTDCS'!H1217</f>
        <v>PLTDIST_N</v>
      </c>
      <c r="L1217" s="802">
        <f t="shared" si="62"/>
        <v>6026344.0000000075</v>
      </c>
      <c r="M1217" s="942" t="s">
        <v>1051</v>
      </c>
      <c r="N1217" s="751" t="b">
        <f>IF(' WP II-I-1.4'!$L1218=L1217,TRUE)</f>
        <v>1</v>
      </c>
    </row>
    <row r="1218" spans="2:14" s="321" customFormat="1" x14ac:dyDescent="0.2">
      <c r="B1218" s="16">
        <f t="shared" si="60"/>
        <v>16</v>
      </c>
      <c r="C1218" s="1" t="s">
        <v>334</v>
      </c>
      <c r="D1218" s="1" t="s">
        <v>1301</v>
      </c>
      <c r="E1218" s="16"/>
      <c r="F1218" s="668">
        <f>'II-I-DIST'!F1218</f>
        <v>0</v>
      </c>
      <c r="G1218" s="620" t="str">
        <f>'II-I-DIST'!H1218</f>
        <v>CUS W ALL</v>
      </c>
      <c r="H1218" s="229">
        <f>'II-I-MET'!F1218</f>
        <v>0</v>
      </c>
      <c r="I1218" s="45" t="str">
        <f>'II-I-MET'!H1218</f>
        <v>CUS W ALL</v>
      </c>
      <c r="J1218" s="229">
        <f>'II-I-TBILLTDCS'!F1218</f>
        <v>0</v>
      </c>
      <c r="K1218" s="45" t="str">
        <f>'II-I-TBILLTDCS'!H1218</f>
        <v>CUS W ALL</v>
      </c>
      <c r="L1218" s="802">
        <f t="shared" si="62"/>
        <v>0</v>
      </c>
      <c r="M1218" s="942"/>
      <c r="N1218" s="751" t="b">
        <f>IF(' WP II-I-1.4'!$L1219=L1218,TRUE)</f>
        <v>1</v>
      </c>
    </row>
    <row r="1219" spans="2:14" s="321" customFormat="1" x14ac:dyDescent="0.2">
      <c r="B1219" s="16">
        <f t="shared" si="60"/>
        <v>17</v>
      </c>
      <c r="C1219" s="1" t="s">
        <v>334</v>
      </c>
      <c r="D1219" s="1" t="s">
        <v>1302</v>
      </c>
      <c r="E1219" s="16"/>
      <c r="F1219" s="668">
        <f>'II-I-DIST'!F1219</f>
        <v>0</v>
      </c>
      <c r="G1219" s="620" t="str">
        <f>'II-I-DIST'!H1219</f>
        <v>CUS W ALL</v>
      </c>
      <c r="H1219" s="229">
        <f>'II-I-MET'!F1219</f>
        <v>0</v>
      </c>
      <c r="I1219" s="45" t="str">
        <f>'II-I-MET'!H1219</f>
        <v>CUS W ALL</v>
      </c>
      <c r="J1219" s="229">
        <f>'II-I-TBILLTDCS'!F1219</f>
        <v>0</v>
      </c>
      <c r="K1219" s="45" t="str">
        <f>'II-I-TBILLTDCS'!H1219</f>
        <v>CUS W ALL</v>
      </c>
      <c r="L1219" s="802">
        <f t="shared" si="62"/>
        <v>0</v>
      </c>
      <c r="M1219" s="942"/>
      <c r="N1219" s="751" t="b">
        <f>IF(' WP II-I-1.4'!$L1220=L1219,TRUE)</f>
        <v>1</v>
      </c>
    </row>
    <row r="1220" spans="2:14" ht="15" x14ac:dyDescent="0.25">
      <c r="B1220" s="16">
        <f t="shared" si="60"/>
        <v>18</v>
      </c>
      <c r="C1220" s="191"/>
      <c r="D1220" s="323" t="s">
        <v>444</v>
      </c>
      <c r="E1220" s="191"/>
      <c r="F1220" s="805">
        <f>'II-I-DIST'!F1220</f>
        <v>66812956.150000006</v>
      </c>
      <c r="G1220" s="191"/>
      <c r="H1220" s="805">
        <f>'II-I-MET'!F1220</f>
        <v>14115591</v>
      </c>
      <c r="I1220" s="191">
        <f>'II-I-MET'!H1220</f>
        <v>0</v>
      </c>
      <c r="J1220" s="805">
        <f>'II-I-TBILLTDCS'!F1220</f>
        <v>85782</v>
      </c>
      <c r="K1220" s="805"/>
      <c r="L1220" s="805">
        <f t="shared" si="62"/>
        <v>81014329.150000006</v>
      </c>
      <c r="M1220" s="943"/>
      <c r="N1220" s="305" t="b">
        <f>IF(' WP II-I-1.4'!$L1221=L1220,TRUE)</f>
        <v>1</v>
      </c>
    </row>
    <row r="1221" spans="2:14" ht="15" thickBot="1" x14ac:dyDescent="0.25">
      <c r="B1221" s="16">
        <f t="shared" si="60"/>
        <v>19</v>
      </c>
      <c r="C1221" s="1"/>
      <c r="D1221" s="1"/>
      <c r="E1221" s="16"/>
      <c r="F1221" s="18">
        <f>'II-I-DIST'!F1221</f>
        <v>0</v>
      </c>
      <c r="G1221" s="16"/>
      <c r="H1221" s="18">
        <f>'II-I-MET'!F1221</f>
        <v>0</v>
      </c>
      <c r="I1221" s="16"/>
      <c r="J1221" s="18">
        <f>'II-I-TBILLTDCS'!F1221</f>
        <v>0</v>
      </c>
      <c r="K1221" s="803"/>
      <c r="L1221" s="647"/>
      <c r="M1221" s="944"/>
      <c r="N1221" s="305"/>
    </row>
    <row r="1222" spans="2:14" ht="15.75" thickBot="1" x14ac:dyDescent="0.3">
      <c r="B1222" s="16">
        <f t="shared" si="60"/>
        <v>20</v>
      </c>
      <c r="C1222" s="223" t="s">
        <v>676</v>
      </c>
      <c r="D1222" s="252"/>
      <c r="E1222" s="252" t="s">
        <v>318</v>
      </c>
      <c r="F1222" s="812">
        <f>'II-I-DIST'!F1222</f>
        <v>66812956.150000006</v>
      </c>
      <c r="G1222" s="252"/>
      <c r="H1222" s="812">
        <f>'II-I-MET'!F1222</f>
        <v>14115591</v>
      </c>
      <c r="I1222" s="252"/>
      <c r="J1222" s="812">
        <f>'II-I-TBILLTDCS'!F1222</f>
        <v>85782</v>
      </c>
      <c r="K1222" s="812"/>
      <c r="L1222" s="812">
        <f t="shared" si="62"/>
        <v>81014329.150000006</v>
      </c>
      <c r="M1222" s="945"/>
      <c r="N1222" s="305" t="b">
        <f>IF(' WP II-I-1.4'!$L1223=L1222,TRUE)</f>
        <v>1</v>
      </c>
    </row>
    <row r="1223" spans="2:14" ht="15" thickBot="1" x14ac:dyDescent="0.25">
      <c r="B1223" s="16">
        <f t="shared" si="60"/>
        <v>21</v>
      </c>
      <c r="C1223" s="11"/>
      <c r="D1223" s="11"/>
      <c r="E1223" s="11"/>
      <c r="F1223" s="64"/>
      <c r="G1223" s="11"/>
      <c r="H1223" s="11"/>
      <c r="I1223" s="11"/>
      <c r="J1223" s="11"/>
      <c r="K1223" s="571"/>
      <c r="L1223" s="571"/>
      <c r="M1223" s="946"/>
      <c r="N1223" s="305"/>
    </row>
    <row r="1224" spans="2:14" ht="15.75" thickBot="1" x14ac:dyDescent="0.3">
      <c r="B1224" s="16">
        <f t="shared" si="60"/>
        <v>22</v>
      </c>
      <c r="C1224" s="223" t="s">
        <v>463</v>
      </c>
      <c r="D1224" s="252"/>
      <c r="E1224" s="252"/>
      <c r="F1224" s="812">
        <f>'II-I-DIST'!F1224</f>
        <v>5626905593.4032698</v>
      </c>
      <c r="G1224" s="252"/>
      <c r="H1224" s="812">
        <f>'II-I-MET'!F1224</f>
        <v>219358204.15531737</v>
      </c>
      <c r="I1224" s="252"/>
      <c r="J1224" s="812">
        <f>'II-I-TBILLTDCS'!F1224</f>
        <v>121750128.90782788</v>
      </c>
      <c r="K1224" s="812"/>
      <c r="L1224" s="812">
        <f t="shared" si="62"/>
        <v>5968013926.4664154</v>
      </c>
      <c r="M1224" s="945"/>
      <c r="N1224" s="305" t="b">
        <f>IF(' WP II-I-1.4'!$L1225=L1224,TRUE)</f>
        <v>1</v>
      </c>
    </row>
    <row r="1225" spans="2:14" ht="15" thickBot="1" x14ac:dyDescent="0.25">
      <c r="B1225" s="16">
        <f t="shared" si="60"/>
        <v>23</v>
      </c>
      <c r="C1225" s="11"/>
      <c r="D1225" s="11"/>
      <c r="E1225" s="11"/>
      <c r="F1225" s="64"/>
      <c r="G1225" s="11"/>
      <c r="H1225" s="11"/>
      <c r="I1225" s="11"/>
      <c r="J1225" s="11"/>
      <c r="K1225" s="571"/>
      <c r="L1225" s="571"/>
      <c r="M1225" s="946"/>
      <c r="N1225" s="305"/>
    </row>
    <row r="1226" spans="2:14" ht="15.75" thickBot="1" x14ac:dyDescent="0.3">
      <c r="B1226" s="16">
        <f t="shared" si="60"/>
        <v>24</v>
      </c>
      <c r="C1226" s="223" t="s">
        <v>677</v>
      </c>
      <c r="D1226" s="252"/>
      <c r="E1226" s="252"/>
      <c r="F1226" s="812">
        <f>'II-I-DIST'!F1226</f>
        <v>5560092637.2532701</v>
      </c>
      <c r="G1226" s="252"/>
      <c r="H1226" s="812">
        <f>'II-I-MET'!F1226</f>
        <v>205242613.15531737</v>
      </c>
      <c r="I1226" s="252"/>
      <c r="J1226" s="812">
        <f>'II-I-TBILLTDCS'!F1226</f>
        <v>121664346.90782788</v>
      </c>
      <c r="K1226" s="812"/>
      <c r="L1226" s="812">
        <f t="shared" si="62"/>
        <v>5886999597.3164158</v>
      </c>
      <c r="M1226" s="945"/>
      <c r="N1226" s="305" t="b">
        <f>IF(' WP II-I-1.4'!$L1227=L1226,TRUE)</f>
        <v>1</v>
      </c>
    </row>
    <row r="1227" spans="2:14" ht="15" thickBot="1" x14ac:dyDescent="0.25">
      <c r="B1227" s="16">
        <f t="shared" si="60"/>
        <v>25</v>
      </c>
      <c r="C1227" s="11"/>
      <c r="D1227" s="11"/>
      <c r="E1227" s="11"/>
      <c r="F1227" s="64"/>
      <c r="G1227" s="11"/>
      <c r="H1227" s="11"/>
      <c r="I1227" s="11"/>
      <c r="J1227" s="11"/>
      <c r="K1227" s="571"/>
      <c r="L1227" s="571"/>
      <c r="M1227" s="946"/>
      <c r="N1227" s="305"/>
    </row>
    <row r="1228" spans="2:14" ht="15" x14ac:dyDescent="0.25">
      <c r="B1228" s="16">
        <f t="shared" si="60"/>
        <v>26</v>
      </c>
      <c r="C1228" s="255" t="s">
        <v>963</v>
      </c>
      <c r="D1228" s="241"/>
      <c r="E1228" s="241"/>
      <c r="F1228" s="817">
        <f>'II-I-DIST'!F1228</f>
        <v>3526064120.7432699</v>
      </c>
      <c r="G1228" s="241"/>
      <c r="H1228" s="817">
        <f>'II-I-MET'!F1228</f>
        <v>219358204.15531737</v>
      </c>
      <c r="I1228" s="241"/>
      <c r="J1228" s="817">
        <f>'II-I-TBILLTDCS'!F1228</f>
        <v>121750128.90782788</v>
      </c>
      <c r="K1228" s="817"/>
      <c r="L1228" s="817">
        <f t="shared" si="62"/>
        <v>3867172453.8064151</v>
      </c>
      <c r="M1228" s="947"/>
      <c r="N1228" s="305" t="b">
        <f>IF(' WP II-I-1.4'!$L1229=L1228,TRUE)</f>
        <v>1</v>
      </c>
    </row>
    <row r="1229" spans="2:14" x14ac:dyDescent="0.2">
      <c r="B1229" s="16">
        <f t="shared" si="60"/>
        <v>27</v>
      </c>
      <c r="C1229" s="324"/>
      <c r="D1229" s="325"/>
      <c r="E1229" s="325"/>
      <c r="F1229" s="325"/>
      <c r="G1229" s="325"/>
      <c r="H1229" s="325"/>
      <c r="I1229" s="325"/>
      <c r="J1229" s="325"/>
      <c r="K1229" s="853"/>
      <c r="L1229" s="853"/>
      <c r="M1229" s="948"/>
      <c r="N1229" s="305"/>
    </row>
    <row r="1230" spans="2:14" ht="15.75" thickBot="1" x14ac:dyDescent="0.3">
      <c r="B1230" s="16">
        <f t="shared" si="60"/>
        <v>28</v>
      </c>
      <c r="C1230" s="262" t="s">
        <v>964</v>
      </c>
      <c r="D1230" s="247"/>
      <c r="E1230" s="247"/>
      <c r="F1230" s="248">
        <f>'II-I-DIST'!F1230</f>
        <v>3459251164.5932698</v>
      </c>
      <c r="G1230" s="247"/>
      <c r="H1230" s="248">
        <f>'II-I-MET'!F1230</f>
        <v>205242613.15531737</v>
      </c>
      <c r="I1230" s="247"/>
      <c r="J1230" s="248">
        <f>'II-I-TBILLTDCS'!F1230</f>
        <v>121664346.90782788</v>
      </c>
      <c r="K1230" s="248"/>
      <c r="L1230" s="248">
        <f t="shared" si="62"/>
        <v>3786158124.656415</v>
      </c>
      <c r="M1230" s="949"/>
      <c r="N1230" s="305" t="b">
        <f>IF(' WP II-I-1.4'!$L1231=L1230,TRUE)</f>
        <v>1</v>
      </c>
    </row>
    <row r="1231" spans="2:14" x14ac:dyDescent="0.2">
      <c r="M1231" s="950"/>
    </row>
    <row r="1232" spans="2:14" x14ac:dyDescent="0.2">
      <c r="F1232" s="305"/>
      <c r="M1232" s="950"/>
    </row>
    <row r="1233" spans="3:13" x14ac:dyDescent="0.2">
      <c r="C1233" s="64"/>
      <c r="F1233" s="327"/>
      <c r="H1233" s="327"/>
      <c r="J1233" s="327"/>
      <c r="K1233" s="854"/>
      <c r="L1233" s="854"/>
      <c r="M1233" s="951"/>
    </row>
  </sheetData>
  <conditionalFormatting sqref="M113:M114 M105">
    <cfRule type="cellIs" dxfId="3" priority="1" stopIfTrue="1" operator="equal">
      <formula>"same"</formula>
    </cfRule>
    <cfRule type="cellIs" dxfId="2" priority="2" stopIfTrue="1" operator="equal">
      <formula>"different"</formula>
    </cfRule>
  </conditionalFormatting>
  <pageMargins left="0.5" right="0.5" top="1.5" bottom="0.5" header="1" footer="0.3"/>
  <pageSetup scale="60" pageOrder="overThenDown" orientation="landscape" r:id="rId1"/>
  <headerFooter>
    <oddHeader>&amp;RII-I-2.1f
Page &amp;P of &amp;N</oddHeader>
  </headerFooter>
  <rowBreaks count="34" manualBreakCount="34">
    <brk id="40" max="12" man="1"/>
    <brk id="89" max="12" man="1"/>
    <brk id="123" max="12" man="1"/>
    <brk id="169" max="16383" man="1"/>
    <brk id="201" max="16383" man="1"/>
    <brk id="227" max="16383" man="1"/>
    <brk id="244" max="16383" man="1"/>
    <brk id="277" max="12" man="1"/>
    <brk id="329" max="16383" man="1"/>
    <brk id="368" max="12" man="1"/>
    <brk id="390" max="16383" man="1"/>
    <brk id="414" max="12" man="1"/>
    <brk id="437" max="16383" man="1"/>
    <brk id="457" max="16383" man="1"/>
    <brk id="480" max="16383" man="1"/>
    <brk id="503" max="16383" man="1"/>
    <brk id="577" max="16383" man="1"/>
    <brk id="624" max="16383" man="1"/>
    <brk id="664" max="16383" man="1"/>
    <brk id="710" max="16383" man="1"/>
    <brk id="754" max="12" man="1"/>
    <brk id="789" max="16383" man="1"/>
    <brk id="829" max="16383" man="1"/>
    <brk id="874" max="16383" man="1"/>
    <brk id="925" max="12" man="1"/>
    <brk id="959" max="16383" man="1"/>
    <brk id="979" max="16383" man="1"/>
    <brk id="1014" max="12" man="1"/>
    <brk id="1034" max="16383" man="1"/>
    <brk id="1072" max="16383" man="1"/>
    <brk id="1103" max="16383" man="1"/>
    <brk id="1146" max="12" man="1"/>
    <brk id="1164" max="16383" man="1"/>
    <brk id="119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7">
    <pageSetUpPr fitToPage="1"/>
  </sheetPr>
  <dimension ref="A1:I36"/>
  <sheetViews>
    <sheetView view="pageBreakPreview" topLeftCell="A15" zoomScaleNormal="75" workbookViewId="0">
      <selection activeCell="H20" sqref="H20"/>
    </sheetView>
  </sheetViews>
  <sheetFormatPr defaultRowHeight="14.25" x14ac:dyDescent="0.2"/>
  <cols>
    <col min="1" max="1" width="1.5" customWidth="1"/>
    <col min="2" max="2" width="5" bestFit="1" customWidth="1"/>
    <col min="3" max="3" width="9.75" bestFit="1" customWidth="1"/>
    <col min="4" max="4" width="8" bestFit="1" customWidth="1"/>
    <col min="5" max="5" width="33.875" bestFit="1" customWidth="1"/>
    <col min="6" max="7" width="0" hidden="1" customWidth="1"/>
    <col min="8" max="8" width="39.875" customWidth="1"/>
    <col min="9" max="9" width="14.875" customWidth="1"/>
  </cols>
  <sheetData>
    <row r="1" spans="1:9" x14ac:dyDescent="0.2">
      <c r="A1" s="64" t="s">
        <v>0</v>
      </c>
      <c r="B1" s="64"/>
      <c r="C1" s="64"/>
      <c r="D1" s="65"/>
      <c r="E1" s="64"/>
      <c r="F1" s="65"/>
      <c r="G1" s="64"/>
      <c r="H1" s="64"/>
      <c r="I1" s="526"/>
    </row>
    <row r="2" spans="1:9" ht="15" x14ac:dyDescent="0.2">
      <c r="A2" s="64"/>
      <c r="B2" s="1062"/>
      <c r="C2" s="45"/>
      <c r="D2" s="65"/>
      <c r="E2" s="64"/>
      <c r="F2" s="65"/>
      <c r="G2" s="64"/>
      <c r="H2" s="64"/>
      <c r="I2" s="526"/>
    </row>
    <row r="3" spans="1:9" ht="15" x14ac:dyDescent="0.25">
      <c r="A3" s="64"/>
      <c r="B3" s="3" t="str">
        <f>'II-I-1'!B2</f>
        <v>2025 RATE CASE</v>
      </c>
      <c r="C3" s="102"/>
      <c r="D3" s="7"/>
      <c r="E3" s="103"/>
      <c r="F3" s="7"/>
      <c r="G3" s="7"/>
      <c r="H3" s="7"/>
      <c r="I3" s="526"/>
    </row>
    <row r="4" spans="1:9" ht="15" x14ac:dyDescent="0.25">
      <c r="A4" s="64"/>
      <c r="B4" s="3" t="str">
        <f>'II-I-1'!B3</f>
        <v>ONCOR ELECTRIC DELIVERY COMPANY LLC</v>
      </c>
      <c r="C4" s="7"/>
      <c r="D4" s="7"/>
      <c r="E4" s="103"/>
      <c r="F4" s="7"/>
      <c r="G4" s="7"/>
      <c r="H4" s="7"/>
      <c r="I4" s="526"/>
    </row>
    <row r="5" spans="1:9" ht="15" x14ac:dyDescent="0.25">
      <c r="A5" s="64"/>
      <c r="B5" s="3" t="s">
        <v>954</v>
      </c>
      <c r="C5" s="7"/>
      <c r="D5" s="3"/>
      <c r="E5" s="103"/>
      <c r="F5" s="7"/>
      <c r="G5" s="7"/>
      <c r="H5" s="7"/>
      <c r="I5" s="526"/>
    </row>
    <row r="6" spans="1:9" ht="15" x14ac:dyDescent="0.25">
      <c r="A6" s="64"/>
      <c r="B6" s="3" t="str">
        <f>'II-I-1'!B5</f>
        <v>TEST YEAR ENDING 12/31/2024</v>
      </c>
      <c r="C6" s="7"/>
      <c r="D6" s="3"/>
      <c r="E6" s="103"/>
      <c r="F6" s="7"/>
      <c r="G6" s="7"/>
      <c r="H6" s="7"/>
      <c r="I6" s="526"/>
    </row>
    <row r="7" spans="1:9" ht="15" x14ac:dyDescent="0.25">
      <c r="A7" s="64"/>
      <c r="B7" s="3" t="str">
        <f>'II-I-1'!B6</f>
        <v>SPONSOR:  MATTHEW A. TROXLE</v>
      </c>
      <c r="C7" s="7"/>
      <c r="D7" s="125"/>
      <c r="E7" s="3"/>
      <c r="F7" s="7"/>
      <c r="G7" s="7"/>
      <c r="H7" s="7"/>
      <c r="I7" s="526"/>
    </row>
    <row r="8" spans="1:9" ht="15" x14ac:dyDescent="0.25">
      <c r="A8" s="64"/>
      <c r="B8" s="103"/>
      <c r="C8" s="7"/>
      <c r="D8" s="3"/>
      <c r="E8" s="103"/>
      <c r="F8" s="7"/>
      <c r="G8" s="7"/>
      <c r="H8" s="7"/>
      <c r="I8" s="526"/>
    </row>
    <row r="9" spans="1:9" ht="15" x14ac:dyDescent="0.25">
      <c r="A9" s="64"/>
      <c r="B9" s="7"/>
      <c r="C9" s="64"/>
      <c r="D9" s="82"/>
      <c r="E9" s="1"/>
      <c r="F9" s="65"/>
      <c r="G9" s="64"/>
      <c r="H9" s="64"/>
      <c r="I9" s="526"/>
    </row>
    <row r="10" spans="1:9" ht="15" x14ac:dyDescent="0.25">
      <c r="A10" s="64"/>
      <c r="B10" s="103" t="s">
        <v>955</v>
      </c>
      <c r="C10" s="7"/>
      <c r="D10" s="3"/>
      <c r="E10" s="527"/>
      <c r="F10" s="7"/>
      <c r="G10" s="7"/>
      <c r="H10" s="7"/>
      <c r="I10" s="526"/>
    </row>
    <row r="11" spans="1:9" ht="15" thickBot="1" x14ac:dyDescent="0.25">
      <c r="A11" s="64"/>
      <c r="B11" s="64"/>
      <c r="C11" s="64"/>
      <c r="D11" s="65"/>
      <c r="E11" s="64"/>
      <c r="F11" s="65"/>
      <c r="G11" s="65"/>
      <c r="H11" s="65"/>
      <c r="I11" s="526"/>
    </row>
    <row r="12" spans="1:9" ht="15" x14ac:dyDescent="0.25">
      <c r="A12" s="64"/>
      <c r="B12" s="126"/>
      <c r="C12" s="126"/>
      <c r="D12" s="92"/>
      <c r="E12" s="92"/>
      <c r="F12" s="127"/>
      <c r="G12" s="127"/>
      <c r="H12" s="127"/>
      <c r="I12" s="526"/>
    </row>
    <row r="13" spans="1:9" x14ac:dyDescent="0.2">
      <c r="A13" s="64"/>
      <c r="B13" s="93" t="s">
        <v>2</v>
      </c>
      <c r="C13" s="93" t="s">
        <v>410</v>
      </c>
      <c r="D13" s="93" t="s">
        <v>3</v>
      </c>
      <c r="E13" s="93" t="s">
        <v>4</v>
      </c>
      <c r="F13" s="93"/>
      <c r="G13" s="93" t="s">
        <v>411</v>
      </c>
      <c r="H13" s="93" t="s">
        <v>355</v>
      </c>
      <c r="I13" s="526"/>
    </row>
    <row r="14" spans="1:9" ht="15.75" thickBot="1" x14ac:dyDescent="0.3">
      <c r="A14" s="64"/>
      <c r="B14" s="128"/>
      <c r="C14" s="128"/>
      <c r="D14" s="95"/>
      <c r="E14" s="95"/>
      <c r="F14" s="95"/>
      <c r="G14" s="129"/>
      <c r="H14" s="129"/>
      <c r="I14" s="526"/>
    </row>
    <row r="15" spans="1:9" ht="15" x14ac:dyDescent="0.25">
      <c r="A15" s="45"/>
      <c r="B15" s="131"/>
      <c r="C15" s="131"/>
      <c r="D15" s="16"/>
      <c r="E15" s="16"/>
      <c r="F15" s="16"/>
      <c r="G15" s="28"/>
      <c r="H15" s="28"/>
      <c r="I15" s="526"/>
    </row>
    <row r="16" spans="1:9" x14ac:dyDescent="0.2">
      <c r="A16" s="45"/>
      <c r="B16" s="1"/>
      <c r="C16" s="1"/>
      <c r="D16" s="16"/>
      <c r="E16" s="16"/>
      <c r="F16" s="16"/>
      <c r="G16" s="16"/>
      <c r="H16" s="16"/>
      <c r="I16" s="526"/>
    </row>
    <row r="17" spans="1:9" ht="15" x14ac:dyDescent="0.25">
      <c r="A17" s="45"/>
      <c r="B17" s="16">
        <v>1</v>
      </c>
      <c r="C17" s="55" t="s">
        <v>412</v>
      </c>
      <c r="D17" s="82"/>
      <c r="E17" s="1"/>
      <c r="F17" s="16"/>
      <c r="G17" s="83"/>
      <c r="H17" s="83"/>
      <c r="I17" s="526"/>
    </row>
    <row r="18" spans="1:9" ht="15" x14ac:dyDescent="0.25">
      <c r="A18" s="45"/>
      <c r="B18" s="16">
        <f t="shared" ref="B18:B34" si="0">B17+1</f>
        <v>2</v>
      </c>
      <c r="C18" s="45"/>
      <c r="D18" s="82"/>
      <c r="E18" s="1"/>
      <c r="F18" s="16"/>
      <c r="G18" s="83"/>
      <c r="H18" s="83"/>
      <c r="I18" s="526"/>
    </row>
    <row r="19" spans="1:9" x14ac:dyDescent="0.2">
      <c r="A19" s="45"/>
      <c r="B19" s="16">
        <f t="shared" si="0"/>
        <v>3</v>
      </c>
      <c r="C19" s="1"/>
      <c r="D19" s="132" t="s">
        <v>62</v>
      </c>
      <c r="E19" s="85" t="s">
        <v>413</v>
      </c>
      <c r="F19" s="133"/>
      <c r="G19" s="133">
        <f>SUM(G20:G21)</f>
        <v>0.95700000000000007</v>
      </c>
      <c r="H19" s="1022">
        <f>SUM(H20:H21)</f>
        <v>0.99999999999999978</v>
      </c>
      <c r="I19" s="16" t="b">
        <f>IF(H19=1,TRUE,H19-1)</f>
        <v>1</v>
      </c>
    </row>
    <row r="20" spans="1:9" x14ac:dyDescent="0.2">
      <c r="A20" s="45"/>
      <c r="B20" s="16">
        <f t="shared" si="0"/>
        <v>4</v>
      </c>
      <c r="C20" s="1"/>
      <c r="D20" s="134"/>
      <c r="E20" s="1" t="s">
        <v>414</v>
      </c>
      <c r="F20" s="83"/>
      <c r="G20" s="83">
        <v>0.67700000000000005</v>
      </c>
      <c r="H20" s="1293">
        <f>[1]Summary!$D$17</f>
        <v>0.84374658928178026</v>
      </c>
      <c r="I20" s="16"/>
    </row>
    <row r="21" spans="1:9" x14ac:dyDescent="0.2">
      <c r="A21" s="45"/>
      <c r="B21" s="16">
        <f t="shared" si="0"/>
        <v>5</v>
      </c>
      <c r="C21" s="1"/>
      <c r="D21" s="134"/>
      <c r="E21" s="1" t="s">
        <v>415</v>
      </c>
      <c r="F21" s="83"/>
      <c r="G21" s="83">
        <v>0.28000000000000003</v>
      </c>
      <c r="H21" s="1293">
        <f>[1]Summary!$E$17</f>
        <v>0.15625341071821958</v>
      </c>
      <c r="I21" s="16"/>
    </row>
    <row r="22" spans="1:9" x14ac:dyDescent="0.2">
      <c r="A22" s="45"/>
      <c r="B22" s="16">
        <f t="shared" si="0"/>
        <v>6</v>
      </c>
      <c r="C22" s="1"/>
      <c r="D22" s="132" t="s">
        <v>64</v>
      </c>
      <c r="E22" s="85" t="s">
        <v>65</v>
      </c>
      <c r="F22" s="133"/>
      <c r="G22" s="133">
        <f>SUM(G23:G24)</f>
        <v>1</v>
      </c>
      <c r="H22" s="1022">
        <f>SUM(H23:H24)</f>
        <v>1</v>
      </c>
      <c r="I22" s="16" t="b">
        <f>IF(H22=1,TRUE,H22-1)</f>
        <v>1</v>
      </c>
    </row>
    <row r="23" spans="1:9" x14ac:dyDescent="0.2">
      <c r="A23" s="45"/>
      <c r="B23" s="16">
        <f t="shared" si="0"/>
        <v>7</v>
      </c>
      <c r="C23" s="1"/>
      <c r="D23" s="134"/>
      <c r="E23" s="1" t="s">
        <v>416</v>
      </c>
      <c r="F23" s="83"/>
      <c r="G23" s="83">
        <v>0.83399999999999996</v>
      </c>
      <c r="H23" s="1293">
        <f>[1]Summary!$D$26</f>
        <v>0.87322964576709317</v>
      </c>
      <c r="I23" s="16"/>
    </row>
    <row r="24" spans="1:9" x14ac:dyDescent="0.2">
      <c r="A24" s="45"/>
      <c r="B24" s="16">
        <f t="shared" si="0"/>
        <v>8</v>
      </c>
      <c r="C24" s="1"/>
      <c r="D24" s="135"/>
      <c r="E24" s="62" t="s">
        <v>417</v>
      </c>
      <c r="F24" s="136"/>
      <c r="G24" s="136">
        <v>0.16600000000000001</v>
      </c>
      <c r="H24" s="1294">
        <f>[1]Summary!$E$26</f>
        <v>0.12677035423290683</v>
      </c>
      <c r="I24" s="16"/>
    </row>
    <row r="25" spans="1:9" x14ac:dyDescent="0.2">
      <c r="A25" s="45"/>
      <c r="B25" s="16">
        <f t="shared" si="0"/>
        <v>9</v>
      </c>
      <c r="C25" s="1"/>
      <c r="D25" s="132" t="s">
        <v>66</v>
      </c>
      <c r="E25" s="85" t="s">
        <v>67</v>
      </c>
      <c r="F25" s="133"/>
      <c r="G25" s="133">
        <f>SUM(G26:G27)</f>
        <v>1</v>
      </c>
      <c r="H25" s="1289">
        <f>SUM(H26:H27)</f>
        <v>1</v>
      </c>
      <c r="I25" s="16" t="b">
        <f>IF(H25=1,TRUE,H25-1)</f>
        <v>1</v>
      </c>
    </row>
    <row r="26" spans="1:9" x14ac:dyDescent="0.2">
      <c r="A26" s="45"/>
      <c r="B26" s="16">
        <f t="shared" si="0"/>
        <v>10</v>
      </c>
      <c r="C26" s="1"/>
      <c r="D26" s="134"/>
      <c r="E26" s="1" t="s">
        <v>418</v>
      </c>
      <c r="F26" s="83"/>
      <c r="G26" s="83">
        <v>0.72599999999999998</v>
      </c>
      <c r="H26" s="1295">
        <f>[1]Summary!$D$50</f>
        <v>0.65957424361366734</v>
      </c>
      <c r="I26" s="16"/>
    </row>
    <row r="27" spans="1:9" x14ac:dyDescent="0.2">
      <c r="A27" s="45"/>
      <c r="B27" s="16">
        <f t="shared" si="0"/>
        <v>11</v>
      </c>
      <c r="C27" s="1"/>
      <c r="D27" s="135"/>
      <c r="E27" s="62" t="s">
        <v>419</v>
      </c>
      <c r="F27" s="136"/>
      <c r="G27" s="136">
        <v>0.27400000000000002</v>
      </c>
      <c r="H27" s="1296">
        <f>[1]Summary!$E$50</f>
        <v>0.3404257563863326</v>
      </c>
      <c r="I27" s="16"/>
    </row>
    <row r="28" spans="1:9" x14ac:dyDescent="0.2">
      <c r="A28" s="45"/>
      <c r="B28" s="16">
        <f t="shared" si="0"/>
        <v>12</v>
      </c>
      <c r="C28" s="1"/>
      <c r="D28" s="132" t="s">
        <v>68</v>
      </c>
      <c r="E28" s="85" t="s">
        <v>69</v>
      </c>
      <c r="F28" s="133"/>
      <c r="G28" s="133">
        <f>SUM(G29:G30)</f>
        <v>1</v>
      </c>
      <c r="H28" s="1022">
        <f>SUM(H29:H30)</f>
        <v>1</v>
      </c>
      <c r="I28" s="16" t="b">
        <f>IF(H28=1,TRUE,H28-1)</f>
        <v>1</v>
      </c>
    </row>
    <row r="29" spans="1:9" x14ac:dyDescent="0.2">
      <c r="A29" s="45"/>
      <c r="B29" s="16">
        <f t="shared" si="0"/>
        <v>13</v>
      </c>
      <c r="C29" s="1"/>
      <c r="D29" s="134"/>
      <c r="E29" s="1" t="s">
        <v>420</v>
      </c>
      <c r="F29" s="83"/>
      <c r="G29" s="83">
        <v>0.77800000000000002</v>
      </c>
      <c r="H29" s="1293">
        <f>[1]Summary!$D$37</f>
        <v>0.79817703469963952</v>
      </c>
      <c r="I29" s="16"/>
    </row>
    <row r="30" spans="1:9" x14ac:dyDescent="0.2">
      <c r="A30" s="45"/>
      <c r="B30" s="16">
        <f t="shared" si="0"/>
        <v>14</v>
      </c>
      <c r="C30" s="1"/>
      <c r="D30" s="135"/>
      <c r="E30" s="62" t="s">
        <v>421</v>
      </c>
      <c r="F30" s="136"/>
      <c r="G30" s="136">
        <v>0.222</v>
      </c>
      <c r="H30" s="1294">
        <f>[1]Summary!$E$37</f>
        <v>0.20182296530036048</v>
      </c>
      <c r="I30" s="16"/>
    </row>
    <row r="31" spans="1:9" x14ac:dyDescent="0.2">
      <c r="A31" s="45"/>
      <c r="B31" s="16">
        <f t="shared" si="0"/>
        <v>15</v>
      </c>
      <c r="C31" s="1"/>
      <c r="D31" s="132" t="s">
        <v>70</v>
      </c>
      <c r="E31" s="85" t="s">
        <v>71</v>
      </c>
      <c r="F31" s="133"/>
      <c r="G31" s="133">
        <f>SUM(G32:G34)</f>
        <v>1</v>
      </c>
      <c r="H31" s="1289">
        <f>SUM(H32:H34)</f>
        <v>1</v>
      </c>
      <c r="I31" s="16" t="b">
        <f>IF(H31=1,TRUE,H31-1)</f>
        <v>1</v>
      </c>
    </row>
    <row r="32" spans="1:9" x14ac:dyDescent="0.2">
      <c r="A32" s="45"/>
      <c r="B32" s="16">
        <f t="shared" si="0"/>
        <v>16</v>
      </c>
      <c r="C32" s="1"/>
      <c r="D32" s="134"/>
      <c r="E32" s="1" t="s">
        <v>422</v>
      </c>
      <c r="F32" s="83"/>
      <c r="G32" s="83">
        <v>4.2000000000000003E-2</v>
      </c>
      <c r="H32" s="1295">
        <f>[1]Summary!$D$59</f>
        <v>6.9002742898359268E-2</v>
      </c>
      <c r="I32" s="526"/>
    </row>
    <row r="33" spans="1:9" x14ac:dyDescent="0.2">
      <c r="A33" s="45"/>
      <c r="B33" s="16">
        <f t="shared" si="0"/>
        <v>17</v>
      </c>
      <c r="C33" s="1"/>
      <c r="D33" s="134"/>
      <c r="E33" s="1" t="s">
        <v>423</v>
      </c>
      <c r="F33" s="83"/>
      <c r="G33" s="83">
        <v>0.89400000000000002</v>
      </c>
      <c r="H33" s="1295">
        <f>[1]Summary!$E$59</f>
        <v>0.87797750967048482</v>
      </c>
      <c r="I33" s="526"/>
    </row>
    <row r="34" spans="1:9" x14ac:dyDescent="0.2">
      <c r="A34" s="45"/>
      <c r="B34" s="16">
        <f t="shared" si="0"/>
        <v>18</v>
      </c>
      <c r="C34" s="1"/>
      <c r="D34" s="135"/>
      <c r="E34" s="62" t="s">
        <v>424</v>
      </c>
      <c r="F34" s="136"/>
      <c r="G34" s="136">
        <v>6.4000000000000001E-2</v>
      </c>
      <c r="H34" s="1296">
        <f>[1]Summary!$F$59</f>
        <v>5.3019747431155867E-2</v>
      </c>
      <c r="I34" s="526"/>
    </row>
    <row r="35" spans="1:9" x14ac:dyDescent="0.2">
      <c r="A35" s="45"/>
      <c r="B35" s="16"/>
      <c r="C35" s="1"/>
      <c r="D35" s="16"/>
      <c r="E35" s="1"/>
      <c r="F35" s="18"/>
      <c r="G35" s="83"/>
      <c r="H35" s="83"/>
      <c r="I35" s="526"/>
    </row>
    <row r="36" spans="1:9" x14ac:dyDescent="0.2">
      <c r="A36" s="101"/>
      <c r="B36" s="50"/>
      <c r="C36" s="50"/>
      <c r="D36" s="137"/>
      <c r="E36" s="50"/>
      <c r="F36" s="137"/>
      <c r="G36" s="50"/>
      <c r="H36" s="50"/>
    </row>
  </sheetData>
  <phoneticPr fontId="0" type="noConversion"/>
  <printOptions horizontalCentered="1"/>
  <pageMargins left="1.5" right="0.5" top="1.5" bottom="0.75" header="1.5" footer="0.5"/>
  <pageSetup scale="79" orientation="portrait" r:id="rId1"/>
  <headerFooter alignWithMargins="0">
    <oddHeader>&amp;RWP/ II-I-2.1
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S139"/>
  <sheetViews>
    <sheetView view="pageBreakPreview" topLeftCell="A93" zoomScale="75" zoomScaleNormal="75" zoomScaleSheetLayoutView="75" workbookViewId="0">
      <selection activeCell="S109" sqref="S108:S109"/>
    </sheetView>
  </sheetViews>
  <sheetFormatPr defaultRowHeight="14.25" x14ac:dyDescent="0.2"/>
  <cols>
    <col min="1" max="1" width="1.5" customWidth="1"/>
    <col min="2" max="2" width="4.5" bestFit="1" customWidth="1"/>
    <col min="3" max="3" width="46.25" customWidth="1"/>
    <col min="4" max="4" width="14.75" bestFit="1" customWidth="1"/>
    <col min="5" max="5" width="1.5" customWidth="1"/>
    <col min="6" max="6" width="16.25" customWidth="1"/>
    <col min="7" max="7" width="12.5" bestFit="1" customWidth="1"/>
    <col min="8" max="8" width="14.125" bestFit="1" customWidth="1"/>
    <col min="9" max="9" width="13.375" customWidth="1"/>
    <col min="10" max="10" width="15.875" customWidth="1"/>
    <col min="11" max="11" width="12.375" customWidth="1"/>
    <col min="12" max="12" width="16.875" customWidth="1"/>
    <col min="13" max="13" width="12.5" bestFit="1" customWidth="1"/>
    <col min="14" max="14" width="12.5" customWidth="1"/>
    <col min="15" max="15" width="16.5" customWidth="1"/>
    <col min="16" max="16" width="1.125" customWidth="1"/>
    <col min="17" max="17" width="18" customWidth="1"/>
    <col min="18" max="18" width="14.125" bestFit="1" customWidth="1"/>
    <col min="20" max="20" width="9.75" bestFit="1" customWidth="1"/>
  </cols>
  <sheetData>
    <row r="1" spans="1:19" x14ac:dyDescent="0.2">
      <c r="A1" s="64"/>
      <c r="B1" s="64"/>
      <c r="C1" s="64"/>
      <c r="D1" s="64"/>
      <c r="E1" s="64"/>
      <c r="F1" s="65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9" ht="15" x14ac:dyDescent="0.2">
      <c r="A2" s="64"/>
      <c r="B2" s="1062"/>
      <c r="C2" s="64"/>
      <c r="D2" s="64"/>
      <c r="E2" s="64"/>
      <c r="F2" s="65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9" ht="15" x14ac:dyDescent="0.25">
      <c r="A3" s="64"/>
      <c r="B3" s="3" t="str">
        <f>'WP II-I-1.1'!B3</f>
        <v>2025 RATE CASE</v>
      </c>
      <c r="C3" s="4"/>
      <c r="D3" s="7"/>
      <c r="E3" s="7"/>
      <c r="F3" s="102"/>
      <c r="G3" s="5"/>
      <c r="H3" s="124"/>
      <c r="I3" s="5"/>
      <c r="J3" s="7"/>
      <c r="K3" s="5"/>
      <c r="L3" s="4"/>
      <c r="M3" s="7"/>
      <c r="N3" s="7"/>
      <c r="O3" s="7"/>
      <c r="P3" s="7"/>
      <c r="Q3" s="64"/>
    </row>
    <row r="4" spans="1:19" ht="15" x14ac:dyDescent="0.25">
      <c r="A4" s="64"/>
      <c r="B4" s="3" t="str">
        <f>'WP II-I-1.1'!B4</f>
        <v>ONCOR ELECTRIC DELIVERY COMPANY LLC</v>
      </c>
      <c r="C4" s="4"/>
      <c r="D4" s="7"/>
      <c r="E4" s="7"/>
      <c r="F4" s="102"/>
      <c r="G4" s="102"/>
      <c r="H4" s="124"/>
      <c r="I4" s="5"/>
      <c r="J4" s="4"/>
      <c r="K4" s="5"/>
      <c r="L4" s="4"/>
      <c r="M4" s="4"/>
      <c r="N4" s="4"/>
      <c r="O4" s="4"/>
      <c r="P4" s="4"/>
      <c r="Q4" s="64"/>
    </row>
    <row r="5" spans="1:19" ht="15" x14ac:dyDescent="0.25">
      <c r="A5" s="64"/>
      <c r="B5" s="3" t="str">
        <f>'WP II-I-1.1'!B5</f>
        <v>II-I-1:  CLASS REVENUE REQUIREMENT ANALYSIS</v>
      </c>
      <c r="C5" s="3"/>
      <c r="D5" s="7"/>
      <c r="E5" s="7"/>
      <c r="F5" s="102"/>
      <c r="G5" s="102"/>
      <c r="H5" s="124"/>
      <c r="I5" s="102"/>
      <c r="J5" s="7"/>
      <c r="K5" s="102"/>
      <c r="L5" s="7"/>
      <c r="M5" s="7"/>
      <c r="N5" s="7"/>
      <c r="O5" s="7"/>
      <c r="P5" s="7"/>
      <c r="Q5" s="64"/>
    </row>
    <row r="6" spans="1:19" ht="15" x14ac:dyDescent="0.25">
      <c r="A6" s="64"/>
      <c r="B6" s="3" t="str">
        <f>'WP II-I-1.1'!B6</f>
        <v>TEST YEAR ENDING 12/31/2024</v>
      </c>
      <c r="C6" s="3"/>
      <c r="D6" s="7"/>
      <c r="E6" s="7"/>
      <c r="F6" s="102"/>
      <c r="G6" s="102"/>
      <c r="H6" s="106"/>
      <c r="I6" s="102"/>
      <c r="J6" s="7"/>
      <c r="K6" s="102"/>
      <c r="L6" s="7"/>
      <c r="M6" s="7"/>
      <c r="N6" s="7"/>
      <c r="O6" s="7"/>
      <c r="P6" s="7"/>
      <c r="Q6" s="64"/>
    </row>
    <row r="7" spans="1:19" ht="15" x14ac:dyDescent="0.25">
      <c r="A7" s="64"/>
      <c r="B7" s="1641" t="str">
        <f>'WP II-I-1.1'!B7</f>
        <v>SPONSOR:  MATTHEW A. TROXLE</v>
      </c>
      <c r="C7" s="1641"/>
      <c r="D7" s="1641"/>
      <c r="E7" s="1641"/>
      <c r="F7" s="1641"/>
      <c r="G7" s="1641"/>
      <c r="H7" s="1641"/>
      <c r="I7" s="1641"/>
      <c r="J7" s="1641"/>
      <c r="K7" s="1641"/>
      <c r="L7" s="1641"/>
      <c r="M7" s="1641"/>
      <c r="N7" s="1641"/>
      <c r="O7" s="1641"/>
      <c r="P7" s="64"/>
      <c r="Q7" s="64"/>
    </row>
    <row r="8" spans="1:19" ht="15" x14ac:dyDescent="0.25">
      <c r="A8" s="64"/>
      <c r="B8" s="3"/>
      <c r="C8" s="3"/>
      <c r="D8" s="7"/>
      <c r="E8" s="7"/>
      <c r="F8" s="102"/>
      <c r="G8" s="102"/>
      <c r="H8" s="106"/>
      <c r="I8" s="102"/>
      <c r="J8" s="7"/>
      <c r="K8" s="102"/>
      <c r="L8" s="7"/>
      <c r="M8" s="7"/>
      <c r="N8" s="7"/>
      <c r="O8" s="7"/>
      <c r="P8" s="7"/>
      <c r="Q8" s="64"/>
    </row>
    <row r="9" spans="1:19" ht="20.25" x14ac:dyDescent="0.3">
      <c r="A9" s="64"/>
      <c r="B9" s="1058"/>
      <c r="C9" s="11"/>
      <c r="D9" s="11"/>
      <c r="E9" s="11"/>
      <c r="F9" s="65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</row>
    <row r="10" spans="1:19" ht="15.75" x14ac:dyDescent="0.25">
      <c r="A10" s="64"/>
      <c r="B10" s="103" t="s">
        <v>909</v>
      </c>
      <c r="C10" s="4"/>
      <c r="D10" s="4"/>
      <c r="E10" s="4"/>
      <c r="F10" s="7"/>
      <c r="G10" s="7"/>
      <c r="H10" s="108"/>
      <c r="I10" s="7"/>
      <c r="J10" s="7"/>
      <c r="K10" s="7"/>
      <c r="L10" s="7"/>
      <c r="M10" s="7"/>
      <c r="N10" s="7"/>
      <c r="O10" s="7"/>
      <c r="P10" s="7"/>
      <c r="Q10" s="64"/>
    </row>
    <row r="11" spans="1:19" ht="15" thickBot="1" x14ac:dyDescent="0.25">
      <c r="A11" s="11"/>
      <c r="B11" s="11"/>
      <c r="C11" s="11"/>
      <c r="D11" s="11"/>
      <c r="E11" s="11"/>
      <c r="F11" s="10"/>
      <c r="G11" s="42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9" x14ac:dyDescent="0.2">
      <c r="A12" s="64"/>
      <c r="B12" s="91"/>
      <c r="C12" s="92"/>
      <c r="D12" s="91"/>
      <c r="E12" s="91"/>
      <c r="F12" s="92"/>
      <c r="G12" s="92"/>
      <c r="H12" s="92"/>
      <c r="I12" s="92"/>
      <c r="J12" s="92"/>
      <c r="K12" s="92"/>
      <c r="L12" s="92"/>
      <c r="M12" s="110"/>
      <c r="N12" s="110"/>
      <c r="O12" s="110"/>
      <c r="P12" s="28"/>
      <c r="Q12" s="421"/>
    </row>
    <row r="13" spans="1:19" x14ac:dyDescent="0.2">
      <c r="A13" s="64"/>
      <c r="B13" s="93" t="s">
        <v>385</v>
      </c>
      <c r="C13" s="93" t="s">
        <v>4</v>
      </c>
      <c r="D13" s="93" t="s">
        <v>10</v>
      </c>
      <c r="E13" s="93"/>
      <c r="F13" s="93" t="s">
        <v>387</v>
      </c>
      <c r="G13" s="93" t="s">
        <v>388</v>
      </c>
      <c r="H13" s="93" t="s">
        <v>388</v>
      </c>
      <c r="I13" s="93" t="s">
        <v>93</v>
      </c>
      <c r="J13" s="93" t="s">
        <v>93</v>
      </c>
      <c r="K13" s="93" t="s">
        <v>389</v>
      </c>
      <c r="L13" s="93" t="s">
        <v>390</v>
      </c>
      <c r="M13" s="93" t="s">
        <v>391</v>
      </c>
      <c r="N13" s="93" t="s">
        <v>386</v>
      </c>
      <c r="O13" s="93" t="s">
        <v>386</v>
      </c>
      <c r="P13" s="16"/>
      <c r="Q13" s="422"/>
    </row>
    <row r="14" spans="1:19" x14ac:dyDescent="0.2">
      <c r="A14" s="64"/>
      <c r="B14" s="93"/>
      <c r="C14" s="93"/>
      <c r="D14" s="93" t="s">
        <v>392</v>
      </c>
      <c r="E14" s="93"/>
      <c r="F14" s="93"/>
      <c r="G14" s="94" t="s">
        <v>395</v>
      </c>
      <c r="H14" s="94" t="s">
        <v>396</v>
      </c>
      <c r="I14" s="94" t="s">
        <v>395</v>
      </c>
      <c r="J14" s="94" t="s">
        <v>396</v>
      </c>
      <c r="K14" s="94" t="s">
        <v>393</v>
      </c>
      <c r="L14" s="93"/>
      <c r="M14" s="93"/>
      <c r="N14" s="93" t="s">
        <v>393</v>
      </c>
      <c r="O14" s="93" t="s">
        <v>394</v>
      </c>
      <c r="P14" s="16"/>
      <c r="Q14" s="422"/>
    </row>
    <row r="15" spans="1:19" ht="15" thickBot="1" x14ac:dyDescent="0.25">
      <c r="A15" s="64"/>
      <c r="B15" s="95"/>
      <c r="C15" s="95" t="s">
        <v>13</v>
      </c>
      <c r="D15" s="95" t="s">
        <v>14</v>
      </c>
      <c r="E15" s="95"/>
      <c r="F15" s="95" t="s">
        <v>15</v>
      </c>
      <c r="G15" s="95" t="s">
        <v>16</v>
      </c>
      <c r="H15" s="95" t="s">
        <v>17</v>
      </c>
      <c r="I15" s="95" t="s">
        <v>18</v>
      </c>
      <c r="J15" s="95" t="s">
        <v>19</v>
      </c>
      <c r="K15" s="95" t="s">
        <v>20</v>
      </c>
      <c r="L15" s="95" t="s">
        <v>21</v>
      </c>
      <c r="M15" s="95" t="s">
        <v>22</v>
      </c>
      <c r="N15" s="95" t="s">
        <v>397</v>
      </c>
      <c r="O15" s="95" t="s">
        <v>398</v>
      </c>
      <c r="P15" s="16"/>
      <c r="Q15" s="1060" t="s">
        <v>1162</v>
      </c>
      <c r="S15" s="645" t="s">
        <v>928</v>
      </c>
    </row>
    <row r="16" spans="1:19" x14ac:dyDescent="0.2">
      <c r="A16" s="45"/>
      <c r="B16" s="96"/>
      <c r="C16" s="111"/>
      <c r="D16" s="111"/>
      <c r="E16" s="111"/>
      <c r="F16" s="251"/>
      <c r="G16" s="228"/>
      <c r="H16" s="228"/>
      <c r="I16" s="228"/>
      <c r="J16" s="228"/>
      <c r="K16" s="228"/>
      <c r="L16" s="228"/>
      <c r="M16" s="228"/>
      <c r="N16" s="18"/>
      <c r="O16" s="18"/>
      <c r="P16" s="18"/>
      <c r="Q16" s="18"/>
    </row>
    <row r="17" spans="1:19" x14ac:dyDescent="0.2">
      <c r="A17" s="45"/>
      <c r="B17" s="16">
        <f t="shared" ref="B17:B61" si="0">B16+1</f>
        <v>1</v>
      </c>
      <c r="C17" s="784" t="s">
        <v>1189</v>
      </c>
      <c r="D17" s="59">
        <f ca="1">SUM(E17:P17)</f>
        <v>1406152448.6799996</v>
      </c>
      <c r="E17" s="59"/>
      <c r="F17" s="59">
        <f ca="1">'II-I-Total'!J787</f>
        <v>744286121.13469744</v>
      </c>
      <c r="G17" s="59">
        <f ca="1">'II-I-Total'!K787</f>
        <v>30102245.505342979</v>
      </c>
      <c r="H17" s="59">
        <f ca="1">'II-I-Total'!L787</f>
        <v>465631614.81480992</v>
      </c>
      <c r="I17" s="59">
        <f ca="1">'II-I-Total'!M787</f>
        <v>2378963.1707392586</v>
      </c>
      <c r="J17" s="59">
        <f ca="1">'II-I-Total'!N787</f>
        <v>106842407.93131196</v>
      </c>
      <c r="K17" s="59">
        <f ca="1">'II-I-Total'!O787</f>
        <v>10077512.995542288</v>
      </c>
      <c r="L17" s="59">
        <f ca="1">'II-I-Total'!P787</f>
        <v>2353063.3630184233</v>
      </c>
      <c r="M17" s="59">
        <f ca="1">'II-I-Total'!Q787</f>
        <v>40221350.290137865</v>
      </c>
      <c r="N17" s="59">
        <f ca="1">'II-I-Total'!R787</f>
        <v>703543.76281279465</v>
      </c>
      <c r="O17" s="63">
        <f ca="1">'II-I-Total'!S787</f>
        <v>3555625.7115866421</v>
      </c>
      <c r="P17" s="18"/>
      <c r="Q17" s="117" t="b">
        <f ca="1">IF(' WP II-I-1.4'!L787=D17,TRUE,' WP II-I-1.4'!L787-D17)</f>
        <v>1</v>
      </c>
      <c r="S17" s="305">
        <f ca="1">SUM(F17:O17)-D17</f>
        <v>0</v>
      </c>
    </row>
    <row r="18" spans="1:19" ht="16.5" x14ac:dyDescent="0.35">
      <c r="A18" s="45"/>
      <c r="B18" s="16">
        <f t="shared" si="0"/>
        <v>2</v>
      </c>
      <c r="C18" s="87" t="s">
        <v>811</v>
      </c>
      <c r="D18" s="803">
        <f t="shared" ref="D18:D26" si="1">SUM(E18:P18)</f>
        <v>2100841472.6599998</v>
      </c>
      <c r="E18" s="803"/>
      <c r="F18" s="803">
        <f>'II-I-Total'!J645</f>
        <v>921404987.56823277</v>
      </c>
      <c r="G18" s="803">
        <f>'II-I-Total'!K645</f>
        <v>18574877.225939702</v>
      </c>
      <c r="H18" s="803">
        <f>'II-I-Total'!L645</f>
        <v>641459520.33425462</v>
      </c>
      <c r="I18" s="803">
        <f>'II-I-Total'!M645</f>
        <v>202929.38868169783</v>
      </c>
      <c r="J18" s="803">
        <f>'II-I-Total'!N645</f>
        <v>199449419.61540604</v>
      </c>
      <c r="K18" s="803">
        <f>'II-I-Total'!O645</f>
        <v>72408095.541425809</v>
      </c>
      <c r="L18" s="803">
        <f>'II-I-Total'!P645</f>
        <v>247341642.9860594</v>
      </c>
      <c r="M18" s="803">
        <f>'II-I-Total'!Q645</f>
        <v>0</v>
      </c>
      <c r="N18" s="803">
        <f>'II-I-Total'!R645</f>
        <v>0</v>
      </c>
      <c r="O18" s="808">
        <f>'II-I-Total'!S645</f>
        <v>0</v>
      </c>
      <c r="P18" s="81"/>
      <c r="Q18" s="117" t="b">
        <f>IF(('WP II-I-1.1'!G220+'WP II-I-1.1'!H220+'WP II-I-1.1'!I220)=D18,TRUE,('WP II-I-1.1'!G220+'WP II-I-1.1'!H220+'WP II-I-1.1'!I220)-D18)</f>
        <v>1</v>
      </c>
      <c r="S18" s="305">
        <f t="shared" ref="S18:S82" si="2">SUM(F18:O18)-D18</f>
        <v>0</v>
      </c>
    </row>
    <row r="19" spans="1:19" s="321" customFormat="1" ht="14.25" customHeight="1" x14ac:dyDescent="0.35">
      <c r="A19" s="45"/>
      <c r="B19" s="16">
        <f t="shared" si="0"/>
        <v>3</v>
      </c>
      <c r="C19" s="690" t="s">
        <v>1190</v>
      </c>
      <c r="D19" s="803">
        <f t="shared" si="1"/>
        <v>0</v>
      </c>
      <c r="E19" s="810"/>
      <c r="F19" s="803">
        <f>'II-I-DIST'!J776*('WP II-I-2.2'!$P$45)</f>
        <v>0</v>
      </c>
      <c r="G19" s="803">
        <f>'II-I-DIST'!K776*('WP II-I-2.2'!$P$45)</f>
        <v>0</v>
      </c>
      <c r="H19" s="803">
        <f>'II-I-DIST'!L776*('WP II-I-2.2'!$P$45)</f>
        <v>0</v>
      </c>
      <c r="I19" s="803">
        <f>'II-I-DIST'!M776*('WP II-I-2.2'!$P$45)</f>
        <v>0</v>
      </c>
      <c r="J19" s="803">
        <f>'II-I-DIST'!N776*('WP II-I-2.2'!$P$45)</f>
        <v>0</v>
      </c>
      <c r="K19" s="803">
        <f>'II-I-DIST'!O776*('WP II-I-2.2'!$P$45)</f>
        <v>0</v>
      </c>
      <c r="L19" s="803">
        <f>'II-I-DIST'!P776*('WP II-I-2.2'!$P$45)</f>
        <v>0</v>
      </c>
      <c r="M19" s="803">
        <f>'II-I-DIST'!Q776*('WP II-I-2.2'!$P$45)</f>
        <v>0</v>
      </c>
      <c r="N19" s="803">
        <f>'II-I-DIST'!R776*('WP II-I-2.2'!$P$45)</f>
        <v>0</v>
      </c>
      <c r="O19" s="803">
        <f>'II-I-DIST'!S776*('WP II-I-2.2'!$P$45)</f>
        <v>0</v>
      </c>
      <c r="P19" s="810"/>
      <c r="Q19" s="117"/>
      <c r="S19" s="751"/>
    </row>
    <row r="20" spans="1:19" ht="15" x14ac:dyDescent="0.25">
      <c r="A20" s="45"/>
      <c r="B20" s="16">
        <f t="shared" si="0"/>
        <v>4</v>
      </c>
      <c r="C20" s="423" t="s">
        <v>812</v>
      </c>
      <c r="D20" s="21">
        <f t="shared" ca="1" si="1"/>
        <v>3506993921.3399997</v>
      </c>
      <c r="E20" s="21"/>
      <c r="F20" s="21">
        <f ca="1">SUM(F17:F19)</f>
        <v>1665691108.7029302</v>
      </c>
      <c r="G20" s="805">
        <f t="shared" ref="G20:O20" ca="1" si="3">SUM(G17:G19)</f>
        <v>48677122.731282681</v>
      </c>
      <c r="H20" s="805">
        <f t="shared" ca="1" si="3"/>
        <v>1107091135.1490645</v>
      </c>
      <c r="I20" s="805">
        <f t="shared" ca="1" si="3"/>
        <v>2581892.5594209563</v>
      </c>
      <c r="J20" s="805">
        <f t="shared" ca="1" si="3"/>
        <v>306291827.546718</v>
      </c>
      <c r="K20" s="805">
        <f t="shared" ca="1" si="3"/>
        <v>82485608.536968097</v>
      </c>
      <c r="L20" s="805">
        <f t="shared" ca="1" si="3"/>
        <v>249694706.34907782</v>
      </c>
      <c r="M20" s="805">
        <f t="shared" ca="1" si="3"/>
        <v>40221350.290137865</v>
      </c>
      <c r="N20" s="805">
        <f t="shared" ca="1" si="3"/>
        <v>703543.76281279465</v>
      </c>
      <c r="O20" s="424">
        <f t="shared" ca="1" si="3"/>
        <v>3555625.7115866421</v>
      </c>
      <c r="P20" s="18"/>
      <c r="Q20" s="117">
        <f ca="1">'II-I-Total'!$F$18-D20</f>
        <v>0</v>
      </c>
      <c r="S20" s="305">
        <f t="shared" ca="1" si="2"/>
        <v>0</v>
      </c>
    </row>
    <row r="21" spans="1:19" x14ac:dyDescent="0.2">
      <c r="A21" s="45"/>
      <c r="B21" s="16">
        <f t="shared" si="0"/>
        <v>5</v>
      </c>
      <c r="C21" s="61" t="s">
        <v>813</v>
      </c>
      <c r="D21" s="18">
        <f t="shared" ca="1" si="1"/>
        <v>762136905.15999997</v>
      </c>
      <c r="E21" s="18"/>
      <c r="F21" s="18">
        <f ca="1">'II-I-Total'!J22</f>
        <v>401613302.49240291</v>
      </c>
      <c r="G21" s="18">
        <f ca="1">'II-I-Total'!K22</f>
        <v>18899507.391811844</v>
      </c>
      <c r="H21" s="18">
        <f ca="1">'II-I-Total'!L22</f>
        <v>249378316.79489201</v>
      </c>
      <c r="I21" s="18">
        <f ca="1">'II-I-Total'!M22</f>
        <v>1187788.2823090376</v>
      </c>
      <c r="J21" s="18">
        <f ca="1">'II-I-Total'!N22</f>
        <v>49419746.386770152</v>
      </c>
      <c r="K21" s="18">
        <f ca="1">'II-I-Total'!O22</f>
        <v>4133939.8125006435</v>
      </c>
      <c r="L21" s="18">
        <f ca="1">'II-I-Total'!P22</f>
        <v>1259119.7806453251</v>
      </c>
      <c r="M21" s="18">
        <f ca="1">'II-I-Total'!Q22</f>
        <v>34303678.031727694</v>
      </c>
      <c r="N21" s="18">
        <f ca="1">'II-I-Total'!R22</f>
        <v>297471.7574427214</v>
      </c>
      <c r="O21" s="58">
        <f ca="1">'II-I-Total'!S22</f>
        <v>1644034.4294976783</v>
      </c>
      <c r="P21" s="18"/>
      <c r="Q21" s="117" t="b">
        <f ca="1">IF(' WP II-I-1.4'!L22=D21,TRUE,' WP II-I-1.4'!L22-D21)</f>
        <v>1</v>
      </c>
      <c r="S21" s="305">
        <f t="shared" ca="1" si="2"/>
        <v>0</v>
      </c>
    </row>
    <row r="22" spans="1:19" ht="16.5" x14ac:dyDescent="0.35">
      <c r="A22" s="45"/>
      <c r="B22" s="16">
        <f t="shared" si="0"/>
        <v>6</v>
      </c>
      <c r="C22" s="61" t="s">
        <v>814</v>
      </c>
      <c r="D22" s="81">
        <f t="shared" ca="1" si="1"/>
        <v>494986759.41999984</v>
      </c>
      <c r="E22" s="81"/>
      <c r="F22" s="81">
        <f ca="1">'II-I-Total'!J24</f>
        <v>222233924.70047188</v>
      </c>
      <c r="G22" s="81">
        <f ca="1">'II-I-Total'!K24</f>
        <v>7470560.263339892</v>
      </c>
      <c r="H22" s="81">
        <f ca="1">'II-I-Total'!L24</f>
        <v>191033863.42283911</v>
      </c>
      <c r="I22" s="81">
        <f ca="1">'II-I-Total'!M24</f>
        <v>174043.73206691365</v>
      </c>
      <c r="J22" s="81">
        <f ca="1">'II-I-Total'!N24</f>
        <v>33593410.134052433</v>
      </c>
      <c r="K22" s="81">
        <f ca="1">'II-I-Total'!O24</f>
        <v>5306944.0024591312</v>
      </c>
      <c r="L22" s="81">
        <f ca="1">'II-I-Total'!P24</f>
        <v>27571463.792722713</v>
      </c>
      <c r="M22" s="81">
        <f ca="1">'II-I-Total'!Q24</f>
        <v>6397694.4369190978</v>
      </c>
      <c r="N22" s="81">
        <f ca="1">'II-I-Total'!R24</f>
        <v>394111.51413296396</v>
      </c>
      <c r="O22" s="76">
        <f ca="1">'II-I-Total'!S24</f>
        <v>810743.42099572916</v>
      </c>
      <c r="P22" s="81"/>
      <c r="Q22" s="117" t="b">
        <f ca="1">IF(' WP II-I-1.4'!L24=D22,TRUE,' WP II-I-1.4'!L24-D22)</f>
        <v>1</v>
      </c>
      <c r="S22" s="305">
        <f t="shared" ca="1" si="2"/>
        <v>0</v>
      </c>
    </row>
    <row r="23" spans="1:19" ht="15" x14ac:dyDescent="0.25">
      <c r="A23" s="45"/>
      <c r="B23" s="16">
        <f t="shared" si="0"/>
        <v>7</v>
      </c>
      <c r="C23" s="425" t="s">
        <v>444</v>
      </c>
      <c r="D23" s="21">
        <f t="shared" ca="1" si="1"/>
        <v>4764117585.9200001</v>
      </c>
      <c r="E23" s="21"/>
      <c r="F23" s="21">
        <f t="shared" ref="F23:M23" ca="1" si="4">SUM(F20:F22)</f>
        <v>2289538335.8958049</v>
      </c>
      <c r="G23" s="21">
        <f t="shared" ca="1" si="4"/>
        <v>75047190.386434421</v>
      </c>
      <c r="H23" s="21">
        <f t="shared" ca="1" si="4"/>
        <v>1547503315.3667958</v>
      </c>
      <c r="I23" s="21">
        <f t="shared" ca="1" si="4"/>
        <v>3943724.5737969074</v>
      </c>
      <c r="J23" s="21">
        <f t="shared" ca="1" si="4"/>
        <v>389304984.06754059</v>
      </c>
      <c r="K23" s="21">
        <f ca="1">SUM(K20:K22)</f>
        <v>91926492.351927876</v>
      </c>
      <c r="L23" s="21">
        <f t="shared" ca="1" si="4"/>
        <v>278525289.92244583</v>
      </c>
      <c r="M23" s="21">
        <f t="shared" ca="1" si="4"/>
        <v>80922722.758784652</v>
      </c>
      <c r="N23" s="21">
        <f ca="1">SUM(N20:N22)</f>
        <v>1395127.03438848</v>
      </c>
      <c r="O23" s="424">
        <f ca="1">SUM(O20:O22)</f>
        <v>6010403.5620800499</v>
      </c>
      <c r="P23" s="18"/>
      <c r="Q23" s="117"/>
      <c r="S23" s="305">
        <f t="shared" ca="1" si="2"/>
        <v>0</v>
      </c>
    </row>
    <row r="24" spans="1:19" x14ac:dyDescent="0.2">
      <c r="A24" s="45"/>
      <c r="B24" s="16">
        <f t="shared" si="0"/>
        <v>8</v>
      </c>
      <c r="C24" s="61" t="s">
        <v>815</v>
      </c>
      <c r="D24" s="18">
        <f t="shared" ca="1" si="1"/>
        <v>1059157322.9243675</v>
      </c>
      <c r="E24" s="18"/>
      <c r="F24" s="18">
        <f ca="1">'II-I-Total'!J27</f>
        <v>575281985.23256433</v>
      </c>
      <c r="G24" s="18">
        <f ca="1">'II-I-Total'!K27</f>
        <v>18004271.595711999</v>
      </c>
      <c r="H24" s="18">
        <f ca="1">'II-I-Total'!L27</f>
        <v>365709439.32302266</v>
      </c>
      <c r="I24" s="18">
        <f ca="1">'II-I-Total'!M27</f>
        <v>698376.14431185985</v>
      </c>
      <c r="J24" s="18">
        <f ca="1">'II-I-Total'!N27</f>
        <v>71151671.419516057</v>
      </c>
      <c r="K24" s="18">
        <f ca="1">'II-I-Total'!O27</f>
        <v>7977532.6448662793</v>
      </c>
      <c r="L24" s="18">
        <f ca="1">'II-I-Total'!P27</f>
        <v>2278161.2512788735</v>
      </c>
      <c r="M24" s="18">
        <f ca="1">'II-I-Total'!Q27</f>
        <v>14910475.501088111</v>
      </c>
      <c r="N24" s="18">
        <f ca="1">'II-I-Total'!R27</f>
        <v>561325.44376306981</v>
      </c>
      <c r="O24" s="58">
        <f ca="1">'II-I-Total'!S27</f>
        <v>2584084.3682442927</v>
      </c>
      <c r="P24" s="18"/>
      <c r="Q24" s="117" t="b">
        <f ca="1">IF(ROUND(' WP II-I-1.4'!L27-D24,2)=0,TRUE,' WP II-I-1.4'!L27-D24)</f>
        <v>1</v>
      </c>
      <c r="S24" s="305">
        <f t="shared" ca="1" si="2"/>
        <v>0</v>
      </c>
    </row>
    <row r="25" spans="1:19" ht="16.5" x14ac:dyDescent="0.35">
      <c r="A25" s="45"/>
      <c r="B25" s="16">
        <f t="shared" si="0"/>
        <v>9</v>
      </c>
      <c r="C25" s="426" t="s">
        <v>910</v>
      </c>
      <c r="D25" s="81">
        <f t="shared" ca="1" si="1"/>
        <v>144739017.62204707</v>
      </c>
      <c r="E25" s="81"/>
      <c r="F25" s="81">
        <f ca="1">'II-I-Total'!J25</f>
        <v>78668226.00244163</v>
      </c>
      <c r="G25" s="81">
        <f ca="1">'II-I-Total'!K25</f>
        <v>2333594.427766101</v>
      </c>
      <c r="H25" s="81">
        <f ca="1">'II-I-Total'!L25</f>
        <v>50108867.645949163</v>
      </c>
      <c r="I25" s="81">
        <f ca="1">'II-I-Total'!M25</f>
        <v>68143.324360190891</v>
      </c>
      <c r="J25" s="81">
        <f ca="1">'II-I-Total'!N25</f>
        <v>9622190.457594797</v>
      </c>
      <c r="K25" s="81">
        <f ca="1">'II-I-Total'!O25</f>
        <v>1093406.307408148</v>
      </c>
      <c r="L25" s="81">
        <f ca="1">'II-I-Total'!P25</f>
        <v>303017.13884001848</v>
      </c>
      <c r="M25" s="81">
        <f ca="1">'II-I-Total'!Q25</f>
        <v>2109357.0916509507</v>
      </c>
      <c r="N25" s="81">
        <f ca="1">'II-I-Total'!R25</f>
        <v>76708.788146471969</v>
      </c>
      <c r="O25" s="76">
        <f ca="1">'II-I-Total'!S25</f>
        <v>355506.43788959295</v>
      </c>
      <c r="P25" s="81"/>
      <c r="Q25" s="117" t="b">
        <f ca="1">IF(ROUND(' WP II-I-1.4'!L25-D25,0)=0,TRUE,' WP II-I-1.4'!L25-D25)</f>
        <v>1</v>
      </c>
      <c r="S25" s="305">
        <f t="shared" ca="1" si="2"/>
        <v>0</v>
      </c>
    </row>
    <row r="26" spans="1:19" ht="15" x14ac:dyDescent="0.25">
      <c r="A26" s="118"/>
      <c r="B26" s="16">
        <f t="shared" si="0"/>
        <v>10</v>
      </c>
      <c r="C26" s="423" t="s">
        <v>816</v>
      </c>
      <c r="D26" s="427">
        <f t="shared" ca="1" si="1"/>
        <v>5968013926.4664135</v>
      </c>
      <c r="E26" s="427"/>
      <c r="F26" s="427">
        <f t="shared" ref="F26:M26" ca="1" si="5">SUM(F23:F25)</f>
        <v>2943488547.1308107</v>
      </c>
      <c r="G26" s="427">
        <f t="shared" ca="1" si="5"/>
        <v>95385056.409912512</v>
      </c>
      <c r="H26" s="427">
        <f t="shared" ca="1" si="5"/>
        <v>1963321622.3357675</v>
      </c>
      <c r="I26" s="427">
        <f t="shared" ca="1" si="5"/>
        <v>4710244.0424689585</v>
      </c>
      <c r="J26" s="427">
        <f t="shared" ca="1" si="5"/>
        <v>470078845.94465142</v>
      </c>
      <c r="K26" s="427">
        <f ca="1">SUM(K23:K25)</f>
        <v>100997431.3042023</v>
      </c>
      <c r="L26" s="427">
        <f t="shared" ca="1" si="5"/>
        <v>281106468.31256473</v>
      </c>
      <c r="M26" s="427">
        <f t="shared" ca="1" si="5"/>
        <v>97942555.351523712</v>
      </c>
      <c r="N26" s="427">
        <f ca="1">SUM(N23:N25)</f>
        <v>2033161.2662980219</v>
      </c>
      <c r="O26" s="428">
        <f ca="1">SUM(O23:O25)</f>
        <v>8949994.3682139348</v>
      </c>
      <c r="P26" s="427"/>
      <c r="Q26" s="117" t="b">
        <f ca="1">IF(ROUND(' WP II-I-1.4'!L1225-D26,0)=0,TRUE,' WP II-I-1.4'!L1225-D26)</f>
        <v>1</v>
      </c>
      <c r="S26" s="305">
        <f t="shared" ca="1" si="2"/>
        <v>0</v>
      </c>
    </row>
    <row r="27" spans="1:19" x14ac:dyDescent="0.2">
      <c r="A27" s="45"/>
      <c r="B27" s="16">
        <f t="shared" si="0"/>
        <v>11</v>
      </c>
      <c r="C27" s="61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58"/>
      <c r="P27" s="18"/>
      <c r="Q27" s="117"/>
      <c r="S27" s="305">
        <f t="shared" si="2"/>
        <v>0</v>
      </c>
    </row>
    <row r="28" spans="1:19" ht="15" x14ac:dyDescent="0.25">
      <c r="A28" s="45"/>
      <c r="B28" s="16">
        <f t="shared" si="0"/>
        <v>12</v>
      </c>
      <c r="C28" s="87" t="s">
        <v>464</v>
      </c>
      <c r="D28" s="18">
        <f ca="1">SUM(E28:P28)</f>
        <v>81014329.149999976</v>
      </c>
      <c r="E28" s="18"/>
      <c r="F28" s="18">
        <f ca="1">'II-I-Total'!J31</f>
        <v>44678853.850322224</v>
      </c>
      <c r="G28" s="18">
        <f ca="1">'II-I-Total'!K31</f>
        <v>2520222.3258563029</v>
      </c>
      <c r="H28" s="18">
        <f ca="1">'II-I-Total'!L31</f>
        <v>21286205.023087922</v>
      </c>
      <c r="I28" s="18">
        <f ca="1">'II-I-Total'!M31</f>
        <v>188960.18473715006</v>
      </c>
      <c r="J28" s="18">
        <f ca="1">'II-I-Total'!N31</f>
        <v>5684263.9748559548</v>
      </c>
      <c r="K28" s="18">
        <f ca="1">'II-I-Total'!O31</f>
        <v>1334239.9493107407</v>
      </c>
      <c r="L28" s="18">
        <f ca="1">'II-I-Total'!P31</f>
        <v>4650081.3274111319</v>
      </c>
      <c r="M28" s="18">
        <f ca="1">'II-I-Total'!Q31</f>
        <v>418151.09482007194</v>
      </c>
      <c r="N28" s="18">
        <f ca="1">'II-I-Total'!R31</f>
        <v>88786.337962819947</v>
      </c>
      <c r="O28" s="58">
        <f ca="1">'II-I-Total'!S31</f>
        <v>164565.08163566972</v>
      </c>
      <c r="P28" s="21"/>
      <c r="Q28" s="117" t="b">
        <f ca="1">IF(' WP II-I-1.4'!L31=D28,TRUE,' WP II-I-1.4'!L31-D28)</f>
        <v>1</v>
      </c>
      <c r="S28" s="305">
        <f t="shared" ca="1" si="2"/>
        <v>0</v>
      </c>
    </row>
    <row r="29" spans="1:19" ht="15" x14ac:dyDescent="0.25">
      <c r="A29" s="45"/>
      <c r="B29" s="16">
        <f t="shared" si="0"/>
        <v>13</v>
      </c>
      <c r="C29" s="429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424"/>
      <c r="P29" s="21"/>
      <c r="Q29" s="117"/>
      <c r="S29" s="305">
        <f t="shared" si="2"/>
        <v>0</v>
      </c>
    </row>
    <row r="30" spans="1:19" ht="15" x14ac:dyDescent="0.25">
      <c r="A30" s="45"/>
      <c r="B30" s="16">
        <f t="shared" si="0"/>
        <v>14</v>
      </c>
      <c r="C30" s="423" t="s">
        <v>817</v>
      </c>
      <c r="D30" s="21">
        <f ca="1">SUM(E30:P30)</f>
        <v>5886999597.3164129</v>
      </c>
      <c r="E30" s="21"/>
      <c r="F30" s="21">
        <f t="shared" ref="F30:M30" ca="1" si="6">F26-F28</f>
        <v>2898809693.2804885</v>
      </c>
      <c r="G30" s="21">
        <f t="shared" ca="1" si="6"/>
        <v>92864834.084056213</v>
      </c>
      <c r="H30" s="21">
        <f t="shared" ca="1" si="6"/>
        <v>1942035417.3126795</v>
      </c>
      <c r="I30" s="21">
        <f t="shared" ca="1" si="6"/>
        <v>4521283.8577318089</v>
      </c>
      <c r="J30" s="21">
        <f t="shared" ca="1" si="6"/>
        <v>464394581.96979547</v>
      </c>
      <c r="K30" s="21">
        <f ca="1">K26-K28</f>
        <v>99663191.354891568</v>
      </c>
      <c r="L30" s="21">
        <f t="shared" ca="1" si="6"/>
        <v>276456386.98515362</v>
      </c>
      <c r="M30" s="21">
        <f t="shared" ca="1" si="6"/>
        <v>97524404.256703645</v>
      </c>
      <c r="N30" s="21">
        <f ca="1">N26-N28</f>
        <v>1944374.9283352019</v>
      </c>
      <c r="O30" s="424">
        <f ca="1">O26-O28</f>
        <v>8785429.286578266</v>
      </c>
      <c r="P30" s="21"/>
      <c r="Q30" s="117" t="b">
        <f ca="1">IF('II-I-Total'!U1226=D30,TRUE,'II-I-Total'!U1226-D30)</f>
        <v>1</v>
      </c>
      <c r="S30" s="305">
        <f t="shared" ca="1" si="2"/>
        <v>0</v>
      </c>
    </row>
    <row r="31" spans="1:19" ht="15" x14ac:dyDescent="0.25">
      <c r="A31" s="45"/>
      <c r="B31" s="16">
        <f t="shared" si="0"/>
        <v>15</v>
      </c>
      <c r="C31" s="429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424"/>
      <c r="P31" s="21"/>
      <c r="Q31" s="117"/>
      <c r="S31" s="305">
        <f t="shared" si="2"/>
        <v>0</v>
      </c>
    </row>
    <row r="32" spans="1:19" x14ac:dyDescent="0.2">
      <c r="A32" s="45"/>
      <c r="B32" s="16">
        <f t="shared" si="0"/>
        <v>16</v>
      </c>
      <c r="C32" s="61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58"/>
      <c r="P32" s="18"/>
      <c r="Q32" s="117"/>
      <c r="S32" s="305">
        <f t="shared" si="2"/>
        <v>0</v>
      </c>
    </row>
    <row r="33" spans="1:19" ht="16.5" x14ac:dyDescent="0.35">
      <c r="A33" s="45"/>
      <c r="B33" s="16">
        <f t="shared" si="0"/>
        <v>17</v>
      </c>
      <c r="C33" s="6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76"/>
      <c r="P33" s="81"/>
      <c r="Q33" s="117"/>
      <c r="S33" s="305">
        <f t="shared" si="2"/>
        <v>0</v>
      </c>
    </row>
    <row r="34" spans="1:19" ht="15" x14ac:dyDescent="0.25">
      <c r="A34" s="45"/>
      <c r="B34" s="16">
        <f t="shared" si="0"/>
        <v>18</v>
      </c>
      <c r="C34" s="425"/>
      <c r="D34" s="427"/>
      <c r="E34" s="427"/>
      <c r="F34" s="21"/>
      <c r="G34" s="21"/>
      <c r="H34" s="21"/>
      <c r="I34" s="21"/>
      <c r="J34" s="21"/>
      <c r="K34" s="21"/>
      <c r="L34" s="21"/>
      <c r="M34" s="21"/>
      <c r="N34" s="21"/>
      <c r="O34" s="424"/>
      <c r="P34" s="21"/>
      <c r="Q34" s="117"/>
      <c r="S34" s="305">
        <f t="shared" si="2"/>
        <v>0</v>
      </c>
    </row>
    <row r="35" spans="1:19" x14ac:dyDescent="0.2">
      <c r="A35" s="45"/>
      <c r="B35" s="16">
        <f t="shared" si="0"/>
        <v>19</v>
      </c>
      <c r="C35" s="61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58"/>
      <c r="P35" s="18"/>
      <c r="Q35" s="117"/>
      <c r="S35" s="305">
        <f t="shared" si="2"/>
        <v>0</v>
      </c>
    </row>
    <row r="36" spans="1:19" ht="15" x14ac:dyDescent="0.25">
      <c r="A36" s="45"/>
      <c r="B36" s="16">
        <f t="shared" si="0"/>
        <v>20</v>
      </c>
      <c r="C36" s="430" t="s">
        <v>818</v>
      </c>
      <c r="D36" s="431">
        <f ca="1">SUM(E36:P36)</f>
        <v>5886999597.3164129</v>
      </c>
      <c r="E36" s="431"/>
      <c r="F36" s="431">
        <f ca="1">F30</f>
        <v>2898809693.2804885</v>
      </c>
      <c r="G36" s="431">
        <f t="shared" ref="G36:O36" ca="1" si="7">G30</f>
        <v>92864834.084056213</v>
      </c>
      <c r="H36" s="431">
        <f t="shared" ca="1" si="7"/>
        <v>1942035417.3126795</v>
      </c>
      <c r="I36" s="431">
        <f t="shared" ca="1" si="7"/>
        <v>4521283.8577318089</v>
      </c>
      <c r="J36" s="431">
        <f t="shared" ca="1" si="7"/>
        <v>464394581.96979547</v>
      </c>
      <c r="K36" s="431">
        <f t="shared" ca="1" si="7"/>
        <v>99663191.354891568</v>
      </c>
      <c r="L36" s="431">
        <f t="shared" ca="1" si="7"/>
        <v>276456386.98515362</v>
      </c>
      <c r="M36" s="431">
        <f t="shared" ca="1" si="7"/>
        <v>97524404.256703645</v>
      </c>
      <c r="N36" s="431">
        <f t="shared" ca="1" si="7"/>
        <v>1944374.9283352019</v>
      </c>
      <c r="O36" s="431">
        <f t="shared" ca="1" si="7"/>
        <v>8785429.286578266</v>
      </c>
      <c r="P36" s="21"/>
      <c r="Q36" s="117">
        <f ca="1">'WP II-I-1.1'!$G$510+'WP II-I-1.1'!$H$510+'WP II-I-1.1'!$I$510-D36-D34</f>
        <v>1.9073486328125E-6</v>
      </c>
      <c r="S36" s="305">
        <f t="shared" ca="1" si="2"/>
        <v>0</v>
      </c>
    </row>
    <row r="37" spans="1:19" x14ac:dyDescent="0.2">
      <c r="A37" s="45"/>
      <c r="B37" s="16">
        <f t="shared" si="0"/>
        <v>21</v>
      </c>
      <c r="C37" s="1"/>
      <c r="D37" s="16"/>
      <c r="E37" s="16"/>
      <c r="F37" s="16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17"/>
      <c r="S37" s="305">
        <f t="shared" si="2"/>
        <v>0</v>
      </c>
    </row>
    <row r="38" spans="1:19" ht="15" x14ac:dyDescent="0.25">
      <c r="A38" s="118"/>
      <c r="B38" s="16">
        <f t="shared" si="0"/>
        <v>22</v>
      </c>
      <c r="C38" s="433" t="s">
        <v>1205</v>
      </c>
      <c r="D38" s="434">
        <f>SUM(E38:P38)</f>
        <v>5202717667.7137909</v>
      </c>
      <c r="E38" s="434"/>
      <c r="F38" s="435">
        <f>'II-I Summary'!F112</f>
        <v>2580905272.3055363</v>
      </c>
      <c r="G38" s="435">
        <f>'II-I Summary'!G112</f>
        <v>93725156.992601186</v>
      </c>
      <c r="H38" s="435">
        <f>'II-I Summary'!H112</f>
        <v>1772278110.3614011</v>
      </c>
      <c r="I38" s="435">
        <f>'II-I Summary'!I112</f>
        <v>1756235.0368453022</v>
      </c>
      <c r="J38" s="435">
        <f>'II-I Summary'!J112</f>
        <v>388717915.32085443</v>
      </c>
      <c r="K38" s="435">
        <f>'II-I Summary'!K112</f>
        <v>78824110.817420691</v>
      </c>
      <c r="L38" s="435">
        <f>'II-I Summary'!L112</f>
        <v>211271320.41081285</v>
      </c>
      <c r="M38" s="435">
        <f>'II-I Summary'!M112</f>
        <v>64581935.083779074</v>
      </c>
      <c r="N38" s="435">
        <f>'II-I Summary'!N112</f>
        <v>1796210.6128</v>
      </c>
      <c r="O38" s="436">
        <f>'II-I Summary'!O112</f>
        <v>8861400.7717400007</v>
      </c>
      <c r="P38" s="21"/>
      <c r="Q38" s="117"/>
      <c r="S38" s="305">
        <f t="shared" si="2"/>
        <v>0</v>
      </c>
    </row>
    <row r="39" spans="1:19" ht="15" x14ac:dyDescent="0.25">
      <c r="A39" s="118"/>
      <c r="B39" s="16">
        <f t="shared" si="0"/>
        <v>23</v>
      </c>
      <c r="C39" s="429"/>
      <c r="D39" s="427"/>
      <c r="E39" s="427"/>
      <c r="F39" s="21"/>
      <c r="G39" s="21"/>
      <c r="H39" s="21"/>
      <c r="I39" s="21"/>
      <c r="J39" s="21"/>
      <c r="K39" s="21"/>
      <c r="L39" s="21"/>
      <c r="M39" s="21"/>
      <c r="N39" s="21"/>
      <c r="O39" s="424"/>
      <c r="P39" s="21"/>
      <c r="Q39" s="117"/>
      <c r="S39" s="305">
        <f t="shared" si="2"/>
        <v>0</v>
      </c>
    </row>
    <row r="40" spans="1:19" ht="15" x14ac:dyDescent="0.25">
      <c r="A40" s="118"/>
      <c r="B40" s="16">
        <f t="shared" si="0"/>
        <v>24</v>
      </c>
      <c r="C40" s="429" t="s">
        <v>817</v>
      </c>
      <c r="D40" s="427">
        <f ca="1">SUM(E40:P40)</f>
        <v>5886999597.3164129</v>
      </c>
      <c r="E40" s="427"/>
      <c r="F40" s="21">
        <f t="shared" ref="F40:M40" ca="1" si="8">F30</f>
        <v>2898809693.2804885</v>
      </c>
      <c r="G40" s="21">
        <f t="shared" ca="1" si="8"/>
        <v>92864834.084056213</v>
      </c>
      <c r="H40" s="21">
        <f t="shared" ca="1" si="8"/>
        <v>1942035417.3126795</v>
      </c>
      <c r="I40" s="21">
        <f t="shared" ca="1" si="8"/>
        <v>4521283.8577318089</v>
      </c>
      <c r="J40" s="21">
        <f t="shared" ca="1" si="8"/>
        <v>464394581.96979547</v>
      </c>
      <c r="K40" s="21">
        <f ca="1">K30</f>
        <v>99663191.354891568</v>
      </c>
      <c r="L40" s="21">
        <f t="shared" ca="1" si="8"/>
        <v>276456386.98515362</v>
      </c>
      <c r="M40" s="21">
        <f t="shared" ca="1" si="8"/>
        <v>97524404.256703645</v>
      </c>
      <c r="N40" s="21">
        <f ca="1">N30</f>
        <v>1944374.9283352019</v>
      </c>
      <c r="O40" s="424">
        <f ca="1">O30</f>
        <v>8785429.286578266</v>
      </c>
      <c r="P40" s="21"/>
      <c r="Q40" s="117"/>
      <c r="S40" s="305">
        <f t="shared" ca="1" si="2"/>
        <v>0</v>
      </c>
    </row>
    <row r="41" spans="1:19" s="321" customFormat="1" ht="15" x14ac:dyDescent="0.25">
      <c r="A41" s="118"/>
      <c r="B41" s="16">
        <f t="shared" si="0"/>
        <v>25</v>
      </c>
      <c r="C41" s="87" t="s">
        <v>819</v>
      </c>
      <c r="D41" s="60">
        <f ca="1">SUM(E41:P41)</f>
        <v>684281929.60262287</v>
      </c>
      <c r="E41" s="60"/>
      <c r="F41" s="18">
        <f t="shared" ref="F41:M41" ca="1" si="9">F40-F38</f>
        <v>317904420.97495222</v>
      </c>
      <c r="G41" s="18">
        <f t="shared" ca="1" si="9"/>
        <v>-860322.90854497254</v>
      </c>
      <c r="H41" s="18">
        <f t="shared" ca="1" si="9"/>
        <v>169757306.95127845</v>
      </c>
      <c r="I41" s="18">
        <f t="shared" ca="1" si="9"/>
        <v>2765048.8208865067</v>
      </c>
      <c r="J41" s="18">
        <f t="shared" ca="1" si="9"/>
        <v>75676666.64894104</v>
      </c>
      <c r="K41" s="18">
        <f ca="1">K40-K38</f>
        <v>20839080.537470877</v>
      </c>
      <c r="L41" s="18">
        <f t="shared" ca="1" si="9"/>
        <v>65185066.574340761</v>
      </c>
      <c r="M41" s="18">
        <f t="shared" ca="1" si="9"/>
        <v>32942469.172924571</v>
      </c>
      <c r="N41" s="18">
        <f ca="1">N40-N38</f>
        <v>148164.31553520192</v>
      </c>
      <c r="O41" s="58">
        <f ca="1">O40-O38</f>
        <v>-75971.485161734745</v>
      </c>
      <c r="P41" s="18"/>
      <c r="Q41" s="117"/>
      <c r="R41" s="1183"/>
      <c r="S41" s="751">
        <f t="shared" ca="1" si="2"/>
        <v>0</v>
      </c>
    </row>
    <row r="42" spans="1:19" ht="15" x14ac:dyDescent="0.25">
      <c r="A42" s="118"/>
      <c r="B42" s="16">
        <f t="shared" si="0"/>
        <v>26</v>
      </c>
      <c r="C42" s="87" t="s">
        <v>820</v>
      </c>
      <c r="D42" s="100">
        <f t="shared" ref="D42:M42" ca="1" si="10">D41/D38</f>
        <v>0.13152394062223141</v>
      </c>
      <c r="E42" s="100"/>
      <c r="F42" s="100">
        <f t="shared" ca="1" si="10"/>
        <v>0.12317554789252941</v>
      </c>
      <c r="G42" s="100">
        <f t="shared" ca="1" si="10"/>
        <v>-9.1792101091160375E-3</v>
      </c>
      <c r="H42" s="100">
        <f t="shared" ca="1" si="10"/>
        <v>9.5784801470386455E-2</v>
      </c>
      <c r="I42" s="100">
        <f t="shared" ca="1" si="10"/>
        <v>1.5744184365284735</v>
      </c>
      <c r="J42" s="100">
        <f t="shared" ca="1" si="10"/>
        <v>0.19468273435886335</v>
      </c>
      <c r="K42" s="100">
        <f ca="1">K41/K38</f>
        <v>0.26437444484137829</v>
      </c>
      <c r="L42" s="100">
        <f t="shared" ca="1" si="10"/>
        <v>0.30853722335615502</v>
      </c>
      <c r="M42" s="100">
        <f t="shared" ca="1" si="10"/>
        <v>0.5100879855982926</v>
      </c>
      <c r="N42" s="100">
        <f ca="1">N41/N38</f>
        <v>8.2487161850267582E-2</v>
      </c>
      <c r="O42" s="437">
        <f ca="1">O41/O38</f>
        <v>-8.5733042798398548E-3</v>
      </c>
      <c r="P42" s="100"/>
      <c r="Q42" s="117"/>
      <c r="R42" s="1182"/>
      <c r="S42" s="305">
        <f t="shared" ca="1" si="2"/>
        <v>3.0042718808851592</v>
      </c>
    </row>
    <row r="43" spans="1:19" ht="15" x14ac:dyDescent="0.25">
      <c r="A43" s="118"/>
      <c r="B43" s="16">
        <f t="shared" si="0"/>
        <v>27</v>
      </c>
      <c r="C43" s="87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437"/>
      <c r="P43" s="100"/>
      <c r="Q43" s="117"/>
      <c r="S43" s="305">
        <f t="shared" si="2"/>
        <v>0</v>
      </c>
    </row>
    <row r="44" spans="1:19" ht="15" x14ac:dyDescent="0.25">
      <c r="A44" s="118"/>
      <c r="B44" s="16">
        <f t="shared" si="0"/>
        <v>28</v>
      </c>
      <c r="C44" s="423" t="s">
        <v>818</v>
      </c>
      <c r="D44" s="427">
        <f ca="1">SUM(E44:P44)</f>
        <v>5886999597.3164129</v>
      </c>
      <c r="E44" s="427"/>
      <c r="F44" s="21">
        <f t="shared" ref="F44:M44" ca="1" si="11">F36</f>
        <v>2898809693.2804885</v>
      </c>
      <c r="G44" s="21">
        <f t="shared" ca="1" si="11"/>
        <v>92864834.084056213</v>
      </c>
      <c r="H44" s="21">
        <f t="shared" ca="1" si="11"/>
        <v>1942035417.3126795</v>
      </c>
      <c r="I44" s="21">
        <f t="shared" ca="1" si="11"/>
        <v>4521283.8577318089</v>
      </c>
      <c r="J44" s="21">
        <f t="shared" ca="1" si="11"/>
        <v>464394581.96979547</v>
      </c>
      <c r="K44" s="21">
        <f ca="1">K36</f>
        <v>99663191.354891568</v>
      </c>
      <c r="L44" s="21">
        <f t="shared" ca="1" si="11"/>
        <v>276456386.98515362</v>
      </c>
      <c r="M44" s="21">
        <f t="shared" ca="1" si="11"/>
        <v>97524404.256703645</v>
      </c>
      <c r="N44" s="21">
        <f ca="1">N36</f>
        <v>1944374.9283352019</v>
      </c>
      <c r="O44" s="424">
        <f ca="1">O36</f>
        <v>8785429.286578266</v>
      </c>
      <c r="P44" s="21"/>
      <c r="Q44" s="117"/>
      <c r="S44" s="305">
        <f t="shared" ca="1" si="2"/>
        <v>0</v>
      </c>
    </row>
    <row r="45" spans="1:19" ht="15" x14ac:dyDescent="0.25">
      <c r="A45" s="118"/>
      <c r="B45" s="16">
        <f t="shared" si="0"/>
        <v>29</v>
      </c>
      <c r="C45" s="87" t="s">
        <v>821</v>
      </c>
      <c r="D45" s="60">
        <f ca="1">SUM(E45:P45)</f>
        <v>684281929.60262287</v>
      </c>
      <c r="E45" s="60"/>
      <c r="F45" s="18">
        <f t="shared" ref="F45:M45" ca="1" si="12">F44-F38</f>
        <v>317904420.97495222</v>
      </c>
      <c r="G45" s="18">
        <f t="shared" ca="1" si="12"/>
        <v>-860322.90854497254</v>
      </c>
      <c r="H45" s="18">
        <f t="shared" ca="1" si="12"/>
        <v>169757306.95127845</v>
      </c>
      <c r="I45" s="18">
        <f t="shared" ca="1" si="12"/>
        <v>2765048.8208865067</v>
      </c>
      <c r="J45" s="18">
        <f t="shared" ca="1" si="12"/>
        <v>75676666.64894104</v>
      </c>
      <c r="K45" s="18">
        <f ca="1">K44-K38</f>
        <v>20839080.537470877</v>
      </c>
      <c r="L45" s="18">
        <f t="shared" ca="1" si="12"/>
        <v>65185066.574340761</v>
      </c>
      <c r="M45" s="18">
        <f t="shared" ca="1" si="12"/>
        <v>32942469.172924571</v>
      </c>
      <c r="N45" s="18">
        <f ca="1">N44-N38</f>
        <v>148164.31553520192</v>
      </c>
      <c r="O45" s="58">
        <f ca="1">O44-O38</f>
        <v>-75971.485161734745</v>
      </c>
      <c r="P45" s="18"/>
      <c r="Q45" s="117"/>
      <c r="S45" s="305">
        <f t="shared" ca="1" si="2"/>
        <v>0</v>
      </c>
    </row>
    <row r="46" spans="1:19" ht="15" x14ac:dyDescent="0.25">
      <c r="A46" s="118"/>
      <c r="B46" s="16">
        <f t="shared" si="0"/>
        <v>30</v>
      </c>
      <c r="C46" s="89" t="s">
        <v>820</v>
      </c>
      <c r="D46" s="438">
        <f t="shared" ref="D46:M46" ca="1" si="13">D45/D38</f>
        <v>0.13152394062223141</v>
      </c>
      <c r="E46" s="438"/>
      <c r="F46" s="438">
        <f t="shared" ca="1" si="13"/>
        <v>0.12317554789252941</v>
      </c>
      <c r="G46" s="438">
        <f t="shared" ca="1" si="13"/>
        <v>-9.1792101091160375E-3</v>
      </c>
      <c r="H46" s="438">
        <f t="shared" ca="1" si="13"/>
        <v>9.5784801470386455E-2</v>
      </c>
      <c r="I46" s="438">
        <f t="shared" ca="1" si="13"/>
        <v>1.5744184365284735</v>
      </c>
      <c r="J46" s="438">
        <f t="shared" ca="1" si="13"/>
        <v>0.19468273435886335</v>
      </c>
      <c r="K46" s="438">
        <f ca="1">K45/K38</f>
        <v>0.26437444484137829</v>
      </c>
      <c r="L46" s="438">
        <f t="shared" ca="1" si="13"/>
        <v>0.30853722335615502</v>
      </c>
      <c r="M46" s="438">
        <f t="shared" ca="1" si="13"/>
        <v>0.5100879855982926</v>
      </c>
      <c r="N46" s="438">
        <f ca="1">N45/N38</f>
        <v>8.2487161850267582E-2</v>
      </c>
      <c r="O46" s="439">
        <f ca="1">O45/O38</f>
        <v>-8.5733042798398548E-3</v>
      </c>
      <c r="P46" s="100"/>
      <c r="Q46" s="117"/>
      <c r="S46" s="305">
        <f t="shared" ca="1" si="2"/>
        <v>3.0042718808851592</v>
      </c>
    </row>
    <row r="47" spans="1:19" ht="15" x14ac:dyDescent="0.25">
      <c r="A47" s="118"/>
      <c r="B47" s="16">
        <f t="shared" si="0"/>
        <v>31</v>
      </c>
      <c r="C47" s="1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117"/>
      <c r="S47" s="305">
        <f t="shared" si="2"/>
        <v>0</v>
      </c>
    </row>
    <row r="48" spans="1:19" ht="15" x14ac:dyDescent="0.25">
      <c r="A48" s="118"/>
      <c r="B48" s="16">
        <f t="shared" si="0"/>
        <v>32</v>
      </c>
      <c r="C48" s="440" t="s">
        <v>339</v>
      </c>
      <c r="D48" s="435">
        <f ca="1">SUM(E48:P48)</f>
        <v>14178812890.553782</v>
      </c>
      <c r="E48" s="435"/>
      <c r="F48" s="441">
        <f ca="1">'II-I-Total'!J618</f>
        <v>7701231395.3489208</v>
      </c>
      <c r="G48" s="441">
        <f ca="1">'II-I-Total'!K618</f>
        <v>241021038.76455146</v>
      </c>
      <c r="H48" s="441">
        <f ca="1">'II-I-Total'!L618</f>
        <v>4895708692.4099426</v>
      </c>
      <c r="I48" s="441">
        <f ca="1">'II-I-Total'!M618</f>
        <v>9349078.2371065579</v>
      </c>
      <c r="J48" s="441">
        <f ca="1">'II-I-Total'!N618</f>
        <v>952498948.05242395</v>
      </c>
      <c r="K48" s="441">
        <f ca="1">'II-I-Total'!O618</f>
        <v>106794279.04774135</v>
      </c>
      <c r="L48" s="441">
        <f ca="1">'II-I-Total'!P618</f>
        <v>30497473.243358411</v>
      </c>
      <c r="M48" s="441">
        <f ca="1">'II-I-Total'!Q618</f>
        <v>199604759.05071092</v>
      </c>
      <c r="N48" s="441">
        <f ca="1">'II-I-Total'!R618</f>
        <v>7514396.8375243619</v>
      </c>
      <c r="O48" s="442">
        <f ca="1">'II-I-Total'!S618</f>
        <v>34592829.561503254</v>
      </c>
      <c r="P48" s="443"/>
      <c r="Q48" s="117" t="b">
        <f ca="1">IF(('WP II-I-1.1'!G492+'WP II-I-1.1'!H492+'WP II-I-1.1'!I492)=D48,TRUE,('WP II-I-1.1'!G492+'WP II-I-1.1'!H492+'WP II-I-1.1'!I492)-D48)</f>
        <v>1</v>
      </c>
      <c r="S48" s="305">
        <f t="shared" ca="1" si="2"/>
        <v>0</v>
      </c>
    </row>
    <row r="49" spans="1:19" ht="15" x14ac:dyDescent="0.25">
      <c r="A49" s="118"/>
      <c r="B49" s="16">
        <f t="shared" si="0"/>
        <v>33</v>
      </c>
      <c r="C49" s="423"/>
      <c r="D49" s="21"/>
      <c r="E49" s="21"/>
      <c r="F49" s="443"/>
      <c r="G49" s="443"/>
      <c r="H49" s="443"/>
      <c r="I49" s="443"/>
      <c r="J49" s="443"/>
      <c r="K49" s="443"/>
      <c r="L49" s="443"/>
      <c r="M49" s="443"/>
      <c r="N49" s="443"/>
      <c r="O49" s="444"/>
      <c r="P49" s="443"/>
      <c r="Q49" s="117"/>
      <c r="S49" s="305">
        <f t="shared" si="2"/>
        <v>0</v>
      </c>
    </row>
    <row r="50" spans="1:19" ht="15" x14ac:dyDescent="0.25">
      <c r="A50" s="118"/>
      <c r="B50" s="16">
        <f t="shared" si="0"/>
        <v>34</v>
      </c>
      <c r="C50" s="423" t="s">
        <v>822</v>
      </c>
      <c r="D50" s="21">
        <f ca="1">SUM(E50:P50)</f>
        <v>494575225.20638472</v>
      </c>
      <c r="E50" s="21"/>
      <c r="F50" s="443">
        <f ca="1">'II-I Summary'!F135</f>
        <v>309392927.39014673</v>
      </c>
      <c r="G50" s="443">
        <f ca="1">'II-I Summary'!G135</f>
        <v>24473646.798183374</v>
      </c>
      <c r="H50" s="443">
        <f ca="1">'II-I Summary'!H135</f>
        <v>224001149.05671537</v>
      </c>
      <c r="I50" s="443">
        <f ca="1">'II-I Summary'!I135</f>
        <v>-1603929.2199931573</v>
      </c>
      <c r="J50" s="443">
        <f ca="1">'II-I Summary'!J135</f>
        <v>8369370.888846375</v>
      </c>
      <c r="K50" s="443">
        <f ca="1">'II-I Summary'!K135</f>
        <v>-9392908.7879127301</v>
      </c>
      <c r="L50" s="443">
        <f ca="1">'II-I Summary'!L135</f>
        <v>-52688903.631751247</v>
      </c>
      <c r="M50" s="443">
        <f ca="1">'II-I Summary'!M135</f>
        <v>-10879895.90819113</v>
      </c>
      <c r="N50" s="443">
        <f ca="1">'II-I Summary'!N135</f>
        <v>376942.88762212574</v>
      </c>
      <c r="O50" s="444">
        <f ca="1">'II-I Summary'!O135</f>
        <v>2526825.7327190274</v>
      </c>
      <c r="P50" s="443"/>
      <c r="Q50" s="117"/>
      <c r="S50" s="305">
        <f t="shared" ca="1" si="2"/>
        <v>0</v>
      </c>
    </row>
    <row r="51" spans="1:19" ht="15" x14ac:dyDescent="0.25">
      <c r="A51" s="118"/>
      <c r="B51" s="16">
        <f t="shared" si="0"/>
        <v>35</v>
      </c>
      <c r="C51" s="87" t="s">
        <v>823</v>
      </c>
      <c r="D51" s="445">
        <f t="shared" ref="D51:M51" ca="1" si="14">D50/D48</f>
        <v>3.4881285832883864E-2</v>
      </c>
      <c r="E51" s="445"/>
      <c r="F51" s="445">
        <f t="shared" ca="1" si="14"/>
        <v>4.017447489981945E-2</v>
      </c>
      <c r="G51" s="445">
        <f t="shared" ca="1" si="14"/>
        <v>0.10154153730160952</v>
      </c>
      <c r="H51" s="445">
        <f t="shared" ca="1" si="14"/>
        <v>4.5754591036839126E-2</v>
      </c>
      <c r="I51" s="445">
        <f t="shared" ca="1" si="14"/>
        <v>-0.17156014521593699</v>
      </c>
      <c r="J51" s="445">
        <f t="shared" ca="1" si="14"/>
        <v>8.7867507948006032E-3</v>
      </c>
      <c r="K51" s="445">
        <f ca="1">K50/K48</f>
        <v>-8.7953295547917143E-2</v>
      </c>
      <c r="L51" s="445">
        <f t="shared" ca="1" si="14"/>
        <v>-1.7276481632203933</v>
      </c>
      <c r="M51" s="445">
        <f t="shared" ca="1" si="14"/>
        <v>-5.4507196922228794E-2</v>
      </c>
      <c r="N51" s="445">
        <f ca="1">N50/N48</f>
        <v>5.0162760334908074E-2</v>
      </c>
      <c r="O51" s="446">
        <f ca="1">O50/O48</f>
        <v>7.3044783116874998E-2</v>
      </c>
      <c r="P51" s="445"/>
      <c r="Q51" s="117"/>
      <c r="S51" s="305">
        <f t="shared" ca="1" si="2"/>
        <v>-1.7570851892545083</v>
      </c>
    </row>
    <row r="52" spans="1:19" ht="15" x14ac:dyDescent="0.25">
      <c r="A52" s="118"/>
      <c r="B52" s="16">
        <f t="shared" si="0"/>
        <v>36</v>
      </c>
      <c r="C52" s="87" t="s">
        <v>824</v>
      </c>
      <c r="D52" s="447">
        <f t="shared" ref="D52:M52" ca="1" si="15">D51/$D$51</f>
        <v>1</v>
      </c>
      <c r="E52" s="447"/>
      <c r="F52" s="447">
        <f t="shared" ca="1" si="15"/>
        <v>1.1517486795726293</v>
      </c>
      <c r="G52" s="447">
        <f t="shared" ca="1" si="15"/>
        <v>2.9110606125042153</v>
      </c>
      <c r="H52" s="447">
        <f t="shared" ca="1" si="15"/>
        <v>1.3117231760333961</v>
      </c>
      <c r="I52" s="447">
        <f t="shared" ca="1" si="15"/>
        <v>-4.9184008306884426</v>
      </c>
      <c r="J52" s="447">
        <f t="shared" ca="1" si="15"/>
        <v>0.25190444059023226</v>
      </c>
      <c r="K52" s="447">
        <f ca="1">K51/$D$51</f>
        <v>-2.5215038221154207</v>
      </c>
      <c r="L52" s="447">
        <f t="shared" ca="1" si="15"/>
        <v>-49.529371465763916</v>
      </c>
      <c r="M52" s="447">
        <f t="shared" ca="1" si="15"/>
        <v>-1.5626487275547298</v>
      </c>
      <c r="N52" s="447">
        <f ca="1">N51/$D$51</f>
        <v>1.4380995177539528</v>
      </c>
      <c r="O52" s="448">
        <f ca="1">O51/$D$51</f>
        <v>2.0940966301194379</v>
      </c>
      <c r="P52" s="447"/>
      <c r="Q52" s="117"/>
      <c r="S52" s="305">
        <f t="shared" ca="1" si="2"/>
        <v>-50.373291789548645</v>
      </c>
    </row>
    <row r="53" spans="1:19" ht="15" x14ac:dyDescent="0.25">
      <c r="A53" s="118"/>
      <c r="B53" s="16">
        <f t="shared" si="0"/>
        <v>37</v>
      </c>
      <c r="C53" s="423"/>
      <c r="D53" s="21"/>
      <c r="E53" s="21"/>
      <c r="F53" s="443"/>
      <c r="G53" s="443"/>
      <c r="H53" s="443"/>
      <c r="I53" s="443"/>
      <c r="J53" s="443"/>
      <c r="K53" s="443"/>
      <c r="L53" s="443"/>
      <c r="M53" s="443"/>
      <c r="N53" s="443"/>
      <c r="O53" s="444"/>
      <c r="P53" s="443"/>
      <c r="Q53" s="117"/>
      <c r="S53" s="305">
        <f t="shared" si="2"/>
        <v>0</v>
      </c>
    </row>
    <row r="54" spans="1:19" ht="15" x14ac:dyDescent="0.25">
      <c r="A54" s="118"/>
      <c r="B54" s="16">
        <f t="shared" si="0"/>
        <v>38</v>
      </c>
      <c r="C54" s="425" t="s">
        <v>815</v>
      </c>
      <c r="D54" s="21">
        <f ca="1">SUM(E54:P54)</f>
        <v>1059157322.9243675</v>
      </c>
      <c r="E54" s="21"/>
      <c r="F54" s="443">
        <f t="shared" ref="F54:M54" ca="1" si="16">F24</f>
        <v>575281985.23256433</v>
      </c>
      <c r="G54" s="443">
        <f t="shared" ca="1" si="16"/>
        <v>18004271.595711999</v>
      </c>
      <c r="H54" s="443">
        <f t="shared" ca="1" si="16"/>
        <v>365709439.32302266</v>
      </c>
      <c r="I54" s="443">
        <f t="shared" ca="1" si="16"/>
        <v>698376.14431185985</v>
      </c>
      <c r="J54" s="443">
        <f t="shared" ca="1" si="16"/>
        <v>71151671.419516057</v>
      </c>
      <c r="K54" s="443">
        <f ca="1">K24</f>
        <v>7977532.6448662793</v>
      </c>
      <c r="L54" s="443">
        <f t="shared" ca="1" si="16"/>
        <v>2278161.2512788735</v>
      </c>
      <c r="M54" s="443">
        <f t="shared" ca="1" si="16"/>
        <v>14910475.501088111</v>
      </c>
      <c r="N54" s="443">
        <f ca="1">N24</f>
        <v>561325.44376306981</v>
      </c>
      <c r="O54" s="444">
        <f ca="1">O24</f>
        <v>2584084.3682442927</v>
      </c>
      <c r="P54" s="443"/>
      <c r="Q54" s="117" t="b">
        <f ca="1">IF(D$24=D54,TRUE,D$24-D54)</f>
        <v>1</v>
      </c>
      <c r="S54" s="305">
        <f t="shared" ca="1" si="2"/>
        <v>0</v>
      </c>
    </row>
    <row r="55" spans="1:19" ht="15" x14ac:dyDescent="0.25">
      <c r="A55" s="118"/>
      <c r="B55" s="16">
        <f t="shared" si="0"/>
        <v>39</v>
      </c>
      <c r="C55" s="87" t="s">
        <v>825</v>
      </c>
      <c r="D55" s="445">
        <f ca="1">D24/D48</f>
        <v>7.4700000000000003E-2</v>
      </c>
      <c r="E55" s="445"/>
      <c r="F55" s="445">
        <f t="shared" ref="F55:M55" ca="1" si="17">F24/F48</f>
        <v>7.4699999999999989E-2</v>
      </c>
      <c r="G55" s="445">
        <f t="shared" ca="1" si="17"/>
        <v>7.4700000000000016E-2</v>
      </c>
      <c r="H55" s="445">
        <f t="shared" ca="1" si="17"/>
        <v>7.4699999999999989E-2</v>
      </c>
      <c r="I55" s="445">
        <f t="shared" ca="1" si="17"/>
        <v>7.4700000000000003E-2</v>
      </c>
      <c r="J55" s="445">
        <f t="shared" ca="1" si="17"/>
        <v>7.4699999999999989E-2</v>
      </c>
      <c r="K55" s="445">
        <f ca="1">K24/K48</f>
        <v>7.4700000000000003E-2</v>
      </c>
      <c r="L55" s="445">
        <f t="shared" ca="1" si="17"/>
        <v>7.4700000000000003E-2</v>
      </c>
      <c r="M55" s="445">
        <f t="shared" ca="1" si="17"/>
        <v>7.470000000000003E-2</v>
      </c>
      <c r="N55" s="445">
        <f ca="1">N24/N48</f>
        <v>7.4700000000000003E-2</v>
      </c>
      <c r="O55" s="446">
        <f ca="1">O24/O48</f>
        <v>7.4699999999999989E-2</v>
      </c>
      <c r="P55" s="445"/>
      <c r="Q55" s="117"/>
      <c r="S55" s="305">
        <f t="shared" ca="1" si="2"/>
        <v>0.67230000000000001</v>
      </c>
    </row>
    <row r="56" spans="1:19" x14ac:dyDescent="0.2">
      <c r="A56" s="64"/>
      <c r="B56" s="16">
        <f t="shared" si="0"/>
        <v>40</v>
      </c>
      <c r="C56" s="61" t="s">
        <v>826</v>
      </c>
      <c r="D56" s="447">
        <f t="shared" ref="D56:M56" ca="1" si="18">D55/$D$55</f>
        <v>1</v>
      </c>
      <c r="E56" s="447"/>
      <c r="F56" s="447">
        <f t="shared" ca="1" si="18"/>
        <v>0.99999999999999978</v>
      </c>
      <c r="G56" s="447">
        <f t="shared" ca="1" si="18"/>
        <v>1.0000000000000002</v>
      </c>
      <c r="H56" s="447">
        <f t="shared" ca="1" si="18"/>
        <v>0.99999999999999978</v>
      </c>
      <c r="I56" s="447">
        <f t="shared" ca="1" si="18"/>
        <v>1</v>
      </c>
      <c r="J56" s="447">
        <f t="shared" ca="1" si="18"/>
        <v>0.99999999999999978</v>
      </c>
      <c r="K56" s="447">
        <f ca="1">K55/$D$55</f>
        <v>1</v>
      </c>
      <c r="L56" s="447">
        <f t="shared" ca="1" si="18"/>
        <v>1</v>
      </c>
      <c r="M56" s="447">
        <f t="shared" ca="1" si="18"/>
        <v>1.0000000000000004</v>
      </c>
      <c r="N56" s="447">
        <f ca="1">N55/$D$55</f>
        <v>1</v>
      </c>
      <c r="O56" s="448">
        <f ca="1">O55/$D$55</f>
        <v>0.99999999999999978</v>
      </c>
      <c r="P56" s="447"/>
      <c r="Q56" s="117"/>
      <c r="S56" s="305">
        <f t="shared" ca="1" si="2"/>
        <v>9</v>
      </c>
    </row>
    <row r="57" spans="1:19" x14ac:dyDescent="0.2">
      <c r="A57" s="64"/>
      <c r="B57" s="16">
        <f t="shared" si="0"/>
        <v>41</v>
      </c>
      <c r="C57" s="75"/>
      <c r="D57" s="11"/>
      <c r="E57" s="11"/>
      <c r="F57" s="10"/>
      <c r="G57" s="11"/>
      <c r="H57" s="11"/>
      <c r="I57" s="11"/>
      <c r="J57" s="11"/>
      <c r="K57" s="11"/>
      <c r="L57" s="11"/>
      <c r="M57" s="11"/>
      <c r="N57" s="11"/>
      <c r="O57" s="371"/>
      <c r="P57" s="11"/>
      <c r="Q57" s="11"/>
      <c r="S57" s="305">
        <f t="shared" si="2"/>
        <v>0</v>
      </c>
    </row>
    <row r="58" spans="1:19" ht="15" x14ac:dyDescent="0.25">
      <c r="A58" s="64"/>
      <c r="B58" s="16">
        <f t="shared" si="0"/>
        <v>42</v>
      </c>
      <c r="C58" s="449" t="s">
        <v>827</v>
      </c>
      <c r="D58" s="21">
        <f ca="1">SUM(E58:P58)</f>
        <v>1059157322.9243675</v>
      </c>
      <c r="E58" s="21"/>
      <c r="F58" s="450">
        <f t="shared" ref="F58:M58" ca="1" si="19">F24+F32</f>
        <v>575281985.23256433</v>
      </c>
      <c r="G58" s="450">
        <f t="shared" ca="1" si="19"/>
        <v>18004271.595711999</v>
      </c>
      <c r="H58" s="450">
        <f t="shared" ca="1" si="19"/>
        <v>365709439.32302266</v>
      </c>
      <c r="I58" s="450">
        <f t="shared" ca="1" si="19"/>
        <v>698376.14431185985</v>
      </c>
      <c r="J58" s="450">
        <f t="shared" ca="1" si="19"/>
        <v>71151671.419516057</v>
      </c>
      <c r="K58" s="450">
        <f ca="1">K24+K32</f>
        <v>7977532.6448662793</v>
      </c>
      <c r="L58" s="450">
        <f t="shared" ca="1" si="19"/>
        <v>2278161.2512788735</v>
      </c>
      <c r="M58" s="450">
        <f t="shared" ca="1" si="19"/>
        <v>14910475.501088111</v>
      </c>
      <c r="N58" s="450">
        <f ca="1">N24+N32</f>
        <v>561325.44376306981</v>
      </c>
      <c r="O58" s="451">
        <f ca="1">O24+O32</f>
        <v>2584084.3682442927</v>
      </c>
      <c r="P58" s="450"/>
      <c r="Q58" s="117" t="b">
        <f ca="1">IF(D$24=D58,TRUE,D$24-D58)</f>
        <v>1</v>
      </c>
      <c r="S58" s="305">
        <f t="shared" ca="1" si="2"/>
        <v>0</v>
      </c>
    </row>
    <row r="59" spans="1:19" x14ac:dyDescent="0.2">
      <c r="A59" s="64"/>
      <c r="B59" s="16">
        <f t="shared" si="0"/>
        <v>43</v>
      </c>
      <c r="C59" s="87" t="s">
        <v>828</v>
      </c>
      <c r="D59" s="445">
        <f t="shared" ref="D59:M59" ca="1" si="20">D58/D48</f>
        <v>7.4700000000000003E-2</v>
      </c>
      <c r="E59" s="445"/>
      <c r="F59" s="445">
        <f t="shared" ca="1" si="20"/>
        <v>7.4699999999999989E-2</v>
      </c>
      <c r="G59" s="445">
        <f t="shared" ca="1" si="20"/>
        <v>7.4700000000000016E-2</v>
      </c>
      <c r="H59" s="445">
        <f t="shared" ca="1" si="20"/>
        <v>7.4699999999999989E-2</v>
      </c>
      <c r="I59" s="445">
        <f t="shared" ca="1" si="20"/>
        <v>7.4700000000000003E-2</v>
      </c>
      <c r="J59" s="445">
        <f t="shared" ca="1" si="20"/>
        <v>7.4699999999999989E-2</v>
      </c>
      <c r="K59" s="445">
        <f ca="1">K58/K48</f>
        <v>7.4700000000000003E-2</v>
      </c>
      <c r="L59" s="445">
        <f t="shared" ca="1" si="20"/>
        <v>7.4700000000000003E-2</v>
      </c>
      <c r="M59" s="445">
        <f t="shared" ca="1" si="20"/>
        <v>7.470000000000003E-2</v>
      </c>
      <c r="N59" s="445">
        <f ca="1">N58/N48</f>
        <v>7.4700000000000003E-2</v>
      </c>
      <c r="O59" s="446">
        <f ca="1">O58/O48</f>
        <v>7.4699999999999989E-2</v>
      </c>
      <c r="P59" s="445"/>
      <c r="Q59" s="11"/>
      <c r="S59" s="305">
        <f t="shared" ca="1" si="2"/>
        <v>0.67230000000000001</v>
      </c>
    </row>
    <row r="60" spans="1:19" x14ac:dyDescent="0.2">
      <c r="A60" s="64"/>
      <c r="B60" s="16">
        <f t="shared" si="0"/>
        <v>44</v>
      </c>
      <c r="C60" s="61" t="s">
        <v>829</v>
      </c>
      <c r="D60" s="447">
        <f t="shared" ref="D60:M60" ca="1" si="21">D59/$D$59</f>
        <v>1</v>
      </c>
      <c r="E60" s="447"/>
      <c r="F60" s="447">
        <f t="shared" ca="1" si="21"/>
        <v>0.99999999999999978</v>
      </c>
      <c r="G60" s="447">
        <f t="shared" ca="1" si="21"/>
        <v>1.0000000000000002</v>
      </c>
      <c r="H60" s="447">
        <f t="shared" ca="1" si="21"/>
        <v>0.99999999999999978</v>
      </c>
      <c r="I60" s="447">
        <f t="shared" ca="1" si="21"/>
        <v>1</v>
      </c>
      <c r="J60" s="447">
        <f t="shared" ca="1" si="21"/>
        <v>0.99999999999999978</v>
      </c>
      <c r="K60" s="447">
        <f ca="1">K59/$D$59</f>
        <v>1</v>
      </c>
      <c r="L60" s="447">
        <f t="shared" ca="1" si="21"/>
        <v>1</v>
      </c>
      <c r="M60" s="447">
        <f t="shared" ca="1" si="21"/>
        <v>1.0000000000000004</v>
      </c>
      <c r="N60" s="447">
        <f ca="1">N59/$D$59</f>
        <v>1</v>
      </c>
      <c r="O60" s="448">
        <f ca="1">O59/$D$59</f>
        <v>0.99999999999999978</v>
      </c>
      <c r="P60" s="447"/>
      <c r="Q60" s="64"/>
      <c r="S60" s="305">
        <f t="shared" ca="1" si="2"/>
        <v>9</v>
      </c>
    </row>
    <row r="61" spans="1:19" ht="15" x14ac:dyDescent="0.25">
      <c r="A61" s="64"/>
      <c r="B61" s="16">
        <f t="shared" si="0"/>
        <v>45</v>
      </c>
      <c r="C61" s="452" t="s">
        <v>830</v>
      </c>
      <c r="D61" s="805">
        <f ca="1">SUM(E61:P61)</f>
        <v>0</v>
      </c>
      <c r="E61" s="805"/>
      <c r="F61" s="450">
        <f t="shared" ref="F61:M61" ca="1" si="22">F58-F54</f>
        <v>0</v>
      </c>
      <c r="G61" s="450">
        <f t="shared" ca="1" si="22"/>
        <v>0</v>
      </c>
      <c r="H61" s="450">
        <f t="shared" ca="1" si="22"/>
        <v>0</v>
      </c>
      <c r="I61" s="450">
        <f t="shared" ca="1" si="22"/>
        <v>0</v>
      </c>
      <c r="J61" s="450">
        <f t="shared" ca="1" si="22"/>
        <v>0</v>
      </c>
      <c r="K61" s="450">
        <f ca="1">K58-K54</f>
        <v>0</v>
      </c>
      <c r="L61" s="450">
        <f t="shared" ca="1" si="22"/>
        <v>0</v>
      </c>
      <c r="M61" s="450">
        <f t="shared" ca="1" si="22"/>
        <v>0</v>
      </c>
      <c r="N61" s="450">
        <f ca="1">N58-N54</f>
        <v>0</v>
      </c>
      <c r="O61" s="451">
        <f ca="1">O58-O54</f>
        <v>0</v>
      </c>
      <c r="P61" s="450"/>
      <c r="Q61" s="64"/>
      <c r="S61" s="305">
        <f t="shared" ca="1" si="2"/>
        <v>0</v>
      </c>
    </row>
    <row r="62" spans="1:19" x14ac:dyDescent="0.2">
      <c r="A62" s="64"/>
      <c r="B62" s="16"/>
      <c r="C62" s="209"/>
      <c r="D62" s="209"/>
      <c r="E62" s="209"/>
      <c r="F62" s="211"/>
      <c r="G62" s="211"/>
      <c r="H62" s="1"/>
      <c r="I62" s="1"/>
      <c r="J62" s="453"/>
      <c r="K62" s="1"/>
      <c r="L62" s="453"/>
      <c r="M62" s="1"/>
      <c r="N62" s="1"/>
      <c r="O62" s="1"/>
      <c r="P62" s="1"/>
      <c r="Q62" s="1"/>
      <c r="S62" s="305">
        <f t="shared" si="2"/>
        <v>0</v>
      </c>
    </row>
    <row r="63" spans="1:19" ht="15" x14ac:dyDescent="0.25">
      <c r="A63" s="64"/>
      <c r="B63" s="16">
        <f t="shared" ref="B63:B103" si="23">B62+1</f>
        <v>1</v>
      </c>
      <c r="C63" s="54" t="s">
        <v>831</v>
      </c>
      <c r="D63" s="209"/>
      <c r="E63" s="209"/>
      <c r="F63" s="211"/>
      <c r="G63" s="211"/>
      <c r="H63" s="1"/>
      <c r="I63" s="1"/>
      <c r="J63" s="453"/>
      <c r="K63" s="1"/>
      <c r="L63" s="453"/>
      <c r="M63" s="1"/>
      <c r="N63" s="1"/>
      <c r="O63" s="1"/>
      <c r="P63" s="1"/>
      <c r="Q63" s="1"/>
      <c r="S63" s="305">
        <f t="shared" si="2"/>
        <v>0</v>
      </c>
    </row>
    <row r="64" spans="1:19" x14ac:dyDescent="0.2">
      <c r="A64" s="64"/>
      <c r="B64" s="16">
        <f t="shared" si="23"/>
        <v>2</v>
      </c>
      <c r="C64" s="209"/>
      <c r="D64" s="209"/>
      <c r="E64" s="209"/>
      <c r="F64" s="211"/>
      <c r="G64" s="211"/>
      <c r="H64" s="1"/>
      <c r="I64" s="1"/>
      <c r="J64" s="453"/>
      <c r="K64" s="1"/>
      <c r="L64" s="453"/>
      <c r="M64" s="1"/>
      <c r="N64" s="1"/>
      <c r="O64" s="1"/>
      <c r="P64" s="1"/>
      <c r="Q64" s="1"/>
      <c r="S64" s="305">
        <f t="shared" si="2"/>
        <v>0</v>
      </c>
    </row>
    <row r="65" spans="1:19" x14ac:dyDescent="0.2">
      <c r="A65" s="64"/>
      <c r="B65" s="16">
        <f t="shared" si="23"/>
        <v>3</v>
      </c>
      <c r="C65" s="209" t="s">
        <v>864</v>
      </c>
      <c r="D65" s="202">
        <f ca="1">SUM(E65:P65)</f>
        <v>21036152617.580002</v>
      </c>
      <c r="E65" s="202"/>
      <c r="F65" s="202">
        <f ca="1">'II-I-Total'!J56</f>
        <v>11269391153.622311</v>
      </c>
      <c r="G65" s="202">
        <f ca="1">'II-I-Total'!K56</f>
        <v>428123524.75168681</v>
      </c>
      <c r="H65" s="202">
        <f ca="1">'II-I-Total'!L56</f>
        <v>7076597836.6132193</v>
      </c>
      <c r="I65" s="202">
        <f ca="1">'II-I-Total'!M56</f>
        <v>15265863.67879392</v>
      </c>
      <c r="J65" s="202">
        <f ca="1">'II-I-Total'!N56</f>
        <v>1330035471.2811196</v>
      </c>
      <c r="K65" s="202">
        <f ca="1">'II-I-Total'!O56</f>
        <v>136528436.56143638</v>
      </c>
      <c r="L65" s="202">
        <f ca="1">'II-I-Total'!P56</f>
        <v>30107340.340042677</v>
      </c>
      <c r="M65" s="202">
        <f ca="1">'II-I-Total'!Q56</f>
        <v>692483184.03994703</v>
      </c>
      <c r="N65" s="202">
        <f ca="1">'II-I-Total'!R56</f>
        <v>9576307.0221430138</v>
      </c>
      <c r="O65" s="202">
        <f ca="1">'II-I-Total'!S56</f>
        <v>48043499.66930037</v>
      </c>
      <c r="P65" s="202"/>
      <c r="Q65" s="117" t="b">
        <f ca="1">IF(' WP II-I-1.4'!L56=D65,TRUE,' WP II-I-1.4'!L56-D65)</f>
        <v>1</v>
      </c>
      <c r="S65" s="305">
        <f t="shared" ca="1" si="2"/>
        <v>0</v>
      </c>
    </row>
    <row r="66" spans="1:19" x14ac:dyDescent="0.2">
      <c r="A66" s="64"/>
      <c r="B66" s="16">
        <f t="shared" si="23"/>
        <v>4</v>
      </c>
      <c r="C66" s="209" t="s">
        <v>468</v>
      </c>
      <c r="D66" s="202">
        <f ca="1">SUM(E66:P66)</f>
        <v>396911048.72999972</v>
      </c>
      <c r="E66" s="202"/>
      <c r="F66" s="202">
        <f ca="1">'II-I-Total'!J58</f>
        <v>214326005.79040724</v>
      </c>
      <c r="G66" s="202">
        <f ca="1">'II-I-Total'!K58</f>
        <v>9594975.4472822044</v>
      </c>
      <c r="H66" s="202">
        <f ca="1">'II-I-Total'!L58</f>
        <v>133448650.87514158</v>
      </c>
      <c r="I66" s="202">
        <f ca="1">'II-I-Total'!M58</f>
        <v>833500.67844055127</v>
      </c>
      <c r="J66" s="202">
        <f ca="1">'II-I-Total'!N58</f>
        <v>27830698.133414101</v>
      </c>
      <c r="K66" s="202">
        <f ca="1">'II-I-Total'!O58</f>
        <v>2734915.0247194436</v>
      </c>
      <c r="L66" s="202">
        <f ca="1">'II-I-Total'!P58</f>
        <v>848578.81008942728</v>
      </c>
      <c r="M66" s="202">
        <f ca="1">'II-I-Total'!Q58</f>
        <v>6207935.1497369613</v>
      </c>
      <c r="N66" s="202">
        <f ca="1">'II-I-Total'!R58</f>
        <v>197386.02691324861</v>
      </c>
      <c r="O66" s="202">
        <f ca="1">'II-I-Total'!S58</f>
        <v>888402.79385508003</v>
      </c>
      <c r="P66" s="202"/>
      <c r="Q66" s="117" t="b">
        <f ca="1">IF(' WP II-I-1.4'!L58=D66,TRUE,' WP II-I-1.4'!L58-D66)</f>
        <v>1</v>
      </c>
      <c r="S66" s="305">
        <f t="shared" ca="1" si="2"/>
        <v>0</v>
      </c>
    </row>
    <row r="67" spans="1:19" x14ac:dyDescent="0.2">
      <c r="A67" s="64"/>
      <c r="B67" s="16">
        <f t="shared" si="23"/>
        <v>5</v>
      </c>
      <c r="C67" s="209" t="s">
        <v>469</v>
      </c>
      <c r="D67" s="454">
        <f ca="1">SUM(E67:P67)</f>
        <v>398823210.54999983</v>
      </c>
      <c r="E67" s="454"/>
      <c r="F67" s="454">
        <f ca="1">'II-I-Total'!J59</f>
        <v>214111452.17424691</v>
      </c>
      <c r="G67" s="454">
        <f ca="1">'II-I-Total'!K59</f>
        <v>10485671.310892869</v>
      </c>
      <c r="H67" s="454">
        <f ca="1">'II-I-Total'!L59</f>
        <v>132542434.05082458</v>
      </c>
      <c r="I67" s="454">
        <f ca="1">'II-I-Total'!M59</f>
        <v>1012880.6552929978</v>
      </c>
      <c r="J67" s="454">
        <f ca="1">'II-I-Total'!N59</f>
        <v>28236108.644860983</v>
      </c>
      <c r="K67" s="454">
        <f ca="1">'II-I-Total'!O59</f>
        <v>2665267.5895100236</v>
      </c>
      <c r="L67" s="454">
        <f ca="1">'II-I-Total'!P59</f>
        <v>924409.7607368537</v>
      </c>
      <c r="M67" s="454">
        <f ca="1">'II-I-Total'!Q59</f>
        <v>7787190.3367348798</v>
      </c>
      <c r="N67" s="454">
        <f ca="1">'II-I-Total'!R59</f>
        <v>194458.81875154219</v>
      </c>
      <c r="O67" s="454">
        <f ca="1">'II-I-Total'!S59</f>
        <v>863337.20814819622</v>
      </c>
      <c r="P67" s="202"/>
      <c r="Q67" s="117" t="b">
        <f ca="1">IF(' WP II-I-1.4'!L59=D67,TRUE,' WP II-I-1.4'!L59-D67)</f>
        <v>1</v>
      </c>
      <c r="S67" s="305">
        <f t="shared" ca="1" si="2"/>
        <v>0</v>
      </c>
    </row>
    <row r="68" spans="1:19" ht="15" x14ac:dyDescent="0.25">
      <c r="A68" s="64"/>
      <c r="B68" s="16">
        <f t="shared" si="23"/>
        <v>6</v>
      </c>
      <c r="C68" s="209" t="s">
        <v>470</v>
      </c>
      <c r="D68" s="37">
        <f ca="1">SUM(E68:P68)</f>
        <v>21831886876.860001</v>
      </c>
      <c r="E68" s="37"/>
      <c r="F68" s="37">
        <f t="shared" ref="F68:M68" ca="1" si="24">SUM(F65:F67)</f>
        <v>11697828611.586966</v>
      </c>
      <c r="G68" s="37">
        <f t="shared" ca="1" si="24"/>
        <v>448204171.50986189</v>
      </c>
      <c r="H68" s="37">
        <f t="shared" ca="1" si="24"/>
        <v>7342588921.5391846</v>
      </c>
      <c r="I68" s="37">
        <f t="shared" ca="1" si="24"/>
        <v>17112245.01252747</v>
      </c>
      <c r="J68" s="37">
        <f t="shared" ca="1" si="24"/>
        <v>1386102278.0593946</v>
      </c>
      <c r="K68" s="37">
        <f ca="1">SUM(K65:K67)</f>
        <v>141928619.17566586</v>
      </c>
      <c r="L68" s="37">
        <f t="shared" ca="1" si="24"/>
        <v>31880328.910868958</v>
      </c>
      <c r="M68" s="37">
        <f t="shared" ca="1" si="24"/>
        <v>706478309.52641892</v>
      </c>
      <c r="N68" s="37">
        <f ca="1">SUM(N65:N67)</f>
        <v>9968151.8678078037</v>
      </c>
      <c r="O68" s="37">
        <f ca="1">SUM(O65:O67)</f>
        <v>49795239.671303645</v>
      </c>
      <c r="P68" s="202"/>
      <c r="Q68" s="117"/>
      <c r="S68" s="305">
        <f t="shared" ca="1" si="2"/>
        <v>0</v>
      </c>
    </row>
    <row r="69" spans="1:19" x14ac:dyDescent="0.2">
      <c r="A69" s="64"/>
      <c r="B69" s="16">
        <f t="shared" si="23"/>
        <v>7</v>
      </c>
      <c r="C69" s="209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117"/>
      <c r="S69" s="305">
        <f t="shared" si="2"/>
        <v>0</v>
      </c>
    </row>
    <row r="70" spans="1:19" x14ac:dyDescent="0.2">
      <c r="A70" s="64"/>
      <c r="B70" s="16">
        <f t="shared" si="23"/>
        <v>8</v>
      </c>
      <c r="C70" s="209" t="s">
        <v>471</v>
      </c>
      <c r="D70" s="202">
        <f ca="1">SUM(E70:P70)</f>
        <v>7081254975.0099993</v>
      </c>
      <c r="E70" s="202"/>
      <c r="F70" s="202">
        <f ca="1">'II-I-Total'!J62</f>
        <v>3674719041.8073831</v>
      </c>
      <c r="G70" s="202">
        <f ca="1">'II-I-Total'!K62</f>
        <v>195286789.89200568</v>
      </c>
      <c r="H70" s="202">
        <f ca="1">'II-I-Total'!L62</f>
        <v>2265900957.1934905</v>
      </c>
      <c r="I70" s="202">
        <f ca="1">'II-I-Total'!M62</f>
        <v>7385852.8863181397</v>
      </c>
      <c r="J70" s="202">
        <f ca="1">'II-I-Total'!N62</f>
        <v>398234338.51628703</v>
      </c>
      <c r="K70" s="202">
        <f ca="1">'II-I-Total'!O62</f>
        <v>31842026.228091147</v>
      </c>
      <c r="L70" s="202">
        <f ca="1">'II-I-Total'!P62</f>
        <v>9301864.6097669266</v>
      </c>
      <c r="M70" s="202">
        <f ca="1">'II-I-Total'!Q62</f>
        <v>482566880.53500265</v>
      </c>
      <c r="N70" s="202">
        <f ca="1">'II-I-Total'!R62</f>
        <v>2272384.9389311075</v>
      </c>
      <c r="O70" s="202">
        <f ca="1">'II-I-Total'!S62</f>
        <v>13744838.402722737</v>
      </c>
      <c r="P70" s="202"/>
      <c r="Q70" s="117" t="b">
        <f ca="1">IF(' WP II-I-1.4'!L62=D70,TRUE,' WP II-I-1.4'!L62-D70)</f>
        <v>1</v>
      </c>
      <c r="S70" s="305">
        <f t="shared" ca="1" si="2"/>
        <v>0</v>
      </c>
    </row>
    <row r="71" spans="1:19" x14ac:dyDescent="0.2">
      <c r="A71" s="64"/>
      <c r="B71" s="16">
        <f t="shared" si="23"/>
        <v>9</v>
      </c>
      <c r="C71" s="209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117"/>
      <c r="S71" s="305">
        <f t="shared" si="2"/>
        <v>0</v>
      </c>
    </row>
    <row r="72" spans="1:19" x14ac:dyDescent="0.2">
      <c r="A72" s="64"/>
      <c r="B72" s="16">
        <f t="shared" si="23"/>
        <v>10</v>
      </c>
      <c r="C72" s="40" t="s">
        <v>832</v>
      </c>
      <c r="D72" s="202">
        <f ca="1">SUM(E72:P72)</f>
        <v>14750631901.850002</v>
      </c>
      <c r="E72" s="202"/>
      <c r="F72" s="202">
        <f ca="1">+F68-F70</f>
        <v>8023109569.779583</v>
      </c>
      <c r="G72" s="202">
        <f t="shared" ref="G72:M72" ca="1" si="25">+G68-G70</f>
        <v>252917381.6178562</v>
      </c>
      <c r="H72" s="202">
        <f t="shared" ca="1" si="25"/>
        <v>5076687964.3456936</v>
      </c>
      <c r="I72" s="202">
        <f t="shared" ca="1" si="25"/>
        <v>9726392.1262093298</v>
      </c>
      <c r="J72" s="202">
        <f t="shared" ca="1" si="25"/>
        <v>987867939.54310751</v>
      </c>
      <c r="K72" s="202">
        <f ca="1">+K68-K70</f>
        <v>110086592.9475747</v>
      </c>
      <c r="L72" s="202">
        <f t="shared" ca="1" si="25"/>
        <v>22578464.301102031</v>
      </c>
      <c r="M72" s="202">
        <f t="shared" ca="1" si="25"/>
        <v>223911428.99141628</v>
      </c>
      <c r="N72" s="202">
        <f ca="1">+N68-N70</f>
        <v>7695766.9288766962</v>
      </c>
      <c r="O72" s="202">
        <f ca="1">+O68-O70</f>
        <v>36050401.268580906</v>
      </c>
      <c r="P72" s="202"/>
      <c r="Q72" s="117"/>
      <c r="S72" s="305">
        <f t="shared" ca="1" si="2"/>
        <v>0</v>
      </c>
    </row>
    <row r="73" spans="1:19" x14ac:dyDescent="0.2">
      <c r="A73" s="64"/>
      <c r="B73" s="16">
        <f t="shared" si="23"/>
        <v>11</v>
      </c>
      <c r="C73" s="209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117"/>
      <c r="S73" s="305">
        <f t="shared" si="2"/>
        <v>0</v>
      </c>
    </row>
    <row r="74" spans="1:19" ht="15" x14ac:dyDescent="0.25">
      <c r="A74" s="64"/>
      <c r="B74" s="16">
        <f t="shared" si="23"/>
        <v>12</v>
      </c>
      <c r="C74" s="34" t="s">
        <v>473</v>
      </c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117"/>
      <c r="S74" s="305">
        <f t="shared" si="2"/>
        <v>0</v>
      </c>
    </row>
    <row r="75" spans="1:19" x14ac:dyDescent="0.2">
      <c r="A75" s="64"/>
      <c r="B75" s="16">
        <f t="shared" si="23"/>
        <v>13</v>
      </c>
      <c r="C75" s="41" t="s">
        <v>111</v>
      </c>
      <c r="D75" s="202">
        <f t="shared" ref="D75:D83" si="26">SUM(E75:P75)</f>
        <v>0</v>
      </c>
      <c r="E75" s="202"/>
      <c r="F75" s="202">
        <f>'II-I-Total'!J68</f>
        <v>0</v>
      </c>
      <c r="G75" s="202">
        <f>'II-I-Total'!K68</f>
        <v>0</v>
      </c>
      <c r="H75" s="202">
        <f>'II-I-Total'!L68</f>
        <v>0</v>
      </c>
      <c r="I75" s="202">
        <f>'II-I-Total'!M68</f>
        <v>0</v>
      </c>
      <c r="J75" s="202">
        <f>'II-I-Total'!N68</f>
        <v>0</v>
      </c>
      <c r="K75" s="202">
        <f>'II-I-Total'!O68</f>
        <v>0</v>
      </c>
      <c r="L75" s="202">
        <f>'II-I-Total'!P68</f>
        <v>0</v>
      </c>
      <c r="M75" s="202">
        <f>'II-I-Total'!Q68</f>
        <v>0</v>
      </c>
      <c r="N75" s="202">
        <f>'II-I-Total'!R68</f>
        <v>0</v>
      </c>
      <c r="O75" s="202">
        <f>'II-I-Total'!S68</f>
        <v>0</v>
      </c>
      <c r="P75" s="202"/>
      <c r="Q75" s="117" t="b">
        <f>IF(' WP II-I-1.4'!L68=D75,TRUE,' WP II-I-1.4'!L68-D75)</f>
        <v>1</v>
      </c>
      <c r="S75" s="305">
        <f t="shared" si="2"/>
        <v>0</v>
      </c>
    </row>
    <row r="76" spans="1:19" x14ac:dyDescent="0.2">
      <c r="A76" s="64"/>
      <c r="B76" s="16">
        <f t="shared" si="23"/>
        <v>14</v>
      </c>
      <c r="C76" s="41" t="s">
        <v>113</v>
      </c>
      <c r="D76" s="202">
        <f t="shared" si="26"/>
        <v>6705448.3699999973</v>
      </c>
      <c r="E76" s="202"/>
      <c r="F76" s="202">
        <f>'II-I-Total'!J69</f>
        <v>3438329.3344530286</v>
      </c>
      <c r="G76" s="202">
        <f>'II-I-Total'!K69</f>
        <v>64959.211858047252</v>
      </c>
      <c r="H76" s="202">
        <f>'II-I-Total'!L69</f>
        <v>2208453.4512115913</v>
      </c>
      <c r="I76" s="202">
        <f>'II-I-Total'!M69</f>
        <v>1033.425300281514</v>
      </c>
      <c r="J76" s="202">
        <f>'II-I-Total'!N69</f>
        <v>649597.79089702026</v>
      </c>
      <c r="K76" s="202">
        <f>'II-I-Total'!O69</f>
        <v>279209.91674134071</v>
      </c>
      <c r="L76" s="202">
        <f>'II-I-Total'!P69</f>
        <v>0</v>
      </c>
      <c r="M76" s="202">
        <f>'II-I-Total'!Q69</f>
        <v>19639.929225548898</v>
      </c>
      <c r="N76" s="202">
        <f>'II-I-Total'!R69</f>
        <v>19300.080275577431</v>
      </c>
      <c r="O76" s="202">
        <f>'II-I-Total'!S69</f>
        <v>24925.230037561556</v>
      </c>
      <c r="P76" s="202"/>
      <c r="Q76" s="117" t="b">
        <f>IF(' WP II-I-1.4'!L69=D76,TRUE,' WP II-I-1.4'!L69-D76)</f>
        <v>1</v>
      </c>
      <c r="S76" s="305">
        <f t="shared" si="2"/>
        <v>0</v>
      </c>
    </row>
    <row r="77" spans="1:19" x14ac:dyDescent="0.2">
      <c r="A77" s="64"/>
      <c r="B77" s="16">
        <f t="shared" si="23"/>
        <v>15</v>
      </c>
      <c r="C77" s="41" t="s">
        <v>474</v>
      </c>
      <c r="D77" s="202">
        <f t="shared" si="26"/>
        <v>0</v>
      </c>
      <c r="E77" s="202"/>
      <c r="F77" s="202">
        <f>'II-I-Total'!J70</f>
        <v>0</v>
      </c>
      <c r="G77" s="202">
        <f>'II-I-Total'!K70</f>
        <v>0</v>
      </c>
      <c r="H77" s="202">
        <f>'II-I-Total'!L70</f>
        <v>0</v>
      </c>
      <c r="I77" s="202">
        <f>'II-I-Total'!M70</f>
        <v>0</v>
      </c>
      <c r="J77" s="202">
        <f>'II-I-Total'!N70</f>
        <v>0</v>
      </c>
      <c r="K77" s="202">
        <f>'II-I-Total'!O70</f>
        <v>0</v>
      </c>
      <c r="L77" s="202">
        <f>'II-I-Total'!P70</f>
        <v>0</v>
      </c>
      <c r="M77" s="202">
        <f>'II-I-Total'!Q70</f>
        <v>0</v>
      </c>
      <c r="N77" s="202">
        <f>'II-I-Total'!R70</f>
        <v>0</v>
      </c>
      <c r="O77" s="202">
        <f>'II-I-Total'!S70</f>
        <v>0</v>
      </c>
      <c r="P77" s="202"/>
      <c r="Q77" s="117" t="b">
        <f>IF(' WP II-I-1.4'!L70=D77,TRUE,' WP II-I-1.4'!L70-D77)</f>
        <v>1</v>
      </c>
      <c r="S77" s="305">
        <f t="shared" si="2"/>
        <v>0</v>
      </c>
    </row>
    <row r="78" spans="1:19" x14ac:dyDescent="0.2">
      <c r="A78" s="64"/>
      <c r="B78" s="16">
        <f t="shared" si="23"/>
        <v>16</v>
      </c>
      <c r="C78" s="41" t="s">
        <v>476</v>
      </c>
      <c r="D78" s="202">
        <f t="shared" ca="1" si="26"/>
        <v>159199865.21999997</v>
      </c>
      <c r="E78" s="202"/>
      <c r="F78" s="202">
        <f ca="1">'II-I-Total'!J71</f>
        <v>85510298.018876776</v>
      </c>
      <c r="G78" s="202">
        <f ca="1">'II-I-Total'!K71</f>
        <v>2832719.6329469914</v>
      </c>
      <c r="H78" s="202">
        <f ca="1">'II-I-Total'!L71</f>
        <v>54015093.428739212</v>
      </c>
      <c r="I78" s="202">
        <f ca="1">'II-I-Total'!M71</f>
        <v>30582.508676557736</v>
      </c>
      <c r="J78" s="202">
        <f ca="1">'II-I-Total'!N71</f>
        <v>9872374.827386681</v>
      </c>
      <c r="K78" s="202">
        <f ca="1">'II-I-Total'!O71</f>
        <v>1064923.1175144289</v>
      </c>
      <c r="L78" s="202">
        <f ca="1">'II-I-Total'!P71</f>
        <v>191765.98778119648</v>
      </c>
      <c r="M78" s="202">
        <f ca="1">'II-I-Total'!Q71</f>
        <v>5232916.7040863195</v>
      </c>
      <c r="N78" s="202">
        <f ca="1">'II-I-Total'!R71</f>
        <v>73768.83759629415</v>
      </c>
      <c r="O78" s="202">
        <f ca="1">'II-I-Total'!S71</f>
        <v>375422.15639549779</v>
      </c>
      <c r="P78" s="202"/>
      <c r="Q78" s="117" t="b">
        <f ca="1">IF(' WP II-I-1.4'!L71=D78,TRUE,' WP II-I-1.4'!L71-D78)</f>
        <v>1</v>
      </c>
      <c r="S78" s="305">
        <f t="shared" ca="1" si="2"/>
        <v>0</v>
      </c>
    </row>
    <row r="79" spans="1:19" x14ac:dyDescent="0.2">
      <c r="A79" s="64"/>
      <c r="B79" s="16">
        <f t="shared" si="23"/>
        <v>17</v>
      </c>
      <c r="C79" s="41" t="s">
        <v>118</v>
      </c>
      <c r="D79" s="202">
        <f t="shared" ca="1" si="26"/>
        <v>-25736513.130000006</v>
      </c>
      <c r="E79" s="202"/>
      <c r="F79" s="202">
        <f ca="1">'II-I-Total'!J72</f>
        <v>-11623097.880498342</v>
      </c>
      <c r="G79" s="202">
        <f ca="1">'II-I-Total'!K72</f>
        <v>-247303.78964120927</v>
      </c>
      <c r="H79" s="202">
        <f ca="1">'II-I-Total'!L72</f>
        <v>-7968317.5862544356</v>
      </c>
      <c r="I79" s="202">
        <f ca="1">'II-I-Total'!M72</f>
        <v>-5616.4464420163977</v>
      </c>
      <c r="J79" s="202">
        <f ca="1">'II-I-Total'!N72</f>
        <v>-2404033.1672913544</v>
      </c>
      <c r="K79" s="202">
        <f ca="1">'II-I-Total'!O72</f>
        <v>-783650.22374186316</v>
      </c>
      <c r="L79" s="202">
        <f ca="1">'II-I-Total'!P72</f>
        <v>-2569600.0277924538</v>
      </c>
      <c r="M79" s="202">
        <f ca="1">'II-I-Total'!Q72</f>
        <v>-120596.54158243763</v>
      </c>
      <c r="N79" s="202">
        <f ca="1">'II-I-Total'!R72</f>
        <v>-2215.5234676712575</v>
      </c>
      <c r="O79" s="202">
        <f ca="1">'II-I-Total'!S72</f>
        <v>-12081.94328822311</v>
      </c>
      <c r="P79" s="202"/>
      <c r="Q79" s="117" t="b">
        <f ca="1">IF(' WP II-I-1.4'!L72=D79,TRUE,' WP II-I-1.4'!L72-D79)</f>
        <v>1</v>
      </c>
      <c r="S79" s="305">
        <f t="shared" ca="1" si="2"/>
        <v>0</v>
      </c>
    </row>
    <row r="80" spans="1:19" x14ac:dyDescent="0.2">
      <c r="A80" s="64"/>
      <c r="B80" s="16">
        <f t="shared" si="23"/>
        <v>18</v>
      </c>
      <c r="C80" s="41" t="s">
        <v>120</v>
      </c>
      <c r="D80" s="202">
        <f t="shared" si="26"/>
        <v>128857396.42378196</v>
      </c>
      <c r="E80" s="202"/>
      <c r="F80" s="202">
        <f>'II-I-Total'!J73</f>
        <v>50522241.446134984</v>
      </c>
      <c r="G80" s="202">
        <f>'II-I-Total'!K73</f>
        <v>1530621.0129088226</v>
      </c>
      <c r="H80" s="202">
        <f>'II-I-Total'!L73</f>
        <v>53794288.636275589</v>
      </c>
      <c r="I80" s="202">
        <f>'II-I-Total'!M73</f>
        <v>1035.746307409705</v>
      </c>
      <c r="J80" s="202">
        <f>'II-I-Total'!N73</f>
        <v>8907478.9452168941</v>
      </c>
      <c r="K80" s="202">
        <f>'II-I-Total'!O73</f>
        <v>1697928.1705190158</v>
      </c>
      <c r="L80" s="202">
        <f>'II-I-Total'!P73</f>
        <v>11710507.252152506</v>
      </c>
      <c r="M80" s="202">
        <f>'II-I-Total'!Q73</f>
        <v>413390.55526816769</v>
      </c>
      <c r="N80" s="202">
        <f>'II-I-Total'!R73</f>
        <v>128412.83226640214</v>
      </c>
      <c r="O80" s="202">
        <f>'II-I-Total'!S73</f>
        <v>151491.82673218477</v>
      </c>
      <c r="P80" s="202"/>
      <c r="Q80" s="117" t="b">
        <f>IF(' WP II-I-1.4'!L73=D80,TRUE,' WP II-I-1.4'!L73-D80)</f>
        <v>1</v>
      </c>
      <c r="S80" s="305">
        <f t="shared" si="2"/>
        <v>0</v>
      </c>
    </row>
    <row r="81" spans="1:19" x14ac:dyDescent="0.2">
      <c r="A81" s="64"/>
      <c r="B81" s="16">
        <f t="shared" si="23"/>
        <v>19</v>
      </c>
      <c r="C81" s="41" t="s">
        <v>477</v>
      </c>
      <c r="D81" s="202">
        <f t="shared" si="26"/>
        <v>-2280492.0799999996</v>
      </c>
      <c r="E81" s="202"/>
      <c r="F81" s="202">
        <f>'II-I-Total'!J74</f>
        <v>-1014811.963394274</v>
      </c>
      <c r="G81" s="202">
        <f>'II-I-Total'!K74</f>
        <v>-19172.504700366735</v>
      </c>
      <c r="H81" s="202">
        <f>'II-I-Total'!L74</f>
        <v>-651818.00952916022</v>
      </c>
      <c r="I81" s="202">
        <f>'II-I-Total'!M74</f>
        <v>-305.01218934771794</v>
      </c>
      <c r="J81" s="202">
        <f>'II-I-Total'!N74</f>
        <v>-191726.72116984896</v>
      </c>
      <c r="K81" s="202">
        <f>'II-I-Total'!O74</f>
        <v>-82407.918569122892</v>
      </c>
      <c r="L81" s="202">
        <f>'II-I-Total'!P74</f>
        <v>-301400.32819689973</v>
      </c>
      <c r="M81" s="202">
        <f>'II-I-Total'!Q74</f>
        <v>-5796.6626229172625</v>
      </c>
      <c r="N81" s="202">
        <f>'II-I-Total'!R74</f>
        <v>-5696.3572866243703</v>
      </c>
      <c r="O81" s="202">
        <f>'II-I-Total'!S74</f>
        <v>-7356.6023414379015</v>
      </c>
      <c r="P81" s="202"/>
      <c r="Q81" s="117" t="b">
        <f>IF(' WP II-I-1.4'!L74=D81,TRUE,' WP II-I-1.4'!L74-D81)</f>
        <v>1</v>
      </c>
      <c r="S81" s="305">
        <f t="shared" si="2"/>
        <v>0</v>
      </c>
    </row>
    <row r="82" spans="1:19" x14ac:dyDescent="0.2">
      <c r="A82" s="64"/>
      <c r="B82" s="16">
        <f t="shared" si="23"/>
        <v>20</v>
      </c>
      <c r="C82" s="41" t="s">
        <v>478</v>
      </c>
      <c r="D82" s="202">
        <f t="shared" ca="1" si="26"/>
        <v>659760047.96999979</v>
      </c>
      <c r="E82" s="202"/>
      <c r="F82" s="202">
        <f ca="1">'II-I-Total'!J75</f>
        <v>353766869.18324357</v>
      </c>
      <c r="G82" s="202">
        <f ca="1">'II-I-Total'!K75</f>
        <v>13293651.563917704</v>
      </c>
      <c r="H82" s="202">
        <f ca="1">'II-I-Total'!L75</f>
        <v>222288582.07848707</v>
      </c>
      <c r="I82" s="202">
        <f ca="1">'II-I-Total'!M75</f>
        <v>470448.24201222969</v>
      </c>
      <c r="J82" s="202">
        <f ca="1">'II-I-Total'!N75</f>
        <v>42036339.379007161</v>
      </c>
      <c r="K82" s="202">
        <f ca="1">'II-I-Total'!O75</f>
        <v>4352338.2987804683</v>
      </c>
      <c r="L82" s="202">
        <f ca="1">'II-I-Total'!P75</f>
        <v>943455.09927005903</v>
      </c>
      <c r="M82" s="202">
        <f ca="1">'II-I-Total'!Q75</f>
        <v>20855542.259729464</v>
      </c>
      <c r="N82" s="202">
        <f ca="1">'II-I-Total'!R75</f>
        <v>291555.47411479696</v>
      </c>
      <c r="O82" s="202">
        <f ca="1">'II-I-Total'!S75</f>
        <v>1461266.3914372451</v>
      </c>
      <c r="P82" s="202"/>
      <c r="Q82" s="117" t="b">
        <f ca="1">IF(' WP II-I-1.4'!L75=D82,TRUE,' WP II-I-1.4'!L75-D82)</f>
        <v>1</v>
      </c>
      <c r="S82" s="305">
        <f t="shared" ca="1" si="2"/>
        <v>0</v>
      </c>
    </row>
    <row r="83" spans="1:19" x14ac:dyDescent="0.2">
      <c r="A83" s="64"/>
      <c r="B83" s="16">
        <f t="shared" si="23"/>
        <v>21</v>
      </c>
      <c r="C83" s="1" t="s">
        <v>479</v>
      </c>
      <c r="D83" s="454">
        <f t="shared" ca="1" si="26"/>
        <v>-1498324764.0699997</v>
      </c>
      <c r="E83" s="454"/>
      <c r="F83" s="454">
        <f ca="1">'II-I-Total'!J76</f>
        <v>-802478002.56947851</v>
      </c>
      <c r="G83" s="454">
        <f ca="1">'II-I-Total'!K76</f>
        <v>-29351817.980594702</v>
      </c>
      <c r="H83" s="454">
        <f ca="1">'II-I-Total'!L76</f>
        <v>-504665553.93468159</v>
      </c>
      <c r="I83" s="454">
        <f ca="1">'II-I-Total'!M76</f>
        <v>-874492.35276788648</v>
      </c>
      <c r="J83" s="454">
        <f ca="1">'II-I-Total'!N76</f>
        <v>-94239022.544730201</v>
      </c>
      <c r="K83" s="454">
        <f ca="1">'II-I-Total'!O76</f>
        <v>-9820655.261077622</v>
      </c>
      <c r="L83" s="454">
        <f ca="1">'II-I-Total'!P76</f>
        <v>-2055719.0409580281</v>
      </c>
      <c r="M83" s="454">
        <f ca="1">'II-I-Total'!Q76</f>
        <v>-50701766.184809431</v>
      </c>
      <c r="N83" s="454">
        <f ca="1">'II-I-Total'!R76</f>
        <v>-686495.43485111033</v>
      </c>
      <c r="O83" s="454">
        <f ca="1">'II-I-Total'!S76</f>
        <v>-3451238.7660504845</v>
      </c>
      <c r="P83" s="202"/>
      <c r="Q83" s="117" t="b">
        <f ca="1">IF(ROUND(' WP II-I-1.4'!L76-D83,2)=0,TRUE,' WP II-I-1.4'!L76-D83)</f>
        <v>1</v>
      </c>
      <c r="S83" s="305">
        <f t="shared" ref="S83:S138" ca="1" si="27">SUM(F83:O83)-D83</f>
        <v>0</v>
      </c>
    </row>
    <row r="84" spans="1:19" x14ac:dyDescent="0.2">
      <c r="A84" s="64"/>
      <c r="B84" s="16">
        <f t="shared" si="23"/>
        <v>22</v>
      </c>
      <c r="C84" s="1"/>
      <c r="D84" s="202"/>
      <c r="E84" s="202"/>
      <c r="F84" s="1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3"/>
      <c r="S84" s="305">
        <f t="shared" si="27"/>
        <v>0</v>
      </c>
    </row>
    <row r="85" spans="1:19" ht="15" x14ac:dyDescent="0.25">
      <c r="A85" s="64"/>
      <c r="B85" s="16">
        <f t="shared" si="23"/>
        <v>23</v>
      </c>
      <c r="C85" s="233" t="s">
        <v>444</v>
      </c>
      <c r="D85" s="37">
        <f ca="1">SUM(E85:P85)</f>
        <v>-571819011.29621792</v>
      </c>
      <c r="E85" s="37"/>
      <c r="F85" s="37">
        <f t="shared" ref="F85:M85" ca="1" si="28">SUM(F74:F83)</f>
        <v>-321878174.43066275</v>
      </c>
      <c r="G85" s="37">
        <f t="shared" ca="1" si="28"/>
        <v>-11896342.853304714</v>
      </c>
      <c r="H85" s="37">
        <f t="shared" ca="1" si="28"/>
        <v>-180979271.93575174</v>
      </c>
      <c r="I85" s="37">
        <f t="shared" ca="1" si="28"/>
        <v>-377313.88910277194</v>
      </c>
      <c r="J85" s="37">
        <f t="shared" ca="1" si="28"/>
        <v>-35368991.490683645</v>
      </c>
      <c r="K85" s="37">
        <f ca="1">SUM(K74:K83)</f>
        <v>-3292313.8998333551</v>
      </c>
      <c r="L85" s="37">
        <f t="shared" ca="1" si="28"/>
        <v>7919008.9422563799</v>
      </c>
      <c r="M85" s="37">
        <f t="shared" ca="1" si="28"/>
        <v>-24306669.940705284</v>
      </c>
      <c r="N85" s="37">
        <f ca="1">SUM(N74:N83)</f>
        <v>-181370.09135233529</v>
      </c>
      <c r="O85" s="37">
        <f ca="1">SUM(O74:O83)</f>
        <v>-1457571.7070776564</v>
      </c>
      <c r="P85" s="202"/>
      <c r="Q85" s="23"/>
      <c r="S85" s="305">
        <f t="shared" ca="1" si="27"/>
        <v>0</v>
      </c>
    </row>
    <row r="86" spans="1:19" x14ac:dyDescent="0.2">
      <c r="A86" s="64"/>
      <c r="B86" s="16">
        <f t="shared" si="23"/>
        <v>24</v>
      </c>
      <c r="C86" s="40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3"/>
      <c r="S86" s="305">
        <f t="shared" si="27"/>
        <v>0</v>
      </c>
    </row>
    <row r="87" spans="1:19" ht="15" x14ac:dyDescent="0.25">
      <c r="A87" s="64"/>
      <c r="B87" s="16">
        <f t="shared" si="23"/>
        <v>25</v>
      </c>
      <c r="C87" s="46" t="s">
        <v>481</v>
      </c>
      <c r="D87" s="37">
        <f ca="1">SUM(E87:P87)</f>
        <v>14178812890.55378</v>
      </c>
      <c r="E87" s="37"/>
      <c r="F87" s="37">
        <f ca="1">+F72+F85</f>
        <v>7701231395.3489199</v>
      </c>
      <c r="G87" s="37">
        <f t="shared" ref="G87:M87" ca="1" si="29">+G72+G85</f>
        <v>241021038.76455149</v>
      </c>
      <c r="H87" s="37">
        <f t="shared" ca="1" si="29"/>
        <v>4895708692.4099417</v>
      </c>
      <c r="I87" s="37">
        <f t="shared" ca="1" si="29"/>
        <v>9349078.2371065579</v>
      </c>
      <c r="J87" s="37">
        <f t="shared" ca="1" si="29"/>
        <v>952498948.05242383</v>
      </c>
      <c r="K87" s="37">
        <f ca="1">+K72+K85</f>
        <v>106794279.04774135</v>
      </c>
      <c r="L87" s="37">
        <f t="shared" ca="1" si="29"/>
        <v>30497473.243358411</v>
      </c>
      <c r="M87" s="37">
        <f t="shared" ca="1" si="29"/>
        <v>199604759.05071098</v>
      </c>
      <c r="N87" s="37">
        <f ca="1">+N72+N85</f>
        <v>7514396.837524361</v>
      </c>
      <c r="O87" s="37">
        <f ca="1">+O72+O85</f>
        <v>34592829.561503246</v>
      </c>
      <c r="P87" s="202"/>
      <c r="Q87" s="23" t="b">
        <f ca="1">D48=D87</f>
        <v>1</v>
      </c>
      <c r="S87" s="305">
        <f t="shared" ca="1" si="27"/>
        <v>0</v>
      </c>
    </row>
    <row r="88" spans="1:19" ht="15" x14ac:dyDescent="0.25">
      <c r="A88" s="64"/>
      <c r="B88" s="16">
        <f t="shared" si="23"/>
        <v>26</v>
      </c>
      <c r="C88" s="46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3"/>
      <c r="S88" s="305">
        <f t="shared" si="27"/>
        <v>0</v>
      </c>
    </row>
    <row r="89" spans="1:19" x14ac:dyDescent="0.2">
      <c r="A89" s="64"/>
      <c r="B89" s="16">
        <f t="shared" si="23"/>
        <v>27</v>
      </c>
      <c r="C89" s="40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3"/>
      <c r="S89" s="305">
        <f t="shared" si="27"/>
        <v>0</v>
      </c>
    </row>
    <row r="90" spans="1:19" ht="15" x14ac:dyDescent="0.25">
      <c r="A90" s="64"/>
      <c r="B90" s="16">
        <f t="shared" si="23"/>
        <v>28</v>
      </c>
      <c r="C90" s="455" t="s">
        <v>833</v>
      </c>
      <c r="D90" s="456"/>
      <c r="E90" s="456"/>
      <c r="F90" s="456"/>
      <c r="G90" s="456"/>
      <c r="H90" s="456"/>
      <c r="I90" s="456"/>
      <c r="J90" s="456"/>
      <c r="K90" s="456"/>
      <c r="L90" s="456"/>
      <c r="M90" s="456"/>
      <c r="N90" s="456"/>
      <c r="O90" s="457"/>
      <c r="P90" s="1"/>
      <c r="Q90" s="23"/>
      <c r="S90" s="305">
        <f t="shared" si="27"/>
        <v>0</v>
      </c>
    </row>
    <row r="91" spans="1:19" x14ac:dyDescent="0.2">
      <c r="A91" s="64"/>
      <c r="B91" s="16">
        <f t="shared" si="23"/>
        <v>29</v>
      </c>
      <c r="C91" s="458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398"/>
      <c r="P91" s="202"/>
      <c r="Q91" s="23"/>
      <c r="S91" s="305">
        <f t="shared" si="27"/>
        <v>0</v>
      </c>
    </row>
    <row r="92" spans="1:19" x14ac:dyDescent="0.2">
      <c r="A92" s="64"/>
      <c r="B92" s="16">
        <f t="shared" si="23"/>
        <v>30</v>
      </c>
      <c r="C92" s="458" t="s">
        <v>825</v>
      </c>
      <c r="D92" s="300">
        <f>' WP II-I-1.4'!L620</f>
        <v>7.4700000000000003E-2</v>
      </c>
      <c r="E92" s="300"/>
      <c r="F92" s="300">
        <f t="shared" ref="F92:O92" si="30">$D$92</f>
        <v>7.4700000000000003E-2</v>
      </c>
      <c r="G92" s="300">
        <f t="shared" si="30"/>
        <v>7.4700000000000003E-2</v>
      </c>
      <c r="H92" s="300">
        <f t="shared" si="30"/>
        <v>7.4700000000000003E-2</v>
      </c>
      <c r="I92" s="300">
        <f t="shared" si="30"/>
        <v>7.4700000000000003E-2</v>
      </c>
      <c r="J92" s="300">
        <f t="shared" si="30"/>
        <v>7.4700000000000003E-2</v>
      </c>
      <c r="K92" s="300">
        <f t="shared" si="30"/>
        <v>7.4700000000000003E-2</v>
      </c>
      <c r="L92" s="300">
        <f t="shared" si="30"/>
        <v>7.4700000000000003E-2</v>
      </c>
      <c r="M92" s="300">
        <f t="shared" si="30"/>
        <v>7.4700000000000003E-2</v>
      </c>
      <c r="N92" s="300">
        <f t="shared" si="30"/>
        <v>7.4700000000000003E-2</v>
      </c>
      <c r="O92" s="459">
        <f t="shared" si="30"/>
        <v>7.4700000000000003E-2</v>
      </c>
      <c r="P92" s="300"/>
      <c r="Q92" s="23"/>
      <c r="S92" s="305">
        <f t="shared" si="27"/>
        <v>0.67230000000000001</v>
      </c>
    </row>
    <row r="93" spans="1:19" x14ac:dyDescent="0.2">
      <c r="A93" s="64"/>
      <c r="B93" s="16">
        <f t="shared" si="23"/>
        <v>31</v>
      </c>
      <c r="C93" s="61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398"/>
      <c r="P93" s="202"/>
      <c r="Q93" s="23"/>
      <c r="S93" s="305">
        <f t="shared" si="27"/>
        <v>0</v>
      </c>
    </row>
    <row r="94" spans="1:19" x14ac:dyDescent="0.2">
      <c r="A94" s="64"/>
      <c r="B94" s="16">
        <f t="shared" si="23"/>
        <v>32</v>
      </c>
      <c r="C94" s="460" t="s">
        <v>834</v>
      </c>
      <c r="D94" s="454">
        <f ca="1">SUM(E94:P94)</f>
        <v>1059157322.9243675</v>
      </c>
      <c r="E94" s="454"/>
      <c r="F94" s="454">
        <f t="shared" ref="F94:M94" ca="1" si="31">F87*F92</f>
        <v>575281985.23256433</v>
      </c>
      <c r="G94" s="454">
        <f t="shared" ca="1" si="31"/>
        <v>18004271.595711999</v>
      </c>
      <c r="H94" s="454">
        <f t="shared" ca="1" si="31"/>
        <v>365709439.32302266</v>
      </c>
      <c r="I94" s="454">
        <f t="shared" ca="1" si="31"/>
        <v>698376.14431185985</v>
      </c>
      <c r="J94" s="454">
        <f t="shared" ca="1" si="31"/>
        <v>71151671.419516057</v>
      </c>
      <c r="K94" s="454">
        <f ca="1">K87*K92</f>
        <v>7977532.6448662793</v>
      </c>
      <c r="L94" s="454">
        <f t="shared" ca="1" si="31"/>
        <v>2278161.2512788735</v>
      </c>
      <c r="M94" s="454">
        <f t="shared" ca="1" si="31"/>
        <v>14910475.501088111</v>
      </c>
      <c r="N94" s="454">
        <f ca="1">N87*N92</f>
        <v>561325.44376306981</v>
      </c>
      <c r="O94" s="397">
        <f ca="1">O87*O92</f>
        <v>2584084.3682442927</v>
      </c>
      <c r="P94" s="202"/>
      <c r="Q94" s="117" t="b">
        <f ca="1">IF(ROUND('II-I-Total'!U622-D94,2)=0,TRUE,'II-I-Total'!U622-D94)</f>
        <v>1</v>
      </c>
      <c r="S94" s="305">
        <f t="shared" ca="1" si="27"/>
        <v>0</v>
      </c>
    </row>
    <row r="95" spans="1:19" x14ac:dyDescent="0.2">
      <c r="A95" s="64"/>
      <c r="B95" s="16">
        <f t="shared" si="23"/>
        <v>33</v>
      </c>
      <c r="C95" s="1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117"/>
      <c r="S95" s="305">
        <f t="shared" si="27"/>
        <v>0</v>
      </c>
    </row>
    <row r="96" spans="1:19" x14ac:dyDescent="0.2">
      <c r="A96" s="64"/>
      <c r="B96" s="16">
        <f t="shared" si="23"/>
        <v>34</v>
      </c>
      <c r="C96" s="1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117"/>
      <c r="S96" s="305">
        <f t="shared" si="27"/>
        <v>0</v>
      </c>
    </row>
    <row r="97" spans="1:19" ht="15" x14ac:dyDescent="0.25">
      <c r="A97" s="64"/>
      <c r="B97" s="16">
        <f t="shared" si="23"/>
        <v>35</v>
      </c>
      <c r="C97" s="461" t="s">
        <v>835</v>
      </c>
      <c r="D97" s="456"/>
      <c r="E97" s="456"/>
      <c r="F97" s="456"/>
      <c r="G97" s="456"/>
      <c r="H97" s="456"/>
      <c r="I97" s="456"/>
      <c r="J97" s="456"/>
      <c r="K97" s="456"/>
      <c r="L97" s="456"/>
      <c r="M97" s="456"/>
      <c r="N97" s="456"/>
      <c r="O97" s="457"/>
      <c r="P97" s="1"/>
      <c r="Q97" s="117"/>
      <c r="S97" s="305">
        <f t="shared" si="27"/>
        <v>0</v>
      </c>
    </row>
    <row r="98" spans="1:19" x14ac:dyDescent="0.2">
      <c r="A98" s="64"/>
      <c r="B98" s="16">
        <f t="shared" si="23"/>
        <v>36</v>
      </c>
      <c r="C98" s="61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398"/>
      <c r="P98" s="202"/>
      <c r="Q98" s="117"/>
      <c r="S98" s="305">
        <f t="shared" si="27"/>
        <v>0</v>
      </c>
    </row>
    <row r="99" spans="1:19" x14ac:dyDescent="0.2">
      <c r="A99" s="64"/>
      <c r="B99" s="16">
        <f t="shared" si="23"/>
        <v>37</v>
      </c>
      <c r="C99" s="61" t="s">
        <v>828</v>
      </c>
      <c r="D99" s="300">
        <f t="shared" ref="D99:M99" ca="1" si="32">D101/D87</f>
        <v>7.4700000000000016E-2</v>
      </c>
      <c r="E99" s="300"/>
      <c r="F99" s="300">
        <f t="shared" ca="1" si="32"/>
        <v>7.4700000000000003E-2</v>
      </c>
      <c r="G99" s="300">
        <f t="shared" ca="1" si="32"/>
        <v>7.4700000000000016E-2</v>
      </c>
      <c r="H99" s="300">
        <f t="shared" ca="1" si="32"/>
        <v>7.4700000000000003E-2</v>
      </c>
      <c r="I99" s="300">
        <f t="shared" ca="1" si="32"/>
        <v>7.4700000000000003E-2</v>
      </c>
      <c r="J99" s="300">
        <f t="shared" ca="1" si="32"/>
        <v>7.4700000000000003E-2</v>
      </c>
      <c r="K99" s="300">
        <f ca="1">K101/K87</f>
        <v>7.4700000000000003E-2</v>
      </c>
      <c r="L99" s="300">
        <f t="shared" ca="1" si="32"/>
        <v>7.4700000000000003E-2</v>
      </c>
      <c r="M99" s="300">
        <f t="shared" ca="1" si="32"/>
        <v>7.4700000000000003E-2</v>
      </c>
      <c r="N99" s="300">
        <f ca="1">N101/N87</f>
        <v>7.4700000000000003E-2</v>
      </c>
      <c r="O99" s="459">
        <f ca="1">O101/O87</f>
        <v>7.4700000000000003E-2</v>
      </c>
      <c r="P99" s="300"/>
      <c r="Q99" s="117"/>
      <c r="S99" s="305">
        <f t="shared" ca="1" si="27"/>
        <v>0.67230000000000001</v>
      </c>
    </row>
    <row r="100" spans="1:19" x14ac:dyDescent="0.2">
      <c r="A100" s="64"/>
      <c r="B100" s="16">
        <f t="shared" si="23"/>
        <v>38</v>
      </c>
      <c r="C100" s="61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398"/>
      <c r="P100" s="202"/>
      <c r="Q100" s="117"/>
      <c r="S100" s="305">
        <f t="shared" si="27"/>
        <v>0</v>
      </c>
    </row>
    <row r="101" spans="1:19" x14ac:dyDescent="0.2">
      <c r="A101" s="64"/>
      <c r="B101" s="16">
        <f t="shared" si="23"/>
        <v>39</v>
      </c>
      <c r="C101" s="61" t="s">
        <v>827</v>
      </c>
      <c r="D101" s="202">
        <f ca="1">SUM(E101:P101)</f>
        <v>1059157322.9243675</v>
      </c>
      <c r="E101" s="202"/>
      <c r="F101" s="202">
        <f ca="1">F94</f>
        <v>575281985.23256433</v>
      </c>
      <c r="G101" s="202">
        <f t="shared" ref="G101:O101" ca="1" si="33">G94</f>
        <v>18004271.595711999</v>
      </c>
      <c r="H101" s="202">
        <f t="shared" ca="1" si="33"/>
        <v>365709439.32302266</v>
      </c>
      <c r="I101" s="202">
        <f t="shared" ca="1" si="33"/>
        <v>698376.14431185985</v>
      </c>
      <c r="J101" s="202">
        <f t="shared" ca="1" si="33"/>
        <v>71151671.419516057</v>
      </c>
      <c r="K101" s="202">
        <f t="shared" ca="1" si="33"/>
        <v>7977532.6448662793</v>
      </c>
      <c r="L101" s="202">
        <f t="shared" ca="1" si="33"/>
        <v>2278161.2512788735</v>
      </c>
      <c r="M101" s="202">
        <f t="shared" ca="1" si="33"/>
        <v>14910475.501088111</v>
      </c>
      <c r="N101" s="202">
        <f t="shared" ca="1" si="33"/>
        <v>561325.44376306981</v>
      </c>
      <c r="O101" s="202">
        <f t="shared" ca="1" si="33"/>
        <v>2584084.3682442927</v>
      </c>
      <c r="P101" s="202"/>
      <c r="Q101" s="117" t="b">
        <f ca="1">IF(ROUND(' WP II-I-1.4'!L622-D101,2)=0,TRUE,' WP II-I-1.4'!L622-D101)</f>
        <v>1</v>
      </c>
      <c r="S101" s="305">
        <f t="shared" ca="1" si="27"/>
        <v>0</v>
      </c>
    </row>
    <row r="102" spans="1:19" ht="17.25" customHeight="1" x14ac:dyDescent="0.2">
      <c r="A102" s="64"/>
      <c r="B102" s="16">
        <f t="shared" si="23"/>
        <v>40</v>
      </c>
      <c r="C102" s="61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398"/>
      <c r="P102" s="202"/>
      <c r="Q102" s="117"/>
      <c r="S102" s="305">
        <f t="shared" si="27"/>
        <v>0</v>
      </c>
    </row>
    <row r="103" spans="1:19" ht="17.25" customHeight="1" x14ac:dyDescent="0.2">
      <c r="A103" s="64"/>
      <c r="B103" s="16">
        <f t="shared" si="23"/>
        <v>41</v>
      </c>
      <c r="C103" s="460"/>
      <c r="D103" s="454"/>
      <c r="E103" s="454"/>
      <c r="F103" s="454"/>
      <c r="G103" s="454"/>
      <c r="H103" s="454"/>
      <c r="I103" s="454"/>
      <c r="J103" s="454"/>
      <c r="K103" s="454"/>
      <c r="L103" s="454"/>
      <c r="M103" s="454"/>
      <c r="N103" s="454"/>
      <c r="O103" s="397"/>
      <c r="P103" s="202"/>
      <c r="Q103" s="117"/>
      <c r="S103" s="305">
        <f t="shared" si="27"/>
        <v>0</v>
      </c>
    </row>
    <row r="104" spans="1:19" ht="17.25" customHeight="1" x14ac:dyDescent="0.2">
      <c r="A104" s="64"/>
      <c r="B104" s="16"/>
      <c r="C104" s="462"/>
      <c r="D104" s="462"/>
      <c r="E104" s="462"/>
      <c r="F104" s="1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S104" s="305">
        <f t="shared" si="27"/>
        <v>0</v>
      </c>
    </row>
    <row r="105" spans="1:19" ht="17.25" customHeight="1" x14ac:dyDescent="0.25">
      <c r="A105" s="64"/>
      <c r="B105" s="16">
        <v>1</v>
      </c>
      <c r="C105" s="54" t="s">
        <v>836</v>
      </c>
      <c r="D105" s="803"/>
      <c r="E105" s="1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8"/>
      <c r="Q105" s="45"/>
      <c r="S105" s="305">
        <f t="shared" si="27"/>
        <v>0</v>
      </c>
    </row>
    <row r="106" spans="1:19" ht="17.25" customHeight="1" x14ac:dyDescent="0.2">
      <c r="A106" s="64"/>
      <c r="B106" s="16">
        <f t="shared" ref="B106:B138" si="34">B105+1</f>
        <v>2</v>
      </c>
      <c r="C106" s="45"/>
      <c r="D106" s="18"/>
      <c r="E106" s="18"/>
      <c r="F106" s="16"/>
      <c r="G106" s="28"/>
      <c r="H106" s="28"/>
      <c r="I106" s="28"/>
      <c r="J106" s="28"/>
      <c r="K106" s="28"/>
      <c r="L106" s="16"/>
      <c r="M106" s="16"/>
      <c r="N106" s="16"/>
      <c r="O106" s="16"/>
      <c r="P106" s="18"/>
      <c r="Q106" s="45"/>
      <c r="S106" s="305">
        <f t="shared" si="27"/>
        <v>0</v>
      </c>
    </row>
    <row r="107" spans="1:19" ht="17.25" customHeight="1" x14ac:dyDescent="0.2">
      <c r="A107" s="64"/>
      <c r="B107" s="16">
        <f t="shared" si="34"/>
        <v>3</v>
      </c>
      <c r="C107" s="11"/>
      <c r="D107" s="463"/>
      <c r="E107" s="463"/>
      <c r="F107" s="463"/>
      <c r="G107" s="463"/>
      <c r="H107" s="463"/>
      <c r="I107" s="463"/>
      <c r="J107" s="463"/>
      <c r="K107" s="463"/>
      <c r="L107" s="463"/>
      <c r="M107" s="463"/>
      <c r="N107" s="463"/>
      <c r="O107" s="463"/>
      <c r="P107" s="463"/>
      <c r="Q107" s="117" t="b">
        <f>IF('WP II-I-2.2'!P72=D107,TRUE,'WP II-I-2.2'!P72-D107)</f>
        <v>1</v>
      </c>
      <c r="S107" s="305">
        <f t="shared" si="27"/>
        <v>0</v>
      </c>
    </row>
    <row r="108" spans="1:19" ht="17.25" customHeight="1" x14ac:dyDescent="0.2">
      <c r="A108" s="64"/>
      <c r="B108" s="16">
        <f t="shared" si="34"/>
        <v>4</v>
      </c>
      <c r="C108" s="11" t="s">
        <v>837</v>
      </c>
      <c r="D108" s="463">
        <f t="shared" ref="D108:D112" si="35">SUM(E108:P108)</f>
        <v>2038653735.9600005</v>
      </c>
      <c r="E108" s="463"/>
      <c r="F108" s="463">
        <f>'WP II-I-2.2'!E73</f>
        <v>935348038.89999998</v>
      </c>
      <c r="G108" s="463">
        <f>'WP II-I-2.2'!F73</f>
        <v>26144528.199999996</v>
      </c>
      <c r="H108" s="463">
        <f>'WP II-I-2.2'!G73</f>
        <v>679964262.62</v>
      </c>
      <c r="I108" s="463">
        <f>'WP II-I-2.2'!H73</f>
        <v>270413.38</v>
      </c>
      <c r="J108" s="463">
        <f>'WP II-I-2.2'!I73</f>
        <v>170949218.88000003</v>
      </c>
      <c r="K108" s="463">
        <f>'WP II-I-2.2'!J73</f>
        <v>55988900.620000005</v>
      </c>
      <c r="L108" s="463">
        <f>'WP II-I-2.2'!K73</f>
        <v>169988373.36000001</v>
      </c>
      <c r="M108" s="463">
        <f>'WP II-I-2.2'!L73</f>
        <v>0</v>
      </c>
      <c r="N108" s="463">
        <f>'WP II-I-2.2'!M73</f>
        <v>0</v>
      </c>
      <c r="O108" s="463">
        <f>'WP II-I-2.2'!N73</f>
        <v>0</v>
      </c>
      <c r="P108" s="463"/>
      <c r="Q108" s="117" t="b">
        <f>IF('WP II-I-2.2'!P73=D108,TRUE,'WP II-I-2.2'!P73-D108)</f>
        <v>1</v>
      </c>
      <c r="S108" s="305">
        <f t="shared" si="27"/>
        <v>0</v>
      </c>
    </row>
    <row r="109" spans="1:19" ht="17.25" customHeight="1" x14ac:dyDescent="0.2">
      <c r="A109" s="64"/>
      <c r="B109" s="16">
        <f t="shared" si="34"/>
        <v>5</v>
      </c>
      <c r="C109" s="11" t="s">
        <v>838</v>
      </c>
      <c r="D109" s="463">
        <f t="shared" si="35"/>
        <v>2862291092.7337899</v>
      </c>
      <c r="E109" s="463"/>
      <c r="F109" s="463">
        <f>'WP II-I-2.2'!E74</f>
        <v>1469820478.4055362</v>
      </c>
      <c r="G109" s="463">
        <f>'WP II-I-2.2'!F74</f>
        <v>43906004.792601191</v>
      </c>
      <c r="H109" s="463">
        <f>'WP II-I-2.2'!G74</f>
        <v>1001001734.741401</v>
      </c>
      <c r="I109" s="463">
        <f>'WP II-I-2.2'!H74</f>
        <v>393713.6568453022</v>
      </c>
      <c r="J109" s="463">
        <f>'WP II-I-2.2'!I74</f>
        <v>212561622.44085443</v>
      </c>
      <c r="K109" s="463">
        <f>'WP II-I-2.2'!J74</f>
        <v>21807567.197420686</v>
      </c>
      <c r="L109" s="463">
        <f>'WP II-I-2.2'!K74</f>
        <v>39033644.050812833</v>
      </c>
      <c r="M109" s="463">
        <f>'WP II-I-2.2'!L74</f>
        <v>63445358.063779071</v>
      </c>
      <c r="N109" s="463">
        <f>'WP II-I-2.2'!M74</f>
        <v>1687877.6128</v>
      </c>
      <c r="O109" s="463">
        <f>'WP II-I-2.2'!N74</f>
        <v>8633091.7717400007</v>
      </c>
      <c r="P109" s="463"/>
      <c r="Q109" s="117" t="b">
        <f>IF('WP II-I-2.2'!P74=D109,TRUE,'WP II-I-2.2'!P74-D109)</f>
        <v>1</v>
      </c>
      <c r="S109" s="305">
        <f t="shared" si="27"/>
        <v>0</v>
      </c>
    </row>
    <row r="110" spans="1:19" x14ac:dyDescent="0.2">
      <c r="A110" s="64"/>
      <c r="B110" s="16">
        <f t="shared" si="34"/>
        <v>6</v>
      </c>
      <c r="C110" s="11" t="s">
        <v>839</v>
      </c>
      <c r="D110" s="463">
        <f t="shared" si="35"/>
        <v>102617922.02</v>
      </c>
      <c r="E110" s="463"/>
      <c r="F110" s="463">
        <f>'WP II-I-2.2'!E75</f>
        <v>59409825</v>
      </c>
      <c r="G110" s="463">
        <f>'WP II-I-2.2'!F75</f>
        <v>7788159</v>
      </c>
      <c r="H110" s="463">
        <f>'WP II-I-2.2'!G75</f>
        <v>31338385</v>
      </c>
      <c r="I110" s="463">
        <f>'WP II-I-2.2'!H75</f>
        <v>354756</v>
      </c>
      <c r="J110" s="463">
        <f>'WP II-I-2.2'!I75</f>
        <v>1282609</v>
      </c>
      <c r="K110" s="463">
        <f>'WP II-I-2.2'!J75</f>
        <v>373694</v>
      </c>
      <c r="L110" s="463">
        <f>'WP II-I-2.2'!K75</f>
        <v>869937</v>
      </c>
      <c r="M110" s="463">
        <f>'WP II-I-2.2'!L75</f>
        <v>1093612.02</v>
      </c>
      <c r="N110" s="463">
        <f>'WP II-I-2.2'!M75</f>
        <v>34424</v>
      </c>
      <c r="O110" s="463">
        <f>'WP II-I-2.2'!N75</f>
        <v>72521</v>
      </c>
      <c r="P110" s="463"/>
      <c r="Q110" s="117" t="b">
        <f>IF('WP II-I-2.2'!P75=D110,TRUE,'WP II-I-2.2'!P75-D110)</f>
        <v>1</v>
      </c>
      <c r="S110" s="305">
        <f t="shared" si="27"/>
        <v>0</v>
      </c>
    </row>
    <row r="111" spans="1:19" x14ac:dyDescent="0.2">
      <c r="A111" s="64"/>
      <c r="B111" s="16">
        <f t="shared" si="34"/>
        <v>7</v>
      </c>
      <c r="C111" s="11" t="s">
        <v>840</v>
      </c>
      <c r="D111" s="464">
        <f t="shared" si="35"/>
        <v>199154917</v>
      </c>
      <c r="E111" s="464"/>
      <c r="F111" s="464">
        <f>'WP II-I-2.2'!E76</f>
        <v>116326930</v>
      </c>
      <c r="G111" s="464">
        <f>'WP II-I-2.2'!F76</f>
        <v>15886465</v>
      </c>
      <c r="H111" s="464">
        <f>'WP II-I-2.2'!G76</f>
        <v>59973728</v>
      </c>
      <c r="I111" s="464">
        <f>'WP II-I-2.2'!H76</f>
        <v>737352</v>
      </c>
      <c r="J111" s="464">
        <f>'WP II-I-2.2'!I76</f>
        <v>3924465</v>
      </c>
      <c r="K111" s="464">
        <f>'WP II-I-2.2'!J76</f>
        <v>653949</v>
      </c>
      <c r="L111" s="464">
        <f>'WP II-I-2.2'!K76</f>
        <v>1379366</v>
      </c>
      <c r="M111" s="464">
        <f>'WP II-I-2.2'!L76</f>
        <v>42965</v>
      </c>
      <c r="N111" s="464">
        <f>'WP II-I-2.2'!M76</f>
        <v>73909</v>
      </c>
      <c r="O111" s="464">
        <f>'WP II-I-2.2'!N76</f>
        <v>155788</v>
      </c>
      <c r="P111" s="464"/>
      <c r="Q111" s="117" t="b">
        <f>IF('WP II-I-2.2'!P76=D111,TRUE,'WP II-I-2.2'!P76-D111)</f>
        <v>1</v>
      </c>
      <c r="S111" s="305">
        <f t="shared" si="27"/>
        <v>0</v>
      </c>
    </row>
    <row r="112" spans="1:19" ht="15" x14ac:dyDescent="0.25">
      <c r="A112" s="64"/>
      <c r="B112" s="16">
        <f t="shared" si="34"/>
        <v>8</v>
      </c>
      <c r="C112" s="47" t="s">
        <v>841</v>
      </c>
      <c r="D112" s="465">
        <f t="shared" si="35"/>
        <v>5202717667.7137909</v>
      </c>
      <c r="E112" s="465"/>
      <c r="F112" s="465">
        <f t="shared" ref="F112:M112" si="36">SUM(F107:F111)</f>
        <v>2580905272.3055363</v>
      </c>
      <c r="G112" s="465">
        <f t="shared" si="36"/>
        <v>93725156.992601186</v>
      </c>
      <c r="H112" s="465">
        <f t="shared" si="36"/>
        <v>1772278110.3614011</v>
      </c>
      <c r="I112" s="465">
        <f t="shared" si="36"/>
        <v>1756235.0368453022</v>
      </c>
      <c r="J112" s="465">
        <f t="shared" si="36"/>
        <v>388717915.32085443</v>
      </c>
      <c r="K112" s="465">
        <f>SUM(K107:K111)</f>
        <v>78824110.817420691</v>
      </c>
      <c r="L112" s="465">
        <f t="shared" si="36"/>
        <v>211271320.41081285</v>
      </c>
      <c r="M112" s="465">
        <f t="shared" si="36"/>
        <v>64581935.083779074</v>
      </c>
      <c r="N112" s="465">
        <f>SUM(N107:N111)</f>
        <v>1796210.6128</v>
      </c>
      <c r="O112" s="465">
        <f>SUM(O107:O111)</f>
        <v>8861400.7717400007</v>
      </c>
      <c r="P112" s="465"/>
      <c r="Q112" s="117"/>
      <c r="S112" s="305">
        <f t="shared" si="27"/>
        <v>0</v>
      </c>
    </row>
    <row r="113" spans="1:19" x14ac:dyDescent="0.2">
      <c r="A113" s="64"/>
      <c r="B113" s="16">
        <f t="shared" si="34"/>
        <v>9</v>
      </c>
      <c r="C113" s="11"/>
      <c r="D113" s="463"/>
      <c r="E113" s="463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117"/>
      <c r="S113" s="305">
        <f t="shared" si="27"/>
        <v>0</v>
      </c>
    </row>
    <row r="114" spans="1:19" x14ac:dyDescent="0.2">
      <c r="A114" s="64"/>
      <c r="B114" s="16">
        <f t="shared" si="34"/>
        <v>10</v>
      </c>
      <c r="C114" s="11" t="s">
        <v>842</v>
      </c>
      <c r="D114" s="463">
        <f t="shared" ref="D114:D122" si="37">SUM(E114:P114)</f>
        <v>25731623.292645201</v>
      </c>
      <c r="E114" s="463"/>
      <c r="F114" s="463">
        <f>'WP II-I-2.2'!E81</f>
        <v>12876768.167138001</v>
      </c>
      <c r="G114" s="463">
        <f>'WP II-I-2.2'!F81</f>
        <v>9325290.9408780001</v>
      </c>
      <c r="H114" s="463">
        <f>'WP II-I-2.2'!G81</f>
        <v>3064094.7444270002</v>
      </c>
      <c r="I114" s="463">
        <f>'WP II-I-2.2'!H81</f>
        <v>22566.624601</v>
      </c>
      <c r="J114" s="463">
        <f>'WP II-I-2.2'!I81</f>
        <v>172633.39161699999</v>
      </c>
      <c r="K114" s="463">
        <f>'WP II-I-2.2'!J81</f>
        <v>4631.6903400000001</v>
      </c>
      <c r="L114" s="463">
        <f>'WP II-I-2.2'!K81</f>
        <v>3715.6449172000002</v>
      </c>
      <c r="M114" s="463">
        <f>'WP II-I-2.2'!L81</f>
        <v>261922.08872700002</v>
      </c>
      <c r="N114" s="463">
        <f>'WP II-I-2.2'!M81</f>
        <v>0</v>
      </c>
      <c r="O114" s="463">
        <f>'WP II-I-2.2'!N81</f>
        <v>0</v>
      </c>
      <c r="P114" s="463"/>
      <c r="Q114" s="117" t="b">
        <f>IF('WP II-I-2.2'!P85=D114,TRUE,'WP II-I-2.2'!P85-D114)</f>
        <v>1</v>
      </c>
      <c r="S114" s="305">
        <f t="shared" si="27"/>
        <v>0</v>
      </c>
    </row>
    <row r="115" spans="1:19" x14ac:dyDescent="0.2">
      <c r="A115" s="64"/>
      <c r="B115" s="16">
        <f t="shared" si="34"/>
        <v>11</v>
      </c>
      <c r="C115" s="11" t="s">
        <v>843</v>
      </c>
      <c r="D115" s="464">
        <f t="shared" si="37"/>
        <v>18078304.759999994</v>
      </c>
      <c r="E115" s="464"/>
      <c r="F115" s="464">
        <f>'WP II-I-2.2'!E86</f>
        <v>9433888.9896194078</v>
      </c>
      <c r="G115" s="464">
        <f>'WP II-I-2.2'!F86</f>
        <v>387436.02284719649</v>
      </c>
      <c r="H115" s="464">
        <f>'WP II-I-2.2'!G86</f>
        <v>6262175.1296309214</v>
      </c>
      <c r="I115" s="464">
        <f>'WP II-I-2.2'!H86</f>
        <v>8518.1337266781975</v>
      </c>
      <c r="J115" s="464">
        <f>'WP II-I-2.2'!I86</f>
        <v>1248455.9430275701</v>
      </c>
      <c r="K115" s="464">
        <f>'WP II-I-2.2'!J86</f>
        <v>130913.00240664549</v>
      </c>
      <c r="L115" s="464">
        <f>'WP II-I-2.2'!K86</f>
        <v>236672.86177321602</v>
      </c>
      <c r="M115" s="464">
        <f>'WP II-I-2.2'!L86</f>
        <v>370244.67696835875</v>
      </c>
      <c r="N115" s="464">
        <f>'WP II-I-2.2'!M86</f>
        <v>0</v>
      </c>
      <c r="O115" s="464">
        <f>'WP II-I-2.2'!N86</f>
        <v>0</v>
      </c>
      <c r="P115" s="464"/>
      <c r="Q115" s="117" t="b">
        <f>IF('WP II-I-2.2'!P86=D115,TRUE,'WP II-I-2.2'!P86-D115)</f>
        <v>1</v>
      </c>
      <c r="S115" s="305">
        <f t="shared" si="27"/>
        <v>0</v>
      </c>
    </row>
    <row r="116" spans="1:19" ht="15" x14ac:dyDescent="0.25">
      <c r="A116" s="64"/>
      <c r="B116" s="16">
        <f t="shared" si="34"/>
        <v>12</v>
      </c>
      <c r="C116" s="47" t="s">
        <v>844</v>
      </c>
      <c r="D116" s="465">
        <f t="shared" si="37"/>
        <v>5246527595.7664366</v>
      </c>
      <c r="E116" s="465"/>
      <c r="F116" s="465">
        <f t="shared" ref="F116:M116" si="38">SUM(F112:F115)</f>
        <v>2603215929.4622936</v>
      </c>
      <c r="G116" s="465">
        <f t="shared" si="38"/>
        <v>103437883.95632638</v>
      </c>
      <c r="H116" s="465">
        <f t="shared" si="38"/>
        <v>1781604380.2354589</v>
      </c>
      <c r="I116" s="465">
        <f t="shared" si="38"/>
        <v>1787319.7951729803</v>
      </c>
      <c r="J116" s="465">
        <f t="shared" si="38"/>
        <v>390139004.65549898</v>
      </c>
      <c r="K116" s="465">
        <f>SUM(K112:K115)</f>
        <v>78959655.510167331</v>
      </c>
      <c r="L116" s="465">
        <f t="shared" si="38"/>
        <v>211511708.91750327</v>
      </c>
      <c r="M116" s="465">
        <f t="shared" si="38"/>
        <v>65214101.84947443</v>
      </c>
      <c r="N116" s="465">
        <f>SUM(N112:N115)</f>
        <v>1796210.6128</v>
      </c>
      <c r="O116" s="465">
        <f>SUM(O112:O115)</f>
        <v>8861400.7717400007</v>
      </c>
      <c r="P116" s="465"/>
      <c r="Q116" s="117">
        <f>IF('WP II-I-2.2'!S87=D116,TRUE,'WP II-I-2.2'!S87-D116)</f>
        <v>-10.292644500732422</v>
      </c>
      <c r="S116" s="305">
        <f t="shared" si="27"/>
        <v>0</v>
      </c>
    </row>
    <row r="117" spans="1:19" ht="23.25" customHeight="1" x14ac:dyDescent="0.2">
      <c r="A117" s="64"/>
      <c r="B117" s="16">
        <f t="shared" si="34"/>
        <v>13</v>
      </c>
      <c r="C117" s="647" t="s">
        <v>1202</v>
      </c>
      <c r="D117" s="466">
        <f t="shared" si="37"/>
        <v>0</v>
      </c>
      <c r="E117" s="18"/>
      <c r="F117" s="466">
        <f>'II-I Summary'!F19</f>
        <v>0</v>
      </c>
      <c r="G117" s="466">
        <f>'II-I Summary'!G19</f>
        <v>0</v>
      </c>
      <c r="H117" s="466">
        <f>'II-I Summary'!H19</f>
        <v>0</v>
      </c>
      <c r="I117" s="466">
        <f>'II-I Summary'!I19</f>
        <v>0</v>
      </c>
      <c r="J117" s="466">
        <f>'II-I Summary'!J19</f>
        <v>0</v>
      </c>
      <c r="K117" s="466">
        <f>'II-I Summary'!K19</f>
        <v>0</v>
      </c>
      <c r="L117" s="466">
        <f>'II-I Summary'!L19</f>
        <v>0</v>
      </c>
      <c r="M117" s="466">
        <f>'II-I Summary'!M19</f>
        <v>0</v>
      </c>
      <c r="N117" s="466">
        <f>'II-I Summary'!N19</f>
        <v>0</v>
      </c>
      <c r="O117" s="466">
        <f>'II-I Summary'!O19</f>
        <v>0</v>
      </c>
      <c r="P117" s="18"/>
      <c r="Q117" s="117"/>
      <c r="S117" s="305">
        <f t="shared" si="27"/>
        <v>0</v>
      </c>
    </row>
    <row r="118" spans="1:19" x14ac:dyDescent="0.2">
      <c r="A118" s="64"/>
      <c r="B118" s="16">
        <f t="shared" si="34"/>
        <v>14</v>
      </c>
      <c r="C118" s="650" t="s">
        <v>1201</v>
      </c>
      <c r="D118" s="466">
        <f t="shared" ca="1" si="37"/>
        <v>1406152448.6799996</v>
      </c>
      <c r="E118" s="466"/>
      <c r="F118" s="466">
        <f ca="1">'II-I Summary'!F17</f>
        <v>744286121.13469744</v>
      </c>
      <c r="G118" s="466">
        <f ca="1">'II-I Summary'!G17</f>
        <v>30102245.505342979</v>
      </c>
      <c r="H118" s="466">
        <f ca="1">'II-I Summary'!H17</f>
        <v>465631614.81480992</v>
      </c>
      <c r="I118" s="466">
        <f ca="1">'II-I Summary'!I17</f>
        <v>2378963.1707392586</v>
      </c>
      <c r="J118" s="466">
        <f ca="1">'II-I Summary'!J17</f>
        <v>106842407.93131196</v>
      </c>
      <c r="K118" s="466">
        <f ca="1">'II-I Summary'!K17</f>
        <v>10077512.995542288</v>
      </c>
      <c r="L118" s="466">
        <f ca="1">'II-I Summary'!L17</f>
        <v>2353063.3630184233</v>
      </c>
      <c r="M118" s="466">
        <f ca="1">'II-I Summary'!M17</f>
        <v>40221350.290137865</v>
      </c>
      <c r="N118" s="466">
        <f ca="1">'II-I Summary'!N17</f>
        <v>703543.76281279465</v>
      </c>
      <c r="O118" s="466">
        <f ca="1">'II-I Summary'!O17</f>
        <v>3555625.7115866421</v>
      </c>
      <c r="P118" s="466"/>
      <c r="Q118" s="117" t="b">
        <f ca="1">IF('II-I-Total'!U787=D118,TRUE,'II-I-Total'!U787-D118)</f>
        <v>1</v>
      </c>
      <c r="S118" s="305">
        <f t="shared" ca="1" si="27"/>
        <v>0</v>
      </c>
    </row>
    <row r="119" spans="1:19" x14ac:dyDescent="0.2">
      <c r="A119" s="64"/>
      <c r="B119" s="16">
        <f t="shared" si="34"/>
        <v>15</v>
      </c>
      <c r="C119" s="26" t="s">
        <v>845</v>
      </c>
      <c r="D119" s="466">
        <f t="shared" si="37"/>
        <v>2100841472.6599998</v>
      </c>
      <c r="E119" s="466"/>
      <c r="F119" s="466">
        <f>'II-I Summary'!F18</f>
        <v>921404987.56823277</v>
      </c>
      <c r="G119" s="466">
        <f>'II-I Summary'!G18</f>
        <v>18574877.225939702</v>
      </c>
      <c r="H119" s="466">
        <f>'II-I Summary'!H18</f>
        <v>641459520.33425462</v>
      </c>
      <c r="I119" s="466">
        <f>'II-I Summary'!I18</f>
        <v>202929.38868169783</v>
      </c>
      <c r="J119" s="466">
        <f>'II-I Summary'!J18</f>
        <v>199449419.61540604</v>
      </c>
      <c r="K119" s="466">
        <f>'II-I Summary'!K18</f>
        <v>72408095.541425809</v>
      </c>
      <c r="L119" s="466">
        <f>'II-I Summary'!L18</f>
        <v>247341642.9860594</v>
      </c>
      <c r="M119" s="466">
        <f>'II-I Summary'!M18</f>
        <v>0</v>
      </c>
      <c r="N119" s="466">
        <f>'II-I Summary'!N18</f>
        <v>0</v>
      </c>
      <c r="O119" s="466">
        <f>'II-I Summary'!O18</f>
        <v>0</v>
      </c>
      <c r="P119" s="466"/>
      <c r="Q119" s="117" t="b">
        <f>IF('II-I-Total'!U645=D119,TRUE,'II-I-Total'!U645-D119)</f>
        <v>1</v>
      </c>
      <c r="S119" s="305">
        <f t="shared" si="27"/>
        <v>0</v>
      </c>
    </row>
    <row r="120" spans="1:19" x14ac:dyDescent="0.2">
      <c r="A120" s="64"/>
      <c r="B120" s="16">
        <f t="shared" si="34"/>
        <v>16</v>
      </c>
      <c r="C120" s="1" t="s">
        <v>846</v>
      </c>
      <c r="D120" s="466">
        <f t="shared" ca="1" si="37"/>
        <v>762136905.15999997</v>
      </c>
      <c r="E120" s="466"/>
      <c r="F120" s="466">
        <f ca="1">'II-I Summary'!F21</f>
        <v>401613302.49240291</v>
      </c>
      <c r="G120" s="466">
        <f ca="1">'II-I Summary'!G21</f>
        <v>18899507.391811844</v>
      </c>
      <c r="H120" s="466">
        <f ca="1">'II-I Summary'!H21</f>
        <v>249378316.79489201</v>
      </c>
      <c r="I120" s="466">
        <f ca="1">'II-I Summary'!I21</f>
        <v>1187788.2823090376</v>
      </c>
      <c r="J120" s="466">
        <f ca="1">'II-I Summary'!J21</f>
        <v>49419746.386770152</v>
      </c>
      <c r="K120" s="466">
        <f ca="1">'II-I Summary'!K21</f>
        <v>4133939.8125006435</v>
      </c>
      <c r="L120" s="466">
        <f ca="1">'II-I Summary'!L21</f>
        <v>1259119.7806453251</v>
      </c>
      <c r="M120" s="466">
        <f ca="1">'II-I Summary'!M21</f>
        <v>34303678.031727694</v>
      </c>
      <c r="N120" s="466">
        <f ca="1">'II-I Summary'!N21</f>
        <v>297471.7574427214</v>
      </c>
      <c r="O120" s="466">
        <f ca="1">'II-I Summary'!O21</f>
        <v>1644034.4294976783</v>
      </c>
      <c r="P120" s="466"/>
      <c r="Q120" s="117" t="b">
        <f ca="1">IF('II-I-Total'!U1070=D120,TRUE,'II-I-Total'!U1070-D120)</f>
        <v>1</v>
      </c>
      <c r="S120" s="305">
        <f t="shared" ca="1" si="27"/>
        <v>0</v>
      </c>
    </row>
    <row r="121" spans="1:19" x14ac:dyDescent="0.2">
      <c r="A121" s="64"/>
      <c r="B121" s="16">
        <f t="shared" si="34"/>
        <v>17</v>
      </c>
      <c r="C121" s="1" t="s">
        <v>847</v>
      </c>
      <c r="D121" s="467">
        <f t="shared" ca="1" si="37"/>
        <v>494986759.41999984</v>
      </c>
      <c r="E121" s="467"/>
      <c r="F121" s="467">
        <f ca="1">'II-I Summary'!F22</f>
        <v>222233924.70047188</v>
      </c>
      <c r="G121" s="467">
        <f ca="1">'II-I Summary'!G22</f>
        <v>7470560.263339892</v>
      </c>
      <c r="H121" s="467">
        <f ca="1">'II-I Summary'!H22</f>
        <v>191033863.42283911</v>
      </c>
      <c r="I121" s="467">
        <f ca="1">'II-I Summary'!I22</f>
        <v>174043.73206691365</v>
      </c>
      <c r="J121" s="467">
        <f ca="1">'II-I Summary'!J22</f>
        <v>33593410.134052433</v>
      </c>
      <c r="K121" s="467">
        <f ca="1">'II-I Summary'!K22</f>
        <v>5306944.0024591312</v>
      </c>
      <c r="L121" s="467">
        <f ca="1">'II-I Summary'!L22</f>
        <v>27571463.792722713</v>
      </c>
      <c r="M121" s="467">
        <f ca="1">'II-I Summary'!M22</f>
        <v>6397694.4369190978</v>
      </c>
      <c r="N121" s="467">
        <f ca="1">'II-I Summary'!N22</f>
        <v>394111.51413296396</v>
      </c>
      <c r="O121" s="467">
        <f ca="1">'II-I Summary'!O22</f>
        <v>810743.42099572916</v>
      </c>
      <c r="P121" s="467"/>
      <c r="Q121" s="117" t="b">
        <f ca="1">IF('II-I-Total'!U1103=D121,TRUE,'II-I-Total'!U1103-D121)</f>
        <v>1</v>
      </c>
      <c r="S121" s="305">
        <f t="shared" ca="1" si="27"/>
        <v>0</v>
      </c>
    </row>
    <row r="122" spans="1:19" ht="15" x14ac:dyDescent="0.25">
      <c r="A122" s="64"/>
      <c r="B122" s="16">
        <f t="shared" si="34"/>
        <v>18</v>
      </c>
      <c r="C122" s="8" t="s">
        <v>848</v>
      </c>
      <c r="D122" s="443">
        <f t="shared" ca="1" si="37"/>
        <v>4764117585.9200001</v>
      </c>
      <c r="E122" s="443"/>
      <c r="F122" s="443">
        <f ca="1">SUM(F117:F121)</f>
        <v>2289538335.8958049</v>
      </c>
      <c r="G122" s="443">
        <f t="shared" ref="G122:O122" ca="1" si="39">SUM(G117:G121)</f>
        <v>75047190.386434421</v>
      </c>
      <c r="H122" s="443">
        <f t="shared" ca="1" si="39"/>
        <v>1547503315.3667958</v>
      </c>
      <c r="I122" s="443">
        <f t="shared" ca="1" si="39"/>
        <v>3943724.5737969074</v>
      </c>
      <c r="J122" s="443">
        <f t="shared" ca="1" si="39"/>
        <v>389304984.06754059</v>
      </c>
      <c r="K122" s="443">
        <f t="shared" ca="1" si="39"/>
        <v>91926492.351927876</v>
      </c>
      <c r="L122" s="443">
        <f t="shared" ca="1" si="39"/>
        <v>278525289.92244583</v>
      </c>
      <c r="M122" s="443">
        <f t="shared" ca="1" si="39"/>
        <v>80922722.758784652</v>
      </c>
      <c r="N122" s="443">
        <f t="shared" ca="1" si="39"/>
        <v>1395127.03438848</v>
      </c>
      <c r="O122" s="443">
        <f t="shared" ca="1" si="39"/>
        <v>6010403.5620800499</v>
      </c>
      <c r="P122" s="443"/>
      <c r="Q122" s="117"/>
      <c r="S122" s="305">
        <f ca="1">SUM(F122:O122)-D122</f>
        <v>0</v>
      </c>
    </row>
    <row r="123" spans="1:19" ht="15" x14ac:dyDescent="0.25">
      <c r="A123" s="64"/>
      <c r="B123" s="16">
        <f t="shared" si="34"/>
        <v>19</v>
      </c>
      <c r="C123" s="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117"/>
      <c r="S123" s="305">
        <f t="shared" si="27"/>
        <v>0</v>
      </c>
    </row>
    <row r="124" spans="1:19" ht="15" x14ac:dyDescent="0.25">
      <c r="A124" s="64"/>
      <c r="B124" s="16">
        <f t="shared" si="34"/>
        <v>20</v>
      </c>
      <c r="C124" s="8" t="s">
        <v>849</v>
      </c>
      <c r="D124" s="443">
        <f ca="1">SUM(E124:P124)</f>
        <v>482410009.84643644</v>
      </c>
      <c r="E124" s="443"/>
      <c r="F124" s="443">
        <f t="shared" ref="F124:M124" ca="1" si="40">F116-F122</f>
        <v>313677593.56648874</v>
      </c>
      <c r="G124" s="443">
        <f t="shared" ca="1" si="40"/>
        <v>28390693.569891959</v>
      </c>
      <c r="H124" s="443">
        <f t="shared" ca="1" si="40"/>
        <v>234101064.86866307</v>
      </c>
      <c r="I124" s="443">
        <f t="shared" ca="1" si="40"/>
        <v>-2156404.7786239274</v>
      </c>
      <c r="J124" s="443">
        <f t="shared" ca="1" si="40"/>
        <v>834020.58795839548</v>
      </c>
      <c r="K124" s="443">
        <f ca="1">K116-K122</f>
        <v>-12966836.841760546</v>
      </c>
      <c r="L124" s="443">
        <f t="shared" ca="1" si="40"/>
        <v>-67013581.004942566</v>
      </c>
      <c r="M124" s="443">
        <f t="shared" ca="1" si="40"/>
        <v>-15708620.909310222</v>
      </c>
      <c r="N124" s="443">
        <f ca="1">N116-N122</f>
        <v>401083.57841151999</v>
      </c>
      <c r="O124" s="443">
        <f ca="1">O116-O122</f>
        <v>2850997.2096599508</v>
      </c>
      <c r="P124" s="443"/>
      <c r="Q124" s="117"/>
      <c r="S124" s="305">
        <f t="shared" ca="1" si="27"/>
        <v>0</v>
      </c>
    </row>
    <row r="125" spans="1:19" x14ac:dyDescent="0.2">
      <c r="A125" s="64"/>
      <c r="B125" s="16">
        <f t="shared" si="34"/>
        <v>21</v>
      </c>
      <c r="C125" s="11" t="s">
        <v>850</v>
      </c>
      <c r="D125" s="466">
        <f ca="1">SUM(E125:P125)</f>
        <v>411822559.05000007</v>
      </c>
      <c r="E125" s="466"/>
      <c r="F125" s="469">
        <f ca="1">'II-I-Total'!J1130</f>
        <v>223670154.2608014</v>
      </c>
      <c r="G125" s="469">
        <f ca="1">'II-I-Total'!K1130</f>
        <v>7076543.2823164407</v>
      </c>
      <c r="H125" s="469">
        <f ca="1">'II-I-Total'!L1130</f>
        <v>142131309.63717899</v>
      </c>
      <c r="I125" s="469">
        <f ca="1">'II-I-Total'!M1130</f>
        <v>287016.03130874457</v>
      </c>
      <c r="J125" s="469">
        <f ca="1">'II-I-Total'!N1130</f>
        <v>27703088.859320126</v>
      </c>
      <c r="K125" s="469">
        <f ca="1">'II-I-Total'!O1130</f>
        <v>3096061.5710534519</v>
      </c>
      <c r="L125" s="469">
        <f ca="1">'II-I-Total'!P1130</f>
        <v>891497.0459443538</v>
      </c>
      <c r="M125" s="469">
        <f ca="1">'II-I-Total'!Q1130</f>
        <v>5746146.0106227808</v>
      </c>
      <c r="N125" s="469">
        <f ca="1">'II-I-Total'!R1130</f>
        <v>218020.69843388739</v>
      </c>
      <c r="O125" s="469">
        <f ca="1">'II-I-Total'!S1130</f>
        <v>1002721.6530199001</v>
      </c>
      <c r="P125" s="469"/>
      <c r="Q125" s="117" t="b">
        <f ca="1">IF('II-I-Total'!F1130=D125,TRUE,'II-I-Total'!F1130-D125)</f>
        <v>1</v>
      </c>
      <c r="S125" s="305">
        <f t="shared" ca="1" si="27"/>
        <v>0</v>
      </c>
    </row>
    <row r="126" spans="1:19" x14ac:dyDescent="0.2">
      <c r="A126" s="64"/>
      <c r="B126" s="16">
        <f t="shared" si="34"/>
        <v>22</v>
      </c>
      <c r="C126" s="11" t="s">
        <v>851</v>
      </c>
      <c r="D126" s="470">
        <f ca="1">SUM(E126:P126)</f>
        <v>-6247126.3200000022</v>
      </c>
      <c r="E126" s="470"/>
      <c r="F126" s="471">
        <f ca="1">'II-I-Total'!J1140</f>
        <v>-3248028.585895115</v>
      </c>
      <c r="G126" s="471">
        <f ca="1">'II-I-Total'!K1140</f>
        <v>-220697.6149399096</v>
      </c>
      <c r="H126" s="471">
        <f ca="1">'II-I-Total'!L1140</f>
        <v>-1962650.6182047161</v>
      </c>
      <c r="I126" s="471">
        <f ca="1">'II-I-Total'!M1140</f>
        <v>-33111.531420077372</v>
      </c>
      <c r="J126" s="471">
        <f ca="1">'II-I-Total'!N1140</f>
        <v>-619581.96504907112</v>
      </c>
      <c r="K126" s="471">
        <f ca="1">'II-I-Total'!O1140</f>
        <v>-62349.813930253033</v>
      </c>
      <c r="L126" s="471">
        <f ca="1">'II-I-Total'!P1140</f>
        <v>-17534.40493490138</v>
      </c>
      <c r="M126" s="471">
        <f ca="1">'II-I-Total'!Q1140</f>
        <v>-62815.685402905474</v>
      </c>
      <c r="N126" s="471">
        <f ca="1">'II-I-Total'!R1140</f>
        <v>-4423.306547565875</v>
      </c>
      <c r="O126" s="471">
        <f ca="1">'II-I-Total'!S1140</f>
        <v>-15932.793675486751</v>
      </c>
      <c r="P126" s="471"/>
      <c r="Q126" s="117" t="b">
        <f ca="1">IF('II-I-Total'!F1140=D126,TRUE,'II-I-Total'!F1140-D126)</f>
        <v>1</v>
      </c>
      <c r="S126" s="305">
        <f t="shared" ca="1" si="27"/>
        <v>0</v>
      </c>
    </row>
    <row r="127" spans="1:19" ht="15" x14ac:dyDescent="0.25">
      <c r="A127" s="64"/>
      <c r="B127" s="16">
        <f t="shared" si="34"/>
        <v>23</v>
      </c>
      <c r="C127" s="47" t="s">
        <v>402</v>
      </c>
      <c r="D127" s="472">
        <f ca="1">SUM(E127:P127)</f>
        <v>64340324.476436295</v>
      </c>
      <c r="E127" s="472"/>
      <c r="F127" s="472">
        <f t="shared" ref="F127:M127" ca="1" si="41">F124-F125+F126</f>
        <v>86759410.719792217</v>
      </c>
      <c r="G127" s="472">
        <f t="shared" ca="1" si="41"/>
        <v>21093452.672635611</v>
      </c>
      <c r="H127" s="472">
        <f t="shared" ca="1" si="41"/>
        <v>90007104.613279372</v>
      </c>
      <c r="I127" s="472">
        <f t="shared" ca="1" si="41"/>
        <v>-2476532.3413527492</v>
      </c>
      <c r="J127" s="472">
        <f t="shared" ca="1" si="41"/>
        <v>-27488650.2364108</v>
      </c>
      <c r="K127" s="472">
        <f ca="1">K124-K125+K126</f>
        <v>-16125248.226744251</v>
      </c>
      <c r="L127" s="472">
        <f t="shared" ca="1" si="41"/>
        <v>-67922612.455821812</v>
      </c>
      <c r="M127" s="472">
        <f t="shared" ca="1" si="41"/>
        <v>-21517582.605335906</v>
      </c>
      <c r="N127" s="472">
        <f ca="1">N124-N125+N126</f>
        <v>178639.57343006672</v>
      </c>
      <c r="O127" s="472">
        <f ca="1">O124-O125+O126</f>
        <v>1832342.7629645641</v>
      </c>
      <c r="P127" s="472"/>
      <c r="Q127" s="117"/>
      <c r="S127" s="305">
        <f t="shared" ca="1" si="27"/>
        <v>0</v>
      </c>
    </row>
    <row r="128" spans="1:19" x14ac:dyDescent="0.2">
      <c r="A128" s="64"/>
      <c r="B128" s="16">
        <f t="shared" si="34"/>
        <v>24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7"/>
      <c r="S128" s="305">
        <f t="shared" si="27"/>
        <v>0</v>
      </c>
    </row>
    <row r="129" spans="1:19" x14ac:dyDescent="0.2">
      <c r="A129" s="64"/>
      <c r="B129" s="16">
        <f t="shared" si="34"/>
        <v>25</v>
      </c>
      <c r="C129" s="11" t="s">
        <v>399</v>
      </c>
      <c r="D129" s="473">
        <f>0.21</f>
        <v>0.21</v>
      </c>
      <c r="E129" s="473"/>
      <c r="F129" s="473">
        <f t="shared" ref="F129:O129" si="42">0.21</f>
        <v>0.21</v>
      </c>
      <c r="G129" s="473">
        <f t="shared" si="42"/>
        <v>0.21</v>
      </c>
      <c r="H129" s="473">
        <f t="shared" si="42"/>
        <v>0.21</v>
      </c>
      <c r="I129" s="473">
        <f t="shared" si="42"/>
        <v>0.21</v>
      </c>
      <c r="J129" s="473">
        <f t="shared" si="42"/>
        <v>0.21</v>
      </c>
      <c r="K129" s="473">
        <f t="shared" si="42"/>
        <v>0.21</v>
      </c>
      <c r="L129" s="473">
        <f t="shared" si="42"/>
        <v>0.21</v>
      </c>
      <c r="M129" s="473">
        <f t="shared" si="42"/>
        <v>0.21</v>
      </c>
      <c r="N129" s="473">
        <f t="shared" si="42"/>
        <v>0.21</v>
      </c>
      <c r="O129" s="473">
        <f t="shared" si="42"/>
        <v>0.21</v>
      </c>
      <c r="P129" s="473"/>
      <c r="Q129" s="117"/>
      <c r="S129" s="305">
        <f t="shared" si="27"/>
        <v>1.8900000000000001</v>
      </c>
    </row>
    <row r="130" spans="1:19" x14ac:dyDescent="0.2">
      <c r="A130" s="64"/>
      <c r="B130" s="16">
        <f t="shared" si="34"/>
        <v>26</v>
      </c>
      <c r="C130" s="11" t="s">
        <v>666</v>
      </c>
      <c r="D130" s="474">
        <f ca="1">SUM(E130:P130)</f>
        <v>13511468.140051624</v>
      </c>
      <c r="E130" s="474"/>
      <c r="F130" s="98">
        <f t="shared" ref="F130:M130" ca="1" si="43">F127*F129</f>
        <v>18219476.251156364</v>
      </c>
      <c r="G130" s="98">
        <f t="shared" ca="1" si="43"/>
        <v>4429625.0612534778</v>
      </c>
      <c r="H130" s="98">
        <f t="shared" ca="1" si="43"/>
        <v>18901491.968788669</v>
      </c>
      <c r="I130" s="98">
        <f t="shared" ca="1" si="43"/>
        <v>-520071.7916840773</v>
      </c>
      <c r="J130" s="98">
        <f t="shared" ca="1" si="43"/>
        <v>-5772616.5496462677</v>
      </c>
      <c r="K130" s="98">
        <f ca="1">K127*K129</f>
        <v>-3386302.1276162928</v>
      </c>
      <c r="L130" s="98">
        <f t="shared" ca="1" si="43"/>
        <v>-14263748.61572258</v>
      </c>
      <c r="M130" s="98">
        <f t="shared" ca="1" si="43"/>
        <v>-4518692.3471205402</v>
      </c>
      <c r="N130" s="98">
        <f ca="1">N127*N129</f>
        <v>37514.31042031401</v>
      </c>
      <c r="O130" s="98">
        <f ca="1">O127*O129</f>
        <v>384791.98022255843</v>
      </c>
      <c r="P130" s="98"/>
      <c r="Q130" s="117"/>
      <c r="S130" s="305">
        <f t="shared" ca="1" si="27"/>
        <v>0</v>
      </c>
    </row>
    <row r="131" spans="1:19" x14ac:dyDescent="0.2">
      <c r="A131" s="64"/>
      <c r="B131" s="16">
        <f t="shared" si="34"/>
        <v>27</v>
      </c>
      <c r="C131" s="11" t="s">
        <v>852</v>
      </c>
      <c r="D131" s="475">
        <f ca="1">SUM(E131:P131)</f>
        <v>26158848.419999998</v>
      </c>
      <c r="E131" s="475"/>
      <c r="F131" s="469">
        <f ca="1">'II-I-Total'!J1153</f>
        <v>14196660.303827805</v>
      </c>
      <c r="G131" s="469">
        <f ca="1">'II-I-Total'!K1153</f>
        <v>520771.02735453064</v>
      </c>
      <c r="H131" s="469">
        <f ca="1">'II-I-Total'!L1153</f>
        <v>8968033.2017770093</v>
      </c>
      <c r="I131" s="469">
        <f ca="1">'II-I-Total'!M1153</f>
        <v>32721.10316314283</v>
      </c>
      <c r="J131" s="469">
        <f ca="1">'II-I-Total'!N1153</f>
        <v>1795117.4716351116</v>
      </c>
      <c r="K131" s="469">
        <f ca="1">'II-I-Total'!O1153</f>
        <v>191257.18094030049</v>
      </c>
      <c r="L131" s="469">
        <f ca="1">'II-I-Total'!P1153</f>
        <v>61965.773675525495</v>
      </c>
      <c r="M131" s="469">
        <f ca="1">'II-I-Total'!Q1153</f>
        <v>316896.56423177471</v>
      </c>
      <c r="N131" s="469">
        <f ca="1">'II-I-Total'!R1153</f>
        <v>13629.10445126941</v>
      </c>
      <c r="O131" s="469">
        <f ca="1">'II-I-Total'!S1153</f>
        <v>61796.688943530848</v>
      </c>
      <c r="P131" s="469"/>
      <c r="Q131" s="117" t="b">
        <f ca="1">IF('II-I-Total'!F1153=D131,TRUE,'II-I-Total'!F1153-D131)</f>
        <v>1</v>
      </c>
      <c r="S131" s="305">
        <f t="shared" ca="1" si="27"/>
        <v>0</v>
      </c>
    </row>
    <row r="132" spans="1:19" x14ac:dyDescent="0.2">
      <c r="A132" s="64"/>
      <c r="B132" s="16">
        <f t="shared" si="34"/>
        <v>28</v>
      </c>
      <c r="C132" s="11" t="s">
        <v>853</v>
      </c>
      <c r="D132" s="470">
        <f ca="1">SUM(E132:P132)</f>
        <v>482164.92000000004</v>
      </c>
      <c r="E132" s="470"/>
      <c r="F132" s="471">
        <f ca="1">'II-I-Total'!J1160</f>
        <v>261850.2290134253</v>
      </c>
      <c r="G132" s="471">
        <f ca="1">'II-I-Total'!K1160</f>
        <v>8192.7378096375214</v>
      </c>
      <c r="H132" s="471">
        <f ca="1">'II-I-Total'!L1160</f>
        <v>166457.04493605744</v>
      </c>
      <c r="I132" s="471">
        <f ca="1">'II-I-Total'!M1160</f>
        <v>317.33621645022902</v>
      </c>
      <c r="J132" s="471">
        <f ca="1">'II-I-Total'!N1160</f>
        <v>32383.72039340101</v>
      </c>
      <c r="K132" s="471">
        <f ca="1">'II-I-Total'!O1160</f>
        <v>3631.2547087768257</v>
      </c>
      <c r="L132" s="471">
        <f ca="1">'II-I-Total'!P1160</f>
        <v>1037.0162067847627</v>
      </c>
      <c r="M132" s="471">
        <f ca="1">'II-I-Total'!Q1160</f>
        <v>6863.9102332218226</v>
      </c>
      <c r="N132" s="471">
        <f ca="1">'II-I-Total'!R1160</f>
        <v>255.48482034963052</v>
      </c>
      <c r="O132" s="471">
        <f ca="1">'II-I-Total'!S1160</f>
        <v>1176.1856618955228</v>
      </c>
      <c r="P132" s="471"/>
      <c r="Q132" s="117" t="b">
        <f ca="1">IF(ROUND('II-I-Total'!F1160-D132,2)=0,TRUE,'II-I-Total'!F1160-D132)</f>
        <v>1</v>
      </c>
      <c r="S132" s="305">
        <f t="shared" ca="1" si="27"/>
        <v>0</v>
      </c>
    </row>
    <row r="133" spans="1:19" ht="15" x14ac:dyDescent="0.25">
      <c r="A133" s="64"/>
      <c r="B133" s="16">
        <f t="shared" si="34"/>
        <v>29</v>
      </c>
      <c r="C133" s="47" t="s">
        <v>854</v>
      </c>
      <c r="D133" s="476">
        <f ca="1">SUM(E133:P133)</f>
        <v>-12165215.359948378</v>
      </c>
      <c r="E133" s="476"/>
      <c r="F133" s="477">
        <f t="shared" ref="F133:M133" ca="1" si="44">F130-F131+F132</f>
        <v>4284666.1763419835</v>
      </c>
      <c r="G133" s="477">
        <f t="shared" ca="1" si="44"/>
        <v>3917046.7717085849</v>
      </c>
      <c r="H133" s="477">
        <f t="shared" ca="1" si="44"/>
        <v>10099915.811947716</v>
      </c>
      <c r="I133" s="477">
        <f t="shared" ca="1" si="44"/>
        <v>-552475.55863076996</v>
      </c>
      <c r="J133" s="477">
        <f t="shared" ca="1" si="44"/>
        <v>-7535350.3008879786</v>
      </c>
      <c r="K133" s="477">
        <f ca="1">K130-K131+K132</f>
        <v>-3573928.0538478168</v>
      </c>
      <c r="L133" s="477">
        <f t="shared" ca="1" si="44"/>
        <v>-14324677.373191321</v>
      </c>
      <c r="M133" s="477">
        <f t="shared" ca="1" si="44"/>
        <v>-4828725.001119093</v>
      </c>
      <c r="N133" s="477">
        <f ca="1">N130-N131+N132</f>
        <v>24140.69078939423</v>
      </c>
      <c r="O133" s="477">
        <f ca="1">O130-O131+O132</f>
        <v>324171.47694092314</v>
      </c>
      <c r="P133" s="477"/>
      <c r="Q133" s="117"/>
      <c r="S133" s="305">
        <f t="shared" ca="1" si="27"/>
        <v>0</v>
      </c>
    </row>
    <row r="134" spans="1:19" x14ac:dyDescent="0.2">
      <c r="A134" s="64"/>
      <c r="B134" s="16">
        <f t="shared" si="34"/>
        <v>30</v>
      </c>
      <c r="C134" s="1"/>
      <c r="D134" s="466"/>
      <c r="E134" s="466"/>
      <c r="F134" s="466"/>
      <c r="G134" s="466"/>
      <c r="H134" s="466"/>
      <c r="I134" s="466"/>
      <c r="J134" s="466"/>
      <c r="K134" s="466"/>
      <c r="L134" s="466"/>
      <c r="M134" s="466"/>
      <c r="N134" s="466"/>
      <c r="O134" s="466"/>
      <c r="P134" s="466"/>
      <c r="Q134" s="117"/>
      <c r="S134" s="305">
        <f t="shared" si="27"/>
        <v>0</v>
      </c>
    </row>
    <row r="135" spans="1:19" ht="15" x14ac:dyDescent="0.25">
      <c r="A135" s="64"/>
      <c r="B135" s="16">
        <f t="shared" si="34"/>
        <v>31</v>
      </c>
      <c r="C135" s="47" t="s">
        <v>855</v>
      </c>
      <c r="D135" s="478">
        <f ca="1">SUM(E135:P135)</f>
        <v>494575225.20638472</v>
      </c>
      <c r="E135" s="478"/>
      <c r="F135" s="478">
        <f t="shared" ref="F135:M135" ca="1" si="45">F124-F133</f>
        <v>309392927.39014673</v>
      </c>
      <c r="G135" s="478">
        <f t="shared" ca="1" si="45"/>
        <v>24473646.798183374</v>
      </c>
      <c r="H135" s="478">
        <f t="shared" ca="1" si="45"/>
        <v>224001149.05671537</v>
      </c>
      <c r="I135" s="478">
        <f t="shared" ca="1" si="45"/>
        <v>-1603929.2199931573</v>
      </c>
      <c r="J135" s="478">
        <f t="shared" ca="1" si="45"/>
        <v>8369370.8888463741</v>
      </c>
      <c r="K135" s="478">
        <f ca="1">K124-K133</f>
        <v>-9392908.7879127301</v>
      </c>
      <c r="L135" s="478">
        <f t="shared" ca="1" si="45"/>
        <v>-52688903.631751247</v>
      </c>
      <c r="M135" s="478">
        <f t="shared" ca="1" si="45"/>
        <v>-10879895.90819113</v>
      </c>
      <c r="N135" s="478">
        <f ca="1">N124-N133</f>
        <v>376942.88762212574</v>
      </c>
      <c r="O135" s="478">
        <f ca="1">O124-O133</f>
        <v>2526825.7327190274</v>
      </c>
      <c r="P135" s="478"/>
      <c r="Q135" s="117"/>
      <c r="S135" s="305">
        <f t="shared" ca="1" si="27"/>
        <v>0</v>
      </c>
    </row>
    <row r="136" spans="1:19" ht="15" x14ac:dyDescent="0.25">
      <c r="A136" s="64"/>
      <c r="B136" s="16">
        <f t="shared" si="34"/>
        <v>32</v>
      </c>
      <c r="C136" s="47" t="s">
        <v>339</v>
      </c>
      <c r="D136" s="443">
        <f ca="1">SUM(E136:P136)</f>
        <v>14178812890.55378</v>
      </c>
      <c r="E136" s="443"/>
      <c r="F136" s="443">
        <f ca="1">'II-I Summary'!F87</f>
        <v>7701231395.3489199</v>
      </c>
      <c r="G136" s="443">
        <f ca="1">'II-I Summary'!G87</f>
        <v>241021038.76455149</v>
      </c>
      <c r="H136" s="443">
        <f ca="1">'II-I Summary'!H87</f>
        <v>4895708692.4099417</v>
      </c>
      <c r="I136" s="443">
        <f ca="1">'II-I Summary'!I87</f>
        <v>9349078.2371065579</v>
      </c>
      <c r="J136" s="443">
        <f ca="1">'II-I Summary'!J87</f>
        <v>952498948.05242383</v>
      </c>
      <c r="K136" s="443">
        <f ca="1">'II-I Summary'!K87</f>
        <v>106794279.04774135</v>
      </c>
      <c r="L136" s="443">
        <f ca="1">'II-I Summary'!L87</f>
        <v>30497473.243358411</v>
      </c>
      <c r="M136" s="443">
        <f ca="1">'II-I Summary'!M87</f>
        <v>199604759.05071098</v>
      </c>
      <c r="N136" s="443">
        <f ca="1">'II-I Summary'!N87</f>
        <v>7514396.837524361</v>
      </c>
      <c r="O136" s="443">
        <f ca="1">'II-I Summary'!O87</f>
        <v>34592829.561503246</v>
      </c>
      <c r="P136" s="443"/>
      <c r="Q136" s="117" t="b">
        <f ca="1">IF('II-I-Total'!U618=D136,TRUE,'II-I-Total'!U618-D136)</f>
        <v>1</v>
      </c>
      <c r="S136" s="305">
        <f t="shared" ca="1" si="27"/>
        <v>0</v>
      </c>
    </row>
    <row r="137" spans="1:19" ht="15" x14ac:dyDescent="0.25">
      <c r="A137" s="64"/>
      <c r="B137" s="16">
        <f t="shared" si="34"/>
        <v>33</v>
      </c>
      <c r="C137" s="47" t="s">
        <v>140</v>
      </c>
      <c r="D137" s="479">
        <f t="shared" ref="D137:M137" ca="1" si="46">D135/D136</f>
        <v>3.4881285832883871E-2</v>
      </c>
      <c r="E137" s="479"/>
      <c r="F137" s="479">
        <f t="shared" ca="1" si="46"/>
        <v>4.0174474899819457E-2</v>
      </c>
      <c r="G137" s="479">
        <f t="shared" ca="1" si="46"/>
        <v>0.1015415373016095</v>
      </c>
      <c r="H137" s="479">
        <f t="shared" ca="1" si="46"/>
        <v>4.575459103683914E-2</v>
      </c>
      <c r="I137" s="479">
        <f t="shared" ca="1" si="46"/>
        <v>-0.17156014521593699</v>
      </c>
      <c r="J137" s="479">
        <f t="shared" ca="1" si="46"/>
        <v>8.7867507948006032E-3</v>
      </c>
      <c r="K137" s="479">
        <f ca="1">K135/K136</f>
        <v>-8.7953295547917143E-2</v>
      </c>
      <c r="L137" s="479">
        <f t="shared" ca="1" si="46"/>
        <v>-1.7276481632203933</v>
      </c>
      <c r="M137" s="479">
        <f t="shared" ca="1" si="46"/>
        <v>-5.4507196922228773E-2</v>
      </c>
      <c r="N137" s="479">
        <f ca="1">N135/N136</f>
        <v>5.0162760334908081E-2</v>
      </c>
      <c r="O137" s="479">
        <f ca="1">O135/O136</f>
        <v>7.3044783116875026E-2</v>
      </c>
      <c r="P137" s="479"/>
      <c r="Q137" s="117"/>
      <c r="S137" s="305">
        <f t="shared" ca="1" si="27"/>
        <v>-1.7570851892545083</v>
      </c>
    </row>
    <row r="138" spans="1:19" ht="15" x14ac:dyDescent="0.25">
      <c r="A138" s="64"/>
      <c r="B138" s="16">
        <f t="shared" si="34"/>
        <v>34</v>
      </c>
      <c r="C138" s="47" t="s">
        <v>856</v>
      </c>
      <c r="D138" s="480">
        <f t="shared" ref="D138:M138" ca="1" si="47">D137/$D$137</f>
        <v>1</v>
      </c>
      <c r="E138" s="480"/>
      <c r="F138" s="480">
        <f t="shared" ca="1" si="47"/>
        <v>1.1517486795726293</v>
      </c>
      <c r="G138" s="480">
        <f t="shared" ca="1" si="47"/>
        <v>2.9110606125042144</v>
      </c>
      <c r="H138" s="480">
        <f t="shared" ca="1" si="47"/>
        <v>1.3117231760333963</v>
      </c>
      <c r="I138" s="480">
        <f t="shared" ca="1" si="47"/>
        <v>-4.9184008306884408</v>
      </c>
      <c r="J138" s="480">
        <f t="shared" ca="1" si="47"/>
        <v>0.2519044405902322</v>
      </c>
      <c r="K138" s="480">
        <f ca="1">K137/$D$137</f>
        <v>-2.5215038221154202</v>
      </c>
      <c r="L138" s="480">
        <f t="shared" ca="1" si="47"/>
        <v>-49.529371465763909</v>
      </c>
      <c r="M138" s="480">
        <f t="shared" ca="1" si="47"/>
        <v>-1.5626487275547289</v>
      </c>
      <c r="N138" s="480">
        <f ca="1">N137/$D$137</f>
        <v>1.4380995177539528</v>
      </c>
      <c r="O138" s="480">
        <f ca="1">O137/$D$137</f>
        <v>2.0940966301194384</v>
      </c>
      <c r="P138" s="480"/>
      <c r="Q138" s="117"/>
      <c r="S138" s="305">
        <f t="shared" ca="1" si="27"/>
        <v>-50.373291789548638</v>
      </c>
    </row>
    <row r="139" spans="1:19" x14ac:dyDescent="0.2">
      <c r="A139" s="64"/>
      <c r="B139" s="64"/>
      <c r="C139" s="64"/>
      <c r="D139" s="64"/>
      <c r="E139" s="64"/>
      <c r="F139" s="65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</row>
  </sheetData>
  <mergeCells count="1">
    <mergeCell ref="B7:O7"/>
  </mergeCells>
  <phoneticPr fontId="0" type="noConversion"/>
  <printOptions horizontalCentered="1"/>
  <pageMargins left="0.5" right="0.5" top="1.5" bottom="0.5" header="1.5" footer="0.5"/>
  <pageSetup scale="51" fitToHeight="3" orientation="landscape" r:id="rId1"/>
  <headerFooter alignWithMargins="0">
    <oddHeader>&amp;RII-I Summary
Page &amp;P of &amp;N</oddHeader>
  </headerFooter>
  <rowBreaks count="2" manualBreakCount="2">
    <brk id="61" min="2" max="15" man="1"/>
    <brk id="104" min="1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H138"/>
  <sheetViews>
    <sheetView topLeftCell="A9" zoomScaleNormal="100" zoomScaleSheetLayoutView="100" workbookViewId="0">
      <selection activeCell="C38" sqref="C38"/>
    </sheetView>
  </sheetViews>
  <sheetFormatPr defaultColWidth="9" defaultRowHeight="14.25" x14ac:dyDescent="0.2"/>
  <cols>
    <col min="1" max="1" width="3.5" style="647" customWidth="1"/>
    <col min="2" max="2" width="4.875" style="647" customWidth="1"/>
    <col min="3" max="3" width="37.75" style="647" customWidth="1"/>
    <col min="4" max="4" width="19" style="647" customWidth="1"/>
    <col min="5" max="5" width="16.125" style="647" customWidth="1"/>
    <col min="6" max="6" width="15.25" style="647" customWidth="1"/>
    <col min="7" max="7" width="14.25" style="647" customWidth="1"/>
    <col min="8" max="8" width="2.75" style="647" customWidth="1"/>
    <col min="9" max="9" width="14.875" style="647" customWidth="1"/>
    <col min="10" max="10" width="16.375" style="647" customWidth="1"/>
    <col min="11" max="11" width="14.375" style="647" customWidth="1"/>
    <col min="12" max="12" width="13.625" style="647" customWidth="1"/>
    <col min="13" max="13" width="14.625" style="647" customWidth="1"/>
    <col min="14" max="14" width="15.5" style="647" customWidth="1"/>
    <col min="15" max="15" width="14.75" style="647" customWidth="1"/>
    <col min="16" max="16" width="13.875" style="647" customWidth="1"/>
    <col min="17" max="17" width="18" style="647" customWidth="1"/>
    <col min="18" max="18" width="19.375" style="647" customWidth="1"/>
    <col min="19" max="19" width="14.875" style="647" customWidth="1"/>
    <col min="20" max="20" width="16.25" style="647" customWidth="1"/>
    <col min="21" max="21" width="16" style="647" customWidth="1"/>
    <col min="22" max="22" width="14.375" style="647" customWidth="1"/>
    <col min="23" max="23" width="11.125" style="647" customWidth="1"/>
    <col min="24" max="24" width="15.75" style="647" customWidth="1"/>
    <col min="25" max="25" width="9" style="647" customWidth="1"/>
    <col min="26" max="26" width="3.5" style="647" customWidth="1"/>
    <col min="27" max="27" width="4.75" style="647" customWidth="1"/>
    <col min="28" max="28" width="9" style="647" customWidth="1"/>
    <col min="29" max="29" width="25.625" style="647" customWidth="1"/>
    <col min="30" max="30" width="13.5" style="647" customWidth="1"/>
    <col min="31" max="31" width="17" style="647" customWidth="1"/>
    <col min="32" max="32" width="16.875" style="647" customWidth="1"/>
    <col min="33" max="33" width="16" style="647" customWidth="1"/>
    <col min="34" max="34" width="16.25" style="647" bestFit="1" customWidth="1"/>
    <col min="35" max="16384" width="9" style="647"/>
  </cols>
  <sheetData>
    <row r="1" spans="2:25" ht="15" x14ac:dyDescent="0.2">
      <c r="B1" s="1062"/>
    </row>
    <row r="2" spans="2:25" x14ac:dyDescent="0.2">
      <c r="B2" s="645"/>
    </row>
    <row r="3" spans="2:25" ht="15" x14ac:dyDescent="0.25">
      <c r="B3" s="3" t="str">
        <f>'WP II-I-1.1'!B3</f>
        <v>2025 RATE CASE</v>
      </c>
      <c r="C3" s="697"/>
      <c r="D3" s="697"/>
      <c r="E3" s="3"/>
      <c r="F3" s="697"/>
      <c r="G3" s="697"/>
      <c r="H3" s="697"/>
      <c r="I3" s="697"/>
      <c r="J3" s="1288"/>
    </row>
    <row r="4" spans="2:25" ht="15" x14ac:dyDescent="0.25">
      <c r="B4" s="3" t="str">
        <f>'WP II-I-1.1'!B4</f>
        <v>ONCOR ELECTRIC DELIVERY COMPANY LLC</v>
      </c>
      <c r="C4" s="697"/>
      <c r="D4" s="697"/>
      <c r="E4" s="3"/>
      <c r="F4" s="697"/>
      <c r="G4" s="697"/>
      <c r="H4" s="697"/>
      <c r="I4" s="697"/>
      <c r="J4" s="1288"/>
    </row>
    <row r="5" spans="2:25" ht="15" x14ac:dyDescent="0.25">
      <c r="B5" s="3" t="str">
        <f>'WP II-I-1.1'!B5</f>
        <v>II-I-1:  CLASS REVENUE REQUIREMENT ANALYSIS</v>
      </c>
      <c r="C5" s="699"/>
      <c r="D5" s="697"/>
      <c r="E5" s="3"/>
      <c r="F5" s="697"/>
      <c r="G5" s="697"/>
      <c r="H5" s="697"/>
      <c r="I5" s="697"/>
    </row>
    <row r="6" spans="2:25" ht="15" x14ac:dyDescent="0.25">
      <c r="B6" s="3" t="str">
        <f>'WP II-I-1.1'!B6</f>
        <v>TEST YEAR ENDING 12/31/2024</v>
      </c>
      <c r="C6" s="700"/>
      <c r="D6" s="697"/>
      <c r="E6" s="3"/>
      <c r="F6" s="697"/>
      <c r="G6" s="697"/>
      <c r="H6" s="697"/>
      <c r="I6" s="697"/>
    </row>
    <row r="7" spans="2:25" ht="15" x14ac:dyDescent="0.25">
      <c r="B7" s="3" t="str">
        <f>'WP II-I-1.1'!B7</f>
        <v>SPONSOR:  MATTHEW A. TROXLE</v>
      </c>
      <c r="C7" s="699"/>
      <c r="D7" s="697"/>
      <c r="E7" s="3"/>
      <c r="F7" s="697"/>
      <c r="G7" s="697"/>
      <c r="H7" s="697"/>
      <c r="I7" s="697"/>
      <c r="J7" s="803"/>
    </row>
    <row r="8" spans="2:25" ht="20.25" x14ac:dyDescent="0.3">
      <c r="B8" s="3"/>
      <c r="C8" s="1187"/>
      <c r="D8" s="697"/>
      <c r="E8" s="701"/>
      <c r="F8" s="697"/>
      <c r="G8" s="697"/>
      <c r="H8" s="697"/>
      <c r="I8" s="697"/>
      <c r="J8" s="803"/>
      <c r="L8" s="803"/>
    </row>
    <row r="9" spans="2:25" ht="15" x14ac:dyDescent="0.25">
      <c r="B9" s="697"/>
      <c r="C9" s="697"/>
      <c r="D9" s="697"/>
      <c r="E9" s="702"/>
      <c r="F9" s="697"/>
      <c r="G9" s="697"/>
      <c r="H9" s="697"/>
      <c r="I9" s="697"/>
      <c r="J9" s="803"/>
      <c r="K9" s="693"/>
      <c r="L9" s="693"/>
    </row>
    <row r="10" spans="2:25" ht="15" x14ac:dyDescent="0.25">
      <c r="B10" s="3" t="s">
        <v>952</v>
      </c>
      <c r="C10" s="697"/>
      <c r="D10" s="697"/>
      <c r="E10" s="702"/>
      <c r="F10" s="697"/>
      <c r="G10" s="697"/>
      <c r="H10" s="697"/>
      <c r="I10" s="697"/>
      <c r="J10" s="803"/>
    </row>
    <row r="11" spans="2:25" ht="15" x14ac:dyDescent="0.25">
      <c r="B11" s="696"/>
      <c r="C11" s="703" t="s">
        <v>932</v>
      </c>
      <c r="D11" s="3"/>
      <c r="E11" s="3"/>
      <c r="F11" s="3"/>
      <c r="G11" s="304"/>
      <c r="H11" s="304"/>
      <c r="I11" s="304"/>
      <c r="J11" s="803"/>
      <c r="K11" s="728"/>
    </row>
    <row r="12" spans="2:25" ht="15" x14ac:dyDescent="0.25">
      <c r="B12" s="696"/>
      <c r="C12" s="703"/>
      <c r="D12" s="696"/>
      <c r="E12" s="696"/>
      <c r="F12" s="696"/>
      <c r="G12" s="704"/>
      <c r="H12" s="704"/>
      <c r="I12" s="704"/>
      <c r="J12" s="803"/>
    </row>
    <row r="13" spans="2:25" ht="18" thickBot="1" x14ac:dyDescent="0.3">
      <c r="B13" s="705" t="s">
        <v>385</v>
      </c>
      <c r="C13" s="706"/>
      <c r="D13" s="705" t="s">
        <v>1102</v>
      </c>
      <c r="E13" s="705" t="s">
        <v>933</v>
      </c>
      <c r="F13" s="705" t="s">
        <v>1103</v>
      </c>
      <c r="G13" s="705" t="s">
        <v>934</v>
      </c>
      <c r="H13" s="704"/>
      <c r="I13" s="704"/>
      <c r="J13" s="1171"/>
      <c r="K13" s="704"/>
      <c r="L13" s="704"/>
      <c r="M13" s="704"/>
      <c r="N13" s="704"/>
      <c r="O13" s="704"/>
      <c r="P13" s="731"/>
    </row>
    <row r="14" spans="2:25" x14ac:dyDescent="0.2">
      <c r="B14" s="707"/>
      <c r="D14" s="708" t="s">
        <v>13</v>
      </c>
      <c r="E14" s="708" t="s">
        <v>14</v>
      </c>
      <c r="F14" s="708" t="s">
        <v>15</v>
      </c>
      <c r="G14" s="708" t="s">
        <v>16</v>
      </c>
      <c r="H14" s="708"/>
      <c r="I14" s="708"/>
      <c r="J14" s="1179"/>
      <c r="K14" s="691"/>
      <c r="L14" s="691"/>
      <c r="M14" s="708"/>
      <c r="N14" s="708"/>
      <c r="O14" s="708"/>
      <c r="P14" s="732"/>
    </row>
    <row r="15" spans="2:25" x14ac:dyDescent="0.2">
      <c r="B15" s="709"/>
      <c r="J15" s="803"/>
      <c r="K15" s="1048"/>
      <c r="P15" s="732"/>
    </row>
    <row r="16" spans="2:25" ht="15" x14ac:dyDescent="0.25">
      <c r="B16" s="709">
        <v>1</v>
      </c>
      <c r="C16" s="710" t="s">
        <v>935</v>
      </c>
      <c r="D16" s="711">
        <f>'WP II-I-2.2'!$P$61</f>
        <v>5178288900.3857985</v>
      </c>
      <c r="E16" s="711">
        <f ca="1">F16-D16</f>
        <v>708710696.93061447</v>
      </c>
      <c r="F16" s="711">
        <f ca="1">'II-I Summary'!D36</f>
        <v>5886999597.3164129</v>
      </c>
      <c r="G16" s="712">
        <f ca="1">E16/D16</f>
        <v>0.13686194620732986</v>
      </c>
      <c r="H16" s="712"/>
      <c r="I16" s="712"/>
      <c r="J16" s="48"/>
      <c r="K16" s="1048"/>
      <c r="M16" s="1049"/>
      <c r="N16" s="1050"/>
      <c r="O16" s="1051"/>
      <c r="P16" s="1051"/>
      <c r="Q16" s="1051"/>
      <c r="R16" s="1051"/>
      <c r="S16" s="1051"/>
      <c r="T16" s="1051"/>
      <c r="U16" s="1051"/>
      <c r="V16" s="1051"/>
      <c r="W16" s="1051"/>
      <c r="Y16" s="1051"/>
    </row>
    <row r="17" spans="2:34" x14ac:dyDescent="0.2">
      <c r="B17" s="709">
        <f>B16+1</f>
        <v>2</v>
      </c>
      <c r="C17" s="713" t="s">
        <v>1200</v>
      </c>
      <c r="D17" s="714">
        <f>SUM('II-I Summary'!D114:D115)+('WP II-I-2.2'!P70)</f>
        <v>68238695.380637035</v>
      </c>
      <c r="E17" s="714">
        <f ca="1">F17-D17</f>
        <v>12775633.769362941</v>
      </c>
      <c r="F17" s="714">
        <f ca="1">'II-I Summary'!D28</f>
        <v>81014329.149999976</v>
      </c>
      <c r="G17" s="715">
        <f ca="1">E17/D17</f>
        <v>0.18721978341028003</v>
      </c>
      <c r="H17" s="715"/>
      <c r="I17" s="715"/>
      <c r="J17" s="803"/>
      <c r="K17" s="733"/>
      <c r="L17" s="1051"/>
      <c r="M17" s="1051"/>
      <c r="N17" s="1052"/>
      <c r="O17" s="1051"/>
      <c r="P17" s="1051"/>
      <c r="Q17" s="1051"/>
      <c r="R17" s="1051"/>
      <c r="S17" s="1051"/>
      <c r="T17" s="1051"/>
      <c r="U17" s="1051"/>
      <c r="V17" s="1051"/>
      <c r="X17" s="1184"/>
      <c r="Y17" s="1051"/>
    </row>
    <row r="18" spans="2:34" ht="15" x14ac:dyDescent="0.25">
      <c r="B18" s="709">
        <f t="shared" ref="B18:B32" si="0">B17+1</f>
        <v>3</v>
      </c>
      <c r="C18" s="716" t="s">
        <v>936</v>
      </c>
      <c r="D18" s="717">
        <f ca="1">'II-I Summary'!D26</f>
        <v>5968013926.4664135</v>
      </c>
      <c r="E18" s="717">
        <f ca="1">F18-D18</f>
        <v>0</v>
      </c>
      <c r="F18" s="717">
        <f ca="1">D18</f>
        <v>5968013926.4664135</v>
      </c>
      <c r="G18" s="712"/>
      <c r="H18" s="712"/>
      <c r="I18" s="712"/>
      <c r="J18" s="803"/>
      <c r="K18" s="1048"/>
      <c r="L18" s="1051"/>
      <c r="M18" s="1051"/>
      <c r="N18" s="1051"/>
      <c r="O18" s="1051"/>
      <c r="P18" s="1051"/>
      <c r="Q18" s="1051"/>
      <c r="R18" s="1051"/>
      <c r="S18" s="1051"/>
      <c r="T18" s="1051"/>
      <c r="U18" s="1051"/>
      <c r="V18" s="1051"/>
    </row>
    <row r="19" spans="2:34" ht="15" x14ac:dyDescent="0.25">
      <c r="B19" s="709">
        <f t="shared" si="0"/>
        <v>4</v>
      </c>
      <c r="C19" s="716" t="s">
        <v>937</v>
      </c>
      <c r="D19" s="718">
        <f ca="1">D16+D17-D18</f>
        <v>-721486330.69997787</v>
      </c>
      <c r="E19" s="718">
        <f ca="1">F19-D19</f>
        <v>721486330.69997787</v>
      </c>
      <c r="F19" s="719">
        <f ca="1">F16+F17-F18</f>
        <v>0</v>
      </c>
      <c r="G19" s="712"/>
      <c r="H19" s="712"/>
      <c r="I19" s="712"/>
      <c r="J19" s="803"/>
      <c r="N19" s="718"/>
      <c r="O19" s="719"/>
      <c r="P19" s="732"/>
      <c r="AD19" s="1184"/>
    </row>
    <row r="20" spans="2:34" ht="15" x14ac:dyDescent="0.25">
      <c r="B20" s="709">
        <f t="shared" si="0"/>
        <v>5</v>
      </c>
      <c r="C20" s="710"/>
      <c r="D20" s="711"/>
      <c r="E20" s="711"/>
      <c r="F20" s="711"/>
      <c r="G20" s="712"/>
      <c r="H20" s="1170"/>
      <c r="I20" s="712"/>
      <c r="J20" s="803"/>
      <c r="N20" s="711"/>
      <c r="O20" s="711"/>
      <c r="P20" s="732"/>
    </row>
    <row r="21" spans="2:34" x14ac:dyDescent="0.2">
      <c r="B21" s="709">
        <f t="shared" si="0"/>
        <v>6</v>
      </c>
      <c r="C21" s="713" t="s">
        <v>938</v>
      </c>
      <c r="D21" s="720">
        <f>'II-I Summary'!$F$116</f>
        <v>2603215929.4622936</v>
      </c>
      <c r="E21" s="720">
        <f t="shared" ref="E21:E28" ca="1" si="1">F21-D21</f>
        <v>295593763.81819487</v>
      </c>
      <c r="F21" s="721">
        <f ca="1">'II-I Summary'!F$36</f>
        <v>2898809693.2804885</v>
      </c>
      <c r="G21" s="715">
        <f t="shared" ref="G21:G32" ca="1" si="2">E21/D21</f>
        <v>0.11354946029361887</v>
      </c>
      <c r="H21" s="1169"/>
      <c r="I21" s="1191"/>
      <c r="J21" s="803"/>
      <c r="K21" s="693"/>
      <c r="L21" s="693"/>
      <c r="M21" s="693"/>
      <c r="N21" s="693"/>
      <c r="O21" s="693"/>
      <c r="P21" s="693"/>
      <c r="Q21" s="693"/>
      <c r="R21" s="693"/>
      <c r="S21" s="1044"/>
      <c r="T21" s="693"/>
      <c r="U21" s="693"/>
      <c r="V21" s="693"/>
      <c r="AB21" s="897"/>
      <c r="AC21" s="897"/>
      <c r="AD21" s="897"/>
      <c r="AE21" s="897"/>
      <c r="AF21" s="897"/>
      <c r="AG21" s="897"/>
      <c r="AH21" s="732"/>
    </row>
    <row r="22" spans="2:34" x14ac:dyDescent="0.2">
      <c r="B22" s="709">
        <f t="shared" si="0"/>
        <v>7</v>
      </c>
      <c r="C22" s="713" t="s">
        <v>939</v>
      </c>
      <c r="D22" s="720">
        <f>'II-I Summary'!$G$116</f>
        <v>103437883.95632638</v>
      </c>
      <c r="E22" s="714">
        <f t="shared" ca="1" si="1"/>
        <v>-10573049.872270167</v>
      </c>
      <c r="F22" s="721">
        <f ca="1">'II-I Summary'!G$36</f>
        <v>92864834.084056213</v>
      </c>
      <c r="G22" s="715">
        <f t="shared" ca="1" si="2"/>
        <v>-0.10221641692452185</v>
      </c>
      <c r="H22" s="1169"/>
      <c r="I22" s="1191"/>
      <c r="J22" s="803"/>
      <c r="K22" s="693"/>
      <c r="L22" s="693"/>
      <c r="M22" s="693"/>
      <c r="N22" s="693"/>
      <c r="O22" s="714"/>
      <c r="P22" s="714"/>
      <c r="Q22" s="714"/>
      <c r="R22" s="714"/>
      <c r="S22" s="1044"/>
      <c r="T22" s="693"/>
      <c r="U22" s="693"/>
      <c r="V22" s="693"/>
      <c r="AB22" s="897"/>
      <c r="AC22" s="897"/>
      <c r="AD22" s="897"/>
      <c r="AE22" s="897"/>
      <c r="AF22" s="897"/>
      <c r="AG22" s="897"/>
      <c r="AH22" s="732"/>
    </row>
    <row r="23" spans="2:34" x14ac:dyDescent="0.2">
      <c r="B23" s="709">
        <f t="shared" si="0"/>
        <v>8</v>
      </c>
      <c r="C23" s="713" t="s">
        <v>940</v>
      </c>
      <c r="D23" s="720">
        <f>'II-I Summary'!$H$116</f>
        <v>1781604380.2354589</v>
      </c>
      <c r="E23" s="714">
        <f t="shared" ca="1" si="1"/>
        <v>160431037.07722068</v>
      </c>
      <c r="F23" s="721">
        <f ca="1">'II-I Summary'!H$36</f>
        <v>1942035417.3126795</v>
      </c>
      <c r="G23" s="715">
        <f t="shared" ca="1" si="2"/>
        <v>9.0048631928047865E-2</v>
      </c>
      <c r="H23" s="1169"/>
      <c r="I23" s="715"/>
      <c r="J23" s="733"/>
      <c r="K23" s="693"/>
      <c r="L23" s="714"/>
      <c r="M23" s="714"/>
      <c r="N23" s="714"/>
      <c r="O23" s="714"/>
      <c r="P23" s="714"/>
      <c r="Q23" s="714"/>
      <c r="R23" s="714"/>
      <c r="S23" s="1044"/>
      <c r="T23" s="693"/>
      <c r="U23" s="693"/>
      <c r="V23" s="693"/>
      <c r="AB23" s="897"/>
      <c r="AC23" s="897"/>
      <c r="AD23" s="897"/>
      <c r="AE23" s="897"/>
      <c r="AF23" s="897"/>
      <c r="AG23" s="897"/>
      <c r="AH23" s="732"/>
    </row>
    <row r="24" spans="2:34" x14ac:dyDescent="0.2">
      <c r="B24" s="709">
        <f t="shared" si="0"/>
        <v>9</v>
      </c>
      <c r="C24" s="713" t="s">
        <v>941</v>
      </c>
      <c r="D24" s="720">
        <f>'II-I Summary'!$I$116</f>
        <v>1787319.7951729803</v>
      </c>
      <c r="E24" s="714">
        <f t="shared" ca="1" si="1"/>
        <v>2733964.0625588289</v>
      </c>
      <c r="F24" s="721">
        <f ca="1">'II-I Summary'!I$36</f>
        <v>4521283.8577318089</v>
      </c>
      <c r="G24" s="715">
        <f t="shared" ca="1" si="2"/>
        <v>1.5296445940689816</v>
      </c>
      <c r="H24" s="1169"/>
      <c r="I24" s="715"/>
      <c r="J24" s="733"/>
      <c r="K24" s="693"/>
      <c r="L24" s="714"/>
      <c r="M24" s="714"/>
      <c r="N24" s="714"/>
      <c r="O24" s="714"/>
      <c r="P24" s="714"/>
      <c r="Q24" s="714"/>
      <c r="R24" s="714"/>
      <c r="S24" s="1044"/>
      <c r="T24" s="693"/>
      <c r="U24" s="693"/>
      <c r="V24" s="693"/>
      <c r="AB24" s="897"/>
      <c r="AC24" s="897"/>
      <c r="AD24" s="897"/>
      <c r="AE24" s="897"/>
      <c r="AF24" s="897"/>
      <c r="AG24" s="897"/>
      <c r="AH24" s="732"/>
    </row>
    <row r="25" spans="2:34" x14ac:dyDescent="0.2">
      <c r="B25" s="709">
        <f t="shared" si="0"/>
        <v>10</v>
      </c>
      <c r="C25" s="713" t="s">
        <v>942</v>
      </c>
      <c r="D25" s="720">
        <f>'II-I Summary'!$J$116</f>
        <v>390139004.65549898</v>
      </c>
      <c r="E25" s="714">
        <f t="shared" ca="1" si="1"/>
        <v>74255577.314296484</v>
      </c>
      <c r="F25" s="721">
        <f ca="1">'II-I Summary'!J$36</f>
        <v>464394581.96979547</v>
      </c>
      <c r="G25" s="715">
        <f t="shared" ca="1" si="2"/>
        <v>0.19033107797018586</v>
      </c>
      <c r="H25" s="1180"/>
      <c r="I25" s="715"/>
      <c r="J25" s="733"/>
      <c r="K25" s="693"/>
      <c r="L25" s="693"/>
      <c r="M25" s="693"/>
      <c r="N25" s="693"/>
      <c r="O25" s="693"/>
      <c r="P25" s="693"/>
      <c r="Q25" s="693"/>
      <c r="R25" s="693"/>
      <c r="S25" s="1044"/>
      <c r="T25" s="693"/>
      <c r="U25" s="693"/>
      <c r="V25" s="693"/>
      <c r="AB25" s="897"/>
      <c r="AC25" s="897"/>
      <c r="AD25" s="897"/>
      <c r="AE25" s="897"/>
      <c r="AF25" s="897"/>
      <c r="AG25" s="897"/>
      <c r="AH25" s="732"/>
    </row>
    <row r="26" spans="2:34" x14ac:dyDescent="0.2">
      <c r="B26" s="709">
        <f t="shared" si="0"/>
        <v>11</v>
      </c>
      <c r="C26" s="713" t="s">
        <v>943</v>
      </c>
      <c r="D26" s="720">
        <f>'II-I Summary'!$K$116</f>
        <v>78959655.510167331</v>
      </c>
      <c r="E26" s="714">
        <f ca="1">F26-D26</f>
        <v>20703535.844724238</v>
      </c>
      <c r="F26" s="721">
        <f ca="1">'II-I Summary'!K$36</f>
        <v>99663191.354891568</v>
      </c>
      <c r="G26" s="715">
        <f ca="1">E26/D26</f>
        <v>0.26220397886688251</v>
      </c>
      <c r="H26" s="1169"/>
      <c r="I26" s="715"/>
      <c r="J26" s="733"/>
      <c r="K26" s="693"/>
      <c r="L26" s="693"/>
      <c r="M26" s="693"/>
      <c r="N26" s="693"/>
      <c r="O26" s="693"/>
      <c r="P26" s="693"/>
      <c r="Q26" s="693"/>
      <c r="R26" s="693"/>
      <c r="S26" s="1044"/>
      <c r="T26" s="693"/>
      <c r="U26" s="693"/>
      <c r="V26" s="693"/>
      <c r="AB26" s="897"/>
      <c r="AC26" s="897"/>
      <c r="AD26" s="897"/>
      <c r="AE26" s="897"/>
      <c r="AF26" s="897"/>
      <c r="AG26" s="897"/>
      <c r="AH26" s="732"/>
    </row>
    <row r="27" spans="2:34" x14ac:dyDescent="0.2">
      <c r="B27" s="709">
        <f t="shared" si="0"/>
        <v>12</v>
      </c>
      <c r="C27" s="713" t="s">
        <v>944</v>
      </c>
      <c r="D27" s="720">
        <f>'II-I Summary'!$L$116</f>
        <v>211511708.91750327</v>
      </c>
      <c r="E27" s="714">
        <f t="shared" ca="1" si="1"/>
        <v>64944678.067650348</v>
      </c>
      <c r="F27" s="721">
        <f ca="1">'II-I Summary'!L$36</f>
        <v>276456386.98515362</v>
      </c>
      <c r="G27" s="715">
        <f t="shared" ca="1" si="2"/>
        <v>0.30705003708792772</v>
      </c>
      <c r="H27" s="1169"/>
      <c r="I27" s="715"/>
      <c r="J27" s="733"/>
      <c r="K27" s="693"/>
      <c r="L27" s="693"/>
      <c r="M27" s="693"/>
      <c r="N27" s="693"/>
      <c r="O27" s="693"/>
      <c r="P27" s="693"/>
      <c r="Q27" s="693"/>
      <c r="R27" s="693"/>
      <c r="S27" s="1044"/>
      <c r="T27" s="693"/>
      <c r="U27" s="693"/>
      <c r="V27" s="693"/>
      <c r="AB27" s="897"/>
      <c r="AC27" s="897"/>
      <c r="AD27" s="897"/>
      <c r="AE27" s="897"/>
      <c r="AF27" s="897"/>
      <c r="AG27" s="897"/>
      <c r="AH27" s="732"/>
    </row>
    <row r="28" spans="2:34" ht="16.5" x14ac:dyDescent="0.35">
      <c r="B28" s="709">
        <f t="shared" si="0"/>
        <v>13</v>
      </c>
      <c r="C28" s="713" t="s">
        <v>945</v>
      </c>
      <c r="D28" s="1181">
        <f>'II-I Summary'!$M$116</f>
        <v>65214101.84947443</v>
      </c>
      <c r="E28" s="722">
        <f t="shared" ca="1" si="1"/>
        <v>32310302.407229215</v>
      </c>
      <c r="F28" s="723">
        <f ca="1">'II-I Summary'!M$36</f>
        <v>97524404.256703645</v>
      </c>
      <c r="G28" s="1053">
        <f t="shared" ca="1" si="2"/>
        <v>0.49544962655173957</v>
      </c>
      <c r="H28" s="1169"/>
      <c r="I28" s="1053"/>
      <c r="J28" s="733"/>
      <c r="K28" s="1045"/>
      <c r="L28" s="1045"/>
      <c r="M28" s="1045"/>
      <c r="N28" s="1045"/>
      <c r="O28" s="1045"/>
      <c r="P28" s="1045"/>
      <c r="Q28" s="1045"/>
      <c r="R28" s="1045"/>
      <c r="S28" s="1046"/>
      <c r="T28" s="1045"/>
      <c r="U28" s="1045"/>
      <c r="V28" s="1045"/>
      <c r="AB28" s="897"/>
      <c r="AC28" s="897"/>
      <c r="AD28" s="897"/>
      <c r="AE28" s="897"/>
      <c r="AF28" s="897"/>
      <c r="AG28" s="897"/>
      <c r="AH28" s="1160"/>
    </row>
    <row r="29" spans="2:34" ht="15" x14ac:dyDescent="0.25">
      <c r="B29" s="709">
        <f t="shared" si="0"/>
        <v>14</v>
      </c>
      <c r="C29" s="710" t="s">
        <v>946</v>
      </c>
      <c r="D29" s="724">
        <f>SUM(D21:D28)</f>
        <v>5235869984.381897</v>
      </c>
      <c r="E29" s="724">
        <f ca="1">SUM(E21:E28)</f>
        <v>640399808.71960449</v>
      </c>
      <c r="F29" s="724">
        <f ca="1">SUM(F21:F28)</f>
        <v>5876269793.1014996</v>
      </c>
      <c r="G29" s="712">
        <f t="shared" ca="1" si="2"/>
        <v>0.12231010522221833</v>
      </c>
      <c r="H29" s="1169"/>
      <c r="I29" s="712"/>
      <c r="J29" s="728"/>
      <c r="K29" s="1047"/>
      <c r="L29" s="724"/>
      <c r="M29" s="724"/>
      <c r="N29" s="724"/>
      <c r="O29" s="724"/>
      <c r="P29" s="724"/>
      <c r="Q29" s="724"/>
      <c r="R29" s="724"/>
      <c r="S29" s="724"/>
      <c r="T29" s="724"/>
      <c r="U29" s="724"/>
      <c r="V29" s="724"/>
      <c r="AB29" s="897"/>
      <c r="AC29" s="897"/>
      <c r="AD29" s="897"/>
      <c r="AE29" s="897"/>
      <c r="AF29" s="897"/>
      <c r="AG29" s="897"/>
      <c r="AH29" s="732"/>
    </row>
    <row r="30" spans="2:34" x14ac:dyDescent="0.2">
      <c r="B30" s="709">
        <f t="shared" si="0"/>
        <v>15</v>
      </c>
      <c r="C30" s="713" t="s">
        <v>947</v>
      </c>
      <c r="D30" s="720">
        <f>'II-I Summary'!$N$116</f>
        <v>1796210.6128</v>
      </c>
      <c r="E30" s="714">
        <f ca="1">F30-D30</f>
        <v>148164.31553520192</v>
      </c>
      <c r="F30" s="721">
        <f ca="1">'II-I Summary'!N$36</f>
        <v>1944374.9283352019</v>
      </c>
      <c r="G30" s="715">
        <f t="shared" ca="1" si="2"/>
        <v>8.2487161850267582E-2</v>
      </c>
      <c r="H30" s="1169"/>
      <c r="I30" s="715"/>
      <c r="J30" s="728"/>
      <c r="K30" s="693"/>
      <c r="L30" s="693"/>
      <c r="M30" s="693"/>
      <c r="N30" s="693"/>
      <c r="O30" s="693"/>
      <c r="P30" s="693"/>
      <c r="Q30" s="693"/>
      <c r="R30" s="693"/>
      <c r="S30" s="1044"/>
      <c r="T30" s="693"/>
      <c r="U30" s="693"/>
      <c r="V30" s="693"/>
      <c r="AB30" s="897"/>
      <c r="AC30" s="897"/>
      <c r="AD30" s="897"/>
      <c r="AE30" s="897"/>
      <c r="AF30" s="897"/>
      <c r="AG30" s="897"/>
      <c r="AH30" s="732"/>
    </row>
    <row r="31" spans="2:34" ht="16.5" x14ac:dyDescent="0.35">
      <c r="B31" s="709">
        <f t="shared" si="0"/>
        <v>16</v>
      </c>
      <c r="C31" s="713" t="s">
        <v>948</v>
      </c>
      <c r="D31" s="1181">
        <f>'II-I Summary'!$O$116</f>
        <v>8861400.7717400007</v>
      </c>
      <c r="E31" s="722">
        <f ca="1">F31-D31</f>
        <v>-75971.485161734745</v>
      </c>
      <c r="F31" s="723">
        <f ca="1">'II-I Summary'!O$36</f>
        <v>8785429.286578266</v>
      </c>
      <c r="G31" s="1053">
        <f t="shared" ca="1" si="2"/>
        <v>-8.5733042798398548E-3</v>
      </c>
      <c r="H31" s="1169"/>
      <c r="I31" s="1053"/>
      <c r="J31" s="728"/>
      <c r="K31" s="1045"/>
      <c r="L31" s="1045"/>
      <c r="M31" s="1045"/>
      <c r="N31" s="1045"/>
      <c r="O31" s="1045"/>
      <c r="P31" s="1045"/>
      <c r="Q31" s="1045"/>
      <c r="R31" s="1045"/>
      <c r="S31" s="1046"/>
      <c r="T31" s="1045"/>
      <c r="U31" s="1045"/>
      <c r="V31" s="1045"/>
      <c r="AB31" s="897"/>
      <c r="AC31" s="897"/>
      <c r="AD31" s="897"/>
      <c r="AE31" s="897"/>
      <c r="AF31" s="897"/>
      <c r="AG31" s="897"/>
      <c r="AH31" s="1160"/>
    </row>
    <row r="32" spans="2:34" ht="15" x14ac:dyDescent="0.25">
      <c r="B32" s="709">
        <f t="shared" si="0"/>
        <v>17</v>
      </c>
      <c r="C32" s="710" t="s">
        <v>841</v>
      </c>
      <c r="D32" s="711">
        <f>SUM(D29:D31)</f>
        <v>5246527595.7664366</v>
      </c>
      <c r="E32" s="711">
        <f ca="1">SUM(E29:E31)</f>
        <v>640472001.5499779</v>
      </c>
      <c r="F32" s="725">
        <f ca="1">SUM(F29:F31)</f>
        <v>5886999597.3164129</v>
      </c>
      <c r="G32" s="712">
        <f t="shared" ca="1" si="2"/>
        <v>0.12207540889840966</v>
      </c>
      <c r="H32" s="1169"/>
      <c r="I32" s="712"/>
      <c r="J32" s="728"/>
      <c r="K32" s="1047"/>
      <c r="L32" s="725"/>
      <c r="M32" s="725"/>
      <c r="N32" s="725"/>
      <c r="O32" s="725"/>
      <c r="P32" s="725"/>
      <c r="Q32" s="725"/>
      <c r="R32" s="725"/>
      <c r="S32" s="725"/>
      <c r="T32" s="725"/>
      <c r="U32" s="725"/>
      <c r="V32" s="725"/>
      <c r="AB32" s="897"/>
      <c r="AC32" s="897"/>
      <c r="AD32" s="897"/>
      <c r="AE32" s="897"/>
      <c r="AF32" s="897"/>
      <c r="AG32" s="897"/>
      <c r="AH32" s="732"/>
    </row>
    <row r="33" spans="2:34" ht="15" x14ac:dyDescent="0.25">
      <c r="B33" s="709"/>
      <c r="C33" s="710"/>
      <c r="D33" s="711"/>
      <c r="E33" s="711"/>
      <c r="F33" s="725"/>
      <c r="G33" s="712"/>
      <c r="H33" s="712"/>
      <c r="I33" s="712"/>
      <c r="J33" s="728"/>
      <c r="K33" s="728"/>
      <c r="N33" s="711"/>
      <c r="O33" s="725"/>
      <c r="P33" s="732"/>
      <c r="AH33" s="693"/>
    </row>
    <row r="34" spans="2:34" ht="17.25" x14ac:dyDescent="0.25">
      <c r="B34" s="709"/>
      <c r="C34" s="710" t="s">
        <v>1104</v>
      </c>
      <c r="D34" s="711"/>
      <c r="E34" s="711"/>
      <c r="F34" s="725"/>
      <c r="G34" s="712"/>
      <c r="H34" s="712"/>
      <c r="I34" s="712"/>
      <c r="J34" s="728"/>
      <c r="K34" s="728"/>
      <c r="L34" s="1048"/>
      <c r="O34" s="725"/>
      <c r="P34" s="732"/>
      <c r="AH34" s="749"/>
    </row>
    <row r="35" spans="2:34" ht="15" x14ac:dyDescent="0.25">
      <c r="B35" s="709"/>
      <c r="C35" s="710" t="s">
        <v>1206</v>
      </c>
      <c r="D35" s="711"/>
      <c r="E35" s="711"/>
      <c r="F35" s="725"/>
      <c r="G35" s="712"/>
      <c r="H35" s="712"/>
      <c r="I35" s="712"/>
      <c r="J35" s="728"/>
      <c r="L35" s="1050"/>
      <c r="AE35" s="693"/>
      <c r="AG35" s="693"/>
    </row>
    <row r="36" spans="2:34" ht="15" x14ac:dyDescent="0.25">
      <c r="B36" s="709"/>
      <c r="C36" s="710" t="s">
        <v>1160</v>
      </c>
      <c r="D36" s="711"/>
      <c r="E36" s="711"/>
      <c r="F36" s="725"/>
      <c r="G36" s="712"/>
      <c r="H36" s="1171"/>
      <c r="I36" s="712"/>
      <c r="J36" s="728"/>
      <c r="O36" s="1051"/>
      <c r="P36" s="1051"/>
      <c r="Q36" s="1051"/>
      <c r="R36" s="1051"/>
      <c r="S36" s="1051"/>
      <c r="T36" s="1051"/>
      <c r="U36" s="1051"/>
      <c r="V36" s="1051"/>
      <c r="AG36" s="693"/>
    </row>
    <row r="37" spans="2:34" ht="17.25" x14ac:dyDescent="0.25">
      <c r="B37" s="709"/>
      <c r="C37" s="1059" t="s">
        <v>1161</v>
      </c>
      <c r="D37" s="711"/>
      <c r="E37" s="711"/>
      <c r="F37" s="725"/>
      <c r="G37" s="712"/>
      <c r="H37" s="1171"/>
      <c r="I37" s="712"/>
      <c r="J37" s="728"/>
      <c r="L37" s="1048"/>
      <c r="M37" s="1051"/>
      <c r="N37" s="1052"/>
      <c r="O37" s="1051"/>
      <c r="P37" s="1051"/>
      <c r="Q37" s="1051"/>
      <c r="R37" s="1051"/>
      <c r="S37" s="1051"/>
      <c r="T37" s="1051"/>
      <c r="U37" s="1051"/>
      <c r="V37" s="1051"/>
      <c r="AG37" s="693"/>
    </row>
    <row r="38" spans="2:34" ht="15" x14ac:dyDescent="0.25">
      <c r="B38" s="709"/>
      <c r="C38" s="8" t="s">
        <v>1323</v>
      </c>
      <c r="D38" s="711"/>
      <c r="E38" s="711"/>
      <c r="F38" s="725"/>
      <c r="G38" s="712"/>
      <c r="H38" s="1171"/>
      <c r="I38" s="712"/>
      <c r="J38" s="728"/>
      <c r="L38" s="1048"/>
      <c r="N38" s="1051"/>
      <c r="O38" s="1051"/>
      <c r="P38" s="1051"/>
      <c r="Q38" s="1051"/>
      <c r="R38" s="1051"/>
      <c r="S38" s="1051"/>
      <c r="T38" s="1051"/>
      <c r="U38" s="1051"/>
      <c r="V38" s="1051"/>
      <c r="W38" s="1051"/>
      <c r="AG38" s="693"/>
    </row>
    <row r="39" spans="2:34" ht="15" x14ac:dyDescent="0.25">
      <c r="B39" s="709"/>
      <c r="C39" s="710"/>
      <c r="D39" s="711"/>
      <c r="E39" s="711"/>
      <c r="F39" s="725"/>
      <c r="H39" s="803"/>
      <c r="J39" s="728"/>
      <c r="L39" s="1101"/>
      <c r="M39" s="1102"/>
      <c r="N39" s="1048"/>
    </row>
    <row r="40" spans="2:34" ht="15" x14ac:dyDescent="0.25">
      <c r="B40" s="709"/>
      <c r="D40" s="711"/>
      <c r="E40" s="711"/>
      <c r="J40" s="728"/>
      <c r="L40" s="693"/>
      <c r="M40" s="693"/>
      <c r="N40" s="693"/>
      <c r="O40" s="713"/>
    </row>
    <row r="41" spans="2:34" s="650" customFormat="1" ht="15" x14ac:dyDescent="0.25">
      <c r="B41" s="716"/>
      <c r="C41" s="900"/>
      <c r="D41" s="901"/>
      <c r="E41" s="901"/>
      <c r="L41" s="693"/>
      <c r="M41" s="693"/>
      <c r="N41" s="693"/>
      <c r="O41" s="713"/>
    </row>
    <row r="42" spans="2:34" ht="15" x14ac:dyDescent="0.25">
      <c r="B42" s="709"/>
      <c r="C42" s="713"/>
      <c r="D42" s="711"/>
      <c r="E42" s="711"/>
      <c r="L42" s="693"/>
      <c r="M42" s="693"/>
      <c r="N42" s="693"/>
      <c r="O42" s="713"/>
    </row>
    <row r="43" spans="2:34" x14ac:dyDescent="0.2">
      <c r="B43" s="645"/>
      <c r="L43" s="693"/>
      <c r="M43" s="693"/>
      <c r="N43" s="693"/>
      <c r="O43" s="713"/>
    </row>
    <row r="44" spans="2:34" x14ac:dyDescent="0.2">
      <c r="B44" s="645"/>
      <c r="C44" s="691"/>
      <c r="D44" s="698"/>
      <c r="E44" s="698"/>
      <c r="L44" s="693"/>
      <c r="M44" s="693"/>
      <c r="N44" s="693"/>
      <c r="O44" s="713"/>
    </row>
    <row r="45" spans="2:34" x14ac:dyDescent="0.2">
      <c r="B45" s="645"/>
      <c r="J45" s="733"/>
      <c r="L45" s="693"/>
      <c r="M45" s="693"/>
      <c r="N45" s="693"/>
      <c r="O45" s="713"/>
    </row>
    <row r="46" spans="2:34" x14ac:dyDescent="0.2">
      <c r="L46" s="693"/>
      <c r="M46" s="693"/>
      <c r="N46" s="693"/>
      <c r="O46" s="713"/>
    </row>
    <row r="47" spans="2:34" ht="15" x14ac:dyDescent="0.25">
      <c r="J47" s="369"/>
      <c r="L47" s="1100"/>
      <c r="M47" s="1100"/>
      <c r="N47" s="1047"/>
      <c r="O47" s="710"/>
      <c r="Q47" s="1108"/>
      <c r="R47" s="369"/>
      <c r="S47" s="369"/>
    </row>
    <row r="48" spans="2:34" x14ac:dyDescent="0.2">
      <c r="L48" s="693"/>
      <c r="M48" s="693"/>
      <c r="N48" s="693"/>
      <c r="O48" s="713"/>
      <c r="P48" s="1109"/>
    </row>
    <row r="49" spans="3:17" x14ac:dyDescent="0.2">
      <c r="L49" s="693"/>
      <c r="M49" s="693"/>
      <c r="N49" s="693"/>
      <c r="O49" s="713"/>
      <c r="P49" s="1109"/>
    </row>
    <row r="50" spans="3:17" ht="15" x14ac:dyDescent="0.25">
      <c r="L50" s="1047"/>
      <c r="M50" s="1047"/>
      <c r="N50" s="1047"/>
      <c r="O50" s="710"/>
      <c r="P50" s="1109"/>
      <c r="Q50" s="1108"/>
    </row>
    <row r="51" spans="3:17" x14ac:dyDescent="0.2">
      <c r="K51" s="693"/>
      <c r="N51" s="749"/>
    </row>
    <row r="52" spans="3:17" ht="15" x14ac:dyDescent="0.25">
      <c r="C52" s="3"/>
      <c r="D52" s="697"/>
      <c r="E52" s="697"/>
      <c r="F52" s="702"/>
      <c r="G52" s="697"/>
      <c r="H52" s="697"/>
      <c r="I52" s="697"/>
      <c r="J52" s="697"/>
      <c r="K52" s="697"/>
      <c r="L52" s="357"/>
      <c r="M52" s="357"/>
      <c r="N52" s="357"/>
      <c r="O52" s="357"/>
      <c r="P52" s="357"/>
      <c r="Q52" s="357"/>
    </row>
    <row r="53" spans="3:17" ht="15" x14ac:dyDescent="0.25">
      <c r="C53" s="3"/>
      <c r="D53" s="697"/>
      <c r="E53" s="697"/>
      <c r="F53" s="702"/>
      <c r="G53" s="697"/>
      <c r="H53" s="697"/>
      <c r="I53" s="697"/>
      <c r="J53" s="697"/>
      <c r="K53" s="697"/>
      <c r="L53" s="357"/>
      <c r="M53" s="357"/>
      <c r="N53" s="357"/>
      <c r="O53" s="357"/>
      <c r="P53" s="357"/>
      <c r="Q53" s="357"/>
    </row>
    <row r="54" spans="3:17" ht="15" x14ac:dyDescent="0.25">
      <c r="C54" s="3"/>
      <c r="D54" s="697"/>
      <c r="E54" s="1477"/>
      <c r="F54" s="702"/>
      <c r="G54" s="1478"/>
      <c r="H54" s="1478"/>
      <c r="I54" s="1478"/>
      <c r="J54" s="645"/>
      <c r="K54" s="645"/>
      <c r="L54" s="357"/>
      <c r="M54" s="357"/>
      <c r="N54" s="357"/>
      <c r="O54" s="357"/>
      <c r="P54" s="357"/>
      <c r="Q54" s="357"/>
    </row>
    <row r="55" spans="3:17" ht="15" x14ac:dyDescent="0.25">
      <c r="C55" s="704"/>
      <c r="D55" s="1479"/>
      <c r="E55" s="704"/>
      <c r="F55" s="702"/>
      <c r="G55" s="1474"/>
      <c r="H55" s="1474"/>
      <c r="I55" s="1474"/>
      <c r="J55" s="55"/>
      <c r="K55" s="697"/>
      <c r="L55" s="357"/>
      <c r="M55" s="357"/>
      <c r="N55" s="357"/>
      <c r="O55" s="357"/>
      <c r="P55" s="357"/>
      <c r="Q55" s="357"/>
    </row>
    <row r="56" spans="3:17" ht="15" x14ac:dyDescent="0.2">
      <c r="C56" s="1103"/>
      <c r="D56" s="697"/>
      <c r="E56" s="1044"/>
      <c r="F56" s="1105"/>
      <c r="G56" s="1190"/>
      <c r="H56" s="1190"/>
      <c r="I56" s="1190"/>
      <c r="J56" s="1106"/>
      <c r="K56" s="650"/>
      <c r="L56" s="357"/>
      <c r="M56" s="357"/>
      <c r="N56" s="357"/>
      <c r="O56" s="357"/>
      <c r="P56" s="357"/>
      <c r="Q56" s="357"/>
    </row>
    <row r="57" spans="3:17" ht="15" x14ac:dyDescent="0.2">
      <c r="C57" s="1103"/>
      <c r="D57" s="697"/>
      <c r="E57" s="1044"/>
      <c r="F57" s="1105"/>
      <c r="G57" s="1104"/>
      <c r="H57" s="1104"/>
      <c r="I57" s="1104"/>
      <c r="J57" s="1106"/>
      <c r="K57" s="650"/>
      <c r="L57" s="357"/>
      <c r="M57" s="357"/>
      <c r="N57" s="357"/>
      <c r="O57" s="357"/>
      <c r="P57" s="357"/>
      <c r="Q57" s="357"/>
    </row>
    <row r="58" spans="3:17" ht="15" x14ac:dyDescent="0.2">
      <c r="C58" s="1103"/>
      <c r="D58" s="697"/>
      <c r="E58" s="1044"/>
      <c r="F58" s="1105"/>
      <c r="G58" s="1104"/>
      <c r="H58" s="1104"/>
      <c r="I58" s="1104"/>
      <c r="J58" s="1106"/>
      <c r="K58" s="650"/>
      <c r="L58" s="357"/>
      <c r="M58" s="357"/>
      <c r="N58" s="357"/>
      <c r="O58" s="357"/>
      <c r="P58" s="357"/>
      <c r="Q58" s="357"/>
    </row>
    <row r="59" spans="3:17" ht="15" x14ac:dyDescent="0.2">
      <c r="C59" s="1103"/>
      <c r="D59" s="697"/>
      <c r="E59" s="1044"/>
      <c r="F59" s="1105"/>
      <c r="G59" s="1104"/>
      <c r="H59" s="1104"/>
      <c r="I59" s="1104"/>
      <c r="J59" s="1106"/>
      <c r="K59" s="650"/>
      <c r="L59" s="357"/>
      <c r="M59" s="357"/>
      <c r="N59" s="357"/>
      <c r="O59" s="357"/>
      <c r="P59" s="357"/>
      <c r="Q59" s="357"/>
    </row>
    <row r="60" spans="3:17" ht="15" x14ac:dyDescent="0.2">
      <c r="C60" s="1103"/>
      <c r="D60" s="697"/>
      <c r="E60" s="1044"/>
      <c r="F60" s="1105"/>
      <c r="G60" s="1104"/>
      <c r="H60" s="1104"/>
      <c r="I60" s="1104"/>
      <c r="J60" s="1106"/>
      <c r="K60" s="650"/>
      <c r="L60" s="357"/>
      <c r="M60" s="357"/>
      <c r="N60" s="357"/>
      <c r="O60" s="357"/>
      <c r="P60" s="357"/>
      <c r="Q60" s="357"/>
    </row>
    <row r="61" spans="3:17" ht="15" x14ac:dyDescent="0.2">
      <c r="C61" s="1103"/>
      <c r="D61" s="697"/>
      <c r="E61" s="1044"/>
      <c r="F61" s="1105"/>
      <c r="G61" s="1104"/>
      <c r="H61" s="1104"/>
      <c r="I61" s="1104"/>
      <c r="J61" s="1106"/>
      <c r="K61" s="650"/>
      <c r="L61" s="357"/>
      <c r="M61" s="357"/>
      <c r="N61" s="357"/>
      <c r="O61" s="357"/>
      <c r="P61" s="357"/>
      <c r="Q61" s="357"/>
    </row>
    <row r="62" spans="3:17" ht="15" x14ac:dyDescent="0.2">
      <c r="C62" s="1103"/>
      <c r="D62" s="697"/>
      <c r="E62" s="1044"/>
      <c r="F62" s="1105"/>
      <c r="G62" s="1104"/>
      <c r="H62" s="1104"/>
      <c r="I62" s="1104"/>
      <c r="J62" s="1106"/>
      <c r="K62" s="650"/>
      <c r="L62" s="357"/>
      <c r="M62" s="357"/>
      <c r="N62" s="357"/>
      <c r="O62" s="357"/>
      <c r="P62" s="357"/>
      <c r="Q62" s="357"/>
    </row>
    <row r="63" spans="3:17" ht="15" x14ac:dyDescent="0.2">
      <c r="C63" s="1103"/>
      <c r="D63" s="697"/>
      <c r="E63" s="1044"/>
      <c r="F63" s="1105"/>
      <c r="G63" s="1104"/>
      <c r="H63" s="1104"/>
      <c r="I63" s="1104"/>
      <c r="J63" s="1107"/>
      <c r="K63" s="650"/>
      <c r="L63" s="357"/>
      <c r="M63" s="357"/>
      <c r="N63" s="357"/>
      <c r="O63" s="357"/>
      <c r="P63" s="357"/>
      <c r="Q63" s="357"/>
    </row>
    <row r="64" spans="3:17" ht="15" x14ac:dyDescent="0.2">
      <c r="C64" s="1103"/>
      <c r="D64" s="697"/>
      <c r="E64" s="1044"/>
      <c r="F64" s="1105"/>
      <c r="G64" s="1104"/>
      <c r="H64" s="1104"/>
      <c r="I64" s="1104"/>
      <c r="J64" s="1106"/>
      <c r="K64" s="650"/>
      <c r="L64" s="357"/>
      <c r="M64" s="357"/>
      <c r="N64" s="357"/>
      <c r="O64" s="357"/>
      <c r="P64" s="357"/>
      <c r="Q64" s="357"/>
    </row>
    <row r="65" spans="3:25" ht="15" x14ac:dyDescent="0.2">
      <c r="C65" s="1103"/>
      <c r="D65" s="697"/>
      <c r="E65" s="1044"/>
      <c r="F65" s="1105"/>
      <c r="G65" s="1104"/>
      <c r="H65" s="1104"/>
      <c r="I65" s="1104"/>
      <c r="J65" s="1106"/>
      <c r="K65" s="650"/>
      <c r="L65" s="357"/>
      <c r="M65" s="357"/>
      <c r="N65" s="357"/>
      <c r="O65" s="357"/>
      <c r="P65" s="357"/>
      <c r="Q65" s="357"/>
    </row>
    <row r="66" spans="3:25" ht="15" x14ac:dyDescent="0.2">
      <c r="C66" s="1103"/>
      <c r="D66" s="697"/>
      <c r="E66" s="1044"/>
      <c r="F66" s="1105"/>
      <c r="G66" s="1104"/>
      <c r="H66" s="1104"/>
      <c r="I66" s="1104"/>
      <c r="J66" s="1107"/>
      <c r="K66" s="650"/>
      <c r="L66" s="357"/>
      <c r="M66" s="357"/>
      <c r="N66" s="357"/>
      <c r="O66" s="357"/>
      <c r="P66" s="357"/>
      <c r="Q66" s="357"/>
    </row>
    <row r="67" spans="3:25" ht="15" x14ac:dyDescent="0.2">
      <c r="C67" s="1103"/>
      <c r="D67" s="697"/>
      <c r="E67" s="1044"/>
      <c r="F67" s="1105"/>
      <c r="G67" s="1104"/>
      <c r="H67" s="1104"/>
      <c r="I67" s="1104"/>
      <c r="J67" s="1107"/>
      <c r="K67" s="650"/>
      <c r="L67" s="357"/>
      <c r="M67" s="357"/>
      <c r="N67" s="357"/>
      <c r="O67" s="357"/>
      <c r="P67" s="357"/>
      <c r="Q67" s="357"/>
    </row>
    <row r="68" spans="3:25" ht="15" x14ac:dyDescent="0.2">
      <c r="C68" s="1103"/>
      <c r="D68" s="697"/>
      <c r="E68" s="1044"/>
      <c r="F68" s="1105"/>
      <c r="G68" s="1104"/>
      <c r="H68" s="1104"/>
      <c r="I68" s="1104"/>
      <c r="J68" s="1106"/>
      <c r="K68" s="650"/>
      <c r="L68" s="357"/>
      <c r="M68" s="357"/>
      <c r="N68" s="357"/>
      <c r="O68" s="357"/>
      <c r="P68" s="357"/>
      <c r="Q68" s="357"/>
    </row>
    <row r="69" spans="3:25" ht="15" x14ac:dyDescent="0.25">
      <c r="C69" s="3"/>
      <c r="D69" s="697"/>
      <c r="E69" s="697"/>
      <c r="F69" s="702"/>
      <c r="G69" s="697"/>
      <c r="H69" s="697"/>
      <c r="I69" s="697"/>
      <c r="J69" s="697"/>
      <c r="K69" s="697"/>
      <c r="L69" s="357"/>
      <c r="M69" s="357"/>
      <c r="N69" s="357"/>
      <c r="O69" s="357"/>
      <c r="P69" s="357"/>
      <c r="Q69" s="357"/>
    </row>
    <row r="70" spans="3:25" ht="15" x14ac:dyDescent="0.25">
      <c r="C70" s="3"/>
      <c r="D70" s="697"/>
      <c r="E70" s="697"/>
      <c r="F70" s="702"/>
      <c r="G70" s="697"/>
      <c r="H70" s="697"/>
      <c r="I70" s="697"/>
      <c r="J70" s="697"/>
      <c r="K70" s="697"/>
      <c r="L70" s="357"/>
      <c r="M70" s="357"/>
      <c r="N70" s="357"/>
      <c r="O70" s="357"/>
      <c r="P70" s="357"/>
      <c r="Q70" s="357"/>
    </row>
    <row r="71" spans="3:25" ht="15" x14ac:dyDescent="0.25">
      <c r="C71" s="3"/>
      <c r="D71" s="697"/>
      <c r="E71" s="697"/>
      <c r="F71" s="702"/>
      <c r="G71" s="697"/>
      <c r="H71" s="697"/>
      <c r="I71" s="697"/>
      <c r="J71" s="697"/>
      <c r="K71" s="697"/>
      <c r="L71" s="357"/>
      <c r="M71" s="357"/>
      <c r="N71" s="357"/>
      <c r="O71" s="357"/>
      <c r="P71" s="357"/>
      <c r="Q71" s="357"/>
    </row>
    <row r="72" spans="3:25" ht="15" x14ac:dyDescent="0.25">
      <c r="C72" s="3"/>
      <c r="D72" s="697"/>
      <c r="E72" s="697"/>
      <c r="F72" s="702"/>
      <c r="G72" s="697"/>
      <c r="H72" s="697"/>
      <c r="I72" s="697"/>
      <c r="J72" s="697"/>
      <c r="K72" s="697"/>
      <c r="L72" s="357"/>
      <c r="M72" s="357"/>
      <c r="N72" s="357"/>
      <c r="O72" s="357"/>
      <c r="P72" s="357"/>
      <c r="Q72" s="357"/>
    </row>
    <row r="73" spans="3:25" ht="15" x14ac:dyDescent="0.25">
      <c r="C73" s="3"/>
      <c r="D73" s="697"/>
      <c r="E73" s="1477"/>
      <c r="F73" s="645"/>
      <c r="G73" s="645"/>
      <c r="H73" s="645"/>
      <c r="I73" s="645"/>
      <c r="J73" s="645"/>
      <c r="K73" s="645"/>
      <c r="L73" s="357"/>
      <c r="M73" s="571"/>
      <c r="N73" s="357"/>
      <c r="O73" s="357"/>
      <c r="P73" s="357"/>
      <c r="Q73" s="357"/>
    </row>
    <row r="74" spans="3:25" ht="15" x14ac:dyDescent="0.25">
      <c r="C74" s="704"/>
      <c r="D74" s="1479"/>
      <c r="E74" s="704"/>
      <c r="F74" s="704"/>
      <c r="G74" s="704"/>
      <c r="H74" s="704"/>
      <c r="I74" s="704"/>
      <c r="J74" s="704"/>
      <c r="K74" s="704"/>
      <c r="L74" s="357"/>
      <c r="M74" s="1068"/>
      <c r="N74" s="1068"/>
      <c r="O74" s="1068"/>
      <c r="P74" s="1068"/>
      <c r="Q74" s="1068"/>
      <c r="R74" s="1068"/>
      <c r="S74" s="1068"/>
      <c r="T74" s="1068"/>
      <c r="U74" s="1068"/>
      <c r="V74" s="357"/>
      <c r="W74" s="1068"/>
      <c r="X74" s="1068"/>
      <c r="Y74" s="1068"/>
    </row>
    <row r="75" spans="3:25" x14ac:dyDescent="0.2">
      <c r="C75" s="707"/>
      <c r="E75" s="708"/>
      <c r="F75" s="708"/>
      <c r="G75" s="708"/>
      <c r="H75" s="708"/>
      <c r="I75" s="708"/>
      <c r="J75" s="708"/>
      <c r="K75" s="1480"/>
      <c r="L75" s="357"/>
      <c r="M75" s="708"/>
      <c r="N75" s="708"/>
      <c r="O75" s="708"/>
      <c r="P75" s="708"/>
      <c r="Q75" s="708"/>
      <c r="R75" s="708"/>
      <c r="S75" s="708"/>
      <c r="T75" s="708"/>
      <c r="U75" s="708"/>
      <c r="V75" s="357"/>
      <c r="W75" s="708"/>
      <c r="X75" s="708"/>
      <c r="Y75" s="357"/>
    </row>
    <row r="76" spans="3:25" x14ac:dyDescent="0.2"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</row>
    <row r="77" spans="3:25" x14ac:dyDescent="0.2">
      <c r="C77" s="357"/>
      <c r="D77" s="357"/>
      <c r="E77" s="1189"/>
      <c r="F77" s="570"/>
      <c r="G77" s="1189"/>
      <c r="H77" s="1189"/>
      <c r="I77" s="1189"/>
      <c r="J77" s="1189"/>
      <c r="K77" s="1189"/>
      <c r="L77" s="357"/>
      <c r="M77" s="1189"/>
      <c r="N77" s="570"/>
      <c r="O77" s="570"/>
      <c r="P77" s="570"/>
      <c r="Q77" s="570"/>
      <c r="R77" s="570"/>
      <c r="S77" s="1190"/>
      <c r="T77" s="1190"/>
      <c r="U77" s="1481"/>
      <c r="V77" s="357"/>
      <c r="W77" s="1481"/>
      <c r="X77" s="1481"/>
      <c r="Y77" s="1481"/>
    </row>
    <row r="78" spans="3:25" x14ac:dyDescent="0.2">
      <c r="C78" s="357"/>
      <c r="D78" s="357"/>
      <c r="E78" s="1189"/>
      <c r="F78" s="570"/>
      <c r="G78" s="1189"/>
      <c r="H78" s="1189"/>
      <c r="I78" s="1189"/>
      <c r="J78" s="1189"/>
      <c r="K78" s="1189"/>
      <c r="L78" s="357"/>
      <c r="M78" s="1189"/>
      <c r="N78" s="570"/>
      <c r="O78" s="570"/>
      <c r="P78" s="570"/>
      <c r="Q78" s="570"/>
      <c r="R78" s="570"/>
      <c r="S78" s="1190"/>
      <c r="T78" s="1190"/>
      <c r="U78" s="1481"/>
      <c r="V78" s="357"/>
      <c r="W78" s="1481"/>
      <c r="X78" s="1481"/>
      <c r="Y78" s="1481"/>
    </row>
    <row r="79" spans="3:25" x14ac:dyDescent="0.2">
      <c r="C79" s="357"/>
      <c r="D79" s="357"/>
      <c r="E79" s="1189"/>
      <c r="F79" s="570"/>
      <c r="G79" s="1189"/>
      <c r="H79" s="1189"/>
      <c r="I79" s="1189"/>
      <c r="J79" s="1189"/>
      <c r="K79" s="1189"/>
      <c r="L79" s="357"/>
      <c r="M79" s="1189"/>
      <c r="N79" s="570"/>
      <c r="O79" s="570"/>
      <c r="P79" s="570"/>
      <c r="Q79" s="570"/>
      <c r="R79" s="570"/>
      <c r="S79" s="1190"/>
      <c r="T79" s="1190"/>
      <c r="U79" s="1481"/>
      <c r="V79" s="357"/>
      <c r="W79" s="1481"/>
      <c r="X79" s="1481"/>
      <c r="Y79" s="1481"/>
    </row>
    <row r="80" spans="3:25" x14ac:dyDescent="0.2">
      <c r="C80" s="357"/>
      <c r="D80" s="357"/>
      <c r="E80" s="1189"/>
      <c r="F80" s="570"/>
      <c r="G80" s="1189"/>
      <c r="H80" s="1189"/>
      <c r="I80" s="1189"/>
      <c r="J80" s="1189"/>
      <c r="K80" s="1189"/>
      <c r="L80" s="357"/>
      <c r="M80" s="1189"/>
      <c r="N80" s="570"/>
      <c r="O80" s="570"/>
      <c r="P80" s="570"/>
      <c r="Q80" s="570"/>
      <c r="R80" s="570"/>
      <c r="S80" s="1190"/>
      <c r="T80" s="1190"/>
      <c r="U80" s="1481"/>
      <c r="V80" s="357"/>
      <c r="W80" s="1481"/>
      <c r="X80" s="1481"/>
      <c r="Y80" s="1481"/>
    </row>
    <row r="81" spans="3:25" x14ac:dyDescent="0.2">
      <c r="C81" s="357"/>
      <c r="D81" s="357"/>
      <c r="E81" s="1189"/>
      <c r="F81" s="570"/>
      <c r="G81" s="1189"/>
      <c r="H81" s="1189"/>
      <c r="I81" s="1189"/>
      <c r="J81" s="1189"/>
      <c r="K81" s="1189"/>
      <c r="L81" s="357"/>
      <c r="M81" s="1189"/>
      <c r="N81" s="570"/>
      <c r="O81" s="570"/>
      <c r="P81" s="570"/>
      <c r="Q81" s="570"/>
      <c r="R81" s="570"/>
      <c r="S81" s="1190"/>
      <c r="T81" s="1190"/>
      <c r="U81" s="1481"/>
      <c r="V81" s="357"/>
      <c r="W81" s="1481"/>
      <c r="X81" s="1481"/>
      <c r="Y81" s="1481"/>
    </row>
    <row r="82" spans="3:25" x14ac:dyDescent="0.2">
      <c r="C82" s="357"/>
      <c r="D82" s="357"/>
      <c r="E82" s="1189"/>
      <c r="F82" s="570"/>
      <c r="G82" s="1189"/>
      <c r="H82" s="1189"/>
      <c r="I82" s="1189"/>
      <c r="J82" s="1189"/>
      <c r="K82" s="1189"/>
      <c r="L82" s="357"/>
      <c r="M82" s="1189"/>
      <c r="N82" s="570"/>
      <c r="O82" s="570"/>
      <c r="P82" s="570"/>
      <c r="Q82" s="570"/>
      <c r="R82" s="570"/>
      <c r="S82" s="1190"/>
      <c r="T82" s="1190"/>
      <c r="U82" s="1481"/>
      <c r="V82" s="357"/>
      <c r="W82" s="1481"/>
      <c r="X82" s="1481"/>
      <c r="Y82" s="1481"/>
    </row>
    <row r="83" spans="3:25" x14ac:dyDescent="0.2">
      <c r="C83" s="357"/>
      <c r="D83" s="357"/>
      <c r="E83" s="1189"/>
      <c r="F83" s="570"/>
      <c r="G83" s="1189"/>
      <c r="H83" s="1189"/>
      <c r="I83" s="1189"/>
      <c r="J83" s="1189"/>
      <c r="K83" s="1189"/>
      <c r="L83" s="357"/>
      <c r="M83" s="1189"/>
      <c r="N83" s="570"/>
      <c r="O83" s="570"/>
      <c r="P83" s="570"/>
      <c r="Q83" s="570"/>
      <c r="R83" s="570"/>
      <c r="S83" s="1190"/>
      <c r="T83" s="1190"/>
      <c r="U83" s="1481"/>
      <c r="V83" s="357"/>
      <c r="W83" s="1481"/>
      <c r="X83" s="1481"/>
      <c r="Y83" s="1481"/>
    </row>
    <row r="84" spans="3:25" ht="16.5" x14ac:dyDescent="0.35">
      <c r="C84" s="357"/>
      <c r="D84" s="357"/>
      <c r="E84" s="553"/>
      <c r="F84" s="557"/>
      <c r="G84" s="553"/>
      <c r="H84" s="553"/>
      <c r="I84" s="553"/>
      <c r="J84" s="553"/>
      <c r="K84" s="553"/>
      <c r="L84" s="357"/>
      <c r="M84" s="553"/>
      <c r="N84" s="557"/>
      <c r="O84" s="557"/>
      <c r="P84" s="1482"/>
      <c r="Q84" s="557"/>
      <c r="R84" s="557"/>
      <c r="S84" s="204"/>
      <c r="T84" s="204"/>
      <c r="U84" s="1483"/>
      <c r="V84" s="357"/>
      <c r="W84" s="1484"/>
      <c r="X84" s="1484"/>
      <c r="Y84" s="1481"/>
    </row>
    <row r="85" spans="3:25" ht="15" x14ac:dyDescent="0.25">
      <c r="C85" s="47"/>
      <c r="D85" s="357"/>
      <c r="E85" s="1189"/>
      <c r="F85" s="570"/>
      <c r="G85" s="1189"/>
      <c r="H85" s="1189"/>
      <c r="I85" s="1189"/>
      <c r="J85" s="1189"/>
      <c r="K85" s="1189"/>
      <c r="L85" s="357"/>
      <c r="M85" s="1189"/>
      <c r="N85" s="570"/>
      <c r="O85" s="570"/>
      <c r="P85" s="570"/>
      <c r="Q85" s="570"/>
      <c r="R85" s="570"/>
      <c r="S85" s="570"/>
      <c r="T85" s="570"/>
      <c r="U85" s="1485"/>
      <c r="V85" s="357"/>
      <c r="W85" s="1485"/>
      <c r="X85" s="1485"/>
      <c r="Y85" s="1481"/>
    </row>
    <row r="86" spans="3:25" x14ac:dyDescent="0.2">
      <c r="C86" s="713"/>
      <c r="D86" s="357"/>
      <c r="E86" s="1189"/>
      <c r="F86" s="570"/>
      <c r="G86" s="570"/>
      <c r="H86" s="570"/>
      <c r="I86" s="570"/>
      <c r="J86" s="570"/>
      <c r="K86" s="1189"/>
      <c r="L86" s="357"/>
      <c r="M86" s="1189"/>
      <c r="N86" s="570"/>
      <c r="O86" s="570"/>
      <c r="P86" s="570"/>
      <c r="Q86" s="570"/>
      <c r="R86" s="570"/>
      <c r="S86" s="1190"/>
      <c r="T86" s="1190"/>
      <c r="U86" s="1481"/>
      <c r="V86" s="357"/>
      <c r="W86" s="1485"/>
      <c r="X86" s="1485"/>
      <c r="Y86" s="1481"/>
    </row>
    <row r="87" spans="3:25" ht="16.5" x14ac:dyDescent="0.35">
      <c r="C87" s="713"/>
      <c r="D87" s="357"/>
      <c r="E87" s="553"/>
      <c r="F87" s="557"/>
      <c r="G87" s="557"/>
      <c r="H87" s="557"/>
      <c r="I87" s="557"/>
      <c r="J87" s="557"/>
      <c r="K87" s="553"/>
      <c r="L87" s="357"/>
      <c r="M87" s="553"/>
      <c r="N87" s="557"/>
      <c r="O87" s="557"/>
      <c r="P87" s="1482"/>
      <c r="Q87" s="557"/>
      <c r="R87" s="1482"/>
      <c r="S87" s="204"/>
      <c r="T87" s="204"/>
      <c r="U87" s="1483"/>
      <c r="V87" s="357"/>
      <c r="W87" s="1484"/>
      <c r="X87" s="1484"/>
      <c r="Y87" s="1481"/>
    </row>
    <row r="88" spans="3:25" ht="15" x14ac:dyDescent="0.25">
      <c r="C88" s="710"/>
      <c r="D88" s="357"/>
      <c r="E88" s="1189"/>
      <c r="F88" s="570"/>
      <c r="G88" s="570"/>
      <c r="H88" s="570"/>
      <c r="I88" s="570"/>
      <c r="J88" s="570"/>
      <c r="K88" s="1189"/>
      <c r="L88" s="357"/>
      <c r="M88" s="1189"/>
      <c r="N88" s="570"/>
      <c r="O88" s="570"/>
      <c r="P88" s="570"/>
      <c r="Q88" s="570"/>
      <c r="R88" s="570"/>
      <c r="S88" s="1190"/>
      <c r="T88" s="1190"/>
      <c r="U88" s="1481"/>
      <c r="V88" s="357"/>
      <c r="W88" s="1485"/>
      <c r="X88" s="1485"/>
      <c r="Y88" s="1481"/>
    </row>
    <row r="89" spans="3:25" ht="15" x14ac:dyDescent="0.25">
      <c r="C89" s="47"/>
      <c r="D89" s="357"/>
      <c r="E89" s="1189"/>
      <c r="F89" s="1189"/>
      <c r="G89" s="1189"/>
      <c r="H89" s="1189"/>
      <c r="I89" s="1189"/>
      <c r="J89" s="1189"/>
      <c r="K89" s="1189"/>
      <c r="L89" s="357"/>
      <c r="M89" s="1189"/>
      <c r="N89" s="1189"/>
      <c r="O89" s="570"/>
      <c r="P89" s="1189"/>
      <c r="Q89" s="1189"/>
      <c r="R89" s="1189"/>
      <c r="S89" s="1189"/>
      <c r="T89" s="1189"/>
      <c r="U89" s="1481"/>
      <c r="V89" s="357"/>
      <c r="W89" s="357"/>
      <c r="X89" s="357"/>
      <c r="Y89" s="357"/>
    </row>
    <row r="90" spans="3:25" x14ac:dyDescent="0.2">
      <c r="C90" s="357"/>
      <c r="D90" s="357"/>
      <c r="E90" s="357"/>
      <c r="F90" s="357"/>
      <c r="G90" s="357"/>
      <c r="H90" s="357"/>
      <c r="I90" s="357"/>
      <c r="J90" s="1189"/>
      <c r="K90" s="1189"/>
      <c r="L90" s="357"/>
      <c r="M90" s="357"/>
      <c r="N90" s="570"/>
      <c r="O90" s="570"/>
      <c r="P90" s="357"/>
      <c r="Q90" s="357"/>
    </row>
    <row r="91" spans="3:25" ht="15" x14ac:dyDescent="0.25">
      <c r="C91" s="710"/>
      <c r="D91" s="357"/>
      <c r="E91" s="357"/>
      <c r="F91" s="1189"/>
      <c r="G91" s="357"/>
      <c r="H91" s="357"/>
      <c r="I91" s="357"/>
      <c r="J91" s="357"/>
      <c r="K91" s="357"/>
      <c r="L91" s="357"/>
      <c r="M91" s="357"/>
      <c r="N91" s="570"/>
      <c r="O91" s="570"/>
      <c r="P91" s="357"/>
      <c r="Q91" s="357"/>
    </row>
    <row r="92" spans="3:25" ht="16.5" x14ac:dyDescent="0.35">
      <c r="C92" s="710"/>
      <c r="D92" s="357"/>
      <c r="E92" s="357"/>
      <c r="F92" s="357"/>
      <c r="G92" s="47"/>
      <c r="H92" s="47"/>
      <c r="I92" s="47"/>
      <c r="J92" s="357"/>
      <c r="K92" s="357"/>
      <c r="L92" s="357"/>
      <c r="M92" s="553"/>
      <c r="N92" s="553"/>
      <c r="O92" s="553"/>
      <c r="P92" s="357"/>
      <c r="Q92" s="357"/>
    </row>
    <row r="93" spans="3:25" ht="15" x14ac:dyDescent="0.25">
      <c r="C93" s="710"/>
      <c r="D93" s="357"/>
      <c r="E93" s="357"/>
      <c r="F93" s="357"/>
      <c r="G93" s="47"/>
      <c r="H93" s="47"/>
      <c r="I93" s="47"/>
      <c r="J93" s="357"/>
      <c r="K93" s="357"/>
      <c r="L93" s="357"/>
      <c r="M93" s="1189"/>
      <c r="N93" s="1189"/>
      <c r="O93" s="1190"/>
      <c r="P93" s="357"/>
      <c r="Q93" s="357"/>
    </row>
    <row r="94" spans="3:25" ht="15" x14ac:dyDescent="0.25">
      <c r="C94" s="710"/>
      <c r="D94" s="357"/>
      <c r="E94" s="357"/>
      <c r="F94" s="357"/>
      <c r="N94" s="357"/>
      <c r="O94" s="357"/>
      <c r="P94" s="357"/>
      <c r="Q94" s="357"/>
    </row>
    <row r="95" spans="3:25" ht="15" x14ac:dyDescent="0.25">
      <c r="C95" s="357"/>
      <c r="D95" s="357"/>
      <c r="E95" s="357"/>
      <c r="F95" s="357"/>
      <c r="G95" s="47"/>
      <c r="H95" s="47"/>
      <c r="I95" s="51"/>
      <c r="J95" s="570"/>
      <c r="K95" s="570"/>
      <c r="L95" s="570"/>
      <c r="M95" s="570"/>
      <c r="N95" s="357"/>
      <c r="O95" s="1188"/>
      <c r="P95" s="571"/>
      <c r="Q95" s="357"/>
    </row>
    <row r="96" spans="3:25" x14ac:dyDescent="0.2">
      <c r="C96" s="357"/>
      <c r="D96" s="357"/>
      <c r="E96" s="357"/>
      <c r="F96" s="357"/>
      <c r="G96" s="357"/>
      <c r="H96" s="357"/>
      <c r="I96" s="570"/>
      <c r="J96" s="570"/>
      <c r="K96" s="570"/>
      <c r="L96" s="570"/>
      <c r="M96" s="570"/>
      <c r="N96" s="357"/>
      <c r="O96" s="1486"/>
      <c r="P96" s="571"/>
      <c r="Q96" s="357"/>
    </row>
    <row r="97" spans="3:17" ht="16.5" x14ac:dyDescent="0.35"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1089"/>
      <c r="P97" s="571"/>
      <c r="Q97" s="357"/>
    </row>
    <row r="98" spans="3:17" x14ac:dyDescent="0.2"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</row>
    <row r="99" spans="3:17" x14ac:dyDescent="0.2"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</row>
    <row r="100" spans="3:17" x14ac:dyDescent="0.2"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</row>
    <row r="101" spans="3:17" x14ac:dyDescent="0.2"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</row>
    <row r="102" spans="3:17" ht="15" x14ac:dyDescent="0.25">
      <c r="C102" s="339"/>
      <c r="D102" s="339"/>
      <c r="E102" s="339"/>
      <c r="F102" s="339"/>
      <c r="G102" s="339"/>
      <c r="H102" s="339"/>
      <c r="I102" s="339"/>
      <c r="K102" s="339"/>
      <c r="L102" s="339"/>
      <c r="M102" s="339"/>
      <c r="N102" s="1157"/>
      <c r="O102" s="692"/>
      <c r="P102" s="339"/>
      <c r="Q102" s="339"/>
    </row>
    <row r="103" spans="3:17" ht="15" x14ac:dyDescent="0.25">
      <c r="C103" s="1158"/>
      <c r="D103" s="339"/>
      <c r="E103" s="645"/>
      <c r="F103" s="645"/>
      <c r="G103" s="8"/>
      <c r="H103" s="8"/>
      <c r="I103" s="8"/>
      <c r="L103" s="339"/>
      <c r="M103" s="692"/>
      <c r="N103" s="1474"/>
      <c r="P103" s="339"/>
      <c r="Q103" s="339"/>
    </row>
    <row r="104" spans="3:17" x14ac:dyDescent="0.2">
      <c r="C104" s="339"/>
      <c r="D104" s="339"/>
      <c r="E104" s="1113"/>
      <c r="F104" s="1010"/>
      <c r="G104" s="692"/>
      <c r="H104" s="692"/>
      <c r="I104" s="692"/>
      <c r="J104" s="1159"/>
      <c r="K104" s="1113"/>
      <c r="L104" s="339"/>
      <c r="M104" s="1159"/>
      <c r="N104" s="1113"/>
      <c r="O104" s="1113"/>
      <c r="P104" s="1113"/>
      <c r="Q104" s="339"/>
    </row>
    <row r="105" spans="3:17" x14ac:dyDescent="0.2">
      <c r="C105" s="339"/>
      <c r="D105" s="339"/>
      <c r="E105" s="1113"/>
      <c r="F105" s="1010"/>
      <c r="G105" s="692"/>
      <c r="H105" s="692"/>
      <c r="I105" s="692"/>
      <c r="J105" s="1159"/>
      <c r="K105" s="1113"/>
      <c r="L105" s="339"/>
      <c r="M105" s="1159"/>
      <c r="N105" s="1113"/>
      <c r="O105" s="1113"/>
      <c r="P105" s="1113"/>
      <c r="Q105" s="339"/>
    </row>
    <row r="106" spans="3:17" x14ac:dyDescent="0.2">
      <c r="C106" s="339"/>
      <c r="D106" s="339"/>
      <c r="E106" s="1113"/>
      <c r="F106" s="1010"/>
      <c r="G106" s="692"/>
      <c r="H106" s="692"/>
      <c r="I106" s="692"/>
      <c r="J106" s="1159"/>
      <c r="K106" s="1113"/>
      <c r="L106" s="339"/>
      <c r="M106" s="1159"/>
      <c r="N106" s="1113"/>
      <c r="O106" s="1113"/>
      <c r="P106" s="1113"/>
      <c r="Q106" s="339"/>
    </row>
    <row r="107" spans="3:17" x14ac:dyDescent="0.2">
      <c r="C107" s="339"/>
      <c r="D107" s="339"/>
      <c r="E107" s="1113"/>
      <c r="F107" s="1010"/>
      <c r="G107" s="692"/>
      <c r="H107" s="692"/>
      <c r="I107" s="692"/>
      <c r="J107" s="1159"/>
      <c r="K107" s="1113"/>
      <c r="L107" s="339"/>
      <c r="M107" s="1159"/>
      <c r="N107" s="1113"/>
      <c r="O107" s="1113"/>
      <c r="P107" s="1113"/>
      <c r="Q107" s="339"/>
    </row>
    <row r="108" spans="3:17" x14ac:dyDescent="0.2">
      <c r="C108" s="339"/>
      <c r="D108" s="339"/>
      <c r="E108" s="1113"/>
      <c r="F108" s="1010"/>
      <c r="G108" s="692"/>
      <c r="H108" s="692"/>
      <c r="I108" s="692"/>
      <c r="J108" s="1159"/>
      <c r="K108" s="1113"/>
      <c r="L108" s="339"/>
      <c r="M108" s="1159"/>
      <c r="N108" s="1113"/>
      <c r="O108" s="1113"/>
      <c r="P108" s="1113"/>
      <c r="Q108" s="339"/>
    </row>
    <row r="109" spans="3:17" x14ac:dyDescent="0.2">
      <c r="C109" s="339"/>
      <c r="D109" s="339"/>
      <c r="E109" s="1113"/>
      <c r="F109" s="1010"/>
      <c r="G109" s="692"/>
      <c r="H109" s="692"/>
      <c r="I109" s="692"/>
      <c r="J109" s="1159"/>
      <c r="K109" s="1113"/>
      <c r="L109" s="339"/>
      <c r="M109" s="1159"/>
      <c r="N109" s="1113"/>
      <c r="O109" s="1113"/>
      <c r="P109" s="1113"/>
      <c r="Q109" s="339"/>
    </row>
    <row r="110" spans="3:17" x14ac:dyDescent="0.2">
      <c r="C110" s="339"/>
      <c r="D110" s="339"/>
      <c r="E110" s="1113"/>
      <c r="F110" s="1010"/>
      <c r="G110" s="692"/>
      <c r="H110" s="692"/>
      <c r="I110" s="692"/>
      <c r="J110" s="1159"/>
      <c r="K110" s="1113"/>
      <c r="L110" s="339"/>
      <c r="M110" s="1159"/>
      <c r="N110" s="1113"/>
      <c r="O110" s="1113"/>
      <c r="P110" s="1113"/>
      <c r="Q110" s="339"/>
    </row>
    <row r="111" spans="3:17" ht="16.5" x14ac:dyDescent="0.35">
      <c r="C111" s="339"/>
      <c r="D111" s="339"/>
      <c r="E111" s="810"/>
      <c r="F111" s="205"/>
      <c r="G111" s="205"/>
      <c r="H111" s="205"/>
      <c r="I111" s="205"/>
      <c r="J111" s="1160"/>
      <c r="K111" s="810"/>
      <c r="L111" s="339"/>
      <c r="M111" s="1160"/>
      <c r="N111" s="810"/>
      <c r="O111" s="810"/>
      <c r="P111" s="810"/>
      <c r="Q111" s="339"/>
    </row>
    <row r="112" spans="3:17" x14ac:dyDescent="0.2">
      <c r="C112" s="339"/>
      <c r="D112" s="339"/>
      <c r="E112" s="1113"/>
      <c r="F112" s="1010"/>
      <c r="G112" s="692"/>
      <c r="H112" s="692"/>
      <c r="I112" s="692"/>
      <c r="J112" s="732"/>
      <c r="K112" s="1010"/>
      <c r="L112" s="339"/>
      <c r="M112" s="1159"/>
      <c r="N112" s="1113"/>
      <c r="O112" s="1113"/>
      <c r="P112" s="1113"/>
      <c r="Q112" s="339"/>
    </row>
    <row r="113" spans="3:17" x14ac:dyDescent="0.2">
      <c r="C113" s="339"/>
      <c r="D113" s="339"/>
      <c r="E113" s="1113"/>
      <c r="F113" s="1010"/>
      <c r="G113" s="692"/>
      <c r="H113" s="692"/>
      <c r="I113" s="692"/>
      <c r="J113" s="1159"/>
      <c r="K113" s="1010"/>
      <c r="L113" s="339"/>
      <c r="M113" s="1159"/>
      <c r="N113" s="1113"/>
      <c r="O113" s="1113"/>
      <c r="P113" s="1113"/>
      <c r="Q113" s="339"/>
    </row>
    <row r="114" spans="3:17" ht="16.5" x14ac:dyDescent="0.35">
      <c r="C114" s="339"/>
      <c r="D114" s="339"/>
      <c r="E114" s="810"/>
      <c r="F114" s="205"/>
      <c r="G114" s="205"/>
      <c r="H114" s="205"/>
      <c r="I114" s="205"/>
      <c r="J114" s="1160"/>
      <c r="K114" s="205"/>
      <c r="L114" s="339"/>
      <c r="M114" s="1160"/>
      <c r="N114" s="810"/>
      <c r="O114" s="810"/>
      <c r="P114" s="810"/>
      <c r="Q114" s="339"/>
    </row>
    <row r="115" spans="3:17" ht="16.5" x14ac:dyDescent="0.35">
      <c r="C115" s="339"/>
      <c r="D115" s="339"/>
      <c r="E115" s="810"/>
      <c r="F115" s="205"/>
      <c r="G115" s="205"/>
      <c r="H115" s="205"/>
      <c r="I115" s="205"/>
      <c r="J115" s="1160"/>
      <c r="K115" s="205"/>
      <c r="L115" s="339"/>
      <c r="M115" s="1160"/>
      <c r="N115" s="810"/>
      <c r="O115" s="810"/>
      <c r="P115" s="205"/>
      <c r="Q115" s="339"/>
    </row>
    <row r="116" spans="3:17" x14ac:dyDescent="0.2">
      <c r="C116" s="339"/>
      <c r="D116" s="339"/>
      <c r="E116" s="1113"/>
      <c r="F116" s="1010"/>
      <c r="G116" s="692"/>
      <c r="H116" s="692"/>
      <c r="I116" s="692"/>
      <c r="J116" s="732"/>
      <c r="K116" s="1010"/>
      <c r="L116" s="339"/>
      <c r="M116" s="1159"/>
      <c r="N116" s="1113"/>
      <c r="O116" s="1113"/>
      <c r="P116" s="1010"/>
      <c r="Q116" s="339"/>
    </row>
    <row r="117" spans="3:17" x14ac:dyDescent="0.2">
      <c r="C117" s="339"/>
      <c r="D117" s="339"/>
      <c r="E117" s="339"/>
      <c r="F117" s="339"/>
      <c r="G117" s="339"/>
      <c r="H117" s="339"/>
      <c r="I117" s="339"/>
      <c r="J117" s="1159"/>
      <c r="K117" s="339"/>
      <c r="L117" s="339"/>
      <c r="M117" s="339"/>
      <c r="N117" s="1010"/>
      <c r="P117" s="339"/>
      <c r="Q117" s="339"/>
    </row>
    <row r="118" spans="3:17" x14ac:dyDescent="0.2"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O118" s="339"/>
      <c r="P118" s="339"/>
      <c r="Q118" s="339"/>
    </row>
    <row r="119" spans="3:17" x14ac:dyDescent="0.2"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1113"/>
      <c r="O119" s="339"/>
      <c r="P119" s="339"/>
      <c r="Q119" s="339"/>
    </row>
    <row r="120" spans="3:17" x14ac:dyDescent="0.2"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</row>
    <row r="121" spans="3:17" x14ac:dyDescent="0.2"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</row>
    <row r="122" spans="3:17" x14ac:dyDescent="0.2">
      <c r="C122" s="339"/>
      <c r="D122" s="339"/>
      <c r="E122" s="1113"/>
      <c r="F122" s="1010"/>
      <c r="G122" s="692"/>
      <c r="H122" s="692"/>
      <c r="I122" s="692"/>
      <c r="J122" s="339"/>
      <c r="K122" s="339"/>
      <c r="L122" s="339"/>
      <c r="M122" s="339"/>
      <c r="N122" s="339"/>
      <c r="O122" s="339"/>
      <c r="P122" s="339"/>
      <c r="Q122" s="339"/>
    </row>
    <row r="123" spans="3:17" x14ac:dyDescent="0.2">
      <c r="D123" s="339"/>
      <c r="E123" s="1113"/>
      <c r="F123" s="1010"/>
      <c r="G123" s="692"/>
      <c r="H123" s="692"/>
      <c r="I123" s="692"/>
      <c r="J123" s="339"/>
      <c r="K123" s="339"/>
      <c r="L123" s="339"/>
      <c r="N123" s="339"/>
      <c r="O123" s="1113"/>
      <c r="P123" s="1010"/>
      <c r="Q123" s="692"/>
    </row>
    <row r="124" spans="3:17" x14ac:dyDescent="0.2">
      <c r="C124" s="339"/>
      <c r="D124" s="339"/>
      <c r="E124" s="1161"/>
      <c r="F124" s="1095"/>
      <c r="G124" s="1095"/>
      <c r="H124" s="1095"/>
      <c r="I124" s="1095"/>
      <c r="K124" s="339"/>
      <c r="L124" s="339"/>
      <c r="M124" s="339"/>
      <c r="N124" s="727"/>
      <c r="O124" s="1095"/>
      <c r="P124" s="1095"/>
    </row>
    <row r="125" spans="3:17" x14ac:dyDescent="0.2">
      <c r="C125" s="339"/>
      <c r="D125" s="339"/>
      <c r="E125" s="1113"/>
      <c r="F125" s="692"/>
      <c r="G125" s="692"/>
      <c r="H125" s="692"/>
      <c r="I125" s="692"/>
      <c r="J125" s="1159"/>
      <c r="K125" s="339"/>
      <c r="L125" s="339"/>
      <c r="M125" s="339"/>
      <c r="N125" s="1113"/>
      <c r="O125" s="749"/>
      <c r="P125" s="692"/>
      <c r="Q125" s="1159"/>
    </row>
    <row r="126" spans="3:17" x14ac:dyDescent="0.2">
      <c r="C126" s="339"/>
      <c r="D126" s="339"/>
      <c r="E126" s="1113"/>
      <c r="F126" s="692"/>
      <c r="G126" s="692"/>
      <c r="H126" s="692"/>
      <c r="I126" s="692"/>
      <c r="J126" s="1159"/>
      <c r="K126" s="339"/>
      <c r="L126" s="339"/>
      <c r="M126" s="339"/>
      <c r="N126" s="1113"/>
      <c r="O126" s="749"/>
      <c r="P126" s="692"/>
      <c r="Q126" s="1159"/>
    </row>
    <row r="127" spans="3:17" x14ac:dyDescent="0.2">
      <c r="C127" s="339"/>
      <c r="D127" s="339"/>
      <c r="E127" s="1113"/>
      <c r="F127" s="692"/>
      <c r="G127" s="692"/>
      <c r="H127" s="692"/>
      <c r="I127" s="692"/>
      <c r="J127" s="1159"/>
      <c r="K127" s="339"/>
      <c r="L127" s="339"/>
      <c r="M127" s="339"/>
      <c r="N127" s="1113"/>
      <c r="O127" s="749"/>
      <c r="P127" s="692"/>
      <c r="Q127" s="1159"/>
    </row>
    <row r="128" spans="3:17" x14ac:dyDescent="0.2">
      <c r="C128" s="339"/>
      <c r="D128" s="339"/>
      <c r="E128" s="1113"/>
      <c r="F128" s="692"/>
      <c r="G128" s="692"/>
      <c r="H128" s="692"/>
      <c r="I128" s="692"/>
      <c r="J128" s="1159"/>
      <c r="K128" s="339"/>
      <c r="L128" s="339"/>
      <c r="M128" s="339"/>
      <c r="N128" s="1113"/>
      <c r="O128" s="749"/>
      <c r="P128" s="692"/>
      <c r="Q128" s="1159"/>
    </row>
    <row r="129" spans="3:17" ht="16.5" x14ac:dyDescent="0.35">
      <c r="C129" s="339"/>
      <c r="D129" s="339"/>
      <c r="E129" s="810"/>
      <c r="F129" s="692"/>
      <c r="G129" s="692"/>
      <c r="H129" s="692"/>
      <c r="I129" s="692"/>
      <c r="J129" s="1159"/>
      <c r="K129" s="339"/>
      <c r="L129" s="339"/>
      <c r="M129" s="339"/>
      <c r="N129" s="803"/>
      <c r="O129" s="749"/>
      <c r="P129" s="692"/>
      <c r="Q129" s="1159"/>
    </row>
    <row r="130" spans="3:17" x14ac:dyDescent="0.2">
      <c r="C130" s="339"/>
      <c r="D130" s="339"/>
      <c r="E130" s="1113"/>
      <c r="F130" s="692"/>
      <c r="G130" s="692"/>
      <c r="H130" s="692"/>
      <c r="I130" s="692"/>
      <c r="J130" s="1159"/>
      <c r="K130" s="339"/>
      <c r="L130" s="339"/>
      <c r="M130" s="339"/>
      <c r="N130" s="1113"/>
      <c r="O130" s="749"/>
      <c r="P130" s="692"/>
      <c r="Q130" s="1159"/>
    </row>
    <row r="131" spans="3:17" x14ac:dyDescent="0.2">
      <c r="C131" s="339"/>
      <c r="D131" s="339"/>
      <c r="E131" s="1113"/>
      <c r="F131" s="692"/>
      <c r="G131" s="692"/>
      <c r="H131" s="692"/>
      <c r="I131" s="692"/>
      <c r="J131" s="1159"/>
      <c r="K131" s="339"/>
      <c r="L131" s="339"/>
      <c r="M131" s="339"/>
      <c r="N131" s="1113"/>
      <c r="O131" s="749"/>
      <c r="P131" s="692"/>
      <c r="Q131" s="1159"/>
    </row>
    <row r="132" spans="3:17" ht="16.5" x14ac:dyDescent="0.35">
      <c r="C132" s="339"/>
      <c r="D132" s="339"/>
      <c r="E132" s="810"/>
      <c r="F132" s="692"/>
      <c r="G132" s="205"/>
      <c r="H132" s="205"/>
      <c r="I132" s="205"/>
      <c r="J132" s="1160"/>
      <c r="K132" s="339"/>
      <c r="L132" s="339"/>
      <c r="M132" s="339"/>
      <c r="N132" s="810"/>
      <c r="O132" s="1162"/>
      <c r="P132" s="205"/>
      <c r="Q132" s="1160"/>
    </row>
    <row r="133" spans="3:17" ht="15" x14ac:dyDescent="0.25">
      <c r="C133" s="8"/>
      <c r="D133" s="339"/>
      <c r="E133" s="803"/>
      <c r="F133" s="692"/>
      <c r="G133" s="692"/>
      <c r="H133" s="692"/>
      <c r="I133" s="692"/>
      <c r="J133" s="1159"/>
      <c r="K133" s="339"/>
      <c r="L133" s="339"/>
      <c r="M133" s="8"/>
      <c r="N133" s="805"/>
      <c r="O133" s="191"/>
      <c r="P133" s="191"/>
      <c r="Q133" s="1163"/>
    </row>
    <row r="134" spans="3:17" x14ac:dyDescent="0.2">
      <c r="C134" s="339"/>
      <c r="D134" s="339"/>
      <c r="E134" s="1113"/>
      <c r="F134" s="692"/>
      <c r="G134" s="692"/>
      <c r="H134" s="692"/>
      <c r="I134" s="692"/>
      <c r="J134" s="1159"/>
      <c r="K134" s="339"/>
      <c r="L134" s="339"/>
      <c r="M134" s="339"/>
      <c r="N134" s="1113"/>
      <c r="O134" s="749"/>
      <c r="P134" s="692"/>
      <c r="Q134" s="1159"/>
    </row>
    <row r="135" spans="3:17" ht="16.5" x14ac:dyDescent="0.35">
      <c r="C135" s="339"/>
      <c r="D135" s="339"/>
      <c r="E135" s="810"/>
      <c r="F135" s="692"/>
      <c r="G135" s="205"/>
      <c r="H135" s="205"/>
      <c r="I135" s="205"/>
      <c r="J135" s="1160"/>
      <c r="K135" s="339"/>
      <c r="L135" s="339"/>
      <c r="M135" s="339"/>
      <c r="N135" s="810"/>
      <c r="O135" s="1162"/>
      <c r="P135" s="205"/>
      <c r="Q135" s="1160"/>
    </row>
    <row r="136" spans="3:17" ht="19.5" x14ac:dyDescent="0.55000000000000004">
      <c r="C136" s="8"/>
      <c r="D136" s="339"/>
      <c r="E136" s="810"/>
      <c r="F136" s="692"/>
      <c r="G136" s="205"/>
      <c r="H136" s="205"/>
      <c r="I136" s="205"/>
      <c r="J136" s="1160"/>
      <c r="K136" s="339"/>
      <c r="L136" s="339"/>
      <c r="M136" s="8"/>
      <c r="N136" s="859"/>
      <c r="O136" s="1164"/>
      <c r="P136" s="1165"/>
      <c r="Q136" s="1166"/>
    </row>
    <row r="137" spans="3:17" ht="15" x14ac:dyDescent="0.25">
      <c r="C137" s="8"/>
      <c r="D137" s="339"/>
      <c r="E137" s="1113"/>
      <c r="F137" s="692"/>
      <c r="G137" s="692"/>
      <c r="H137" s="692"/>
      <c r="I137" s="692"/>
      <c r="J137" s="1159"/>
      <c r="K137" s="339"/>
      <c r="L137" s="339"/>
      <c r="M137" s="8"/>
      <c r="N137" s="805"/>
      <c r="O137" s="805"/>
      <c r="P137" s="191"/>
      <c r="Q137" s="1163"/>
    </row>
    <row r="138" spans="3:17" x14ac:dyDescent="0.2">
      <c r="C138" s="339"/>
      <c r="D138" s="339"/>
      <c r="E138" s="339"/>
      <c r="G138" s="339"/>
      <c r="H138" s="339"/>
      <c r="I138" s="339"/>
      <c r="J138" s="339"/>
      <c r="K138" s="339"/>
      <c r="L138" s="339"/>
      <c r="M138" s="339"/>
      <c r="N138" s="1010"/>
      <c r="O138" s="339"/>
      <c r="P138" s="339"/>
    </row>
  </sheetData>
  <conditionalFormatting sqref="O97">
    <cfRule type="cellIs" dxfId="1" priority="1" stopIfTrue="1" operator="lessThan">
      <formula>0</formula>
    </cfRule>
  </conditionalFormatting>
  <printOptions horizontalCentered="1"/>
  <pageMargins left="0.5" right="0.5" top="1.25" bottom="0.75" header="1" footer="0.3"/>
  <pageSetup scale="70" orientation="landscape"/>
  <headerFooter>
    <oddHeader>&amp;RWP/II-I-1.6
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07"/>
  <sheetViews>
    <sheetView view="pageBreakPreview" topLeftCell="A19" zoomScaleNormal="100" zoomScaleSheetLayoutView="100" workbookViewId="0">
      <selection activeCell="N38" sqref="N38"/>
    </sheetView>
  </sheetViews>
  <sheetFormatPr defaultColWidth="9" defaultRowHeight="14.25" x14ac:dyDescent="0.2"/>
  <cols>
    <col min="1" max="1" width="3.875" style="848" customWidth="1"/>
    <col min="2" max="2" width="18.875" style="880" customWidth="1"/>
    <col min="3" max="3" width="0.875" style="880" customWidth="1"/>
    <col min="4" max="4" width="16.625" style="880" customWidth="1"/>
    <col min="5" max="5" width="0.75" style="880" customWidth="1"/>
    <col min="6" max="6" width="11.625" style="880" customWidth="1"/>
    <col min="7" max="7" width="0.75" style="880" customWidth="1"/>
    <col min="8" max="8" width="14.5" style="880" customWidth="1"/>
    <col min="9" max="9" width="0.75" style="880" customWidth="1"/>
    <col min="10" max="10" width="13.875" style="880" customWidth="1"/>
    <col min="11" max="11" width="1" style="880" customWidth="1"/>
    <col min="12" max="12" width="14" style="880" customWidth="1"/>
    <col min="13" max="13" width="1.125" style="880" customWidth="1"/>
    <col min="14" max="14" width="14.25" style="880" customWidth="1"/>
    <col min="15" max="15" width="0.75" style="880" customWidth="1"/>
    <col min="16" max="16" width="15.75" style="880" customWidth="1"/>
    <col min="17" max="17" width="0.625" style="880" customWidth="1"/>
    <col min="18" max="18" width="17.625" style="880" customWidth="1"/>
    <col min="19" max="19" width="0.875" style="880" customWidth="1"/>
    <col min="20" max="20" width="12.875" style="880" customWidth="1"/>
    <col min="21" max="21" width="1" style="880" customWidth="1"/>
    <col min="22" max="22" width="16.75" style="880" customWidth="1"/>
    <col min="23" max="23" width="0.875" style="880" customWidth="1"/>
    <col min="24" max="24" width="16.125" style="880" customWidth="1"/>
    <col min="25" max="25" width="1.5" style="880" customWidth="1"/>
    <col min="26" max="26" width="2.625" style="880" customWidth="1"/>
    <col min="27" max="27" width="14.625" style="880" customWidth="1"/>
    <col min="28" max="28" width="2.625" style="880" customWidth="1"/>
    <col min="29" max="29" width="22.75" style="880" customWidth="1"/>
    <col min="30" max="30" width="15.75" style="880" customWidth="1"/>
    <col min="31" max="31" width="15.625" style="880" customWidth="1"/>
    <col min="32" max="32" width="2.625" style="880" customWidth="1"/>
    <col min="33" max="33" width="18.25" style="880" bestFit="1" customWidth="1"/>
    <col min="34" max="38" width="9" style="880"/>
    <col min="39" max="39" width="14" style="880" customWidth="1"/>
    <col min="40" max="16384" width="9" style="880"/>
  </cols>
  <sheetData>
    <row r="1" spans="1:33" x14ac:dyDescent="0.2">
      <c r="A1" s="899"/>
      <c r="B1" s="1642" t="s">
        <v>1227</v>
      </c>
      <c r="C1" s="1642"/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1642"/>
      <c r="Q1" s="1642"/>
      <c r="R1" s="1642"/>
      <c r="S1" s="1642"/>
      <c r="T1" s="1642"/>
      <c r="U1" s="1642"/>
      <c r="V1" s="1642"/>
      <c r="W1" s="1642"/>
      <c r="X1" s="1642"/>
      <c r="Y1" s="1642"/>
    </row>
    <row r="2" spans="1:33" ht="15" x14ac:dyDescent="0.2">
      <c r="A2" s="1062"/>
      <c r="B2" s="1642" t="s">
        <v>1</v>
      </c>
      <c r="C2" s="1642"/>
      <c r="D2" s="1642"/>
      <c r="E2" s="1642"/>
      <c r="F2" s="1642"/>
      <c r="G2" s="1642"/>
      <c r="H2" s="1642"/>
      <c r="I2" s="1642"/>
      <c r="J2" s="1642"/>
      <c r="K2" s="1642"/>
      <c r="L2" s="1642"/>
      <c r="M2" s="1642"/>
      <c r="N2" s="1642"/>
      <c r="O2" s="1642"/>
      <c r="P2" s="1642"/>
      <c r="Q2" s="1642"/>
      <c r="R2" s="1642"/>
      <c r="S2" s="1642"/>
      <c r="T2" s="1642"/>
      <c r="U2" s="1642"/>
      <c r="V2" s="1642"/>
      <c r="W2" s="1642"/>
      <c r="X2" s="1642"/>
      <c r="Y2" s="1642"/>
    </row>
    <row r="3" spans="1:33" x14ac:dyDescent="0.2">
      <c r="B3" s="1642" t="s">
        <v>924</v>
      </c>
      <c r="C3" s="1642"/>
      <c r="D3" s="1642"/>
      <c r="E3" s="1642"/>
      <c r="F3" s="1642"/>
      <c r="G3" s="1642"/>
      <c r="H3" s="1642"/>
      <c r="I3" s="1642"/>
      <c r="J3" s="1642"/>
      <c r="K3" s="1642"/>
      <c r="L3" s="1642"/>
      <c r="M3" s="1642"/>
      <c r="N3" s="1642"/>
      <c r="O3" s="1642"/>
      <c r="P3" s="1642"/>
      <c r="Q3" s="1642"/>
      <c r="R3" s="1642"/>
      <c r="S3" s="1642"/>
      <c r="T3" s="1642"/>
      <c r="U3" s="1642"/>
      <c r="V3" s="1642"/>
      <c r="W3" s="1642"/>
      <c r="X3" s="1642"/>
      <c r="Y3" s="1642"/>
    </row>
    <row r="4" spans="1:33" x14ac:dyDescent="0.2">
      <c r="B4" s="1642" t="s">
        <v>1228</v>
      </c>
      <c r="C4" s="1642"/>
      <c r="D4" s="1642"/>
      <c r="E4" s="1642"/>
      <c r="F4" s="1642"/>
      <c r="G4" s="1642"/>
      <c r="H4" s="1642"/>
      <c r="I4" s="1642"/>
      <c r="J4" s="1642"/>
      <c r="K4" s="1642"/>
      <c r="L4" s="1642"/>
      <c r="M4" s="1642"/>
      <c r="N4" s="1642"/>
      <c r="O4" s="1642"/>
      <c r="P4" s="1642"/>
      <c r="Q4" s="1642"/>
      <c r="R4" s="1642"/>
      <c r="S4" s="1642"/>
      <c r="T4" s="1642"/>
      <c r="U4" s="1642"/>
      <c r="V4" s="1642"/>
      <c r="W4" s="1642"/>
      <c r="X4" s="1642"/>
      <c r="Y4" s="1642"/>
    </row>
    <row r="5" spans="1:33" x14ac:dyDescent="0.2">
      <c r="B5" s="1642" t="s">
        <v>1116</v>
      </c>
      <c r="C5" s="1642"/>
      <c r="D5" s="1642"/>
      <c r="E5" s="1642"/>
      <c r="F5" s="1642"/>
      <c r="G5" s="1642"/>
      <c r="H5" s="1642"/>
      <c r="I5" s="1642"/>
      <c r="J5" s="1642"/>
      <c r="K5" s="1642"/>
      <c r="L5" s="1642"/>
      <c r="M5" s="1642"/>
      <c r="N5" s="1642"/>
      <c r="O5" s="1642"/>
      <c r="P5" s="1642"/>
      <c r="Q5" s="1642"/>
      <c r="R5" s="1642"/>
      <c r="S5" s="1642"/>
      <c r="T5" s="1642"/>
      <c r="U5" s="1642"/>
      <c r="V5" s="1642"/>
      <c r="W5" s="1642"/>
      <c r="X5" s="1642"/>
      <c r="Y5" s="1642"/>
    </row>
    <row r="6" spans="1:33" ht="8.25" customHeight="1" x14ac:dyDescent="0.2">
      <c r="C6" s="899"/>
      <c r="D6" s="899"/>
      <c r="E6" s="899"/>
      <c r="F6" s="899"/>
      <c r="G6" s="899"/>
      <c r="H6" s="899"/>
      <c r="I6" s="899"/>
      <c r="J6" s="899"/>
      <c r="K6" s="899"/>
      <c r="L6" s="899"/>
      <c r="M6" s="899"/>
      <c r="N6" s="899"/>
      <c r="O6" s="899"/>
      <c r="P6" s="899"/>
      <c r="Q6" s="899"/>
      <c r="R6" s="899"/>
      <c r="S6" s="899"/>
      <c r="T6" s="899"/>
      <c r="U6" s="899"/>
      <c r="V6" s="899"/>
      <c r="W6" s="899"/>
      <c r="X6" s="899"/>
      <c r="Y6" s="899"/>
    </row>
    <row r="7" spans="1:33" x14ac:dyDescent="0.2">
      <c r="B7" s="1642" t="s">
        <v>1101</v>
      </c>
      <c r="C7" s="1642"/>
      <c r="D7" s="1642"/>
      <c r="E7" s="1642"/>
      <c r="F7" s="1642"/>
      <c r="G7" s="1642"/>
      <c r="H7" s="1642"/>
      <c r="I7" s="1642"/>
      <c r="J7" s="1642"/>
      <c r="K7" s="1642"/>
      <c r="L7" s="1642"/>
      <c r="M7" s="1642"/>
      <c r="N7" s="1642"/>
      <c r="O7" s="1642"/>
      <c r="P7" s="1642"/>
      <c r="Q7" s="1642"/>
      <c r="R7" s="1642"/>
      <c r="S7" s="1642"/>
      <c r="T7" s="1642"/>
      <c r="U7" s="1642"/>
      <c r="V7" s="1642"/>
      <c r="W7" s="1642"/>
      <c r="X7" s="1642"/>
      <c r="Y7" s="1642"/>
    </row>
    <row r="8" spans="1:33" ht="7.5" customHeight="1" x14ac:dyDescent="0.2">
      <c r="AA8" s="882"/>
      <c r="AC8" s="883"/>
      <c r="AE8" s="882"/>
    </row>
    <row r="9" spans="1:33" ht="15" x14ac:dyDescent="0.25">
      <c r="D9" s="882" t="s">
        <v>1059</v>
      </c>
      <c r="E9" s="882"/>
      <c r="F9" s="882" t="s">
        <v>1060</v>
      </c>
      <c r="G9" s="882"/>
      <c r="H9" s="882" t="s">
        <v>1061</v>
      </c>
      <c r="J9" s="882" t="s">
        <v>1062</v>
      </c>
      <c r="L9" s="882" t="s">
        <v>1063</v>
      </c>
      <c r="N9" s="882" t="s">
        <v>1064</v>
      </c>
      <c r="P9" s="884" t="s">
        <v>1065</v>
      </c>
      <c r="R9" s="884" t="s">
        <v>1066</v>
      </c>
      <c r="T9" s="882" t="s">
        <v>1067</v>
      </c>
      <c r="U9" s="882"/>
      <c r="V9" s="882" t="s">
        <v>1068</v>
      </c>
      <c r="X9" s="882" t="s">
        <v>1069</v>
      </c>
      <c r="AA9" s="883"/>
      <c r="AC9" s="882"/>
      <c r="AE9" s="883"/>
      <c r="AG9" s="882"/>
    </row>
    <row r="10" spans="1:33" ht="18" x14ac:dyDescent="0.35">
      <c r="A10" s="902" t="s">
        <v>385</v>
      </c>
      <c r="B10" s="885" t="s">
        <v>1070</v>
      </c>
      <c r="D10" s="885" t="s">
        <v>1071</v>
      </c>
      <c r="E10" s="883"/>
      <c r="F10" s="885" t="s">
        <v>1072</v>
      </c>
      <c r="G10" s="883"/>
      <c r="H10" s="885" t="s">
        <v>855</v>
      </c>
      <c r="J10" s="885" t="s">
        <v>1073</v>
      </c>
      <c r="L10" s="885" t="s">
        <v>1074</v>
      </c>
      <c r="N10" s="885" t="s">
        <v>1075</v>
      </c>
      <c r="P10" s="885" t="s">
        <v>1076</v>
      </c>
      <c r="R10" s="885" t="s">
        <v>1077</v>
      </c>
      <c r="T10" s="886" t="s">
        <v>1078</v>
      </c>
      <c r="U10" s="886"/>
      <c r="V10" s="886" t="s">
        <v>1079</v>
      </c>
      <c r="X10" s="886" t="s">
        <v>1080</v>
      </c>
      <c r="AC10" s="882"/>
      <c r="AE10" s="882"/>
    </row>
    <row r="11" spans="1:33" ht="7.5" customHeight="1" x14ac:dyDescent="0.2">
      <c r="AD11" s="1113"/>
    </row>
    <row r="12" spans="1:33" x14ac:dyDescent="0.2">
      <c r="A12" s="848">
        <v>1</v>
      </c>
      <c r="B12" s="880" t="s">
        <v>679</v>
      </c>
      <c r="D12" s="887">
        <f ca="1">'II-I-Total'!J79</f>
        <v>7701231395.3489199</v>
      </c>
      <c r="E12" s="887"/>
      <c r="F12" s="888"/>
      <c r="G12" s="887"/>
      <c r="H12" s="887">
        <f ca="1">'II-I-Total'!J83</f>
        <v>575281985.23256433</v>
      </c>
      <c r="J12" s="887">
        <f ca="1">'II-I-Total'!J22</f>
        <v>401613302.49240291</v>
      </c>
      <c r="L12" s="887">
        <f ca="1">'II-I-Total'!J25</f>
        <v>78668226.00244163</v>
      </c>
      <c r="N12" s="887">
        <f ca="1">'II-I-Total'!J1094+'II-I-Total'!J1098</f>
        <v>95884270.145115227</v>
      </c>
      <c r="P12" s="887">
        <f ca="1">SUM(H12:N12)</f>
        <v>1151447783.872524</v>
      </c>
      <c r="R12" s="889"/>
      <c r="T12" s="887">
        <f ca="1">ROUND(P12*R12,0)</f>
        <v>0</v>
      </c>
      <c r="U12" s="887"/>
      <c r="V12" s="887">
        <f ca="1">'II-I-Total'!J366</f>
        <v>8023109569.779583</v>
      </c>
      <c r="X12" s="890">
        <f ca="1">V12/$V$32</f>
        <v>0.54391633003690754</v>
      </c>
      <c r="Y12" s="1113"/>
      <c r="AC12" s="887"/>
      <c r="AD12" s="1113"/>
      <c r="AE12" s="887"/>
      <c r="AG12" s="891"/>
    </row>
    <row r="13" spans="1:33" ht="12" customHeight="1" x14ac:dyDescent="0.2">
      <c r="D13" s="887"/>
      <c r="E13" s="887"/>
      <c r="F13" s="887"/>
      <c r="G13" s="887"/>
      <c r="H13" s="887"/>
      <c r="J13" s="887"/>
      <c r="L13" s="887"/>
      <c r="N13" s="887"/>
      <c r="P13" s="887"/>
      <c r="T13" s="887"/>
      <c r="U13" s="887"/>
      <c r="V13" s="887"/>
      <c r="X13" s="890"/>
      <c r="Y13" s="1113"/>
      <c r="AC13" s="887"/>
      <c r="AD13" s="1285"/>
      <c r="AE13" s="887"/>
    </row>
    <row r="14" spans="1:33" x14ac:dyDescent="0.2">
      <c r="A14" s="848">
        <f>A12+1</f>
        <v>2</v>
      </c>
      <c r="B14" s="880" t="s">
        <v>1081</v>
      </c>
      <c r="D14" s="887">
        <f ca="1">'II-I-Total'!K79</f>
        <v>241021038.76455149</v>
      </c>
      <c r="E14" s="887"/>
      <c r="F14" s="888"/>
      <c r="G14" s="887"/>
      <c r="H14" s="887">
        <f ca="1">'II-I-Total'!K83</f>
        <v>18004271.595711999</v>
      </c>
      <c r="J14" s="887">
        <f ca="1">'II-I-Total'!K22</f>
        <v>18899507.391811844</v>
      </c>
      <c r="L14" s="887">
        <f ca="1">'II-I-Total'!K25</f>
        <v>2333594.427766101</v>
      </c>
      <c r="N14" s="887">
        <f ca="1">'II-I-Total'!K1094+'II-I-Total'!K1098</f>
        <v>3481287.7266180478</v>
      </c>
      <c r="P14" s="887">
        <f t="shared" ref="P14:P28" ca="1" si="0">SUM(H14:N14)</f>
        <v>42718661.14190799</v>
      </c>
      <c r="R14" s="889"/>
      <c r="T14" s="887">
        <f t="shared" ref="T14:T30" ca="1" si="1">ROUND(P14*R14,0)</f>
        <v>0</v>
      </c>
      <c r="U14" s="887"/>
      <c r="V14" s="887">
        <f ca="1">'II-I-Total'!K366</f>
        <v>252917381.61785617</v>
      </c>
      <c r="X14" s="890">
        <f ca="1">V14/$V$32</f>
        <v>1.7146206569369795E-2</v>
      </c>
      <c r="Y14" s="1113"/>
      <c r="AC14" s="887"/>
      <c r="AD14" s="1113"/>
      <c r="AE14" s="887"/>
      <c r="AG14" s="891"/>
    </row>
    <row r="15" spans="1:33" ht="11.25" customHeight="1" x14ac:dyDescent="0.2">
      <c r="D15" s="887"/>
      <c r="E15" s="887"/>
      <c r="F15" s="887"/>
      <c r="G15" s="887"/>
      <c r="H15" s="887"/>
      <c r="J15" s="887"/>
      <c r="L15" s="887"/>
      <c r="N15" s="887"/>
      <c r="P15" s="887"/>
      <c r="T15" s="887"/>
      <c r="U15" s="887"/>
      <c r="V15" s="887"/>
      <c r="X15" s="890"/>
      <c r="Y15" s="1113"/>
      <c r="AC15" s="887"/>
      <c r="AD15" s="1113"/>
      <c r="AE15" s="887"/>
    </row>
    <row r="16" spans="1:33" x14ac:dyDescent="0.2">
      <c r="A16" s="848">
        <f>A14+1</f>
        <v>3</v>
      </c>
      <c r="B16" s="880" t="s">
        <v>1082</v>
      </c>
      <c r="D16" s="887">
        <f ca="1">'II-I-Total'!L79</f>
        <v>4895708692.4099417</v>
      </c>
      <c r="E16" s="887"/>
      <c r="F16" s="888"/>
      <c r="G16" s="887"/>
      <c r="H16" s="887">
        <f ca="1">'II-I-Total'!L83</f>
        <v>365709439.32302266</v>
      </c>
      <c r="J16" s="887">
        <f ca="1">'II-I-Total'!L22</f>
        <v>249378316.79489201</v>
      </c>
      <c r="L16" s="887">
        <f ca="1">'II-I-Total'!L25</f>
        <v>50108867.645949163</v>
      </c>
      <c r="N16" s="887">
        <f ca="1">'II-I-Total'!L1094+'II-I-Total'!L1098</f>
        <v>60376324.26889731</v>
      </c>
      <c r="P16" s="887">
        <f t="shared" ca="1" si="0"/>
        <v>725572948.0327611</v>
      </c>
      <c r="R16" s="889"/>
      <c r="T16" s="887">
        <f t="shared" ca="1" si="1"/>
        <v>0</v>
      </c>
      <c r="U16" s="887"/>
      <c r="V16" s="887">
        <f ca="1">'II-I-Total'!L366</f>
        <v>5076687964.3456945</v>
      </c>
      <c r="X16" s="890">
        <f ca="1">V16/$V$32</f>
        <v>0.34416749045910255</v>
      </c>
      <c r="Y16" s="1113"/>
      <c r="AC16" s="887"/>
      <c r="AD16" s="1113"/>
      <c r="AE16" s="889"/>
      <c r="AG16" s="1283"/>
    </row>
    <row r="17" spans="1:33" ht="11.25" customHeight="1" x14ac:dyDescent="0.2">
      <c r="D17" s="887"/>
      <c r="E17" s="887"/>
      <c r="F17" s="887"/>
      <c r="G17" s="887"/>
      <c r="H17" s="887"/>
      <c r="J17" s="887"/>
      <c r="L17" s="887"/>
      <c r="N17" s="887"/>
      <c r="P17" s="887"/>
      <c r="T17" s="887"/>
      <c r="U17" s="887"/>
      <c r="V17" s="887"/>
      <c r="X17" s="890"/>
      <c r="Y17" s="1113"/>
      <c r="AC17" s="887"/>
      <c r="AD17" s="889"/>
      <c r="AE17" s="887"/>
    </row>
    <row r="18" spans="1:33" x14ac:dyDescent="0.2">
      <c r="A18" s="848">
        <f>A16+1</f>
        <v>4</v>
      </c>
      <c r="B18" s="880" t="s">
        <v>1083</v>
      </c>
      <c r="D18" s="887">
        <f ca="1">'II-I-Total'!M79</f>
        <v>9349078.2371065579</v>
      </c>
      <c r="E18" s="887"/>
      <c r="F18" s="888"/>
      <c r="G18" s="887"/>
      <c r="H18" s="887">
        <f ca="1">'II-I-Total'!M83</f>
        <v>698376.14431185985</v>
      </c>
      <c r="J18" s="887">
        <f ca="1">'II-I-Total'!M22</f>
        <v>1187788.2823090376</v>
      </c>
      <c r="L18" s="887">
        <f ca="1">'II-I-Total'!M25</f>
        <v>68143.324360190891</v>
      </c>
      <c r="N18" s="887">
        <f ca="1">'II-I-Total'!M1094+'II-I-Total'!M1098</f>
        <v>120149.36190924434</v>
      </c>
      <c r="P18" s="887">
        <f t="shared" ca="1" si="0"/>
        <v>2074457.1128903327</v>
      </c>
      <c r="R18" s="889"/>
      <c r="T18" s="887">
        <f t="shared" ca="1" si="1"/>
        <v>0</v>
      </c>
      <c r="U18" s="887"/>
      <c r="V18" s="887">
        <f ca="1">'II-I-Total'!M366</f>
        <v>9726392.1262093298</v>
      </c>
      <c r="X18" s="890">
        <f ca="1">V18/$V$32</f>
        <v>6.5938816661742202E-4</v>
      </c>
      <c r="Y18" s="1113"/>
      <c r="AC18" s="887"/>
      <c r="AE18" s="887"/>
      <c r="AG18" s="891"/>
    </row>
    <row r="19" spans="1:33" x14ac:dyDescent="0.2">
      <c r="D19" s="887"/>
      <c r="E19" s="887"/>
      <c r="F19" s="887"/>
      <c r="G19" s="887"/>
      <c r="H19" s="887"/>
      <c r="J19" s="887"/>
      <c r="L19" s="887"/>
      <c r="N19" s="887"/>
      <c r="P19" s="887"/>
      <c r="T19" s="887"/>
      <c r="U19" s="887"/>
      <c r="V19" s="887"/>
      <c r="Y19" s="1113"/>
      <c r="AC19" s="887"/>
      <c r="AE19" s="887"/>
    </row>
    <row r="20" spans="1:33" x14ac:dyDescent="0.2">
      <c r="A20" s="848">
        <f>A18+1</f>
        <v>5</v>
      </c>
      <c r="B20" s="880" t="s">
        <v>1084</v>
      </c>
      <c r="D20" s="887">
        <f ca="1">'II-I-Total'!N79</f>
        <v>952498948.05242383</v>
      </c>
      <c r="E20" s="887"/>
      <c r="F20" s="888"/>
      <c r="G20" s="887"/>
      <c r="H20" s="887">
        <f ca="1">'II-I-Total'!N83</f>
        <v>71151671.419516057</v>
      </c>
      <c r="J20" s="887">
        <f ca="1">'II-I-Total'!N22</f>
        <v>49419746.386770152</v>
      </c>
      <c r="L20" s="887">
        <f ca="1">'II-I-Total'!N25</f>
        <v>9622190.457594797</v>
      </c>
      <c r="N20" s="887">
        <f ca="1">'II-I-Total'!N1094+'II-I-Total'!N1098</f>
        <v>11398608.650408171</v>
      </c>
      <c r="P20" s="887">
        <f t="shared" ca="1" si="0"/>
        <v>141592216.91428918</v>
      </c>
      <c r="R20" s="889"/>
      <c r="T20" s="887">
        <f t="shared" ca="1" si="1"/>
        <v>0</v>
      </c>
      <c r="U20" s="887"/>
      <c r="V20" s="887">
        <f ca="1">'II-I-Total'!N366</f>
        <v>987867939.54310763</v>
      </c>
      <c r="X20" s="890">
        <f ca="1">V20/$V$32</f>
        <v>6.6971228494910148E-2</v>
      </c>
      <c r="Y20" s="1113"/>
      <c r="AC20" s="887"/>
      <c r="AE20" s="887"/>
      <c r="AG20" s="891"/>
    </row>
    <row r="21" spans="1:33" ht="12.75" customHeight="1" x14ac:dyDescent="0.2">
      <c r="D21" s="887"/>
      <c r="E21" s="887"/>
      <c r="F21" s="887"/>
      <c r="G21" s="887"/>
      <c r="H21" s="887"/>
      <c r="J21" s="887"/>
      <c r="L21" s="887"/>
      <c r="N21" s="887"/>
      <c r="P21" s="887"/>
      <c r="T21" s="887"/>
      <c r="U21" s="887"/>
      <c r="V21" s="887"/>
      <c r="X21" s="890"/>
      <c r="Y21" s="1113"/>
      <c r="AC21" s="887"/>
      <c r="AE21" s="887"/>
    </row>
    <row r="22" spans="1:33" x14ac:dyDescent="0.2">
      <c r="A22" s="848">
        <f>A20+1</f>
        <v>6</v>
      </c>
      <c r="B22" s="880" t="s">
        <v>1085</v>
      </c>
      <c r="D22" s="887">
        <f ca="1">'II-I-Total'!O79</f>
        <v>106794279.04774135</v>
      </c>
      <c r="E22" s="887"/>
      <c r="F22" s="888"/>
      <c r="G22" s="887"/>
      <c r="H22" s="887">
        <f ca="1">'II-I-Total'!O83</f>
        <v>7977532.6448662793</v>
      </c>
      <c r="J22" s="887">
        <f ca="1">'II-I-Total'!O22</f>
        <v>4133939.8125006431</v>
      </c>
      <c r="L22" s="887">
        <f ca="1">'II-I-Total'!O25</f>
        <v>1093406.307408148</v>
      </c>
      <c r="N22" s="887">
        <f ca="1">'II-I-Total'!O1094+'II-I-Total'!O1098</f>
        <v>1196050.3803334099</v>
      </c>
      <c r="P22" s="887">
        <f t="shared" ca="1" si="0"/>
        <v>14400929.145108482</v>
      </c>
      <c r="R22" s="889"/>
      <c r="T22" s="887">
        <f t="shared" ca="1" si="1"/>
        <v>0</v>
      </c>
      <c r="U22" s="887"/>
      <c r="V22" s="887">
        <f ca="1">'II-I-Total'!O366</f>
        <v>110086592.94757472</v>
      </c>
      <c r="X22" s="890">
        <f ca="1">V22/$V$32</f>
        <v>7.4631780984086397E-3</v>
      </c>
      <c r="Y22" s="1113"/>
      <c r="AC22" s="887"/>
      <c r="AE22" s="887"/>
      <c r="AG22" s="891"/>
    </row>
    <row r="23" spans="1:33" ht="12.75" customHeight="1" x14ac:dyDescent="0.2">
      <c r="D23" s="887"/>
      <c r="E23" s="887"/>
      <c r="F23" s="887"/>
      <c r="G23" s="887"/>
      <c r="H23" s="887"/>
      <c r="J23" s="887"/>
      <c r="L23" s="887"/>
      <c r="N23" s="887"/>
      <c r="P23" s="887"/>
      <c r="T23" s="887"/>
      <c r="U23" s="887"/>
      <c r="V23" s="887"/>
      <c r="X23" s="890"/>
      <c r="Y23" s="1113"/>
      <c r="AC23" s="887"/>
      <c r="AE23" s="887"/>
    </row>
    <row r="24" spans="1:33" x14ac:dyDescent="0.2">
      <c r="A24" s="848">
        <f>A22+1</f>
        <v>7</v>
      </c>
      <c r="B24" s="880" t="s">
        <v>390</v>
      </c>
      <c r="D24" s="887">
        <f ca="1">'II-I-Total'!P79</f>
        <v>30497473.243358411</v>
      </c>
      <c r="E24" s="887"/>
      <c r="F24" s="888"/>
      <c r="G24" s="887"/>
      <c r="H24" s="887">
        <f ca="1">'II-I-Total'!P83</f>
        <v>2278161.2512788735</v>
      </c>
      <c r="J24" s="887">
        <f ca="1">'II-I-Total'!P22</f>
        <v>1259119.7806453251</v>
      </c>
      <c r="L24" s="887">
        <f ca="1">'II-I-Total'!P25</f>
        <v>303017.13884001854</v>
      </c>
      <c r="N24" s="887">
        <f ca="1">'II-I-Total'!P1094+'II-I-Total'!P1098</f>
        <v>275667.34376592591</v>
      </c>
      <c r="P24" s="887">
        <f t="shared" ca="1" si="0"/>
        <v>4115965.5145301432</v>
      </c>
      <c r="R24" s="889"/>
      <c r="T24" s="887">
        <f t="shared" ca="1" si="1"/>
        <v>0</v>
      </c>
      <c r="U24" s="887"/>
      <c r="V24" s="887">
        <f ca="1">'II-I-Total'!P366</f>
        <v>22578464.301102031</v>
      </c>
      <c r="X24" s="890">
        <f ca="1">V24/$V$32</f>
        <v>1.5306777669823266E-3</v>
      </c>
      <c r="Y24" s="1113"/>
      <c r="AC24" s="887"/>
      <c r="AE24" s="887"/>
      <c r="AG24" s="891"/>
    </row>
    <row r="25" spans="1:33" ht="11.25" customHeight="1" x14ac:dyDescent="0.2">
      <c r="D25" s="887"/>
      <c r="E25" s="887"/>
      <c r="F25" s="887"/>
      <c r="G25" s="887"/>
      <c r="H25" s="887"/>
      <c r="J25" s="887"/>
      <c r="L25" s="887"/>
      <c r="N25" s="887"/>
      <c r="P25" s="887"/>
      <c r="T25" s="887"/>
      <c r="U25" s="887"/>
      <c r="V25" s="887"/>
      <c r="X25" s="890"/>
      <c r="Y25" s="1113"/>
      <c r="AC25" s="887"/>
      <c r="AE25" s="887"/>
    </row>
    <row r="26" spans="1:33" x14ac:dyDescent="0.2">
      <c r="A26" s="848">
        <f>A24+1</f>
        <v>8</v>
      </c>
      <c r="B26" s="880" t="s">
        <v>391</v>
      </c>
      <c r="D26" s="887">
        <f ca="1">'II-I-Total'!Q79</f>
        <v>199604759.05071098</v>
      </c>
      <c r="E26" s="887"/>
      <c r="F26" s="888"/>
      <c r="G26" s="887"/>
      <c r="H26" s="887">
        <f ca="1">'II-I-Total'!Q83</f>
        <v>14910475.501088111</v>
      </c>
      <c r="J26" s="887">
        <f ca="1">'II-I-Total'!Q22</f>
        <v>34303678.031727694</v>
      </c>
      <c r="L26" s="887">
        <f ca="1">'II-I-Total'!Q25</f>
        <v>2109357.0916509507</v>
      </c>
      <c r="N26" s="887">
        <f ca="1">'II-I-Total'!Q1094+'II-I-Total'!Q1098</f>
        <v>5257423.5251469221</v>
      </c>
      <c r="P26" s="887">
        <f t="shared" ca="1" si="0"/>
        <v>56580934.149613678</v>
      </c>
      <c r="R26" s="889"/>
      <c r="T26" s="887">
        <f t="shared" ca="1" si="1"/>
        <v>0</v>
      </c>
      <c r="U26" s="887"/>
      <c r="V26" s="887">
        <f ca="1">'II-I-Total'!Q366</f>
        <v>223911428.99141619</v>
      </c>
      <c r="X26" s="890">
        <f ca="1">V26/$V$32</f>
        <v>1.5179785549616593E-2</v>
      </c>
      <c r="Y26" s="1113"/>
      <c r="AC26" s="887"/>
      <c r="AE26" s="887"/>
      <c r="AG26" s="891"/>
    </row>
    <row r="27" spans="1:33" ht="13.5" customHeight="1" x14ac:dyDescent="0.2">
      <c r="D27" s="887"/>
      <c r="E27" s="887"/>
      <c r="F27" s="887"/>
      <c r="G27" s="887"/>
      <c r="H27" s="887"/>
      <c r="J27" s="887"/>
      <c r="L27" s="887"/>
      <c r="N27" s="887"/>
      <c r="P27" s="887"/>
      <c r="T27" s="887"/>
      <c r="U27" s="887"/>
      <c r="V27" s="887"/>
      <c r="Y27" s="1113"/>
      <c r="AC27" s="887"/>
      <c r="AE27" s="887"/>
    </row>
    <row r="28" spans="1:33" x14ac:dyDescent="0.2">
      <c r="A28" s="848">
        <f>A26+1</f>
        <v>9</v>
      </c>
      <c r="B28" s="880" t="s">
        <v>1086</v>
      </c>
      <c r="D28" s="887">
        <f ca="1">'II-I-Total'!R79</f>
        <v>7514396.837524361</v>
      </c>
      <c r="E28" s="887"/>
      <c r="F28" s="888"/>
      <c r="G28" s="887"/>
      <c r="H28" s="887">
        <f ca="1">'II-I-Total'!R83</f>
        <v>561325.44376306981</v>
      </c>
      <c r="J28" s="887">
        <f ca="1">'II-I-Total'!R22</f>
        <v>297471.7574427214</v>
      </c>
      <c r="L28" s="887">
        <f ca="1">'II-I-Total'!R25</f>
        <v>76708.788146471969</v>
      </c>
      <c r="N28" s="887">
        <f ca="1">'II-I-Total'!R1094+'II-I-Total'!R1098</f>
        <v>83873.880122970426</v>
      </c>
      <c r="P28" s="887">
        <f t="shared" ca="1" si="0"/>
        <v>1019379.8694752336</v>
      </c>
      <c r="R28" s="889"/>
      <c r="T28" s="887">
        <f t="shared" ca="1" si="1"/>
        <v>0</v>
      </c>
      <c r="U28" s="887"/>
      <c r="V28" s="887">
        <f ca="1">'II-I-Total'!R366</f>
        <v>7695766.9288766971</v>
      </c>
      <c r="X28" s="890">
        <f ca="1">V28/$V$32</f>
        <v>5.217245593330483E-4</v>
      </c>
      <c r="Y28" s="1113"/>
      <c r="AC28" s="887"/>
      <c r="AE28" s="887"/>
      <c r="AG28" s="891"/>
    </row>
    <row r="29" spans="1:33" ht="13.5" customHeight="1" x14ac:dyDescent="0.2">
      <c r="D29" s="887"/>
      <c r="E29" s="887"/>
      <c r="F29" s="887"/>
      <c r="G29" s="887"/>
      <c r="H29" s="887"/>
      <c r="J29" s="887"/>
      <c r="L29" s="887"/>
      <c r="N29" s="887"/>
      <c r="P29" s="887"/>
      <c r="T29" s="887"/>
      <c r="U29" s="887"/>
      <c r="V29" s="887"/>
      <c r="X29" s="890"/>
      <c r="Y29" s="1113"/>
      <c r="AC29" s="887"/>
      <c r="AE29" s="887"/>
    </row>
    <row r="30" spans="1:33" ht="15" thickBot="1" x14ac:dyDescent="0.25">
      <c r="A30" s="848">
        <f>A28+1</f>
        <v>10</v>
      </c>
      <c r="B30" s="880" t="s">
        <v>1087</v>
      </c>
      <c r="D30" s="892">
        <f ca="1">'II-I-Total'!S79</f>
        <v>34592829.561503246</v>
      </c>
      <c r="E30" s="887"/>
      <c r="F30" s="888"/>
      <c r="G30" s="887"/>
      <c r="H30" s="892">
        <f ca="1">'II-I-Total'!S83</f>
        <v>2584084.3682442927</v>
      </c>
      <c r="J30" s="892">
        <f ca="1">'II-I-Total'!S22</f>
        <v>1644034.4294976783</v>
      </c>
      <c r="L30" s="892">
        <f ca="1">'II-I-Total'!S25</f>
        <v>355506.43788959295</v>
      </c>
      <c r="N30" s="892">
        <f ca="1">'II-I-Total'!S1094+'II-I-Total'!S1098</f>
        <v>413807.64768272708</v>
      </c>
      <c r="P30" s="892">
        <f ca="1">SUM(H30:N30)</f>
        <v>4997432.883314291</v>
      </c>
      <c r="R30" s="889"/>
      <c r="T30" s="892">
        <f t="shared" ca="1" si="1"/>
        <v>0</v>
      </c>
      <c r="U30" s="887"/>
      <c r="V30" s="892">
        <f ca="1">'II-I-Total'!S366</f>
        <v>36050401.268580914</v>
      </c>
      <c r="X30" s="890">
        <f ca="1">V30/$V$32</f>
        <v>2.4439902987518471E-3</v>
      </c>
      <c r="Y30" s="1113"/>
      <c r="AC30" s="882"/>
      <c r="AE30" s="882"/>
    </row>
    <row r="31" spans="1:33" ht="12.75" customHeight="1" thickTop="1" x14ac:dyDescent="0.2">
      <c r="D31" s="887"/>
      <c r="E31" s="887"/>
      <c r="F31" s="887"/>
      <c r="G31" s="887"/>
      <c r="H31" s="887"/>
      <c r="J31" s="887"/>
      <c r="L31" s="887"/>
      <c r="N31" s="887"/>
      <c r="P31" s="887"/>
      <c r="Y31" s="1113"/>
    </row>
    <row r="32" spans="1:33" x14ac:dyDescent="0.2">
      <c r="A32" s="848">
        <f>A30+1</f>
        <v>11</v>
      </c>
      <c r="B32" s="880" t="s">
        <v>10</v>
      </c>
      <c r="D32" s="887">
        <f ca="1">SUM(D12:D30)</f>
        <v>14178812890.55378</v>
      </c>
      <c r="E32" s="887"/>
      <c r="F32" s="893">
        <f>'II-I-Total'!F81</f>
        <v>7.4700000000000003E-2</v>
      </c>
      <c r="G32" s="887"/>
      <c r="H32" s="887">
        <f ca="1">SUM(H12:H30)</f>
        <v>1059157322.9243675</v>
      </c>
      <c r="J32" s="887">
        <f ca="1">SUM(J12:J30)</f>
        <v>762136905.15999997</v>
      </c>
      <c r="L32" s="887">
        <f ca="1">SUM(L12:L30)</f>
        <v>144739017.62204707</v>
      </c>
      <c r="N32" s="887">
        <f ca="1">SUM(N12:N30)</f>
        <v>178487462.92999998</v>
      </c>
      <c r="O32" s="887"/>
      <c r="P32" s="887">
        <f ca="1">SUM(P12:P30)</f>
        <v>2144520708.6364143</v>
      </c>
      <c r="R32" s="887"/>
      <c r="T32" s="894">
        <f ca="1">SUM(T12:T30)</f>
        <v>0</v>
      </c>
      <c r="U32" s="894"/>
      <c r="V32" s="894">
        <f ca="1">SUM(V12:V30)</f>
        <v>14750631901.850002</v>
      </c>
      <c r="Y32" s="1113"/>
      <c r="AC32" s="887"/>
    </row>
    <row r="33" spans="1:22" ht="10.5" customHeight="1" x14ac:dyDescent="0.2">
      <c r="L33" s="893">
        <f ca="1">L32/H32</f>
        <v>0.13665488071443246</v>
      </c>
      <c r="N33" s="893">
        <f ca="1">D58/D32</f>
        <v>2.4752369775819582E-2</v>
      </c>
    </row>
    <row r="34" spans="1:22" ht="15" x14ac:dyDescent="0.25">
      <c r="A34" s="848">
        <f>A32+1</f>
        <v>12</v>
      </c>
      <c r="B34" s="895" t="s">
        <v>1088</v>
      </c>
      <c r="L34" s="887">
        <f ca="1">H58*L33</f>
        <v>3582633.6851697755</v>
      </c>
      <c r="N34" s="887">
        <f ca="1">N32*N33</f>
        <v>4417987.6827912498</v>
      </c>
      <c r="V34" s="895" t="s">
        <v>1088</v>
      </c>
    </row>
    <row r="35" spans="1:22" x14ac:dyDescent="0.2">
      <c r="D35" s="882" t="s">
        <v>1059</v>
      </c>
      <c r="E35" s="882"/>
      <c r="F35" s="882" t="s">
        <v>1060</v>
      </c>
      <c r="G35" s="882"/>
      <c r="H35" s="882" t="s">
        <v>1061</v>
      </c>
      <c r="J35" s="882" t="s">
        <v>1062</v>
      </c>
      <c r="L35" s="882" t="s">
        <v>1063</v>
      </c>
      <c r="N35" s="882" t="s">
        <v>1064</v>
      </c>
      <c r="P35" s="884" t="s">
        <v>1065</v>
      </c>
      <c r="R35" s="884" t="s">
        <v>1066</v>
      </c>
      <c r="T35" s="882" t="s">
        <v>1067</v>
      </c>
      <c r="V35" s="882" t="s">
        <v>1068</v>
      </c>
    </row>
    <row r="36" spans="1:22" ht="18" x14ac:dyDescent="0.35">
      <c r="A36" s="848">
        <f>A34+1</f>
        <v>13</v>
      </c>
      <c r="B36" s="885" t="s">
        <v>1070</v>
      </c>
      <c r="D36" s="885" t="s">
        <v>1071</v>
      </c>
      <c r="E36" s="883"/>
      <c r="F36" s="885" t="s">
        <v>1072</v>
      </c>
      <c r="G36" s="883"/>
      <c r="H36" s="885" t="s">
        <v>855</v>
      </c>
      <c r="J36" s="885" t="s">
        <v>1073</v>
      </c>
      <c r="L36" s="885" t="s">
        <v>1074</v>
      </c>
      <c r="N36" s="885" t="s">
        <v>1075</v>
      </c>
      <c r="P36" s="885" t="s">
        <v>1076</v>
      </c>
      <c r="R36" s="885" t="s">
        <v>1077</v>
      </c>
      <c r="T36" s="886" t="s">
        <v>1078</v>
      </c>
      <c r="V36" s="886" t="s">
        <v>1079</v>
      </c>
    </row>
    <row r="37" spans="1:22" ht="9.75" customHeight="1" x14ac:dyDescent="0.2"/>
    <row r="38" spans="1:22" x14ac:dyDescent="0.2">
      <c r="A38" s="848">
        <f>A36+1</f>
        <v>14</v>
      </c>
      <c r="B38" s="880" t="s">
        <v>679</v>
      </c>
      <c r="D38" s="887">
        <f ca="1">D153</f>
        <v>189447994.17312446</v>
      </c>
      <c r="F38" s="888"/>
      <c r="H38" s="887">
        <f ca="1">D38/$D$58*$H$58</f>
        <v>14151765.164732398</v>
      </c>
      <c r="J38" s="887">
        <f ca="1">D185</f>
        <v>28631271.345618688</v>
      </c>
      <c r="L38" s="887">
        <f ca="1">H38/$H$58*$L$34</f>
        <v>1933907.7804851665</v>
      </c>
      <c r="N38" s="887">
        <f ca="1">D38/$D$58*$N$34</f>
        <v>2384832.3620707383</v>
      </c>
      <c r="P38" s="887">
        <f ca="1">SUM(H38:N38)</f>
        <v>47101776.652906992</v>
      </c>
      <c r="V38" s="887">
        <f ca="1">D38</f>
        <v>189447994.17312446</v>
      </c>
    </row>
    <row r="39" spans="1:22" x14ac:dyDescent="0.2">
      <c r="D39" s="893">
        <f ca="1">D38/D12</f>
        <v>2.4599701586364441E-2</v>
      </c>
      <c r="H39" s="887"/>
      <c r="L39" s="887"/>
      <c r="P39" s="887"/>
    </row>
    <row r="40" spans="1:22" x14ac:dyDescent="0.2">
      <c r="A40" s="848">
        <f>A38+1</f>
        <v>15</v>
      </c>
      <c r="B40" s="880" t="s">
        <v>1081</v>
      </c>
      <c r="D40" s="887">
        <f ca="1">D155</f>
        <v>8570812.7631569076</v>
      </c>
      <c r="F40" s="888"/>
      <c r="H40" s="887">
        <f ca="1">D40/$D$58*$H$58</f>
        <v>640239.71340782102</v>
      </c>
      <c r="J40" s="887">
        <f ca="1">D187</f>
        <v>2371552.2313978318</v>
      </c>
      <c r="L40" s="887">
        <f ca="1">H40/$H$58*$L$34</f>
        <v>87491.881664388216</v>
      </c>
      <c r="N40" s="887">
        <f ca="1">D40/$D$58*$N$34</f>
        <v>107892.15127897712</v>
      </c>
      <c r="P40" s="887">
        <f t="shared" ref="P40:P56" ca="1" si="2">SUM(H40:N40)</f>
        <v>3207175.9777490185</v>
      </c>
      <c r="V40" s="887">
        <f ca="1">D40</f>
        <v>8570812.7631569076</v>
      </c>
    </row>
    <row r="41" spans="1:22" x14ac:dyDescent="0.2">
      <c r="D41" s="893">
        <f ca="1">D40/D14</f>
        <v>3.5560434089447097E-2</v>
      </c>
      <c r="H41" s="887"/>
      <c r="L41" s="887"/>
      <c r="P41" s="887"/>
      <c r="V41" s="887"/>
    </row>
    <row r="42" spans="1:22" x14ac:dyDescent="0.2">
      <c r="A42" s="848">
        <f>A40+1</f>
        <v>16</v>
      </c>
      <c r="B42" s="880" t="s">
        <v>1082</v>
      </c>
      <c r="D42" s="887">
        <f ca="1">D157</f>
        <v>117888330.25348055</v>
      </c>
      <c r="F42" s="888"/>
      <c r="H42" s="887">
        <f ca="1">D42/$D$58*$H$58</f>
        <v>8806258.2699349988</v>
      </c>
      <c r="J42" s="887">
        <f ca="1">D189</f>
        <v>17022052.834479582</v>
      </c>
      <c r="L42" s="887">
        <f ca="1">H42/$H$58*$L$34</f>
        <v>1203418.1734184516</v>
      </c>
      <c r="N42" s="887">
        <f ca="1">D42/$D$58*$N$34</f>
        <v>1484016.2669764867</v>
      </c>
      <c r="P42" s="887">
        <f t="shared" ca="1" si="2"/>
        <v>28515745.54480952</v>
      </c>
      <c r="V42" s="887">
        <f t="shared" ref="V42:V58" ca="1" si="3">D42</f>
        <v>117888330.25348055</v>
      </c>
    </row>
    <row r="43" spans="1:22" x14ac:dyDescent="0.2">
      <c r="D43" s="893">
        <f ca="1">D42/D16</f>
        <v>2.4079931560521288E-2</v>
      </c>
      <c r="H43" s="887"/>
      <c r="L43" s="887"/>
      <c r="P43" s="887"/>
      <c r="V43" s="887"/>
    </row>
    <row r="44" spans="1:22" x14ac:dyDescent="0.2">
      <c r="A44" s="848">
        <f>A42+1</f>
        <v>17</v>
      </c>
      <c r="B44" s="880" t="s">
        <v>1083</v>
      </c>
      <c r="D44" s="887">
        <f ca="1">D159</f>
        <v>754818.85597209167</v>
      </c>
      <c r="F44" s="888"/>
      <c r="H44" s="887">
        <f ca="1">D44/$D$58*$H$58</f>
        <v>56384.968541115253</v>
      </c>
      <c r="J44" s="887">
        <f ca="1">D191</f>
        <v>332138.84966652904</v>
      </c>
      <c r="L44" s="887">
        <f ca="1">H44/$H$58*$L$34</f>
        <v>7705.2811500731323</v>
      </c>
      <c r="N44" s="887">
        <f ca="1">D44/$D$58*$N$34</f>
        <v>9501.902847165773</v>
      </c>
      <c r="P44" s="887">
        <f t="shared" ca="1" si="2"/>
        <v>405731.00220488315</v>
      </c>
      <c r="V44" s="887">
        <f t="shared" ca="1" si="3"/>
        <v>754818.85597209167</v>
      </c>
    </row>
    <row r="45" spans="1:22" x14ac:dyDescent="0.2">
      <c r="D45" s="893">
        <f ca="1">D44/D18</f>
        <v>8.0737248831249511E-2</v>
      </c>
      <c r="H45" s="887"/>
      <c r="L45" s="887"/>
      <c r="P45" s="887"/>
      <c r="V45" s="887"/>
    </row>
    <row r="46" spans="1:22" x14ac:dyDescent="0.2">
      <c r="A46" s="848">
        <f>A44+1</f>
        <v>18</v>
      </c>
      <c r="B46" s="880" t="s">
        <v>1084</v>
      </c>
      <c r="D46" s="887">
        <f ca="1">D161</f>
        <v>24645215.637369893</v>
      </c>
      <c r="F46" s="888"/>
      <c r="H46" s="887">
        <f ca="1">D46/$D$58*$H$58</f>
        <v>1840997.6081115312</v>
      </c>
      <c r="J46" s="887">
        <f ca="1">D193</f>
        <v>4278756.782592251</v>
      </c>
      <c r="L46" s="887">
        <f ca="1">H46/$H$58*$L$34</f>
        <v>251581.30853203678</v>
      </c>
      <c r="N46" s="887">
        <f ca="1">D46/$D$58*$N$34</f>
        <v>310241.91139496089</v>
      </c>
      <c r="P46" s="887">
        <f t="shared" ca="1" si="2"/>
        <v>6681577.6106307805</v>
      </c>
      <c r="V46" s="887">
        <f t="shared" ca="1" si="3"/>
        <v>24645215.637369893</v>
      </c>
    </row>
    <row r="47" spans="1:22" x14ac:dyDescent="0.2">
      <c r="D47" s="893">
        <f ca="1">D46/D20</f>
        <v>2.5874270714694232E-2</v>
      </c>
      <c r="H47" s="887"/>
      <c r="L47" s="887"/>
      <c r="P47" s="887"/>
      <c r="V47" s="887"/>
    </row>
    <row r="48" spans="1:22" x14ac:dyDescent="0.2">
      <c r="A48" s="848">
        <f>A46+1</f>
        <v>19</v>
      </c>
      <c r="B48" s="880" t="s">
        <v>1085</v>
      </c>
      <c r="D48" s="887">
        <f ca="1">D163</f>
        <v>2410927.1576006929</v>
      </c>
      <c r="F48" s="888"/>
      <c r="H48" s="887">
        <f ca="1">D48/$D$58*$H$58</f>
        <v>180096.25867277177</v>
      </c>
      <c r="J48" s="887">
        <f ca="1">D195</f>
        <v>286821.84171099425</v>
      </c>
      <c r="L48" s="887">
        <f ca="1">H48/$H$58*$L$34</f>
        <v>24611.032746043202</v>
      </c>
      <c r="N48" s="887">
        <f ca="1">D48/$D$58*$N$34</f>
        <v>30349.527495060764</v>
      </c>
      <c r="P48" s="887">
        <f t="shared" ca="1" si="2"/>
        <v>521878.66062486992</v>
      </c>
      <c r="V48" s="887">
        <f t="shared" ca="1" si="3"/>
        <v>2410927.1576006929</v>
      </c>
    </row>
    <row r="49" spans="1:29" x14ac:dyDescent="0.2">
      <c r="D49" s="893">
        <f ca="1">D48/D22</f>
        <v>2.2575433619650274E-2</v>
      </c>
      <c r="H49" s="887"/>
      <c r="L49" s="887"/>
      <c r="P49" s="887"/>
      <c r="V49" s="887"/>
    </row>
    <row r="50" spans="1:29" x14ac:dyDescent="0.2">
      <c r="A50" s="848">
        <f>A48+1</f>
        <v>20</v>
      </c>
      <c r="B50" s="880" t="s">
        <v>390</v>
      </c>
      <c r="D50" s="887">
        <f ca="1">D165</f>
        <v>757800.24974319676</v>
      </c>
      <c r="F50" s="888"/>
      <c r="H50" s="887">
        <f ca="1">D50/$D$58*$H$58</f>
        <v>56607.678655816802</v>
      </c>
      <c r="J50" s="887">
        <f ca="1">D197</f>
        <v>207952.62419308198</v>
      </c>
      <c r="L50" s="887">
        <f ca="1">H50/$H$58*$L$34</f>
        <v>7735.7155742315699</v>
      </c>
      <c r="N50" s="887">
        <f ca="1">D50/$D$58*$N$34</f>
        <v>9539.4335921094753</v>
      </c>
      <c r="P50" s="887">
        <f t="shared" ca="1" si="2"/>
        <v>281835.45201523986</v>
      </c>
      <c r="V50" s="887">
        <f t="shared" ca="1" si="3"/>
        <v>757800.24974319676</v>
      </c>
    </row>
    <row r="51" spans="1:29" x14ac:dyDescent="0.2">
      <c r="D51" s="893">
        <f ca="1">D50/D24</f>
        <v>2.484796834466366E-2</v>
      </c>
      <c r="H51" s="887"/>
      <c r="L51" s="887"/>
      <c r="P51" s="887"/>
      <c r="V51" s="887"/>
    </row>
    <row r="52" spans="1:29" x14ac:dyDescent="0.2">
      <c r="A52" s="848">
        <f>A50+1</f>
        <v>21</v>
      </c>
      <c r="B52" s="880" t="s">
        <v>391</v>
      </c>
      <c r="D52" s="887">
        <f ca="1">D167</f>
        <v>5526192.1364448238</v>
      </c>
      <c r="F52" s="888"/>
      <c r="H52" s="887">
        <f ca="1">D52/$D$58*$H$58</f>
        <v>412806.5525924284</v>
      </c>
      <c r="J52" s="887">
        <f ca="1">D199</f>
        <v>431321.80056638492</v>
      </c>
      <c r="L52" s="887">
        <f ca="1">H52/$H$58*$L$34</f>
        <v>56412.030202654394</v>
      </c>
      <c r="N52" s="887">
        <f ca="1">D52/$D$58*$N$34</f>
        <v>69565.486314787602</v>
      </c>
      <c r="P52" s="887">
        <f t="shared" ca="1" si="2"/>
        <v>970105.86967625539</v>
      </c>
      <c r="V52" s="887">
        <f t="shared" ca="1" si="3"/>
        <v>5526192.1364448238</v>
      </c>
    </row>
    <row r="53" spans="1:29" x14ac:dyDescent="0.2">
      <c r="D53" s="893">
        <f ca="1">D52/D26</f>
        <v>2.7685673241091693E-2</v>
      </c>
      <c r="H53" s="887"/>
      <c r="L53" s="887"/>
      <c r="P53" s="887"/>
      <c r="V53" s="887"/>
    </row>
    <row r="54" spans="1:29" x14ac:dyDescent="0.2">
      <c r="A54" s="848">
        <f>A52+1</f>
        <v>22</v>
      </c>
      <c r="B54" s="880" t="s">
        <v>1086</v>
      </c>
      <c r="D54" s="887">
        <f ca="1">D169</f>
        <v>174212.97722343111</v>
      </c>
      <c r="F54" s="888"/>
      <c r="H54" s="887">
        <f ca="1">D54/$D$58*$H$58</f>
        <v>13013.709398590305</v>
      </c>
      <c r="J54" s="887">
        <f ca="1">D201</f>
        <v>23263.734410369452</v>
      </c>
      <c r="L54" s="887">
        <f ca="1">H54/$H$58*$L$34</f>
        <v>1778.3869055166467</v>
      </c>
      <c r="N54" s="887">
        <f ca="1">D54/$D$58*$N$34</f>
        <v>2193.0490622954844</v>
      </c>
      <c r="P54" s="887">
        <f t="shared" ca="1" si="2"/>
        <v>40248.879776771879</v>
      </c>
      <c r="V54" s="887">
        <f t="shared" ca="1" si="3"/>
        <v>174212.97722343111</v>
      </c>
    </row>
    <row r="55" spans="1:29" x14ac:dyDescent="0.2">
      <c r="D55" s="893">
        <f ca="1">D54/D28</f>
        <v>2.3183893663090871E-2</v>
      </c>
      <c r="H55" s="887"/>
      <c r="P55" s="887"/>
      <c r="V55" s="887"/>
    </row>
    <row r="56" spans="1:29" ht="15" thickBot="1" x14ac:dyDescent="0.25">
      <c r="A56" s="848">
        <f>A54+1</f>
        <v>23</v>
      </c>
      <c r="B56" s="880" t="s">
        <v>1087</v>
      </c>
      <c r="D56" s="892">
        <f ca="1">D171</f>
        <v>782915.15588383737</v>
      </c>
      <c r="F56" s="888"/>
      <c r="H56" s="892">
        <f ca="1">D56/$D$58*$H$58</f>
        <v>58483.762144522654</v>
      </c>
      <c r="J56" s="892">
        <f ca="1">D203</f>
        <v>90189.375364290347</v>
      </c>
      <c r="L56" s="892">
        <f ca="1">H56/$H$58*$L$34</f>
        <v>7992.0915395909851</v>
      </c>
      <c r="N56" s="892">
        <f ca="1">D56/$D$58*$N$34</f>
        <v>9855.5881188226722</v>
      </c>
      <c r="P56" s="892">
        <f t="shared" ca="1" si="2"/>
        <v>166520.81716722666</v>
      </c>
      <c r="V56" s="892">
        <f t="shared" ca="1" si="3"/>
        <v>782915.15588383737</v>
      </c>
    </row>
    <row r="57" spans="1:29" ht="15" thickTop="1" x14ac:dyDescent="0.2">
      <c r="D57" s="893">
        <f ca="1">D56/D30</f>
        <v>2.2632295935545766E-2</v>
      </c>
      <c r="H57" s="887"/>
      <c r="V57" s="887"/>
    </row>
    <row r="58" spans="1:29" x14ac:dyDescent="0.2">
      <c r="A58" s="848">
        <f>A56+1</f>
        <v>24</v>
      </c>
      <c r="B58" s="880" t="s">
        <v>10</v>
      </c>
      <c r="D58" s="887">
        <f ca="1">SUM(D38:D56)</f>
        <v>350959219.64914447</v>
      </c>
      <c r="F58" s="893">
        <f>F32</f>
        <v>7.4700000000000003E-2</v>
      </c>
      <c r="H58" s="887">
        <f ca="1">D58*F58</f>
        <v>26216653.707791094</v>
      </c>
      <c r="J58" s="887">
        <f ca="1">SUM(J38:J56)</f>
        <v>53675321.419999994</v>
      </c>
      <c r="L58" s="887">
        <f ca="1">SUM(L38:L56)</f>
        <v>3582633.6822181526</v>
      </c>
      <c r="M58" s="887"/>
      <c r="N58" s="887">
        <f ca="1">SUM(N38:N56)</f>
        <v>4417987.6791514056</v>
      </c>
      <c r="O58" s="887"/>
      <c r="P58" s="887">
        <f ca="1">SUM(P38:P56)</f>
        <v>87892596.467561558</v>
      </c>
      <c r="V58" s="887">
        <f t="shared" ca="1" si="3"/>
        <v>350959219.64914447</v>
      </c>
      <c r="AC58" s="1284"/>
    </row>
    <row r="59" spans="1:29" x14ac:dyDescent="0.2">
      <c r="D59" s="893">
        <f ca="1">D58/D32</f>
        <v>2.4752369775819582E-2</v>
      </c>
      <c r="L59" s="880" t="s">
        <v>1225</v>
      </c>
      <c r="N59" s="880" t="s">
        <v>1226</v>
      </c>
    </row>
    <row r="60" spans="1:29" ht="15" x14ac:dyDescent="0.25">
      <c r="B60" s="895" t="s">
        <v>1089</v>
      </c>
      <c r="V60" s="895" t="s">
        <v>1090</v>
      </c>
    </row>
    <row r="61" spans="1:29" ht="11.25" customHeight="1" x14ac:dyDescent="0.2">
      <c r="B61" s="1287"/>
    </row>
    <row r="62" spans="1:29" ht="15" x14ac:dyDescent="0.25">
      <c r="D62" s="882" t="s">
        <v>1059</v>
      </c>
      <c r="E62" s="882"/>
      <c r="F62" s="882" t="s">
        <v>1060</v>
      </c>
      <c r="G62" s="882"/>
      <c r="H62" s="882" t="s">
        <v>1061</v>
      </c>
      <c r="J62" s="882" t="s">
        <v>1062</v>
      </c>
      <c r="L62" s="882" t="s">
        <v>1063</v>
      </c>
      <c r="N62" s="882" t="s">
        <v>1064</v>
      </c>
      <c r="P62" s="884" t="s">
        <v>1065</v>
      </c>
      <c r="R62" s="884" t="s">
        <v>1066</v>
      </c>
      <c r="T62" s="882" t="s">
        <v>1067</v>
      </c>
      <c r="V62" s="882" t="s">
        <v>1068</v>
      </c>
      <c r="X62" s="882" t="s">
        <v>1069</v>
      </c>
    </row>
    <row r="63" spans="1:29" ht="18" x14ac:dyDescent="0.35">
      <c r="A63" s="848">
        <v>1</v>
      </c>
      <c r="B63" s="885" t="s">
        <v>1070</v>
      </c>
      <c r="D63" s="885" t="s">
        <v>1071</v>
      </c>
      <c r="E63" s="883"/>
      <c r="F63" s="885" t="s">
        <v>1072</v>
      </c>
      <c r="G63" s="883"/>
      <c r="H63" s="885" t="s">
        <v>855</v>
      </c>
      <c r="J63" s="885" t="s">
        <v>1073</v>
      </c>
      <c r="L63" s="885" t="s">
        <v>1074</v>
      </c>
      <c r="N63" s="885" t="s">
        <v>1075</v>
      </c>
      <c r="P63" s="885" t="s">
        <v>1076</v>
      </c>
      <c r="R63" s="885" t="s">
        <v>1077</v>
      </c>
      <c r="T63" s="886" t="s">
        <v>1078</v>
      </c>
      <c r="V63" s="886" t="s">
        <v>1079</v>
      </c>
      <c r="X63" s="886" t="s">
        <v>1080</v>
      </c>
    </row>
    <row r="64" spans="1:29" ht="10.5" customHeight="1" x14ac:dyDescent="0.2"/>
    <row r="65" spans="1:24" x14ac:dyDescent="0.2">
      <c r="A65" s="848">
        <f>A63+1</f>
        <v>2</v>
      </c>
      <c r="B65" s="880" t="s">
        <v>679</v>
      </c>
      <c r="D65" s="887">
        <f ca="1">D12-D38</f>
        <v>7511783401.1757956</v>
      </c>
      <c r="H65" s="887">
        <f ca="1">H12-H38</f>
        <v>561130220.06783187</v>
      </c>
      <c r="J65" s="887">
        <f ca="1">J12-J38</f>
        <v>372982031.14678425</v>
      </c>
      <c r="L65" s="887">
        <f ca="1">L12-L38</f>
        <v>76734318.221956462</v>
      </c>
      <c r="N65" s="887">
        <f ca="1">N12-N38</f>
        <v>93499437.783044487</v>
      </c>
      <c r="P65" s="887">
        <f ca="1">SUM(H65:N65)</f>
        <v>1104346007.2196171</v>
      </c>
      <c r="R65" s="889">
        <f>R12</f>
        <v>0</v>
      </c>
      <c r="T65" s="887">
        <f ca="1">ROUND(P65*R65,0)</f>
        <v>0</v>
      </c>
      <c r="V65" s="887">
        <f ca="1">V12-V38</f>
        <v>7833661575.6064587</v>
      </c>
      <c r="X65" s="890">
        <f ca="1">V65/$V$85</f>
        <v>0.5440166417902117</v>
      </c>
    </row>
    <row r="66" spans="1:24" ht="10.5" customHeight="1" x14ac:dyDescent="0.2">
      <c r="V66" s="887"/>
      <c r="X66" s="890"/>
    </row>
    <row r="67" spans="1:24" x14ac:dyDescent="0.2">
      <c r="A67" s="848">
        <f>A65+1</f>
        <v>3</v>
      </c>
      <c r="B67" s="880" t="s">
        <v>1081</v>
      </c>
      <c r="D67" s="887">
        <f ca="1">D14-D40</f>
        <v>232450226.00139457</v>
      </c>
      <c r="H67" s="887">
        <f ca="1">H14-H40</f>
        <v>17364031.882304177</v>
      </c>
      <c r="J67" s="887">
        <f ca="1">J14-J40</f>
        <v>16527955.160414012</v>
      </c>
      <c r="L67" s="887">
        <f ca="1">L14-L40</f>
        <v>2246102.5461017126</v>
      </c>
      <c r="N67" s="887">
        <f ca="1">N14-N40</f>
        <v>3373395.5753390705</v>
      </c>
      <c r="P67" s="887">
        <f ca="1">SUM(H67:N67)</f>
        <v>39511485.16415897</v>
      </c>
      <c r="R67" s="889">
        <f>R14</f>
        <v>0</v>
      </c>
      <c r="T67" s="887">
        <f ca="1">ROUND(P67*R67,0)</f>
        <v>0</v>
      </c>
      <c r="V67" s="887">
        <f t="shared" ref="V67:V83" ca="1" si="4">V14-V40</f>
        <v>244346568.85469925</v>
      </c>
      <c r="X67" s="890">
        <f t="shared" ref="X67:X83" ca="1" si="5">V67/$V$85</f>
        <v>1.6968897435552452E-2</v>
      </c>
    </row>
    <row r="68" spans="1:24" ht="10.5" customHeight="1" x14ac:dyDescent="0.2">
      <c r="V68" s="887"/>
      <c r="X68" s="890"/>
    </row>
    <row r="69" spans="1:24" x14ac:dyDescent="0.2">
      <c r="A69" s="848">
        <f>A67+1</f>
        <v>4</v>
      </c>
      <c r="B69" s="880" t="s">
        <v>1082</v>
      </c>
      <c r="D69" s="887">
        <f ca="1">D16-D42</f>
        <v>4777820362.1564608</v>
      </c>
      <c r="H69" s="887">
        <f ca="1">H16-H42</f>
        <v>356903181.05308765</v>
      </c>
      <c r="J69" s="887">
        <f ca="1">J16-J42</f>
        <v>232356263.96041244</v>
      </c>
      <c r="L69" s="887">
        <f ca="1">L16-L42</f>
        <v>48905449.472530708</v>
      </c>
      <c r="N69" s="887">
        <f ca="1">N16-N42</f>
        <v>58892308.001920827</v>
      </c>
      <c r="P69" s="887">
        <f ca="1">SUM(H69:N69)</f>
        <v>697057202.48795164</v>
      </c>
      <c r="R69" s="889">
        <f>R16</f>
        <v>0</v>
      </c>
      <c r="T69" s="887">
        <f ca="1">ROUND(P69*R69,0)</f>
        <v>0</v>
      </c>
      <c r="V69" s="887">
        <f t="shared" ca="1" si="4"/>
        <v>4958799634.0922136</v>
      </c>
      <c r="X69" s="890">
        <f t="shared" ca="1" si="5"/>
        <v>0.34436891333801728</v>
      </c>
    </row>
    <row r="70" spans="1:24" ht="11.25" customHeight="1" x14ac:dyDescent="0.2">
      <c r="V70" s="887"/>
      <c r="X70" s="890"/>
    </row>
    <row r="71" spans="1:24" x14ac:dyDescent="0.2">
      <c r="A71" s="848">
        <f>A69+1</f>
        <v>5</v>
      </c>
      <c r="B71" s="880" t="s">
        <v>1083</v>
      </c>
      <c r="D71" s="887">
        <f ca="1">D18-D44</f>
        <v>8594259.3811344653</v>
      </c>
      <c r="H71" s="887">
        <f ca="1">H18-H44</f>
        <v>641991.17577074456</v>
      </c>
      <c r="J71" s="887">
        <f ca="1">J18-J44</f>
        <v>855649.43264250853</v>
      </c>
      <c r="L71" s="887">
        <f ca="1">L18-L44</f>
        <v>60438.043210117758</v>
      </c>
      <c r="N71" s="887">
        <f ca="1">N18-N44</f>
        <v>110647.45906207856</v>
      </c>
      <c r="P71" s="887">
        <f ca="1">SUM(H71:N71)</f>
        <v>1668726.1106854493</v>
      </c>
      <c r="R71" s="889">
        <f>R18</f>
        <v>0</v>
      </c>
      <c r="T71" s="887">
        <f ca="1">ROUND(P71*R71,0)</f>
        <v>0</v>
      </c>
      <c r="V71" s="887">
        <f t="shared" ca="1" si="4"/>
        <v>8971573.2702372372</v>
      </c>
      <c r="X71" s="890">
        <f t="shared" ca="1" si="5"/>
        <v>6.2304008348374959E-4</v>
      </c>
    </row>
    <row r="72" spans="1:24" ht="12" customHeight="1" x14ac:dyDescent="0.2">
      <c r="V72" s="887"/>
      <c r="X72" s="890"/>
    </row>
    <row r="73" spans="1:24" x14ac:dyDescent="0.2">
      <c r="A73" s="848">
        <f>A71+1</f>
        <v>6</v>
      </c>
      <c r="B73" s="880" t="s">
        <v>1084</v>
      </c>
      <c r="D73" s="887">
        <f ca="1">D20-D46</f>
        <v>927853732.41505396</v>
      </c>
      <c r="H73" s="887">
        <f ca="1">H20-H46</f>
        <v>69310673.811404526</v>
      </c>
      <c r="J73" s="887">
        <f ca="1">J20-J46</f>
        <v>45140989.6041779</v>
      </c>
      <c r="L73" s="887">
        <f ca="1">L20-L46</f>
        <v>9370609.1490627602</v>
      </c>
      <c r="N73" s="887">
        <f ca="1">N20-N46</f>
        <v>11088366.73901321</v>
      </c>
      <c r="P73" s="887">
        <f ca="1">SUM(H73:N73)</f>
        <v>134910639.30365837</v>
      </c>
      <c r="R73" s="889">
        <f>R20</f>
        <v>0</v>
      </c>
      <c r="T73" s="887">
        <f ca="1">ROUND(P73*R73,0)</f>
        <v>0</v>
      </c>
      <c r="V73" s="887">
        <f t="shared" ca="1" si="4"/>
        <v>963222723.90573776</v>
      </c>
      <c r="X73" s="890">
        <f t="shared" ca="1" si="5"/>
        <v>6.6891987418367951E-2</v>
      </c>
    </row>
    <row r="74" spans="1:24" ht="9" customHeight="1" x14ac:dyDescent="0.2">
      <c r="V74" s="887"/>
      <c r="X74" s="890"/>
    </row>
    <row r="75" spans="1:24" x14ac:dyDescent="0.2">
      <c r="A75" s="848">
        <f>A73+1</f>
        <v>7</v>
      </c>
      <c r="B75" s="880" t="s">
        <v>1085</v>
      </c>
      <c r="D75" s="887">
        <f ca="1">D22-D48</f>
        <v>104383351.89014067</v>
      </c>
      <c r="H75" s="887">
        <f ca="1">H22-H48</f>
        <v>7797436.3861935074</v>
      </c>
      <c r="J75" s="887">
        <f ca="1">J22-J48</f>
        <v>3847117.9707896486</v>
      </c>
      <c r="L75" s="887">
        <f ca="1">L22-L48</f>
        <v>1068795.2746621047</v>
      </c>
      <c r="N75" s="887">
        <f ca="1">N22-N48</f>
        <v>1165700.8528383491</v>
      </c>
      <c r="P75" s="887">
        <f ca="1">SUM(H75:N75)</f>
        <v>13879050.484483609</v>
      </c>
      <c r="R75" s="889">
        <f>R22</f>
        <v>0</v>
      </c>
      <c r="T75" s="887">
        <f ca="1">ROUND(P75*R75,0)</f>
        <v>0</v>
      </c>
      <c r="V75" s="887">
        <f t="shared" ca="1" si="4"/>
        <v>107675665.78997403</v>
      </c>
      <c r="X75" s="890">
        <f t="shared" ca="1" si="5"/>
        <v>7.477646760742529E-3</v>
      </c>
    </row>
    <row r="76" spans="1:24" ht="10.5" customHeight="1" x14ac:dyDescent="0.2">
      <c r="V76" s="887"/>
      <c r="X76" s="890"/>
    </row>
    <row r="77" spans="1:24" x14ac:dyDescent="0.2">
      <c r="A77" s="848">
        <f>A75+1</f>
        <v>8</v>
      </c>
      <c r="B77" s="880" t="s">
        <v>390</v>
      </c>
      <c r="D77" s="887">
        <f ca="1">D24-D50</f>
        <v>29739672.993615214</v>
      </c>
      <c r="H77" s="887">
        <f ca="1">H24-H50</f>
        <v>2221553.5726230568</v>
      </c>
      <c r="J77" s="887">
        <f ca="1">J24-J50</f>
        <v>1051167.1564522432</v>
      </c>
      <c r="L77" s="887">
        <f ca="1">L24-L50</f>
        <v>295281.42326578696</v>
      </c>
      <c r="N77" s="887">
        <f ca="1">N24-N50</f>
        <v>266127.91017381643</v>
      </c>
      <c r="P77" s="887">
        <f ca="1">SUM(H77:N77)</f>
        <v>3834130.0625149035</v>
      </c>
      <c r="R77" s="889">
        <f>R24</f>
        <v>0</v>
      </c>
      <c r="T77" s="887">
        <f ca="1">ROUND(P77*R77,0)</f>
        <v>0</v>
      </c>
      <c r="V77" s="887">
        <f t="shared" ca="1" si="4"/>
        <v>21820664.051358834</v>
      </c>
      <c r="X77" s="890">
        <f t="shared" ca="1" si="5"/>
        <v>1.5153583371303127E-3</v>
      </c>
    </row>
    <row r="78" spans="1:24" ht="12.75" customHeight="1" x14ac:dyDescent="0.2">
      <c r="V78" s="887"/>
      <c r="X78" s="890"/>
    </row>
    <row r="79" spans="1:24" x14ac:dyDescent="0.2">
      <c r="A79" s="848">
        <f>A77+1</f>
        <v>9</v>
      </c>
      <c r="B79" s="880" t="s">
        <v>391</v>
      </c>
      <c r="D79" s="887">
        <f ca="1">D26-D52</f>
        <v>194078566.91426614</v>
      </c>
      <c r="H79" s="887">
        <f ca="1">H26-H52</f>
        <v>14497668.948495682</v>
      </c>
      <c r="J79" s="887">
        <f ca="1">J26-J52</f>
        <v>33872356.231161311</v>
      </c>
      <c r="L79" s="887">
        <f ca="1">L26-L52</f>
        <v>2052945.0614482963</v>
      </c>
      <c r="N79" s="887">
        <f ca="1">N26-N52</f>
        <v>5187858.0388321346</v>
      </c>
      <c r="P79" s="887">
        <f ca="1">SUM(H79:N79)</f>
        <v>55610828.279937431</v>
      </c>
      <c r="R79" s="889">
        <f>R26</f>
        <v>0</v>
      </c>
      <c r="T79" s="887">
        <f ca="1">ROUND(P79*R79,0)</f>
        <v>0</v>
      </c>
      <c r="V79" s="887">
        <f t="shared" ca="1" si="4"/>
        <v>218385236.85497135</v>
      </c>
      <c r="X79" s="890">
        <f t="shared" ca="1" si="5"/>
        <v>1.5165986176930797E-2</v>
      </c>
    </row>
    <row r="80" spans="1:24" ht="10.5" customHeight="1" x14ac:dyDescent="0.2">
      <c r="V80" s="887"/>
      <c r="X80" s="890"/>
    </row>
    <row r="81" spans="1:29" x14ac:dyDescent="0.2">
      <c r="A81" s="848">
        <f>A79+1</f>
        <v>10</v>
      </c>
      <c r="B81" s="880" t="s">
        <v>1086</v>
      </c>
      <c r="D81" s="887">
        <f ca="1">D28-D54</f>
        <v>7340183.8603009302</v>
      </c>
      <c r="H81" s="887">
        <f ca="1">H28-H54</f>
        <v>548311.73436447955</v>
      </c>
      <c r="J81" s="887">
        <f ca="1">J28-J54</f>
        <v>274208.02303235192</v>
      </c>
      <c r="L81" s="887">
        <f ca="1">L28-L54</f>
        <v>74930.401240955325</v>
      </c>
      <c r="N81" s="887">
        <f ca="1">N28-N54</f>
        <v>81680.831060674944</v>
      </c>
      <c r="P81" s="887">
        <f ca="1">SUM(H81:N81)</f>
        <v>979130.98969846172</v>
      </c>
      <c r="R81" s="889">
        <f>R28</f>
        <v>0</v>
      </c>
      <c r="T81" s="887">
        <f ca="1">ROUND(P81*R81,0)</f>
        <v>0</v>
      </c>
      <c r="V81" s="887">
        <f t="shared" ca="1" si="4"/>
        <v>7521553.9516532663</v>
      </c>
      <c r="X81" s="890">
        <f t="shared" ca="1" si="5"/>
        <v>5.2234200856519984E-4</v>
      </c>
    </row>
    <row r="82" spans="1:29" ht="12" customHeight="1" x14ac:dyDescent="0.2">
      <c r="V82" s="887"/>
      <c r="X82" s="890"/>
    </row>
    <row r="83" spans="1:29" ht="15" thickBot="1" x14ac:dyDescent="0.25">
      <c r="A83" s="848">
        <f>A81+1</f>
        <v>11</v>
      </c>
      <c r="B83" s="880" t="s">
        <v>1087</v>
      </c>
      <c r="D83" s="892">
        <f ca="1">D30-D56</f>
        <v>33809914.405619413</v>
      </c>
      <c r="H83" s="892">
        <f ca="1">H30-H56</f>
        <v>2525600.6060997699</v>
      </c>
      <c r="J83" s="892">
        <f ca="1">J30-J56</f>
        <v>1553845.054133388</v>
      </c>
      <c r="L83" s="892">
        <f ca="1">L30-L56</f>
        <v>347514.34635000199</v>
      </c>
      <c r="N83" s="892">
        <f ca="1">N30-N56</f>
        <v>403952.05956390442</v>
      </c>
      <c r="P83" s="892">
        <f ca="1">SUM(H83:N83)</f>
        <v>4830912.0661470639</v>
      </c>
      <c r="R83" s="889">
        <f>R30</f>
        <v>0</v>
      </c>
      <c r="T83" s="892">
        <f ca="1">ROUND(P83*R83,0)</f>
        <v>0</v>
      </c>
      <c r="V83" s="892">
        <f t="shared" ca="1" si="4"/>
        <v>35267486.11269708</v>
      </c>
      <c r="X83" s="890">
        <f t="shared" ca="1" si="5"/>
        <v>2.4491866509981394E-3</v>
      </c>
    </row>
    <row r="84" spans="1:29" ht="15" thickTop="1" x14ac:dyDescent="0.2">
      <c r="AC84" s="571"/>
    </row>
    <row r="85" spans="1:29" x14ac:dyDescent="0.2">
      <c r="A85" s="848">
        <f>A83+1</f>
        <v>12</v>
      </c>
      <c r="B85" s="880" t="s">
        <v>10</v>
      </c>
      <c r="D85" s="887">
        <f ca="1">D32-D58</f>
        <v>13827853670.904634</v>
      </c>
      <c r="F85" s="893">
        <f>F58</f>
        <v>7.4700000000000003E-2</v>
      </c>
      <c r="H85" s="887">
        <f ca="1">H32-H58</f>
        <v>1032940669.2165765</v>
      </c>
      <c r="J85" s="887">
        <f ca="1">SUM(J65:J83)</f>
        <v>708461583.74000025</v>
      </c>
      <c r="K85" s="887"/>
      <c r="L85" s="887">
        <f ca="1">SUM(L65:L83)</f>
        <v>141156383.93982893</v>
      </c>
      <c r="M85" s="887"/>
      <c r="N85" s="887">
        <f ca="1">SUM(N65:N83)</f>
        <v>174069475.2508485</v>
      </c>
      <c r="O85" s="887"/>
      <c r="P85" s="887">
        <f ca="1">SUM(P65:P83)</f>
        <v>2056628112.1688535</v>
      </c>
      <c r="T85" s="887">
        <f ca="1">SUM(T65:T83)</f>
        <v>0</v>
      </c>
      <c r="V85" s="887">
        <f ca="1">SUM(V65:V83)</f>
        <v>14399672682.49</v>
      </c>
    </row>
    <row r="87" spans="1:29" x14ac:dyDescent="0.2">
      <c r="A87" s="848">
        <v>13</v>
      </c>
    </row>
    <row r="88" spans="1:29" x14ac:dyDescent="0.2">
      <c r="B88" s="880" t="s">
        <v>1091</v>
      </c>
    </row>
    <row r="89" spans="1:29" x14ac:dyDescent="0.2">
      <c r="A89" s="848">
        <f>A87+1</f>
        <v>14</v>
      </c>
      <c r="B89" s="880" t="s">
        <v>1358</v>
      </c>
    </row>
    <row r="90" spans="1:29" x14ac:dyDescent="0.2">
      <c r="L90" s="647"/>
    </row>
    <row r="91" spans="1:29" ht="15" x14ac:dyDescent="0.25">
      <c r="A91" s="848">
        <f>A89+1</f>
        <v>15</v>
      </c>
      <c r="B91" s="896" t="s">
        <v>1092</v>
      </c>
      <c r="F91" s="887"/>
      <c r="H91" s="887"/>
      <c r="J91" s="887"/>
      <c r="L91" s="897"/>
      <c r="N91" s="887"/>
      <c r="P91" s="887"/>
      <c r="R91" s="887"/>
      <c r="T91" s="887"/>
      <c r="V91" s="887"/>
      <c r="X91" s="887"/>
    </row>
    <row r="92" spans="1:29" x14ac:dyDescent="0.2">
      <c r="K92" s="883"/>
      <c r="L92" s="647"/>
    </row>
    <row r="93" spans="1:29" x14ac:dyDescent="0.2">
      <c r="A93" s="848">
        <f>A91+1</f>
        <v>16</v>
      </c>
      <c r="B93" s="885" t="s">
        <v>1070</v>
      </c>
      <c r="D93" s="883" t="s">
        <v>10</v>
      </c>
      <c r="F93" s="883">
        <v>388</v>
      </c>
      <c r="H93" s="883">
        <v>389</v>
      </c>
      <c r="J93" s="883">
        <v>390</v>
      </c>
      <c r="K93" s="645"/>
      <c r="L93" s="883">
        <v>391</v>
      </c>
      <c r="N93" s="883">
        <v>392</v>
      </c>
      <c r="P93" s="883">
        <v>393</v>
      </c>
      <c r="R93" s="883">
        <v>394</v>
      </c>
      <c r="T93" s="883">
        <v>395</v>
      </c>
      <c r="V93" s="883">
        <v>396</v>
      </c>
      <c r="X93" s="883">
        <v>398</v>
      </c>
    </row>
    <row r="94" spans="1:29" ht="15" x14ac:dyDescent="0.25">
      <c r="K94" s="645"/>
      <c r="L94" s="898"/>
    </row>
    <row r="95" spans="1:29" x14ac:dyDescent="0.2">
      <c r="A95" s="848">
        <f>A93+1</f>
        <v>17</v>
      </c>
      <c r="B95" s="880" t="s">
        <v>679</v>
      </c>
      <c r="D95" s="887">
        <f ca="1">SUM(E95:X95)</f>
        <v>214326005.79040724</v>
      </c>
      <c r="F95" s="887">
        <f ca="1">'II-I-Total'!J184</f>
        <v>17190240.478437036</v>
      </c>
      <c r="H95" s="887">
        <f ca="1">'II-I-Total'!J185</f>
        <v>44709.821449991403</v>
      </c>
      <c r="J95" s="887">
        <f ca="1">'II-I-Total'!J186</f>
        <v>141635681.31424373</v>
      </c>
      <c r="K95" s="889"/>
      <c r="L95" s="887">
        <f ca="1">'II-I-Total'!J187</f>
        <v>8559173.5816071648</v>
      </c>
      <c r="N95" s="887">
        <f ca="1">'II-I-Total'!J188</f>
        <v>5554389.5094696097</v>
      </c>
      <c r="P95" s="887">
        <f ca="1">'II-I-Total'!J189</f>
        <v>3517244.5645597065</v>
      </c>
      <c r="R95" s="887">
        <f ca="1">'II-I-Total'!J190</f>
        <v>12825208.1024072</v>
      </c>
      <c r="T95" s="887">
        <f ca="1">'II-I-Total'!J191</f>
        <v>14019379.743418988</v>
      </c>
      <c r="V95" s="887">
        <f ca="1">'II-I-Total'!J192</f>
        <v>4926868.9796920102</v>
      </c>
      <c r="X95" s="887">
        <f ca="1">'II-I-Total'!J195</f>
        <v>6053109.6951218098</v>
      </c>
    </row>
    <row r="96" spans="1:29" x14ac:dyDescent="0.2">
      <c r="D96" s="887"/>
      <c r="F96" s="887"/>
      <c r="H96" s="887"/>
      <c r="J96" s="887"/>
      <c r="K96" s="889"/>
      <c r="L96" s="887"/>
      <c r="N96" s="887"/>
      <c r="P96" s="887"/>
      <c r="R96" s="887"/>
      <c r="T96" s="887"/>
      <c r="V96" s="887"/>
      <c r="X96" s="887"/>
    </row>
    <row r="97" spans="1:24" x14ac:dyDescent="0.2">
      <c r="A97" s="848">
        <f>A95+1</f>
        <v>18</v>
      </c>
      <c r="B97" s="880" t="s">
        <v>1081</v>
      </c>
      <c r="D97" s="887">
        <f ca="1">SUM(E97:X97)</f>
        <v>9594975.4472822044</v>
      </c>
      <c r="F97" s="887">
        <f ca="1">'II-I-Total'!K184</f>
        <v>838983.14670517039</v>
      </c>
      <c r="H97" s="887">
        <f ca="1">'II-I-Total'!K185</f>
        <v>1449.9636808274654</v>
      </c>
      <c r="J97" s="887">
        <f ca="1">'II-I-Total'!K186</f>
        <v>6678021.7818097575</v>
      </c>
      <c r="K97" s="889"/>
      <c r="L97" s="887">
        <f ca="1">'II-I-Total'!K187</f>
        <v>379611.09801653004</v>
      </c>
      <c r="N97" s="887">
        <f ca="1">'II-I-Total'!K188</f>
        <v>147030.01140431725</v>
      </c>
      <c r="P97" s="887">
        <f ca="1">'II-I-Total'!K189</f>
        <v>120964.33266601615</v>
      </c>
      <c r="R97" s="887">
        <f ca="1">'II-I-Total'!K190</f>
        <v>446134.61912315054</v>
      </c>
      <c r="T97" s="887">
        <f ca="1">'II-I-Total'!K191</f>
        <v>547654.25006228173</v>
      </c>
      <c r="V97" s="887">
        <f ca="1">'II-I-Total'!K192</f>
        <v>184503.44577913004</v>
      </c>
      <c r="X97" s="887">
        <f ca="1">'II-I-Total'!K195</f>
        <v>250622.79803502443</v>
      </c>
    </row>
    <row r="98" spans="1:24" x14ac:dyDescent="0.2">
      <c r="D98" s="887"/>
      <c r="F98" s="887"/>
      <c r="H98" s="887"/>
      <c r="J98" s="887"/>
      <c r="K98" s="889"/>
      <c r="L98" s="887"/>
      <c r="N98" s="887"/>
      <c r="P98" s="887"/>
      <c r="R98" s="887"/>
      <c r="T98" s="887"/>
      <c r="V98" s="887"/>
      <c r="X98" s="887"/>
    </row>
    <row r="99" spans="1:24" x14ac:dyDescent="0.2">
      <c r="A99" s="848">
        <f>A97+1</f>
        <v>19</v>
      </c>
      <c r="B99" s="880" t="s">
        <v>1082</v>
      </c>
      <c r="D99" s="887">
        <f ca="1">SUM(E99:X99)</f>
        <v>133448650.87514158</v>
      </c>
      <c r="F99" s="887">
        <f ca="1">'II-I-Total'!L184</f>
        <v>10648639.556929611</v>
      </c>
      <c r="H99" s="887">
        <f ca="1">'II-I-Total'!L185</f>
        <v>28261.032817331601</v>
      </c>
      <c r="J99" s="887">
        <f ca="1">'II-I-Total'!L186</f>
        <v>87924119.526389748</v>
      </c>
      <c r="K99" s="889"/>
      <c r="L99" s="887">
        <f ca="1">'II-I-Total'!L187</f>
        <v>5331278.4684248893</v>
      </c>
      <c r="N99" s="887">
        <f ca="1">'II-I-Total'!L188</f>
        <v>3536189.3552893372</v>
      </c>
      <c r="P99" s="887">
        <f ca="1">'II-I-Total'!L189</f>
        <v>2218451.0770825939</v>
      </c>
      <c r="R99" s="887">
        <f ca="1">'II-I-Total'!L190</f>
        <v>8085542.854403533</v>
      </c>
      <c r="T99" s="887">
        <f ca="1">'II-I-Total'!L191</f>
        <v>8793628.8748850562</v>
      </c>
      <c r="V99" s="887">
        <f ca="1">'II-I-Total'!L192</f>
        <v>3096310.6188199464</v>
      </c>
      <c r="X99" s="887">
        <f ca="1">'II-I-Total'!L195</f>
        <v>3786229.5100995493</v>
      </c>
    </row>
    <row r="100" spans="1:24" x14ac:dyDescent="0.2">
      <c r="D100" s="887"/>
      <c r="F100" s="887"/>
      <c r="H100" s="887"/>
      <c r="J100" s="887"/>
      <c r="K100" s="889"/>
      <c r="L100" s="887"/>
      <c r="N100" s="887"/>
      <c r="P100" s="887"/>
      <c r="R100" s="887"/>
      <c r="T100" s="887"/>
      <c r="V100" s="887"/>
      <c r="X100" s="887"/>
    </row>
    <row r="101" spans="1:24" x14ac:dyDescent="0.2">
      <c r="A101" s="848">
        <f>A99+1</f>
        <v>20</v>
      </c>
      <c r="B101" s="880" t="s">
        <v>1083</v>
      </c>
      <c r="D101" s="887">
        <f t="shared" ref="D101:D113" ca="1" si="6">SUM(E101:X101)</f>
        <v>833500.67844055127</v>
      </c>
      <c r="F101" s="887">
        <f ca="1">'II-I-Total'!M184</f>
        <v>80843.333886854976</v>
      </c>
      <c r="H101" s="887">
        <f ca="1">'II-I-Total'!M185</f>
        <v>62.426684860276765</v>
      </c>
      <c r="J101" s="887">
        <f ca="1">'II-I-Total'!M186</f>
        <v>618831.16326464422</v>
      </c>
      <c r="K101" s="889"/>
      <c r="L101" s="887">
        <f ca="1">'II-I-Total'!M187</f>
        <v>32549.780087704195</v>
      </c>
      <c r="N101" s="887">
        <f ca="1">'II-I-Total'!M188</f>
        <v>1065.4041233570549</v>
      </c>
      <c r="P101" s="887">
        <f ca="1">'II-I-Total'!M189</f>
        <v>6314.7003097779634</v>
      </c>
      <c r="R101" s="887">
        <f ca="1">'II-I-Total'!M190</f>
        <v>24048.706499107469</v>
      </c>
      <c r="T101" s="887">
        <f ca="1">'II-I-Total'!M191</f>
        <v>38430.520802026185</v>
      </c>
      <c r="V101" s="887">
        <f ca="1">'II-I-Total'!M192</f>
        <v>11894.234510825279</v>
      </c>
      <c r="X101" s="887">
        <f ca="1">'II-I-Total'!M195</f>
        <v>19460.408271393797</v>
      </c>
    </row>
    <row r="102" spans="1:24" x14ac:dyDescent="0.2">
      <c r="D102" s="887"/>
      <c r="F102" s="887"/>
      <c r="H102" s="887"/>
      <c r="J102" s="887"/>
      <c r="K102" s="889"/>
      <c r="L102" s="887"/>
      <c r="N102" s="887"/>
      <c r="P102" s="887"/>
      <c r="R102" s="887"/>
      <c r="T102" s="887"/>
      <c r="V102" s="887"/>
      <c r="X102" s="887"/>
    </row>
    <row r="103" spans="1:24" x14ac:dyDescent="0.2">
      <c r="A103" s="848">
        <f>A101+1</f>
        <v>21</v>
      </c>
      <c r="B103" s="880" t="s">
        <v>1084</v>
      </c>
      <c r="D103" s="887">
        <f t="shared" ca="1" si="6"/>
        <v>27830698.133414101</v>
      </c>
      <c r="F103" s="887">
        <f ca="1">'II-I-Total'!N184</f>
        <v>2266941.6329497071</v>
      </c>
      <c r="H103" s="887">
        <f ca="1">'II-I-Total'!N185</f>
        <v>5526.0283904838734</v>
      </c>
      <c r="J103" s="887">
        <f ca="1">'II-I-Total'!N186</f>
        <v>18561018.372577514</v>
      </c>
      <c r="K103" s="889"/>
      <c r="L103" s="887">
        <f ca="1">'II-I-Total'!N187</f>
        <v>1109404.0422230668</v>
      </c>
      <c r="N103" s="887">
        <f ca="1">'II-I-Total'!N188</f>
        <v>669699.26588481036</v>
      </c>
      <c r="P103" s="887">
        <f ca="1">'II-I-Total'!N189</f>
        <v>438357.70793659345</v>
      </c>
      <c r="R103" s="887">
        <f ca="1">'II-I-Total'!N190</f>
        <v>1601008.3125725843</v>
      </c>
      <c r="T103" s="887">
        <f ca="1">'II-I-Total'!N191</f>
        <v>1780822.7612719403</v>
      </c>
      <c r="V103" s="887">
        <f ca="1">'II-I-Total'!N192</f>
        <v>621759.41812012903</v>
      </c>
      <c r="X103" s="887">
        <f ca="1">'II-I-Total'!N195</f>
        <v>776160.59148727579</v>
      </c>
    </row>
    <row r="104" spans="1:24" x14ac:dyDescent="0.2">
      <c r="D104" s="887"/>
      <c r="F104" s="887"/>
      <c r="H104" s="887"/>
      <c r="J104" s="887"/>
      <c r="K104" s="889"/>
      <c r="L104" s="887"/>
      <c r="N104" s="887"/>
      <c r="P104" s="887"/>
      <c r="R104" s="887"/>
      <c r="T104" s="887"/>
      <c r="V104" s="887"/>
      <c r="X104" s="887"/>
    </row>
    <row r="105" spans="1:24" x14ac:dyDescent="0.2">
      <c r="A105" s="848">
        <f>A103+1</f>
        <v>22</v>
      </c>
      <c r="B105" s="880" t="s">
        <v>1085</v>
      </c>
      <c r="D105" s="887">
        <f t="shared" ca="1" si="6"/>
        <v>2734915.0247194436</v>
      </c>
      <c r="F105" s="887">
        <f ca="1">'II-I-Total'!O184</f>
        <v>214289.46364449631</v>
      </c>
      <c r="H105" s="887">
        <f ca="1">'II-I-Total'!O185</f>
        <v>610.55908087934665</v>
      </c>
      <c r="J105" s="887">
        <f ca="1">'II-I-Total'!O186</f>
        <v>1782756.4625299557</v>
      </c>
      <c r="K105" s="889"/>
      <c r="L105" s="887">
        <f ca="1">'II-I-Total'!O187</f>
        <v>109464.05157832883</v>
      </c>
      <c r="N105" s="887">
        <f ca="1">'II-I-Total'!O188</f>
        <v>78251.626108206605</v>
      </c>
      <c r="P105" s="887">
        <f ca="1">'II-I-Total'!O189</f>
        <v>47540.229213525621</v>
      </c>
      <c r="R105" s="887">
        <f ca="1">'II-I-Total'!O190</f>
        <v>172984.87785369501</v>
      </c>
      <c r="T105" s="887">
        <f ca="1">'II-I-Total'!O191</f>
        <v>184760.91594438453</v>
      </c>
      <c r="V105" s="887">
        <f ca="1">'II-I-Total'!O192</f>
        <v>65505.798012136445</v>
      </c>
      <c r="X105" s="887">
        <f ca="1">'II-I-Total'!O195</f>
        <v>78751.040753835317</v>
      </c>
    </row>
    <row r="106" spans="1:24" x14ac:dyDescent="0.2">
      <c r="D106" s="887"/>
      <c r="F106" s="887"/>
      <c r="H106" s="887"/>
      <c r="J106" s="887"/>
      <c r="K106" s="889"/>
      <c r="L106" s="887"/>
      <c r="N106" s="887"/>
      <c r="P106" s="887"/>
      <c r="R106" s="887"/>
      <c r="T106" s="887"/>
      <c r="V106" s="887"/>
      <c r="X106" s="887"/>
    </row>
    <row r="107" spans="1:24" x14ac:dyDescent="0.2">
      <c r="A107" s="848">
        <f>A105+1</f>
        <v>23</v>
      </c>
      <c r="B107" s="880" t="s">
        <v>390</v>
      </c>
      <c r="D107" s="887">
        <f t="shared" ca="1" si="6"/>
        <v>848578.81008942728</v>
      </c>
      <c r="F107" s="887">
        <f ca="1">'II-I-Total'!P184</f>
        <v>74038.397905853213</v>
      </c>
      <c r="H107" s="887">
        <f ca="1">'II-I-Total'!P185</f>
        <v>129.34761672660082</v>
      </c>
      <c r="J107" s="887">
        <f ca="1">'II-I-Total'!P186</f>
        <v>589842.69557027216</v>
      </c>
      <c r="K107" s="889"/>
      <c r="L107" s="887">
        <f ca="1">'II-I-Total'!P187</f>
        <v>33569.514414734891</v>
      </c>
      <c r="N107" s="887">
        <f ca="1">'II-I-Total'!P188</f>
        <v>13206.95257405524</v>
      </c>
      <c r="P107" s="887">
        <f ca="1">'II-I-Total'!P189</f>
        <v>10778.40333423407</v>
      </c>
      <c r="R107" s="887">
        <f ca="1">'II-I-Total'!P190</f>
        <v>39740.19652920607</v>
      </c>
      <c r="T107" s="887">
        <f ca="1">'II-I-Total'!P191</f>
        <v>48640.363756381063</v>
      </c>
      <c r="V107" s="887">
        <f ca="1">'II-I-Total'!P192</f>
        <v>16403.709555171354</v>
      </c>
      <c r="X107" s="887">
        <f ca="1">'II-I-Total'!P195</f>
        <v>22229.228832792454</v>
      </c>
    </row>
    <row r="108" spans="1:24" x14ac:dyDescent="0.2">
      <c r="D108" s="887"/>
      <c r="F108" s="887"/>
      <c r="H108" s="887"/>
      <c r="J108" s="887"/>
      <c r="K108" s="889"/>
      <c r="L108" s="887"/>
      <c r="N108" s="887"/>
      <c r="P108" s="887"/>
      <c r="R108" s="887"/>
      <c r="T108" s="887"/>
      <c r="V108" s="887"/>
      <c r="X108" s="887"/>
    </row>
    <row r="109" spans="1:24" x14ac:dyDescent="0.2">
      <c r="A109" s="848">
        <f>A107+1</f>
        <v>24</v>
      </c>
      <c r="B109" s="880" t="s">
        <v>391</v>
      </c>
      <c r="D109" s="887">
        <f t="shared" ca="1" si="6"/>
        <v>6207935.1497369613</v>
      </c>
      <c r="F109" s="887">
        <f ca="1">'II-I-Total'!Q184</f>
        <v>534437.15222104534</v>
      </c>
      <c r="H109" s="887">
        <f ca="1">'II-I-Total'!Q185</f>
        <v>1224.3910381440717</v>
      </c>
      <c r="J109" s="887">
        <f ca="1">'II-I-Total'!Q186</f>
        <v>4250813.6118437694</v>
      </c>
      <c r="K109" s="889"/>
      <c r="L109" s="887">
        <f ca="1">'II-I-Total'!Q187</f>
        <v>261115.58333406522</v>
      </c>
      <c r="N109" s="887">
        <f ca="1">'II-I-Total'!Q188</f>
        <v>149726.2083619519</v>
      </c>
      <c r="P109" s="887">
        <f ca="1">'II-I-Total'!Q189</f>
        <v>88463.370787290958</v>
      </c>
      <c r="R109" s="887">
        <f ca="1">'II-I-Total'!Q190</f>
        <v>321419.55626828305</v>
      </c>
      <c r="T109" s="887">
        <f ca="1">'II-I-Total'!Q191</f>
        <v>337678.85689469619</v>
      </c>
      <c r="V109" s="887">
        <f ca="1">'II-I-Total'!Q192</f>
        <v>120485.42054889812</v>
      </c>
      <c r="X109" s="887">
        <f ca="1">'II-I-Total'!Q195</f>
        <v>142570.99843881716</v>
      </c>
    </row>
    <row r="110" spans="1:24" x14ac:dyDescent="0.2">
      <c r="D110" s="887"/>
      <c r="F110" s="887"/>
      <c r="H110" s="887"/>
      <c r="J110" s="887"/>
      <c r="K110" s="889"/>
      <c r="L110" s="887"/>
      <c r="N110" s="887"/>
      <c r="P110" s="887"/>
      <c r="R110" s="887"/>
      <c r="T110" s="887"/>
      <c r="V110" s="887"/>
      <c r="X110" s="887"/>
    </row>
    <row r="111" spans="1:24" x14ac:dyDescent="0.2">
      <c r="A111" s="848">
        <f>A109+1</f>
        <v>25</v>
      </c>
      <c r="B111" s="880" t="s">
        <v>1086</v>
      </c>
      <c r="D111" s="887">
        <f t="shared" ca="1" si="6"/>
        <v>197386.02691324861</v>
      </c>
      <c r="F111" s="887">
        <f ca="1">'II-I-Total'!R184</f>
        <v>15628.494552889586</v>
      </c>
      <c r="H111" s="887">
        <f ca="1">'II-I-Total'!R185</f>
        <v>42.770885762012085</v>
      </c>
      <c r="J111" s="887">
        <f ca="1">'II-I-Total'!R186</f>
        <v>129456.87282621794</v>
      </c>
      <c r="K111" s="889"/>
      <c r="L111" s="887">
        <f ca="1">'II-I-Total'!R187</f>
        <v>7891.8079614787966</v>
      </c>
      <c r="N111" s="887">
        <f ca="1">'II-I-Total'!R188</f>
        <v>5409.0581137272475</v>
      </c>
      <c r="P111" s="887">
        <f ca="1">'II-I-Total'!R189</f>
        <v>3345.5200089323016</v>
      </c>
      <c r="R111" s="887">
        <f ca="1">'II-I-Total'!R190</f>
        <v>12184.581185810322</v>
      </c>
      <c r="T111" s="887">
        <f ca="1">'II-I-Total'!R191</f>
        <v>13147.524980874899</v>
      </c>
      <c r="V111" s="887">
        <f ca="1">'II-I-Total'!R192</f>
        <v>4643.2417149512339</v>
      </c>
      <c r="X111" s="887">
        <f ca="1">'II-I-Total'!R195</f>
        <v>5636.1546826042577</v>
      </c>
    </row>
    <row r="112" spans="1:24" x14ac:dyDescent="0.2">
      <c r="D112" s="887"/>
      <c r="F112" s="887"/>
      <c r="H112" s="887"/>
      <c r="J112" s="887"/>
      <c r="K112" s="889"/>
      <c r="L112" s="887"/>
      <c r="N112" s="887"/>
      <c r="P112" s="887"/>
      <c r="R112" s="887"/>
      <c r="T112" s="887"/>
      <c r="V112" s="887"/>
      <c r="X112" s="887"/>
    </row>
    <row r="113" spans="1:24" x14ac:dyDescent="0.2">
      <c r="A113" s="848">
        <f>A111+1</f>
        <v>26</v>
      </c>
      <c r="B113" s="880" t="s">
        <v>1087</v>
      </c>
      <c r="D113" s="887">
        <f t="shared" ca="1" si="6"/>
        <v>888402.79385508003</v>
      </c>
      <c r="F113" s="887">
        <f ca="1">'II-I-Total'!S184</f>
        <v>69420.062767337615</v>
      </c>
      <c r="H113" s="887">
        <f ca="1">'II-I-Total'!S185</f>
        <v>199.8383549933526</v>
      </c>
      <c r="J113" s="887">
        <f ca="1">'II-I-Total'!S186</f>
        <v>578186.4989442185</v>
      </c>
      <c r="K113" s="889"/>
      <c r="L113" s="887">
        <f ca="1">'II-I-Total'!S187</f>
        <v>35567.912352042607</v>
      </c>
      <c r="N113" s="887">
        <f ca="1">'II-I-Total'!S188</f>
        <v>25696.528670632772</v>
      </c>
      <c r="P113" s="887">
        <f ca="1">'II-I-Total'!S189</f>
        <v>15542.384101321613</v>
      </c>
      <c r="R113" s="887">
        <f ca="1">'II-I-Total'!S190</f>
        <v>56541.103157486868</v>
      </c>
      <c r="T113" s="887">
        <f ca="1">'II-I-Total'!S191</f>
        <v>60234.927983323607</v>
      </c>
      <c r="V113" s="887">
        <f ca="1">'II-I-Total'!S192</f>
        <v>21376.993246805498</v>
      </c>
      <c r="X113" s="887">
        <f ca="1">'II-I-Total'!S195</f>
        <v>25636.544276917721</v>
      </c>
    </row>
    <row r="114" spans="1:24" x14ac:dyDescent="0.2">
      <c r="D114" s="887"/>
      <c r="F114" s="887"/>
      <c r="H114" s="887"/>
      <c r="J114" s="887"/>
      <c r="K114" s="889"/>
      <c r="L114" s="887"/>
      <c r="N114" s="887"/>
      <c r="P114" s="887"/>
      <c r="R114" s="887"/>
      <c r="T114" s="887"/>
      <c r="V114" s="887"/>
      <c r="X114" s="887"/>
    </row>
    <row r="115" spans="1:24" x14ac:dyDescent="0.2">
      <c r="A115" s="848">
        <f>A113+1</f>
        <v>27</v>
      </c>
      <c r="B115" s="881" t="s">
        <v>10</v>
      </c>
      <c r="D115" s="887">
        <f ca="1">SUM(E115:X115)</f>
        <v>396911048.72999996</v>
      </c>
      <c r="F115" s="887">
        <f>'II-I-Total'!F184</f>
        <v>31933461.720000006</v>
      </c>
      <c r="H115" s="887">
        <f>'II-I-Total'!F185</f>
        <v>82216.180000000008</v>
      </c>
      <c r="J115" s="887">
        <f>'II-I-Total'!F186</f>
        <v>262748728.29999986</v>
      </c>
      <c r="K115" s="889"/>
      <c r="L115" s="887">
        <f ca="1">SUM(L95:L114)</f>
        <v>15859625.840000004</v>
      </c>
      <c r="N115" s="887">
        <f>'II-I-Total'!F188</f>
        <v>10180663.920000006</v>
      </c>
      <c r="P115" s="887">
        <f>'II-I-Total'!F189</f>
        <v>6467002.2899999935</v>
      </c>
      <c r="R115" s="887">
        <f>'II-I-Total'!F190</f>
        <v>23584812.91000006</v>
      </c>
      <c r="T115" s="887">
        <f>'II-I-Total'!F191</f>
        <v>25824378.739999954</v>
      </c>
      <c r="V115" s="887">
        <f>'II-I-Total'!F192</f>
        <v>9069751.860000005</v>
      </c>
      <c r="X115" s="887">
        <f>'II-I-Total'!F195</f>
        <v>11160406.970000021</v>
      </c>
    </row>
    <row r="116" spans="1:24" x14ac:dyDescent="0.2">
      <c r="D116" s="887"/>
      <c r="F116" s="887"/>
      <c r="H116" s="887"/>
      <c r="J116" s="887"/>
      <c r="K116" s="889"/>
      <c r="L116" s="887"/>
      <c r="N116" s="887"/>
      <c r="P116" s="887"/>
      <c r="R116" s="887"/>
      <c r="T116" s="887"/>
      <c r="V116" s="887"/>
      <c r="X116" s="887"/>
    </row>
    <row r="117" spans="1:24" x14ac:dyDescent="0.2">
      <c r="A117" s="848">
        <f>A115+1</f>
        <v>28</v>
      </c>
      <c r="B117" s="880" t="s">
        <v>1093</v>
      </c>
      <c r="D117" s="887"/>
      <c r="F117" s="887">
        <f ca="1">SUM(F95:F113)</f>
        <v>31933461.719999999</v>
      </c>
      <c r="H117" s="887">
        <f ca="1">SUM(H95:H113)</f>
        <v>82216.180000000008</v>
      </c>
      <c r="J117" s="887">
        <f ca="1">SUM(J95:J113)</f>
        <v>262748728.2999998</v>
      </c>
      <c r="K117" s="889"/>
      <c r="L117" s="887">
        <f ca="1">SUM(L95:L113)</f>
        <v>15859625.840000004</v>
      </c>
      <c r="N117" s="887">
        <f ca="1">SUM(N95:N113)</f>
        <v>10180663.920000006</v>
      </c>
      <c r="P117" s="887">
        <f ca="1">SUM(P95:P113)</f>
        <v>6467002.2899999917</v>
      </c>
      <c r="R117" s="887">
        <f ca="1">SUM(R95:R113)</f>
        <v>23584812.910000052</v>
      </c>
      <c r="T117" s="887">
        <f ca="1">SUM(T95:T113)</f>
        <v>25824378.739999954</v>
      </c>
      <c r="V117" s="887">
        <f ca="1">SUM(V95:V113)</f>
        <v>9069751.8600000013</v>
      </c>
      <c r="X117" s="887">
        <f ca="1">SUM(X95:X113)</f>
        <v>11160406.970000021</v>
      </c>
    </row>
    <row r="119" spans="1:24" x14ac:dyDescent="0.2">
      <c r="B119" s="647"/>
      <c r="H119" s="1473"/>
      <c r="I119" s="1473"/>
      <c r="J119" s="1473"/>
    </row>
    <row r="120" spans="1:24" ht="15" x14ac:dyDescent="0.25">
      <c r="A120" s="848">
        <v>1</v>
      </c>
      <c r="B120" s="896" t="s">
        <v>1094</v>
      </c>
      <c r="K120" s="883"/>
      <c r="L120" s="732"/>
    </row>
    <row r="121" spans="1:24" x14ac:dyDescent="0.2">
      <c r="K121" s="645"/>
      <c r="L121" s="647"/>
    </row>
    <row r="122" spans="1:24" x14ac:dyDescent="0.2">
      <c r="A122" s="848">
        <f>A120+1</f>
        <v>2</v>
      </c>
      <c r="B122" s="885" t="s">
        <v>1070</v>
      </c>
      <c r="D122" s="883" t="s">
        <v>10</v>
      </c>
      <c r="F122" s="883">
        <v>388</v>
      </c>
      <c r="H122" s="883">
        <v>389</v>
      </c>
      <c r="J122" s="883">
        <v>390</v>
      </c>
      <c r="K122" s="645"/>
      <c r="L122" s="883">
        <v>391</v>
      </c>
      <c r="N122" s="883">
        <v>392</v>
      </c>
      <c r="P122" s="883">
        <v>393</v>
      </c>
      <c r="R122" s="883">
        <v>394</v>
      </c>
      <c r="T122" s="883">
        <v>395</v>
      </c>
      <c r="V122" s="883">
        <v>396</v>
      </c>
      <c r="X122" s="883">
        <v>398</v>
      </c>
    </row>
    <row r="123" spans="1:24" ht="15" x14ac:dyDescent="0.25">
      <c r="L123" s="898"/>
    </row>
    <row r="124" spans="1:24" x14ac:dyDescent="0.2">
      <c r="A124" s="848">
        <f>A122+1</f>
        <v>3</v>
      </c>
      <c r="B124" s="880" t="s">
        <v>679</v>
      </c>
      <c r="C124" s="887"/>
      <c r="D124" s="887">
        <f ca="1">SUM(E124:X124)</f>
        <v>24878011.617282785</v>
      </c>
      <c r="F124" s="887">
        <f ca="1">'II-I-Total'!J345</f>
        <v>0</v>
      </c>
      <c r="H124" s="887">
        <f ca="1">'II-I-Total'!J346</f>
        <v>10642.843918651617</v>
      </c>
      <c r="J124" s="887">
        <f ca="1">'II-I-Total'!J347</f>
        <v>13897150.697465768</v>
      </c>
      <c r="K124" s="889"/>
      <c r="L124" s="887">
        <f ca="1">'II-I-Total'!J348</f>
        <v>1392040.4229144459</v>
      </c>
      <c r="N124" s="887">
        <f ca="1">'II-I-Total'!J349</f>
        <v>1042744.595598802</v>
      </c>
      <c r="P124" s="887">
        <f ca="1">'II-I-Total'!J350</f>
        <v>534055.74363994133</v>
      </c>
      <c r="R124" s="887">
        <f ca="1">'II-I-Total'!J351</f>
        <v>3244408.0716754198</v>
      </c>
      <c r="T124" s="887">
        <f ca="1">'II-I-Total'!J352</f>
        <v>2858048.3130779876</v>
      </c>
      <c r="V124" s="887">
        <f ca="1">'II-I-Total'!J353</f>
        <v>1119159.0912413059</v>
      </c>
      <c r="X124" s="887">
        <f ca="1">'II-I-Total'!J359</f>
        <v>779761.83775046328</v>
      </c>
    </row>
    <row r="125" spans="1:24" x14ac:dyDescent="0.2">
      <c r="C125" s="887"/>
      <c r="D125" s="887"/>
      <c r="F125" s="887"/>
      <c r="H125" s="887"/>
      <c r="J125" s="887"/>
      <c r="K125" s="889"/>
      <c r="L125" s="887"/>
      <c r="N125" s="887"/>
      <c r="P125" s="887"/>
      <c r="R125" s="887"/>
      <c r="T125" s="887"/>
      <c r="V125" s="887"/>
      <c r="X125" s="887"/>
    </row>
    <row r="126" spans="1:24" x14ac:dyDescent="0.2">
      <c r="A126" s="848">
        <f>A124+1</f>
        <v>4</v>
      </c>
      <c r="B126" s="880" t="s">
        <v>1081</v>
      </c>
      <c r="C126" s="887"/>
      <c r="D126" s="887">
        <f t="shared" ref="D126:D144" ca="1" si="7">SUM(E126:X126)</f>
        <v>1024162.6841252982</v>
      </c>
      <c r="F126" s="887">
        <f ca="1">'II-I-Total'!K345</f>
        <v>0</v>
      </c>
      <c r="H126" s="887">
        <f ca="1">'II-I-Total'!K346</f>
        <v>346.7671499632641</v>
      </c>
      <c r="J126" s="887">
        <f ca="1">'II-I-Total'!K347</f>
        <v>622018.9386037743</v>
      </c>
      <c r="K126" s="889"/>
      <c r="L126" s="887">
        <f ca="1">'II-I-Total'!K348</f>
        <v>60295.533645920324</v>
      </c>
      <c r="N126" s="887">
        <f ca="1">'II-I-Total'!K349</f>
        <v>27602.44839172651</v>
      </c>
      <c r="P126" s="887">
        <f ca="1">'II-I-Total'!K350</f>
        <v>19205.528312024529</v>
      </c>
      <c r="R126" s="887">
        <f ca="1">'II-I-Total'!K351</f>
        <v>112751.80835396599</v>
      </c>
      <c r="T126" s="887">
        <f ca="1">'II-I-Total'!K352</f>
        <v>107568.28131639463</v>
      </c>
      <c r="V126" s="887">
        <f ca="1">'II-I-Total'!K353</f>
        <v>41139.922214355916</v>
      </c>
      <c r="X126" s="887">
        <f ca="1">'II-I-Total'!K359</f>
        <v>33233.456137172761</v>
      </c>
    </row>
    <row r="127" spans="1:24" x14ac:dyDescent="0.2">
      <c r="C127" s="887"/>
      <c r="D127" s="887"/>
      <c r="F127" s="887"/>
      <c r="H127" s="887"/>
      <c r="J127" s="887"/>
      <c r="K127" s="889"/>
      <c r="L127" s="887"/>
      <c r="N127" s="887"/>
      <c r="P127" s="887"/>
      <c r="R127" s="887"/>
      <c r="T127" s="887"/>
      <c r="V127" s="887"/>
      <c r="X127" s="887"/>
    </row>
    <row r="128" spans="1:24" x14ac:dyDescent="0.2">
      <c r="A128" s="848">
        <f>A126+1</f>
        <v>5</v>
      </c>
      <c r="B128" s="880" t="s">
        <v>1082</v>
      </c>
      <c r="C128" s="887"/>
      <c r="D128" s="887">
        <f t="shared" ca="1" si="7"/>
        <v>15560320.621661061</v>
      </c>
      <c r="F128" s="887">
        <f ca="1">'II-I-Total'!L345</f>
        <v>0</v>
      </c>
      <c r="H128" s="887">
        <f ca="1">'II-I-Total'!L346</f>
        <v>6726.1218236583036</v>
      </c>
      <c r="J128" s="887">
        <f ca="1">'II-I-Total'!L347</f>
        <v>8653142.8955760971</v>
      </c>
      <c r="K128" s="889"/>
      <c r="L128" s="887">
        <f ca="1">'II-I-Total'!L348</f>
        <v>868179.43069108797</v>
      </c>
      <c r="N128" s="887">
        <f ca="1">'II-I-Total'!L349</f>
        <v>663860.95770839695</v>
      </c>
      <c r="P128" s="887">
        <f ca="1">'II-I-Total'!L350</f>
        <v>336222.1395153965</v>
      </c>
      <c r="R128" s="887">
        <f ca="1">'II-I-Total'!L351</f>
        <v>2045489.5048761813</v>
      </c>
      <c r="T128" s="887">
        <f ca="1">'II-I-Total'!L352</f>
        <v>1795749.7161989391</v>
      </c>
      <c r="V128" s="887">
        <f ca="1">'II-I-Total'!L353</f>
        <v>703915.37434888352</v>
      </c>
      <c r="X128" s="887">
        <f ca="1">'II-I-Total'!L359</f>
        <v>487034.48092242109</v>
      </c>
    </row>
    <row r="129" spans="1:24" x14ac:dyDescent="0.2">
      <c r="C129" s="887"/>
      <c r="D129" s="887"/>
      <c r="F129" s="887"/>
      <c r="H129" s="887"/>
      <c r="J129" s="887"/>
      <c r="K129" s="889"/>
      <c r="L129" s="887"/>
      <c r="N129" s="887"/>
      <c r="P129" s="887"/>
      <c r="R129" s="887"/>
      <c r="T129" s="887"/>
      <c r="V129" s="887"/>
      <c r="X129" s="887"/>
    </row>
    <row r="130" spans="1:24" x14ac:dyDescent="0.2">
      <c r="A130" s="848">
        <f>A128+1</f>
        <v>6</v>
      </c>
      <c r="B130" s="880" t="s">
        <v>1083</v>
      </c>
      <c r="C130" s="887"/>
      <c r="D130" s="887">
        <f t="shared" ca="1" si="7"/>
        <v>78681.822468459737</v>
      </c>
      <c r="F130" s="887">
        <f ca="1">'II-I-Total'!M345</f>
        <v>0</v>
      </c>
      <c r="H130" s="887">
        <f ca="1">'II-I-Total'!M346</f>
        <v>15.186865897846715</v>
      </c>
      <c r="J130" s="887">
        <f ca="1">'II-I-Total'!M347</f>
        <v>54020.313442933555</v>
      </c>
      <c r="K130" s="889"/>
      <c r="L130" s="887">
        <f ca="1">'II-I-Total'!M348</f>
        <v>5002.3679024837184</v>
      </c>
      <c r="N130" s="887">
        <f ca="1">'II-I-Total'!M349</f>
        <v>200.01197068826613</v>
      </c>
      <c r="P130" s="887">
        <f ca="1">'II-I-Total'!M350</f>
        <v>1128.5492815162625</v>
      </c>
      <c r="R130" s="887">
        <f ca="1">'II-I-Total'!M351</f>
        <v>6061.88820152474</v>
      </c>
      <c r="T130" s="887">
        <f ca="1">'II-I-Total'!M352</f>
        <v>7008.8741701324743</v>
      </c>
      <c r="V130" s="887">
        <f ca="1">'II-I-Total'!M353</f>
        <v>2545.7771959768143</v>
      </c>
      <c r="X130" s="887">
        <f ca="1">'II-I-Total'!M359</f>
        <v>2698.8534373060493</v>
      </c>
    </row>
    <row r="131" spans="1:24" x14ac:dyDescent="0.2">
      <c r="C131" s="887"/>
      <c r="D131" s="887"/>
      <c r="F131" s="887"/>
      <c r="H131" s="887"/>
      <c r="J131" s="887"/>
      <c r="K131" s="889"/>
      <c r="L131" s="887"/>
      <c r="N131" s="887"/>
      <c r="P131" s="887"/>
      <c r="R131" s="887"/>
      <c r="T131" s="887"/>
      <c r="V131" s="887"/>
      <c r="X131" s="887"/>
    </row>
    <row r="132" spans="1:24" x14ac:dyDescent="0.2">
      <c r="A132" s="848">
        <f>A130+1</f>
        <v>7</v>
      </c>
      <c r="B132" s="880" t="s">
        <v>1084</v>
      </c>
      <c r="C132" s="887"/>
      <c r="D132" s="887">
        <f t="shared" ca="1" si="7"/>
        <v>3185482.4960442148</v>
      </c>
      <c r="F132" s="887">
        <f ca="1">'II-I-Total'!N345</f>
        <v>0</v>
      </c>
      <c r="H132" s="887">
        <f ca="1">'II-I-Total'!N346</f>
        <v>1316.2564080376874</v>
      </c>
      <c r="J132" s="887">
        <f ca="1">'II-I-Total'!N347</f>
        <v>1804530.0863827472</v>
      </c>
      <c r="K132" s="889"/>
      <c r="L132" s="693">
        <f ca="1">'II-I-Total'!N348</f>
        <v>179701.15691130236</v>
      </c>
      <c r="N132" s="887">
        <f ca="1">'II-I-Total'!N349</f>
        <v>125724.94042546081</v>
      </c>
      <c r="P132" s="887">
        <f ca="1">'II-I-Total'!N350</f>
        <v>66989.621715306086</v>
      </c>
      <c r="R132" s="887">
        <f ca="1">'II-I-Total'!N351</f>
        <v>404953.92258379707</v>
      </c>
      <c r="T132" s="887">
        <f ca="1">'II-I-Total'!N352</f>
        <v>360955.26774912514</v>
      </c>
      <c r="V132" s="887">
        <f ca="1">'II-I-Total'!N353</f>
        <v>140840.19569015322</v>
      </c>
      <c r="X132" s="887">
        <f ca="1">'II-I-Total'!N359</f>
        <v>100471.04817828526</v>
      </c>
    </row>
    <row r="133" spans="1:24" x14ac:dyDescent="0.2">
      <c r="C133" s="887"/>
      <c r="D133" s="887"/>
      <c r="F133" s="887"/>
      <c r="H133" s="887"/>
      <c r="J133" s="887"/>
      <c r="K133" s="889"/>
      <c r="L133" s="887"/>
      <c r="N133" s="887"/>
      <c r="P133" s="887"/>
      <c r="R133" s="887"/>
      <c r="T133" s="887"/>
      <c r="V133" s="887"/>
      <c r="X133" s="887"/>
    </row>
    <row r="134" spans="1:24" x14ac:dyDescent="0.2">
      <c r="A134" s="848">
        <f>A132+1</f>
        <v>8</v>
      </c>
      <c r="B134" s="880" t="s">
        <v>1085</v>
      </c>
      <c r="C134" s="887"/>
      <c r="D134" s="887">
        <f t="shared" ca="1" si="7"/>
        <v>323987.86711875116</v>
      </c>
      <c r="F134" s="887">
        <f ca="1">'II-I-Total'!O345</f>
        <v>0</v>
      </c>
      <c r="H134" s="887">
        <f ca="1">'II-I-Total'!O346</f>
        <v>145.22247681429241</v>
      </c>
      <c r="J134" s="887">
        <f ca="1">'II-I-Total'!O347</f>
        <v>177346.00984013686</v>
      </c>
      <c r="K134" s="889"/>
      <c r="L134" s="1473">
        <f ca="1">'II-I-Total'!O348</f>
        <v>17907.86209686859</v>
      </c>
      <c r="N134" s="887">
        <f ca="1">'II-I-Total'!O349</f>
        <v>14690.446192518144</v>
      </c>
      <c r="P134" s="887">
        <f ca="1">'II-I-Total'!O350</f>
        <v>7157.9360707309952</v>
      </c>
      <c r="R134" s="887">
        <f ca="1">'II-I-Total'!O351</f>
        <v>43767.943651122914</v>
      </c>
      <c r="T134" s="887">
        <f ca="1">'II-I-Total'!O352</f>
        <v>37960.625229694364</v>
      </c>
      <c r="V134" s="887">
        <f ca="1">'II-I-Total'!O353</f>
        <v>14935.575128815221</v>
      </c>
      <c r="X134" s="887">
        <f ca="1">'II-I-Total'!O359</f>
        <v>10076.246432049806</v>
      </c>
    </row>
    <row r="135" spans="1:24" x14ac:dyDescent="0.2">
      <c r="C135" s="887"/>
      <c r="D135" s="887"/>
      <c r="F135" s="887"/>
      <c r="H135" s="887"/>
      <c r="J135" s="887"/>
      <c r="K135" s="889"/>
      <c r="L135" s="887"/>
      <c r="N135" s="887"/>
      <c r="P135" s="887"/>
      <c r="R135" s="887"/>
      <c r="T135" s="887"/>
      <c r="V135" s="887"/>
      <c r="X135" s="887"/>
    </row>
    <row r="136" spans="1:24" x14ac:dyDescent="0.2">
      <c r="A136" s="848">
        <f>A134+1</f>
        <v>9</v>
      </c>
      <c r="B136" s="880" t="s">
        <v>390</v>
      </c>
      <c r="C136" s="887"/>
      <c r="D136" s="887">
        <f t="shared" ca="1" si="7"/>
        <v>90778.560346230326</v>
      </c>
      <c r="F136" s="887">
        <f ca="1">'II-I-Total'!P345</f>
        <v>0</v>
      </c>
      <c r="H136" s="887">
        <f ca="1">'II-I-Total'!P346</f>
        <v>30.930111501914737</v>
      </c>
      <c r="J136" s="887">
        <f ca="1">'II-I-Total'!P347</f>
        <v>55012.588366135242</v>
      </c>
      <c r="K136" s="889"/>
      <c r="L136" s="1473">
        <f ca="1">'II-I-Total'!P348</f>
        <v>5335.033452005835</v>
      </c>
      <c r="N136" s="887">
        <f ca="1">'II-I-Total'!P349</f>
        <v>2479.3865099750324</v>
      </c>
      <c r="P136" s="887">
        <f ca="1">'II-I-Total'!P350</f>
        <v>1709.2691264903801</v>
      </c>
      <c r="R136" s="887">
        <f ca="1">'II-I-Total'!P351</f>
        <v>10043.814027783963</v>
      </c>
      <c r="T136" s="887">
        <f ca="1">'II-I-Total'!P352</f>
        <v>9562.4168254144424</v>
      </c>
      <c r="V136" s="887">
        <f ca="1">'II-I-Total'!P353</f>
        <v>3659.3462901923849</v>
      </c>
      <c r="X136" s="887">
        <f ca="1">'II-I-Total'!P359</f>
        <v>2945.7756367311331</v>
      </c>
    </row>
    <row r="137" spans="1:24" x14ac:dyDescent="0.2">
      <c r="C137" s="887"/>
      <c r="D137" s="887"/>
      <c r="F137" s="887"/>
      <c r="H137" s="887"/>
      <c r="J137" s="887"/>
      <c r="K137" s="889"/>
      <c r="L137" s="887"/>
      <c r="N137" s="887"/>
      <c r="P137" s="887"/>
      <c r="R137" s="887"/>
      <c r="T137" s="887"/>
      <c r="V137" s="887"/>
      <c r="X137" s="887"/>
    </row>
    <row r="138" spans="1:24" x14ac:dyDescent="0.2">
      <c r="A138" s="848">
        <f>A136+1</f>
        <v>10</v>
      </c>
      <c r="B138" s="880" t="s">
        <v>391</v>
      </c>
      <c r="C138" s="887"/>
      <c r="D138" s="887">
        <f t="shared" ca="1" si="7"/>
        <v>681743.013292138</v>
      </c>
      <c r="F138" s="887">
        <f ca="1">'II-I-Total'!Q345</f>
        <v>0</v>
      </c>
      <c r="H138" s="887">
        <f ca="1">'II-I-Total'!Q346</f>
        <v>291.16681872339296</v>
      </c>
      <c r="J138" s="887">
        <f ca="1">'II-I-Total'!Q347</f>
        <v>401176.89987382939</v>
      </c>
      <c r="K138" s="889"/>
      <c r="L138" s="1473">
        <f ca="1">'II-I-Total'!Q348</f>
        <v>42126.382618046264</v>
      </c>
      <c r="N138" s="887">
        <f ca="1">'II-I-Total'!Q349</f>
        <v>28108.614695233002</v>
      </c>
      <c r="P138" s="887">
        <f ca="1">'II-I-Total'!Q350</f>
        <v>13241.15223353144</v>
      </c>
      <c r="R138" s="887">
        <f ca="1">'II-I-Total'!Q351</f>
        <v>81334.359188885312</v>
      </c>
      <c r="T138" s="887">
        <f ca="1">'II-I-Total'!Q352</f>
        <v>69770.091618079896</v>
      </c>
      <c r="V138" s="887">
        <f ca="1">'II-I-Total'!Q353</f>
        <v>27544.429943154362</v>
      </c>
      <c r="X138" s="887">
        <f ca="1">'II-I-Total'!Q359</f>
        <v>18149.916302654943</v>
      </c>
    </row>
    <row r="139" spans="1:24" x14ac:dyDescent="0.2">
      <c r="C139" s="887"/>
      <c r="D139" s="887"/>
      <c r="F139" s="887"/>
      <c r="H139" s="887"/>
      <c r="J139" s="887"/>
      <c r="K139" s="889"/>
      <c r="L139" s="887"/>
      <c r="N139" s="887"/>
      <c r="P139" s="887"/>
      <c r="R139" s="887"/>
      <c r="T139" s="887"/>
      <c r="V139" s="887"/>
      <c r="X139" s="887"/>
    </row>
    <row r="140" spans="1:24" x14ac:dyDescent="0.2">
      <c r="A140" s="848">
        <f>A138+1</f>
        <v>11</v>
      </c>
      <c r="B140" s="880" t="s">
        <v>1086</v>
      </c>
      <c r="C140" s="887"/>
      <c r="D140" s="887">
        <f t="shared" ca="1" si="7"/>
        <v>23173.04968981749</v>
      </c>
      <c r="F140" s="887">
        <f ca="1">'II-I-Total'!R345</f>
        <v>0</v>
      </c>
      <c r="H140" s="887">
        <f ca="1">'II-I-Total'!R346</f>
        <v>10.176670945411072</v>
      </c>
      <c r="J140" s="887">
        <f ca="1">'II-I-Total'!R347</f>
        <v>12799.235095884575</v>
      </c>
      <c r="K140" s="889"/>
      <c r="L140" s="1473">
        <f ca="1">'II-I-Total'!R348</f>
        <v>1287.6885107775706</v>
      </c>
      <c r="N140" s="887">
        <f ca="1">'II-I-Total'!R349</f>
        <v>1015.4610341519834</v>
      </c>
      <c r="P140" s="887">
        <f ca="1">'II-I-Total'!R350</f>
        <v>505.58288823376841</v>
      </c>
      <c r="R140" s="887">
        <f ca="1">'II-I-Total'!R351</f>
        <v>3082.6551361407514</v>
      </c>
      <c r="T140" s="887">
        <f ca="1">'II-I-Total'!R352</f>
        <v>2691.976197857422</v>
      </c>
      <c r="V140" s="887">
        <f ca="1">'II-I-Total'!R353</f>
        <v>1056.9369653568863</v>
      </c>
      <c r="X140" s="887">
        <f ca="1">'II-I-Total'!R359</f>
        <v>723.33719046912233</v>
      </c>
    </row>
    <row r="141" spans="1:24" x14ac:dyDescent="0.2">
      <c r="C141" s="887"/>
      <c r="D141" s="887"/>
      <c r="F141" s="887"/>
      <c r="H141" s="887"/>
      <c r="J141" s="887"/>
      <c r="K141" s="889"/>
      <c r="N141" s="887"/>
      <c r="P141" s="887"/>
      <c r="R141" s="887"/>
      <c r="T141" s="887"/>
      <c r="V141" s="887"/>
      <c r="X141" s="887"/>
    </row>
    <row r="142" spans="1:24" x14ac:dyDescent="0.2">
      <c r="A142" s="848">
        <f>A140+1</f>
        <v>12</v>
      </c>
      <c r="B142" s="880" t="s">
        <v>1087</v>
      </c>
      <c r="C142" s="887"/>
      <c r="D142" s="887">
        <f t="shared" ca="1" si="7"/>
        <v>105487.63797124274</v>
      </c>
      <c r="F142" s="887">
        <f ca="1">'II-I-Total'!S345</f>
        <v>0</v>
      </c>
      <c r="H142" s="887">
        <f ca="1">'II-I-Total'!S346</f>
        <v>47.527755806269127</v>
      </c>
      <c r="J142" s="887">
        <f ca="1">'II-I-Total'!S347</f>
        <v>57608.965352694599</v>
      </c>
      <c r="K142" s="889"/>
      <c r="L142" s="1473">
        <f ca="1">'II-I-Total'!S348</f>
        <v>5822.6912570616823</v>
      </c>
      <c r="N142" s="887">
        <f ca="1">'II-I-Total'!S349</f>
        <v>4824.0974730471589</v>
      </c>
      <c r="P142" s="887">
        <f ca="1">'II-I-Total'!S350</f>
        <v>2337.9872168286433</v>
      </c>
      <c r="R142" s="887">
        <f ca="1">'II-I-Total'!S351</f>
        <v>14306.082305178114</v>
      </c>
      <c r="T142" s="887">
        <f ca="1">'II-I-Total'!S352</f>
        <v>12386.557616374104</v>
      </c>
      <c r="V142" s="887">
        <f ca="1">'II-I-Total'!S353</f>
        <v>4876.0609818057201</v>
      </c>
      <c r="X142" s="887">
        <f ca="1">'II-I-Total'!S359</f>
        <v>3277.6680124464647</v>
      </c>
    </row>
    <row r="143" spans="1:24" x14ac:dyDescent="0.2">
      <c r="D143" s="887"/>
      <c r="F143" s="887"/>
      <c r="H143" s="887"/>
      <c r="J143" s="887"/>
      <c r="K143" s="889"/>
      <c r="L143" s="887"/>
      <c r="N143" s="887"/>
      <c r="P143" s="887"/>
      <c r="R143" s="887"/>
      <c r="T143" s="887"/>
      <c r="V143" s="887"/>
      <c r="X143" s="887"/>
    </row>
    <row r="144" spans="1:24" x14ac:dyDescent="0.2">
      <c r="A144" s="848">
        <f>A142+1</f>
        <v>13</v>
      </c>
      <c r="B144" s="881" t="s">
        <v>10</v>
      </c>
      <c r="D144" s="887">
        <f t="shared" ca="1" si="7"/>
        <v>45951829.369999997</v>
      </c>
      <c r="F144" s="887">
        <f>'II-I-Total'!F345</f>
        <v>0</v>
      </c>
      <c r="H144" s="887">
        <f>'II-I-Total'!F346</f>
        <v>19572.2</v>
      </c>
      <c r="J144" s="887">
        <f>'II-I-Total'!F347</f>
        <v>25734806.630000003</v>
      </c>
      <c r="K144" s="889"/>
      <c r="L144" s="887">
        <f ca="1">SUM(L124:L143)</f>
        <v>2577698.5700000003</v>
      </c>
      <c r="N144" s="887">
        <f>'II-I-Total'!F349</f>
        <v>1911250.96</v>
      </c>
      <c r="P144" s="887">
        <f>'II-I-Total'!F350</f>
        <v>982553.51</v>
      </c>
      <c r="R144" s="887">
        <f>'II-I-Total'!F351</f>
        <v>5966200.0499999998</v>
      </c>
      <c r="T144" s="887">
        <f>'II-I-Total'!F352</f>
        <v>5261702.1199999992</v>
      </c>
      <c r="V144" s="887">
        <f>'II-I-Total'!F353</f>
        <v>2059672.71</v>
      </c>
      <c r="X144" s="887">
        <f>'II-I-Total'!F359</f>
        <v>1438372.6199999999</v>
      </c>
    </row>
    <row r="145" spans="1:24" x14ac:dyDescent="0.2">
      <c r="D145" s="887"/>
      <c r="F145" s="887"/>
      <c r="H145" s="887"/>
      <c r="J145" s="887"/>
      <c r="L145" s="887"/>
      <c r="N145" s="887"/>
      <c r="P145" s="887"/>
      <c r="R145" s="887"/>
      <c r="T145" s="887"/>
      <c r="V145" s="887"/>
      <c r="X145" s="887"/>
    </row>
    <row r="146" spans="1:24" x14ac:dyDescent="0.2">
      <c r="A146" s="848">
        <f>A144+1</f>
        <v>14</v>
      </c>
      <c r="B146" s="880" t="s">
        <v>1093</v>
      </c>
      <c r="D146" s="887"/>
      <c r="F146" s="887">
        <f ca="1">SUM(F124:F142)</f>
        <v>0</v>
      </c>
      <c r="H146" s="887">
        <f ca="1">SUM(H124:H142)</f>
        <v>19572.199999999993</v>
      </c>
      <c r="J146" s="887">
        <f ca="1">SUM(J124:J142)</f>
        <v>25734806.630000006</v>
      </c>
      <c r="L146" s="887">
        <f ca="1">SUM(L124:L142)</f>
        <v>2577698.5700000003</v>
      </c>
      <c r="N146" s="887">
        <f ca="1">SUM(N124:N142)</f>
        <v>1911250.9599999997</v>
      </c>
      <c r="P146" s="887">
        <f ca="1">SUM(P124:P142)</f>
        <v>982553.51</v>
      </c>
      <c r="R146" s="887">
        <f ca="1">SUM(R124:R142)</f>
        <v>5966200.0500000007</v>
      </c>
      <c r="T146" s="887">
        <f ca="1">SUM(T124:T142)</f>
        <v>5261702.1199999992</v>
      </c>
      <c r="V146" s="887">
        <f ca="1">SUM(V124:V142)</f>
        <v>2059672.7099999997</v>
      </c>
      <c r="X146" s="887">
        <f ca="1">SUM(X124:X142)</f>
        <v>1438372.62</v>
      </c>
    </row>
    <row r="147" spans="1:24" ht="10.5" customHeight="1" x14ac:dyDescent="0.2"/>
    <row r="149" spans="1:24" ht="15" x14ac:dyDescent="0.25">
      <c r="A149" s="848">
        <v>15</v>
      </c>
      <c r="B149" s="896" t="s">
        <v>1095</v>
      </c>
      <c r="L149" s="897"/>
    </row>
    <row r="150" spans="1:24" x14ac:dyDescent="0.2">
      <c r="L150" s="647"/>
    </row>
    <row r="151" spans="1:24" x14ac:dyDescent="0.2">
      <c r="A151" s="848">
        <f>A149+1</f>
        <v>16</v>
      </c>
      <c r="B151" s="885" t="s">
        <v>1070</v>
      </c>
      <c r="D151" s="883" t="s">
        <v>10</v>
      </c>
      <c r="F151" s="883">
        <v>388</v>
      </c>
      <c r="H151" s="883">
        <v>389</v>
      </c>
      <c r="J151" s="883">
        <v>390</v>
      </c>
      <c r="L151" s="883">
        <v>391</v>
      </c>
      <c r="N151" s="883">
        <v>392</v>
      </c>
      <c r="P151" s="883">
        <v>393</v>
      </c>
      <c r="R151" s="883">
        <v>394</v>
      </c>
      <c r="T151" s="883">
        <v>395</v>
      </c>
      <c r="V151" s="883">
        <v>396</v>
      </c>
      <c r="X151" s="883">
        <v>398</v>
      </c>
    </row>
    <row r="152" spans="1:24" ht="9" customHeight="1" x14ac:dyDescent="0.2"/>
    <row r="153" spans="1:24" x14ac:dyDescent="0.2">
      <c r="A153" s="848">
        <f>A151+1</f>
        <v>17</v>
      </c>
      <c r="B153" s="647" t="s">
        <v>679</v>
      </c>
      <c r="D153" s="887">
        <f ca="1">SUM(E153:X153)</f>
        <v>189447994.17312446</v>
      </c>
      <c r="F153" s="887">
        <f ca="1">F95-F124</f>
        <v>17190240.478437036</v>
      </c>
      <c r="H153" s="887">
        <f ca="1">H95-H124</f>
        <v>34066.977531339784</v>
      </c>
      <c r="J153" s="887">
        <f ca="1">J95-J124</f>
        <v>127738530.61677797</v>
      </c>
      <c r="L153" s="887">
        <f ca="1">L95-L124</f>
        <v>7167133.1586927194</v>
      </c>
      <c r="N153" s="887">
        <f ca="1">N95-N124</f>
        <v>4511644.9138708077</v>
      </c>
      <c r="P153" s="887">
        <f ca="1">P95-P124</f>
        <v>2983188.8209197652</v>
      </c>
      <c r="R153" s="887">
        <f ca="1">R95-R124</f>
        <v>9580800.0307317805</v>
      </c>
      <c r="T153" s="887">
        <f ca="1">T95-T124</f>
        <v>11161331.430341</v>
      </c>
      <c r="V153" s="887">
        <f ca="1">V95-V124</f>
        <v>3807709.8884507045</v>
      </c>
      <c r="X153" s="887">
        <f ca="1">X95-X124</f>
        <v>5273347.857371347</v>
      </c>
    </row>
    <row r="154" spans="1:24" x14ac:dyDescent="0.2">
      <c r="D154" s="887"/>
      <c r="F154" s="887"/>
      <c r="H154" s="887"/>
      <c r="J154" s="887"/>
      <c r="L154" s="887"/>
      <c r="N154" s="887"/>
      <c r="P154" s="887"/>
      <c r="R154" s="887"/>
      <c r="T154" s="887"/>
      <c r="V154" s="887"/>
      <c r="X154" s="887"/>
    </row>
    <row r="155" spans="1:24" x14ac:dyDescent="0.2">
      <c r="A155" s="848">
        <f>A153+1</f>
        <v>18</v>
      </c>
      <c r="B155" s="880" t="s">
        <v>1081</v>
      </c>
      <c r="D155" s="887">
        <f t="shared" ref="D155:D173" ca="1" si="8">SUM(E155:X155)</f>
        <v>8570812.7631569076</v>
      </c>
      <c r="F155" s="887">
        <f ca="1">F97-F126</f>
        <v>838983.14670517039</v>
      </c>
      <c r="H155" s="887">
        <f ca="1">H97-H126</f>
        <v>1103.1965308642013</v>
      </c>
      <c r="J155" s="887">
        <f ca="1">J97-J126</f>
        <v>6056002.8432059828</v>
      </c>
      <c r="L155" s="887">
        <f ca="1">L97-L126</f>
        <v>319315.5643706097</v>
      </c>
      <c r="N155" s="887">
        <f ca="1">N97-N126</f>
        <v>119427.56301259075</v>
      </c>
      <c r="P155" s="887">
        <f ca="1">P97-P126</f>
        <v>101758.80435399163</v>
      </c>
      <c r="R155" s="887">
        <f ca="1">R97-R126</f>
        <v>333382.81076918455</v>
      </c>
      <c r="T155" s="887">
        <f ca="1">T97-T126</f>
        <v>440085.9687458871</v>
      </c>
      <c r="V155" s="887">
        <f ca="1">V97-V126</f>
        <v>143363.52356477414</v>
      </c>
      <c r="X155" s="887">
        <f ca="1">X97-X126</f>
        <v>217389.34189785167</v>
      </c>
    </row>
    <row r="156" spans="1:24" x14ac:dyDescent="0.2">
      <c r="D156" s="887"/>
      <c r="F156" s="887"/>
      <c r="H156" s="887"/>
      <c r="J156" s="887"/>
      <c r="L156" s="887"/>
      <c r="N156" s="887"/>
      <c r="P156" s="887"/>
      <c r="R156" s="887"/>
      <c r="T156" s="887"/>
      <c r="V156" s="887"/>
      <c r="X156" s="887"/>
    </row>
    <row r="157" spans="1:24" x14ac:dyDescent="0.2">
      <c r="A157" s="848">
        <f>A155+1</f>
        <v>19</v>
      </c>
      <c r="B157" s="880" t="s">
        <v>1082</v>
      </c>
      <c r="D157" s="887">
        <f t="shared" ca="1" si="8"/>
        <v>117888330.25348055</v>
      </c>
      <c r="F157" s="887">
        <f ca="1">F99-F128</f>
        <v>10648639.556929611</v>
      </c>
      <c r="H157" s="887">
        <f ca="1">H99-H128</f>
        <v>21534.910993673297</v>
      </c>
      <c r="J157" s="887">
        <f ca="1">J99-J128</f>
        <v>79270976.630813658</v>
      </c>
      <c r="L157" s="887">
        <f ca="1">L99-L128</f>
        <v>4463099.0377338016</v>
      </c>
      <c r="N157" s="887">
        <f ca="1">N99-N128</f>
        <v>2872328.3975809403</v>
      </c>
      <c r="P157" s="887">
        <f ca="1">P99-P128</f>
        <v>1882228.9375671975</v>
      </c>
      <c r="R157" s="887">
        <f ca="1">R99-R128</f>
        <v>6040053.3495273516</v>
      </c>
      <c r="T157" s="887">
        <f ca="1">T99-T128</f>
        <v>6997879.1586861173</v>
      </c>
      <c r="V157" s="887">
        <f ca="1">V99-V128</f>
        <v>2392395.2444710629</v>
      </c>
      <c r="X157" s="887">
        <f ca="1">X99-X128</f>
        <v>3299195.0291771283</v>
      </c>
    </row>
    <row r="158" spans="1:24" x14ac:dyDescent="0.2">
      <c r="D158" s="887"/>
      <c r="F158" s="887"/>
      <c r="H158" s="887"/>
      <c r="J158" s="887"/>
      <c r="L158" s="887"/>
      <c r="N158" s="887"/>
      <c r="P158" s="887"/>
      <c r="R158" s="887"/>
      <c r="T158" s="887"/>
      <c r="V158" s="887"/>
      <c r="X158" s="887"/>
    </row>
    <row r="159" spans="1:24" x14ac:dyDescent="0.2">
      <c r="A159" s="848">
        <f>A157+1</f>
        <v>20</v>
      </c>
      <c r="B159" s="880" t="s">
        <v>1083</v>
      </c>
      <c r="D159" s="887">
        <f t="shared" ca="1" si="8"/>
        <v>754818.85597209167</v>
      </c>
      <c r="F159" s="887">
        <f ca="1">F101-F130</f>
        <v>80843.333886854976</v>
      </c>
      <c r="H159" s="887">
        <f ca="1">H101-H130</f>
        <v>47.23981896243005</v>
      </c>
      <c r="J159" s="887">
        <f ca="1">J101-J130</f>
        <v>564810.84982171061</v>
      </c>
      <c r="L159" s="887">
        <f ca="1">L101-L130</f>
        <v>27547.412185220477</v>
      </c>
      <c r="N159" s="887">
        <f ca="1">N101-N130</f>
        <v>865.39215266878875</v>
      </c>
      <c r="P159" s="887">
        <f ca="1">P101-P130</f>
        <v>5186.151028261701</v>
      </c>
      <c r="R159" s="887">
        <f ca="1">R101-R130</f>
        <v>17986.818297582729</v>
      </c>
      <c r="T159" s="887">
        <f ca="1">T101-T130</f>
        <v>31421.646631893709</v>
      </c>
      <c r="V159" s="887">
        <f ca="1">V101-V130</f>
        <v>9348.4573148484651</v>
      </c>
      <c r="X159" s="887">
        <f ca="1">X101-X130</f>
        <v>16761.554834087747</v>
      </c>
    </row>
    <row r="160" spans="1:24" x14ac:dyDescent="0.2">
      <c r="D160" s="887"/>
      <c r="F160" s="887"/>
      <c r="H160" s="887"/>
      <c r="J160" s="887"/>
      <c r="L160" s="887"/>
      <c r="N160" s="887"/>
      <c r="P160" s="887"/>
      <c r="R160" s="887"/>
      <c r="T160" s="887"/>
      <c r="V160" s="887"/>
      <c r="X160" s="887"/>
    </row>
    <row r="161" spans="1:24" x14ac:dyDescent="0.2">
      <c r="A161" s="848">
        <f>A159+1</f>
        <v>21</v>
      </c>
      <c r="B161" s="880" t="s">
        <v>1084</v>
      </c>
      <c r="D161" s="887">
        <f t="shared" ca="1" si="8"/>
        <v>24645215.637369893</v>
      </c>
      <c r="F161" s="887">
        <f ca="1">F103-F132</f>
        <v>2266941.6329497071</v>
      </c>
      <c r="H161" s="887">
        <f ca="1">H103-H132</f>
        <v>4209.7719824461856</v>
      </c>
      <c r="J161" s="887">
        <f ca="1">J103-J132</f>
        <v>16756488.286194768</v>
      </c>
      <c r="L161" s="887">
        <f ca="1">L103-L132</f>
        <v>929702.88531176443</v>
      </c>
      <c r="N161" s="887">
        <f ca="1">N103-N132</f>
        <v>543974.32545934955</v>
      </c>
      <c r="P161" s="887">
        <f ca="1">P103-P132</f>
        <v>371368.08622128738</v>
      </c>
      <c r="R161" s="887">
        <f ca="1">R103-R132</f>
        <v>1196054.3899887872</v>
      </c>
      <c r="T161" s="887">
        <f ca="1">T103-T132</f>
        <v>1419867.4935228152</v>
      </c>
      <c r="V161" s="887">
        <f ca="1">V103-V132</f>
        <v>480919.22242997581</v>
      </c>
      <c r="X161" s="887">
        <f ca="1">X103-X132</f>
        <v>675689.54330899054</v>
      </c>
    </row>
    <row r="162" spans="1:24" x14ac:dyDescent="0.2">
      <c r="D162" s="887"/>
      <c r="F162" s="887"/>
      <c r="H162" s="887"/>
      <c r="J162" s="887"/>
      <c r="L162" s="887"/>
      <c r="N162" s="887"/>
      <c r="P162" s="887"/>
      <c r="R162" s="887"/>
      <c r="T162" s="887"/>
      <c r="V162" s="887"/>
      <c r="X162" s="887"/>
    </row>
    <row r="163" spans="1:24" x14ac:dyDescent="0.2">
      <c r="A163" s="848">
        <f>A161+1</f>
        <v>22</v>
      </c>
      <c r="B163" s="880" t="s">
        <v>1085</v>
      </c>
      <c r="D163" s="887">
        <f t="shared" ca="1" si="8"/>
        <v>2410927.1576006929</v>
      </c>
      <c r="F163" s="887">
        <f ca="1">F105-F134</f>
        <v>214289.46364449631</v>
      </c>
      <c r="H163" s="887">
        <f ca="1">H105-H134</f>
        <v>465.33660406505425</v>
      </c>
      <c r="J163" s="887">
        <f ca="1">J105-J134</f>
        <v>1605410.4526898188</v>
      </c>
      <c r="L163" s="887">
        <f ca="1">L105-L134</f>
        <v>91556.189481460242</v>
      </c>
      <c r="N163" s="887">
        <f ca="1">N105-N134</f>
        <v>63561.179915688459</v>
      </c>
      <c r="P163" s="887">
        <f ca="1">P105-P134</f>
        <v>40382.293142794624</v>
      </c>
      <c r="R163" s="887">
        <f ca="1">R105-R134</f>
        <v>129216.9342025721</v>
      </c>
      <c r="T163" s="887">
        <f ca="1">T105-T134</f>
        <v>146800.29071469017</v>
      </c>
      <c r="V163" s="887">
        <f ca="1">V105-V134</f>
        <v>50570.222883321228</v>
      </c>
      <c r="X163" s="887">
        <f ca="1">X105-X134</f>
        <v>68674.794321785506</v>
      </c>
    </row>
    <row r="164" spans="1:24" x14ac:dyDescent="0.2">
      <c r="D164" s="887"/>
      <c r="F164" s="887"/>
      <c r="H164" s="887"/>
      <c r="J164" s="887"/>
      <c r="L164" s="887"/>
      <c r="N164" s="887"/>
      <c r="P164" s="887"/>
      <c r="R164" s="887"/>
      <c r="T164" s="887"/>
      <c r="V164" s="887"/>
      <c r="X164" s="887"/>
    </row>
    <row r="165" spans="1:24" x14ac:dyDescent="0.2">
      <c r="A165" s="848">
        <f>A163+1</f>
        <v>23</v>
      </c>
      <c r="B165" s="880" t="s">
        <v>390</v>
      </c>
      <c r="D165" s="887">
        <f t="shared" ca="1" si="8"/>
        <v>757800.24974319676</v>
      </c>
      <c r="F165" s="887">
        <f ca="1">F107-F136</f>
        <v>74038.397905853213</v>
      </c>
      <c r="H165" s="887">
        <f ca="1">H107-H136</f>
        <v>98.417505224686082</v>
      </c>
      <c r="J165" s="887">
        <f ca="1">J107-J136</f>
        <v>534830.1072041369</v>
      </c>
      <c r="L165" s="887">
        <f ca="1">L107-L136</f>
        <v>28234.480962729056</v>
      </c>
      <c r="N165" s="887">
        <f ca="1">N107-N136</f>
        <v>10727.566064080207</v>
      </c>
      <c r="P165" s="887">
        <f ca="1">P107-P136</f>
        <v>9069.1342077436893</v>
      </c>
      <c r="R165" s="887">
        <f ca="1">R107-R136</f>
        <v>29696.382501422107</v>
      </c>
      <c r="T165" s="887">
        <f ca="1">T107-T136</f>
        <v>39077.946930966616</v>
      </c>
      <c r="V165" s="887">
        <f ca="1">V107-V136</f>
        <v>12744.363264978969</v>
      </c>
      <c r="X165" s="887">
        <f ca="1">X107-X136</f>
        <v>19283.45319606132</v>
      </c>
    </row>
    <row r="166" spans="1:24" x14ac:dyDescent="0.2">
      <c r="D166" s="887"/>
      <c r="F166" s="887"/>
      <c r="H166" s="887"/>
      <c r="J166" s="887"/>
      <c r="L166" s="887"/>
      <c r="N166" s="887"/>
      <c r="P166" s="887"/>
      <c r="R166" s="887"/>
      <c r="T166" s="887"/>
      <c r="V166" s="887"/>
      <c r="X166" s="887"/>
    </row>
    <row r="167" spans="1:24" x14ac:dyDescent="0.2">
      <c r="A167" s="848">
        <f>A165+1</f>
        <v>24</v>
      </c>
      <c r="B167" s="880" t="s">
        <v>391</v>
      </c>
      <c r="D167" s="887">
        <f t="shared" ca="1" si="8"/>
        <v>5526192.1364448238</v>
      </c>
      <c r="F167" s="887">
        <f ca="1">F109-F138</f>
        <v>534437.15222104534</v>
      </c>
      <c r="H167" s="887">
        <f ca="1">H109-H138</f>
        <v>933.22421942067876</v>
      </c>
      <c r="J167" s="887">
        <f ca="1">J109-J138</f>
        <v>3849636.71196994</v>
      </c>
      <c r="L167" s="887">
        <f ca="1">L109-L138</f>
        <v>218989.20071601897</v>
      </c>
      <c r="N167" s="887">
        <f ca="1">N109-N138</f>
        <v>121617.59366671889</v>
      </c>
      <c r="P167" s="887">
        <f ca="1">P109-P138</f>
        <v>75222.218553759521</v>
      </c>
      <c r="R167" s="887">
        <f ca="1">R109-R138</f>
        <v>240085.19707939774</v>
      </c>
      <c r="T167" s="887">
        <f ca="1">T109-T138</f>
        <v>267908.76527661632</v>
      </c>
      <c r="V167" s="887">
        <f ca="1">V109-V138</f>
        <v>92940.990605743762</v>
      </c>
      <c r="X167" s="887">
        <f ca="1">X109-X138</f>
        <v>124421.08213616221</v>
      </c>
    </row>
    <row r="168" spans="1:24" x14ac:dyDescent="0.2">
      <c r="D168" s="887"/>
      <c r="F168" s="887"/>
      <c r="H168" s="887"/>
      <c r="J168" s="887"/>
      <c r="L168" s="887"/>
      <c r="N168" s="887"/>
      <c r="P168" s="887"/>
      <c r="R168" s="887"/>
      <c r="T168" s="887"/>
      <c r="V168" s="887"/>
      <c r="X168" s="887"/>
    </row>
    <row r="169" spans="1:24" x14ac:dyDescent="0.2">
      <c r="A169" s="848">
        <f>A167+1</f>
        <v>25</v>
      </c>
      <c r="B169" s="880" t="s">
        <v>1086</v>
      </c>
      <c r="D169" s="887">
        <f t="shared" ca="1" si="8"/>
        <v>174212.97722343111</v>
      </c>
      <c r="F169" s="887">
        <f ca="1">F111-F140</f>
        <v>15628.494552889586</v>
      </c>
      <c r="H169" s="887">
        <f ca="1">H111-H140</f>
        <v>32.59421481660101</v>
      </c>
      <c r="J169" s="887">
        <f ca="1">J111-J140</f>
        <v>116657.63773033336</v>
      </c>
      <c r="L169" s="887">
        <f ca="1">L111-L140</f>
        <v>6604.119450701226</v>
      </c>
      <c r="N169" s="887">
        <f ca="1">N111-N140</f>
        <v>4393.5970795752637</v>
      </c>
      <c r="P169" s="887">
        <f ca="1">P111-P140</f>
        <v>2839.9371206985334</v>
      </c>
      <c r="R169" s="887">
        <f ca="1">R111-R140</f>
        <v>9101.9260496695715</v>
      </c>
      <c r="T169" s="887">
        <f ca="1">T111-T140</f>
        <v>10455.548783017477</v>
      </c>
      <c r="V169" s="887">
        <f ca="1">V111-V140</f>
        <v>3586.3047495943474</v>
      </c>
      <c r="X169" s="887">
        <f ca="1">X111-X140</f>
        <v>4912.8174921351356</v>
      </c>
    </row>
    <row r="170" spans="1:24" x14ac:dyDescent="0.2">
      <c r="D170" s="887"/>
      <c r="F170" s="887"/>
      <c r="H170" s="887"/>
      <c r="J170" s="887"/>
      <c r="L170" s="887"/>
      <c r="N170" s="887"/>
      <c r="P170" s="887"/>
      <c r="R170" s="887"/>
      <c r="T170" s="887"/>
      <c r="V170" s="887"/>
      <c r="X170" s="887"/>
    </row>
    <row r="171" spans="1:24" x14ac:dyDescent="0.2">
      <c r="A171" s="848">
        <f>A169+1</f>
        <v>26</v>
      </c>
      <c r="B171" s="880" t="s">
        <v>1087</v>
      </c>
      <c r="D171" s="887">
        <f t="shared" ca="1" si="8"/>
        <v>782915.15588383737</v>
      </c>
      <c r="F171" s="887">
        <f ca="1">F113-F142</f>
        <v>69420.062767337615</v>
      </c>
      <c r="H171" s="887">
        <f ca="1">H113-H142</f>
        <v>152.31059918708348</v>
      </c>
      <c r="J171" s="887">
        <f ca="1">J113-J142</f>
        <v>520577.53359152388</v>
      </c>
      <c r="L171" s="887">
        <f ca="1">L113-L142</f>
        <v>29745.221094980923</v>
      </c>
      <c r="N171" s="887">
        <f ca="1">N113-N142</f>
        <v>20872.431197585611</v>
      </c>
      <c r="P171" s="887">
        <f ca="1">P113-P142</f>
        <v>13204.39688449297</v>
      </c>
      <c r="R171" s="887">
        <f ca="1">R113-R142</f>
        <v>42235.020852308757</v>
      </c>
      <c r="T171" s="887">
        <f ca="1">T113-T142</f>
        <v>47848.370366949501</v>
      </c>
      <c r="V171" s="887">
        <f ca="1">V113-V142</f>
        <v>16500.932264999778</v>
      </c>
      <c r="X171" s="887">
        <f ca="1">X113-X142</f>
        <v>22358.876264471255</v>
      </c>
    </row>
    <row r="172" spans="1:24" x14ac:dyDescent="0.2">
      <c r="D172" s="887"/>
      <c r="F172" s="887"/>
      <c r="H172" s="887"/>
      <c r="J172" s="887"/>
      <c r="L172" s="887"/>
      <c r="N172" s="887"/>
      <c r="P172" s="887"/>
      <c r="R172" s="887"/>
      <c r="T172" s="887"/>
      <c r="V172" s="887"/>
      <c r="X172" s="887"/>
    </row>
    <row r="173" spans="1:24" x14ac:dyDescent="0.2">
      <c r="A173" s="848">
        <f>A171+1</f>
        <v>27</v>
      </c>
      <c r="B173" s="881" t="s">
        <v>10</v>
      </c>
      <c r="D173" s="887">
        <f t="shared" ca="1" si="8"/>
        <v>350959219.35999984</v>
      </c>
      <c r="F173" s="887">
        <f>F115-F144</f>
        <v>31933461.720000006</v>
      </c>
      <c r="H173" s="887">
        <f>H115-H144</f>
        <v>62643.98000000001</v>
      </c>
      <c r="J173" s="887">
        <f>J115-J144</f>
        <v>237013921.66999987</v>
      </c>
      <c r="L173" s="887">
        <f ca="1">L115-L144</f>
        <v>13281927.270000003</v>
      </c>
      <c r="N173" s="887">
        <f>N115-N144</f>
        <v>8269412.9600000056</v>
      </c>
      <c r="P173" s="887">
        <f>P115-P144</f>
        <v>5484448.7799999937</v>
      </c>
      <c r="R173" s="887">
        <f>R115-R144</f>
        <v>17618612.860000059</v>
      </c>
      <c r="T173" s="887">
        <f>T115-T144</f>
        <v>20562676.619999953</v>
      </c>
      <c r="V173" s="887">
        <f>V115-V144</f>
        <v>7010079.150000005</v>
      </c>
      <c r="X173" s="887">
        <f>X115-X144</f>
        <v>9722034.350000022</v>
      </c>
    </row>
    <row r="174" spans="1:24" x14ac:dyDescent="0.2">
      <c r="D174" s="887"/>
      <c r="F174" s="887"/>
      <c r="H174" s="887"/>
      <c r="J174" s="887"/>
      <c r="L174" s="887"/>
      <c r="N174" s="887"/>
      <c r="P174" s="887"/>
      <c r="R174" s="887"/>
      <c r="T174" s="887"/>
      <c r="V174" s="887"/>
      <c r="X174" s="887"/>
    </row>
    <row r="175" spans="1:24" x14ac:dyDescent="0.2">
      <c r="A175" s="848">
        <f>A173+1</f>
        <v>28</v>
      </c>
      <c r="B175" s="880" t="s">
        <v>1093</v>
      </c>
      <c r="D175" s="887"/>
      <c r="F175" s="887">
        <f ca="1">SUM(F153:F171)</f>
        <v>31933461.719999999</v>
      </c>
      <c r="H175" s="887">
        <f ca="1">SUM(H153:H171)</f>
        <v>62643.979999999996</v>
      </c>
      <c r="J175" s="887">
        <f ca="1">SUM(J153:J171)</f>
        <v>237013921.66999987</v>
      </c>
      <c r="L175" s="887">
        <f ca="1">SUM(L153:L171)</f>
        <v>13281927.270000005</v>
      </c>
      <c r="N175" s="887">
        <f ca="1">SUM(N153:N171)</f>
        <v>8269412.9600000056</v>
      </c>
      <c r="P175" s="887">
        <f ca="1">SUM(P153:P171)</f>
        <v>5484448.7799999919</v>
      </c>
      <c r="R175" s="887">
        <f ca="1">SUM(R153:R171)</f>
        <v>17618612.860000055</v>
      </c>
      <c r="T175" s="887">
        <f ca="1">SUM(T153:T171)</f>
        <v>20562676.619999953</v>
      </c>
      <c r="V175" s="887">
        <f ca="1">SUM(V153:V171)</f>
        <v>7010079.1500000032</v>
      </c>
      <c r="X175" s="887">
        <f ca="1">SUM(X153:X171)</f>
        <v>9722034.3500000201</v>
      </c>
    </row>
    <row r="178" spans="1:24" x14ac:dyDescent="0.2">
      <c r="B178" s="880" t="s">
        <v>1096</v>
      </c>
    </row>
    <row r="179" spans="1:24" x14ac:dyDescent="0.2">
      <c r="A179" s="848">
        <f>A177+1</f>
        <v>1</v>
      </c>
      <c r="B179" s="647" t="s">
        <v>1348</v>
      </c>
      <c r="J179" s="647"/>
    </row>
    <row r="180" spans="1:24" x14ac:dyDescent="0.2">
      <c r="J180" s="647"/>
      <c r="X180" s="2" t="s">
        <v>1097</v>
      </c>
    </row>
    <row r="181" spans="1:24" x14ac:dyDescent="0.2">
      <c r="A181" s="848">
        <f>A179+1</f>
        <v>2</v>
      </c>
      <c r="J181" s="647"/>
      <c r="X181" s="2" t="s">
        <v>1098</v>
      </c>
    </row>
    <row r="182" spans="1:24" x14ac:dyDescent="0.2">
      <c r="J182" s="647"/>
      <c r="K182" s="883"/>
      <c r="X182" s="2" t="s">
        <v>1099</v>
      </c>
    </row>
    <row r="183" spans="1:24" x14ac:dyDescent="0.2">
      <c r="A183" s="848">
        <f>A181+1</f>
        <v>3</v>
      </c>
      <c r="B183" s="885" t="s">
        <v>1070</v>
      </c>
      <c r="D183" s="883" t="s">
        <v>10</v>
      </c>
      <c r="F183" s="883">
        <v>389</v>
      </c>
      <c r="H183" s="883">
        <v>390</v>
      </c>
      <c r="J183" s="883">
        <v>391</v>
      </c>
      <c r="K183" s="645"/>
      <c r="L183" s="883">
        <v>392</v>
      </c>
      <c r="N183" s="883">
        <v>393</v>
      </c>
      <c r="P183" s="883">
        <v>394</v>
      </c>
      <c r="R183" s="883">
        <v>395</v>
      </c>
      <c r="T183" s="883">
        <v>396</v>
      </c>
      <c r="V183" s="883">
        <v>398</v>
      </c>
      <c r="X183" s="1618" t="s">
        <v>1100</v>
      </c>
    </row>
    <row r="184" spans="1:24" ht="15" x14ac:dyDescent="0.25">
      <c r="J184" s="898"/>
      <c r="K184" s="645"/>
    </row>
    <row r="185" spans="1:24" x14ac:dyDescent="0.2">
      <c r="A185" s="848">
        <f>A183+1</f>
        <v>4</v>
      </c>
      <c r="B185" s="880" t="s">
        <v>679</v>
      </c>
      <c r="C185" s="887"/>
      <c r="D185" s="887">
        <f ca="1">SUM(E185:Y185)</f>
        <v>28631271.345618688</v>
      </c>
      <c r="F185" s="887">
        <f ca="1">'II-I-Total'!J1049</f>
        <v>886.33651528079383</v>
      </c>
      <c r="H185" s="887">
        <f ca="1">'II-I-Total'!J1050</f>
        <v>2980838.1821776945</v>
      </c>
      <c r="J185" s="887">
        <f ca="1">'II-I-Total'!J1051</f>
        <v>565337.14072672208</v>
      </c>
      <c r="K185" s="889"/>
      <c r="L185" s="887">
        <f ca="1">'II-I-Total'!J1052</f>
        <v>556251.41457232274</v>
      </c>
      <c r="N185" s="887">
        <f ca="1">'II-I-Total'!J1053</f>
        <v>141775.7869241758</v>
      </c>
      <c r="P185" s="887">
        <f ca="1">'II-I-Total'!J1054</f>
        <v>1094066.8410341926</v>
      </c>
      <c r="R185" s="887">
        <f ca="1">'II-I-Total'!J1055</f>
        <v>828154.35227867868</v>
      </c>
      <c r="T185" s="887">
        <f ca="1">'II-I-Total'!J1056</f>
        <v>405141.00720045518</v>
      </c>
      <c r="V185" s="887">
        <f ca="1">'II-I-Total'!J1060</f>
        <v>354089.486492706</v>
      </c>
      <c r="X185" s="887">
        <f ca="1">'II-I-Total'!J1068</f>
        <v>21704730.797696456</v>
      </c>
    </row>
    <row r="186" spans="1:24" x14ac:dyDescent="0.2">
      <c r="D186" s="887"/>
      <c r="F186" s="887"/>
      <c r="H186" s="887"/>
      <c r="J186" s="887"/>
      <c r="K186" s="889"/>
      <c r="L186" s="887"/>
      <c r="N186" s="887"/>
      <c r="P186" s="887"/>
      <c r="R186" s="887"/>
      <c r="T186" s="887"/>
      <c r="V186" s="887"/>
      <c r="X186" s="887"/>
    </row>
    <row r="187" spans="1:24" x14ac:dyDescent="0.2">
      <c r="A187" s="848">
        <f>A185+1</f>
        <v>5</v>
      </c>
      <c r="B187" s="880" t="s">
        <v>1081</v>
      </c>
      <c r="C187" s="887"/>
      <c r="D187" s="887">
        <f ca="1">SUM(E187:Y187)</f>
        <v>2371552.2313978318</v>
      </c>
      <c r="F187" s="887">
        <f ca="1">'II-I-Total'!K1049</f>
        <v>28.744215519111528</v>
      </c>
      <c r="H187" s="887">
        <f ca="1">'II-I-Total'!K1050</f>
        <v>139578.39379459529</v>
      </c>
      <c r="J187" s="887">
        <f ca="1">'II-I-Total'!K1051</f>
        <v>25073.47813761975</v>
      </c>
      <c r="K187" s="889"/>
      <c r="L187" s="887">
        <f ca="1">'II-I-Total'!K1052</f>
        <v>14724.507830932802</v>
      </c>
      <c r="N187" s="887">
        <f ca="1">'II-I-Total'!K1053</f>
        <v>4875.9231662943257</v>
      </c>
      <c r="P187" s="887">
        <f ca="1">'II-I-Total'!K1054</f>
        <v>37815.644908475064</v>
      </c>
      <c r="R187" s="887">
        <f ca="1">'II-I-Total'!K1055</f>
        <v>32351.092589730179</v>
      </c>
      <c r="T187" s="887">
        <f ca="1">'II-I-Total'!K1056</f>
        <v>15171.88939932205</v>
      </c>
      <c r="V187" s="887">
        <f ca="1">'II-I-Total'!K1060</f>
        <v>14660.71200792116</v>
      </c>
      <c r="X187" s="887">
        <f ca="1">'II-I-Total'!K1068</f>
        <v>2087271.8453474222</v>
      </c>
    </row>
    <row r="188" spans="1:24" x14ac:dyDescent="0.2">
      <c r="C188" s="887"/>
      <c r="D188" s="887"/>
      <c r="F188" s="887"/>
      <c r="H188" s="887"/>
      <c r="J188" s="887"/>
      <c r="K188" s="889"/>
      <c r="L188" s="887"/>
      <c r="N188" s="887"/>
      <c r="P188" s="887"/>
      <c r="R188" s="887"/>
      <c r="T188" s="887"/>
      <c r="V188" s="887"/>
      <c r="X188" s="887"/>
    </row>
    <row r="189" spans="1:24" x14ac:dyDescent="0.2">
      <c r="A189" s="848">
        <f>A187+1</f>
        <v>6</v>
      </c>
      <c r="B189" s="880" t="s">
        <v>1082</v>
      </c>
      <c r="C189" s="887"/>
      <c r="D189" s="887">
        <f ca="1">SUM(E189:Y189)</f>
        <v>17022052.834479582</v>
      </c>
      <c r="F189" s="887">
        <f ca="1">'II-I-Total'!L1049</f>
        <v>560.25253087829822</v>
      </c>
      <c r="H189" s="887">
        <f ca="1">'II-I-Total'!L1050</f>
        <v>1851167.6195125389</v>
      </c>
      <c r="J189" s="887">
        <f ca="1">'II-I-Total'!L1051</f>
        <v>352133.26355053886</v>
      </c>
      <c r="K189" s="889"/>
      <c r="L189" s="887">
        <f ca="1">'II-I-Total'!L1052</f>
        <v>354136.1886345481</v>
      </c>
      <c r="N189" s="887">
        <f ca="1">'II-I-Total'!L1053</f>
        <v>89423.02442597787</v>
      </c>
      <c r="P189" s="887">
        <f ca="1">'II-I-Total'!L1054</f>
        <v>689925.94788212411</v>
      </c>
      <c r="R189" s="887">
        <f ca="1">'II-I-Total'!L1055</f>
        <v>519458.21835915325</v>
      </c>
      <c r="T189" s="887">
        <f ca="1">'II-I-Total'!L1056</f>
        <v>254612.49494155645</v>
      </c>
      <c r="V189" s="887">
        <f ca="1">'II-I-Total'!L1060</f>
        <v>221483.52341208741</v>
      </c>
      <c r="X189" s="887">
        <f ca="1">'II-I-Total'!L1068</f>
        <v>12689152.301230179</v>
      </c>
    </row>
    <row r="190" spans="1:24" x14ac:dyDescent="0.2">
      <c r="C190" s="887"/>
      <c r="D190" s="887"/>
      <c r="F190" s="887"/>
      <c r="H190" s="887"/>
      <c r="J190" s="887"/>
      <c r="K190" s="889"/>
      <c r="L190" s="887"/>
      <c r="N190" s="887"/>
      <c r="P190" s="887"/>
      <c r="R190" s="887"/>
      <c r="T190" s="887"/>
      <c r="V190" s="887"/>
      <c r="X190" s="887"/>
    </row>
    <row r="191" spans="1:24" x14ac:dyDescent="0.2">
      <c r="A191" s="848">
        <f>A189+1</f>
        <v>7</v>
      </c>
      <c r="B191" s="880" t="s">
        <v>1083</v>
      </c>
      <c r="C191" s="887"/>
      <c r="D191" s="887">
        <f ca="1">SUM(E191:Y191)</f>
        <v>332138.84966652904</v>
      </c>
      <c r="F191" s="887">
        <f ca="1">'II-I-Total'!M1049</f>
        <v>1.2375274542912433</v>
      </c>
      <c r="H191" s="887">
        <f ca="1">'II-I-Total'!M1050</f>
        <v>12828.483381263843</v>
      </c>
      <c r="J191" s="887">
        <f ca="1">'II-I-Total'!M1051</f>
        <v>2149.9271180143633</v>
      </c>
      <c r="K191" s="889"/>
      <c r="L191" s="887">
        <f ca="1">'II-I-Total'!M1052</f>
        <v>106.69625342230241</v>
      </c>
      <c r="N191" s="887">
        <f ca="1">'II-I-Total'!M1053</f>
        <v>254.53782107256751</v>
      </c>
      <c r="P191" s="887">
        <f ca="1">'II-I-Total'!M1054</f>
        <v>2002.4451147749385</v>
      </c>
      <c r="R191" s="887">
        <f ca="1">'II-I-Total'!M1055</f>
        <v>2270.1719996050119</v>
      </c>
      <c r="T191" s="887">
        <f ca="1">'II-I-Total'!M1056</f>
        <v>978.0739138690077</v>
      </c>
      <c r="V191" s="887">
        <f ca="1">'II-I-Total'!M1060</f>
        <v>1138.3778496901414</v>
      </c>
      <c r="X191" s="887">
        <f ca="1">'II-I-Total'!M1068</f>
        <v>310408.89868736255</v>
      </c>
    </row>
    <row r="192" spans="1:24" x14ac:dyDescent="0.2">
      <c r="C192" s="887"/>
      <c r="D192" s="887"/>
      <c r="F192" s="887"/>
      <c r="H192" s="887"/>
      <c r="J192" s="887"/>
      <c r="K192" s="889"/>
      <c r="L192" s="887"/>
      <c r="N192" s="887"/>
      <c r="P192" s="887"/>
      <c r="R192" s="887"/>
      <c r="T192" s="887"/>
      <c r="V192" s="887"/>
      <c r="X192" s="887"/>
    </row>
    <row r="193" spans="1:24" x14ac:dyDescent="0.2">
      <c r="A193" s="848">
        <f>A191+1</f>
        <v>8</v>
      </c>
      <c r="B193" s="880" t="s">
        <v>1084</v>
      </c>
      <c r="C193" s="887"/>
      <c r="D193" s="887">
        <f ca="1">SUM(E193:Y193)</f>
        <v>4278756.782592251</v>
      </c>
      <c r="F193" s="887">
        <f ca="1">'II-I-Total'!N1049</f>
        <v>109.54902090351106</v>
      </c>
      <c r="H193" s="887">
        <f ca="1">'II-I-Total'!N1050</f>
        <v>390139.94893281226</v>
      </c>
      <c r="J193" s="887">
        <f ca="1">'II-I-Total'!N1051</f>
        <v>73276.619830651427</v>
      </c>
      <c r="K193" s="889"/>
      <c r="L193" s="887">
        <f ca="1">'II-I-Total'!N1052</f>
        <v>67067.886281897459</v>
      </c>
      <c r="N193" s="887">
        <f ca="1">'II-I-Total'!N1053</f>
        <v>17669.658241408692</v>
      </c>
      <c r="P193" s="887">
        <f ca="1">'II-I-Total'!N1054</f>
        <v>136451.37781865188</v>
      </c>
      <c r="R193" s="887">
        <f ca="1">'II-I-Total'!N1055</f>
        <v>105196.95935853348</v>
      </c>
      <c r="T193" s="887">
        <f ca="1">'II-I-Total'!N1056</f>
        <v>51127.853738179052</v>
      </c>
      <c r="V193" s="887">
        <f ca="1">'II-I-Total'!N1060</f>
        <v>45403.159563626097</v>
      </c>
      <c r="X193" s="887">
        <f ca="1">'II-I-Total'!N1068</f>
        <v>3392313.7698055874</v>
      </c>
    </row>
    <row r="194" spans="1:24" x14ac:dyDescent="0.2">
      <c r="C194" s="887"/>
      <c r="D194" s="887"/>
      <c r="F194" s="887"/>
      <c r="H194" s="887"/>
      <c r="J194" s="887"/>
      <c r="K194" s="889"/>
      <c r="L194" s="887"/>
      <c r="N194" s="887"/>
      <c r="P194" s="887"/>
      <c r="R194" s="887"/>
      <c r="T194" s="887"/>
      <c r="V194" s="887"/>
      <c r="X194" s="887"/>
    </row>
    <row r="195" spans="1:24" x14ac:dyDescent="0.2">
      <c r="A195" s="848">
        <f>A193+1</f>
        <v>9</v>
      </c>
      <c r="B195" s="880" t="s">
        <v>1085</v>
      </c>
      <c r="C195" s="887"/>
      <c r="D195" s="887">
        <f ca="1">SUM(E195:Y195)</f>
        <v>286821.84171099419</v>
      </c>
      <c r="F195" s="887">
        <f ca="1">'II-I-Total'!O1049</f>
        <v>12.10385766969368</v>
      </c>
      <c r="H195" s="887">
        <f ca="1">'II-I-Total'!O1050</f>
        <v>37589.536814059131</v>
      </c>
      <c r="J195" s="887">
        <f ca="1">'II-I-Total'!O1051</f>
        <v>7230.148263643855</v>
      </c>
      <c r="K195" s="889"/>
      <c r="L195" s="887">
        <f ca="1">'II-I-Total'!O1052</f>
        <v>7836.6088012129549</v>
      </c>
      <c r="N195" s="887">
        <f ca="1">'II-I-Total'!O1053</f>
        <v>1916.2879423927463</v>
      </c>
      <c r="P195" s="887">
        <f ca="1">'II-I-Total'!O1054</f>
        <v>14774.138514729566</v>
      </c>
      <c r="R195" s="887">
        <f ca="1">'II-I-Total'!O1055</f>
        <v>10914.217274219853</v>
      </c>
      <c r="T195" s="887">
        <f ca="1">'II-I-Total'!O1056</f>
        <v>5386.602553781694</v>
      </c>
      <c r="V195" s="887">
        <f ca="1">'II-I-Total'!O1060</f>
        <v>4606.709109231002</v>
      </c>
      <c r="X195" s="887">
        <f ca="1">'II-I-Total'!O1068</f>
        <v>196555.48858005373</v>
      </c>
    </row>
    <row r="196" spans="1:24" x14ac:dyDescent="0.2">
      <c r="C196" s="887"/>
      <c r="D196" s="887"/>
      <c r="F196" s="887"/>
      <c r="H196" s="887"/>
      <c r="J196" s="887"/>
      <c r="K196" s="889"/>
      <c r="L196" s="887"/>
      <c r="N196" s="887"/>
      <c r="P196" s="887"/>
      <c r="R196" s="887"/>
      <c r="T196" s="887"/>
      <c r="V196" s="887"/>
      <c r="X196" s="887"/>
    </row>
    <row r="197" spans="1:24" x14ac:dyDescent="0.2">
      <c r="A197" s="848">
        <f>A195+1</f>
        <v>10</v>
      </c>
      <c r="B197" s="880" t="s">
        <v>390</v>
      </c>
      <c r="C197" s="887"/>
      <c r="D197" s="887">
        <f ca="1">SUM(E197:Y197)</f>
        <v>207952.62419308195</v>
      </c>
      <c r="F197" s="887">
        <f ca="1">'II-I-Total'!P1049</f>
        <v>2.5641996496402788</v>
      </c>
      <c r="H197" s="887">
        <f ca="1">'II-I-Total'!P1050</f>
        <v>12330.134095901281</v>
      </c>
      <c r="J197" s="887">
        <f ca="1">'II-I-Total'!P1051</f>
        <v>2217.2810285810547</v>
      </c>
      <c r="K197" s="889"/>
      <c r="L197" s="887">
        <f ca="1">'II-I-Total'!P1052</f>
        <v>1322.6270932175439</v>
      </c>
      <c r="N197" s="887">
        <f ca="1">'II-I-Total'!P1053</f>
        <v>434.4641539241436</v>
      </c>
      <c r="P197" s="887">
        <f ca="1">'II-I-Total'!P1054</f>
        <v>3369.0697369783593</v>
      </c>
      <c r="R197" s="887">
        <f ca="1">'II-I-Total'!P1055</f>
        <v>2873.2889613951502</v>
      </c>
      <c r="T197" s="887">
        <f ca="1">'II-I-Total'!P1056</f>
        <v>1348.892244853467</v>
      </c>
      <c r="V197" s="887">
        <f ca="1">'II-I-Total'!P1060</f>
        <v>1300.3458768311571</v>
      </c>
      <c r="X197" s="887">
        <f ca="1">'II-I-Total'!P1068</f>
        <v>182753.95680175017</v>
      </c>
    </row>
    <row r="198" spans="1:24" x14ac:dyDescent="0.2">
      <c r="C198" s="887"/>
      <c r="D198" s="887"/>
      <c r="F198" s="887"/>
      <c r="H198" s="887"/>
      <c r="J198" s="887"/>
      <c r="K198" s="889"/>
      <c r="L198" s="887"/>
      <c r="N198" s="887"/>
      <c r="P198" s="887"/>
      <c r="R198" s="887"/>
      <c r="T198" s="887"/>
      <c r="V198" s="887"/>
      <c r="X198" s="887"/>
    </row>
    <row r="199" spans="1:24" x14ac:dyDescent="0.2">
      <c r="A199" s="848">
        <f>A197+1</f>
        <v>11</v>
      </c>
      <c r="B199" s="880" t="s">
        <v>391</v>
      </c>
      <c r="C199" s="887"/>
      <c r="D199" s="887">
        <f ca="1">SUM(E199:Y199)</f>
        <v>431321.80056638492</v>
      </c>
      <c r="F199" s="887">
        <f ca="1">'II-I-Total'!Q1049</f>
        <v>24.272593575113028</v>
      </c>
      <c r="H199" s="887">
        <f ca="1">'II-I-Total'!Q1050</f>
        <v>89469.719399464113</v>
      </c>
      <c r="J199" s="887">
        <f ca="1">'II-I-Total'!Q1051</f>
        <v>17246.797896600656</v>
      </c>
      <c r="K199" s="889"/>
      <c r="L199" s="887">
        <f ca="1">'II-I-Total'!Q1052</f>
        <v>14994.521910624713</v>
      </c>
      <c r="N199" s="887">
        <f ca="1">'II-I-Total'!Q1053</f>
        <v>3565.849230762396</v>
      </c>
      <c r="P199" s="887">
        <f ca="1">'II-I-Total'!Q1054</f>
        <v>27474.224956342299</v>
      </c>
      <c r="R199" s="887">
        <f ca="1">'II-I-Total'!Q1055</f>
        <v>19947.402795959108</v>
      </c>
      <c r="T199" s="887">
        <f ca="1">'II-I-Total'!Q1056</f>
        <v>9907.6279426918627</v>
      </c>
      <c r="V199" s="887">
        <f ca="1">'II-I-Total'!Q1060</f>
        <v>8339.992852985948</v>
      </c>
      <c r="X199" s="887">
        <f ca="1">'II-I-Total'!Q1068</f>
        <v>240351.39098737869</v>
      </c>
    </row>
    <row r="200" spans="1:24" x14ac:dyDescent="0.2">
      <c r="C200" s="887"/>
      <c r="D200" s="887"/>
      <c r="F200" s="887"/>
      <c r="H200" s="887"/>
      <c r="J200" s="887"/>
      <c r="K200" s="889"/>
      <c r="L200" s="887"/>
      <c r="N200" s="887"/>
      <c r="P200" s="887"/>
      <c r="R200" s="887"/>
      <c r="T200" s="887"/>
      <c r="V200" s="887"/>
      <c r="X200" s="887"/>
    </row>
    <row r="201" spans="1:24" x14ac:dyDescent="0.2">
      <c r="A201" s="848">
        <f>A199+1</f>
        <v>12</v>
      </c>
      <c r="B201" s="880" t="s">
        <v>1086</v>
      </c>
      <c r="C201" s="887"/>
      <c r="D201" s="887">
        <f ca="1">SUM(E201:Y201)</f>
        <v>23263.734410369452</v>
      </c>
      <c r="F201" s="887">
        <f ca="1">'II-I-Total'!R1049</f>
        <v>0.84789911339351187</v>
      </c>
      <c r="H201" s="887">
        <f ca="1">'II-I-Total'!R1050</f>
        <v>2727.3069063120042</v>
      </c>
      <c r="J201" s="887">
        <f ca="1">'II-I-Total'!R1051</f>
        <v>521.2573513868341</v>
      </c>
      <c r="K201" s="889"/>
      <c r="L201" s="887">
        <f ca="1">'II-I-Total'!R1052</f>
        <v>541.69701677115438</v>
      </c>
      <c r="N201" s="887">
        <f ca="1">'II-I-Total'!R1053</f>
        <v>134.85378140224825</v>
      </c>
      <c r="P201" s="887">
        <f ca="1">'II-I-Total'!R1054</f>
        <v>1040.1106734503446</v>
      </c>
      <c r="R201" s="887">
        <f ca="1">'II-I-Total'!R1055</f>
        <v>776.65205093821999</v>
      </c>
      <c r="T201" s="887">
        <f ca="1">'II-I-Total'!R1056</f>
        <v>381.8180744342211</v>
      </c>
      <c r="V201" s="887">
        <f ca="1">'II-I-Total'!R1060</f>
        <v>329.69881887070687</v>
      </c>
      <c r="X201" s="887">
        <f ca="1">'II-I-Total'!R1068</f>
        <v>16809.491837690326</v>
      </c>
    </row>
    <row r="202" spans="1:24" x14ac:dyDescent="0.2">
      <c r="C202" s="887"/>
      <c r="D202" s="887"/>
      <c r="F202" s="887"/>
      <c r="H202" s="887"/>
      <c r="J202" s="887"/>
      <c r="K202" s="889"/>
      <c r="L202" s="887"/>
      <c r="N202" s="887"/>
      <c r="P202" s="887"/>
      <c r="R202" s="887"/>
      <c r="T202" s="887"/>
      <c r="V202" s="887"/>
      <c r="X202" s="887"/>
    </row>
    <row r="203" spans="1:24" x14ac:dyDescent="0.2">
      <c r="A203" s="848">
        <f>A201+1</f>
        <v>13</v>
      </c>
      <c r="B203" s="880" t="s">
        <v>1087</v>
      </c>
      <c r="C203" s="887"/>
      <c r="D203" s="887">
        <f ca="1">SUM(E203:Y203)</f>
        <v>90189.375364290347</v>
      </c>
      <c r="F203" s="887">
        <f ca="1">'II-I-Total'!S1049</f>
        <v>3.9616399561533169</v>
      </c>
      <c r="H203" s="887">
        <f ca="1">'II-I-Total'!S1050</f>
        <v>12193.774985358395</v>
      </c>
      <c r="J203" s="887">
        <f ca="1">'II-I-Total'!S1051</f>
        <v>2349.2760962410466</v>
      </c>
      <c r="K203" s="889"/>
      <c r="L203" s="887">
        <f ca="1">'II-I-Total'!S1052</f>
        <v>2573.4116050501189</v>
      </c>
      <c r="N203" s="887">
        <f ca="1">'II-I-Total'!S1053</f>
        <v>626.49431258914842</v>
      </c>
      <c r="P203" s="887">
        <f ca="1">'II-I-Total'!S1054</f>
        <v>4829.6393602804737</v>
      </c>
      <c r="R203" s="887">
        <f ca="1">'II-I-Total'!S1055</f>
        <v>3558.2043317868329</v>
      </c>
      <c r="T203" s="887">
        <f ca="1">'II-I-Total'!S1056</f>
        <v>1757.8499908569922</v>
      </c>
      <c r="V203" s="887">
        <f ca="1">'II-I-Total'!S1060</f>
        <v>1499.664016050325</v>
      </c>
      <c r="X203" s="887">
        <f ca="1">'II-I-Total'!S1068</f>
        <v>60797.099026120864</v>
      </c>
    </row>
    <row r="204" spans="1:24" x14ac:dyDescent="0.2">
      <c r="D204" s="887"/>
      <c r="F204" s="887"/>
      <c r="H204" s="887"/>
      <c r="J204" s="887"/>
      <c r="K204" s="889"/>
      <c r="L204" s="887"/>
      <c r="N204" s="887"/>
      <c r="P204" s="887"/>
      <c r="R204" s="887"/>
      <c r="T204" s="887"/>
      <c r="V204" s="887"/>
      <c r="X204" s="887"/>
    </row>
    <row r="205" spans="1:24" x14ac:dyDescent="0.2">
      <c r="A205" s="848">
        <f>A203+1</f>
        <v>14</v>
      </c>
      <c r="B205" s="881" t="s">
        <v>10</v>
      </c>
      <c r="D205" s="887">
        <f ca="1">SUM(E205:Y205)</f>
        <v>53675321.420000002</v>
      </c>
      <c r="F205" s="887">
        <f>'II-I-Total'!F1049</f>
        <v>1629.8700000000001</v>
      </c>
      <c r="H205" s="887">
        <f>'II-I-Total'!F1050</f>
        <v>5528863.0999999996</v>
      </c>
      <c r="J205" s="887">
        <f ca="1">SUM(J185:J204)</f>
        <v>1047535.19</v>
      </c>
      <c r="K205" s="889"/>
      <c r="L205" s="887">
        <f>'II-I-Total'!F1052</f>
        <v>1019555.56</v>
      </c>
      <c r="N205" s="887">
        <f>'II-I-Total'!F1053</f>
        <v>260676.88</v>
      </c>
      <c r="P205" s="887">
        <f>'II-I-Total'!F1054</f>
        <v>2011749.44</v>
      </c>
      <c r="R205" s="887">
        <f>'II-I-Total'!F1055</f>
        <v>1525500.56</v>
      </c>
      <c r="T205" s="887">
        <f>'II-I-Total'!F1056</f>
        <v>745814.1100000001</v>
      </c>
      <c r="V205" s="887">
        <f>'II-I-Total'!F1060</f>
        <v>652851.67000000004</v>
      </c>
      <c r="X205" s="887">
        <f>'II-I-Total'!F1068</f>
        <v>40881145.039999999</v>
      </c>
    </row>
    <row r="206" spans="1:24" x14ac:dyDescent="0.2">
      <c r="D206" s="887"/>
      <c r="F206" s="887"/>
      <c r="H206" s="887"/>
      <c r="J206" s="887"/>
      <c r="L206" s="887"/>
      <c r="N206" s="887"/>
      <c r="P206" s="887"/>
      <c r="R206" s="887"/>
      <c r="T206" s="887"/>
      <c r="V206" s="887"/>
      <c r="X206" s="887"/>
    </row>
    <row r="207" spans="1:24" x14ac:dyDescent="0.2">
      <c r="A207" s="848">
        <f>A205+1</f>
        <v>15</v>
      </c>
      <c r="B207" s="880" t="s">
        <v>1093</v>
      </c>
      <c r="D207" s="887"/>
      <c r="F207" s="887">
        <f ca="1">SUM(F185:F203)</f>
        <v>1629.87</v>
      </c>
      <c r="H207" s="887">
        <f ca="1">SUM(H185:H203)</f>
        <v>5528863.0999999996</v>
      </c>
      <c r="J207" s="887">
        <f ca="1">SUM(J185:J203)</f>
        <v>1047535.19</v>
      </c>
      <c r="L207" s="887">
        <f ca="1">SUM(L185:L203)</f>
        <v>1019555.5599999999</v>
      </c>
      <c r="N207" s="887">
        <f ca="1">SUM(N185:N203)</f>
        <v>260676.87999999995</v>
      </c>
      <c r="P207" s="887">
        <f ca="1">SUM(P185:P203)</f>
        <v>2011749.4399999992</v>
      </c>
      <c r="R207" s="887">
        <f ca="1">SUM(R185:R203)</f>
        <v>1525500.5599999996</v>
      </c>
      <c r="T207" s="887">
        <f ca="1">SUM(T185:T203)</f>
        <v>745814.10999999987</v>
      </c>
      <c r="V207" s="887">
        <f ca="1">SUM(V185:V203)</f>
        <v>652851.67000000004</v>
      </c>
      <c r="X207" s="887">
        <f ca="1">SUM(X185:X203)</f>
        <v>40881145.040000007</v>
      </c>
    </row>
  </sheetData>
  <mergeCells count="6">
    <mergeCell ref="B7:Y7"/>
    <mergeCell ref="B1:Y1"/>
    <mergeCell ref="B2:Y2"/>
    <mergeCell ref="B3:Y3"/>
    <mergeCell ref="B4:Y4"/>
    <mergeCell ref="B5:Y5"/>
  </mergeCells>
  <pageMargins left="0.35" right="0.35" top="1.25" bottom="0.75" header="1" footer="0.3"/>
  <pageSetup scale="60" fitToHeight="4" orientation="landscape" r:id="rId1"/>
  <headerFooter>
    <oddHeader>&amp;RWP/II-I-1.9
Page &amp;P of &amp;N</oddHeader>
  </headerFooter>
  <rowBreaks count="3" manualBreakCount="3">
    <brk id="59" max="23" man="1"/>
    <brk id="118" max="23" man="1"/>
    <brk id="175" max="2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"/>
  <dimension ref="A1:J61"/>
  <sheetViews>
    <sheetView view="pageBreakPreview" zoomScale="75" zoomScaleNormal="75" workbookViewId="0">
      <selection activeCell="I14" sqref="I14"/>
    </sheetView>
  </sheetViews>
  <sheetFormatPr defaultRowHeight="14.25" x14ac:dyDescent="0.2"/>
  <cols>
    <col min="1" max="1" width="1.5" customWidth="1"/>
    <col min="2" max="2" width="5.125" bestFit="1" customWidth="1"/>
    <col min="3" max="3" width="7.5" bestFit="1" customWidth="1"/>
    <col min="4" max="4" width="41.75" bestFit="1" customWidth="1"/>
    <col min="5" max="5" width="10.75" customWidth="1"/>
    <col min="6" max="6" width="10.625" bestFit="1" customWidth="1"/>
    <col min="7" max="7" width="15.125" bestFit="1" customWidth="1"/>
    <col min="8" max="9" width="9.125" bestFit="1" customWidth="1"/>
    <col min="10" max="10" width="14.125" bestFit="1" customWidth="1"/>
    <col min="16" max="16" width="9.625" customWidth="1"/>
  </cols>
  <sheetData>
    <row r="1" spans="1:10" x14ac:dyDescent="0.2">
      <c r="A1" s="64"/>
      <c r="B1" s="45"/>
      <c r="C1" s="65"/>
      <c r="D1" s="64"/>
      <c r="E1" s="64"/>
      <c r="F1" s="64"/>
      <c r="G1" s="64"/>
      <c r="H1" s="64"/>
      <c r="I1" s="64"/>
      <c r="J1" s="64"/>
    </row>
    <row r="2" spans="1:10" ht="15" x14ac:dyDescent="0.2">
      <c r="A2" s="64"/>
      <c r="B2" s="1062"/>
      <c r="C2" s="65"/>
      <c r="D2" s="64"/>
      <c r="E2" s="64"/>
      <c r="F2" s="64"/>
      <c r="G2" s="64"/>
      <c r="H2" s="64"/>
      <c r="I2" s="64"/>
      <c r="J2" s="64"/>
    </row>
    <row r="3" spans="1:10" ht="15" x14ac:dyDescent="0.25">
      <c r="A3" s="64"/>
      <c r="B3" s="3" t="str">
        <f>'II-I-1'!B2</f>
        <v>2025 RATE CASE</v>
      </c>
      <c r="C3" s="66"/>
      <c r="D3" s="67"/>
      <c r="E3" s="66"/>
      <c r="F3" s="66"/>
      <c r="G3" s="66"/>
      <c r="H3" s="66"/>
      <c r="I3" s="66"/>
      <c r="J3" s="66"/>
    </row>
    <row r="4" spans="1:10" ht="15" x14ac:dyDescent="0.25">
      <c r="A4" s="64"/>
      <c r="B4" s="3" t="str">
        <f>'II-I-1'!B3</f>
        <v>ONCOR ELECTRIC DELIVERY COMPANY LLC</v>
      </c>
      <c r="C4" s="66"/>
      <c r="D4" s="67"/>
      <c r="E4" s="66"/>
      <c r="F4" s="66"/>
      <c r="G4" s="66"/>
      <c r="H4" s="66"/>
      <c r="I4" s="66"/>
      <c r="J4" s="66"/>
    </row>
    <row r="5" spans="1:10" ht="15" x14ac:dyDescent="0.25">
      <c r="A5" s="64"/>
      <c r="B5" s="3" t="str">
        <f>'II-I-1'!B4</f>
        <v>II-I-1:  CLASS REVENUE REQUIREMENT ANALYSIS</v>
      </c>
      <c r="C5" s="68"/>
      <c r="D5" s="67"/>
      <c r="E5" s="66"/>
      <c r="F5" s="66"/>
      <c r="G5" s="66"/>
      <c r="H5" s="66"/>
      <c r="I5" s="66"/>
      <c r="J5" s="66"/>
    </row>
    <row r="6" spans="1:10" ht="15" x14ac:dyDescent="0.25">
      <c r="A6" s="64"/>
      <c r="B6" s="3" t="str">
        <f>'II-I-1'!B5</f>
        <v>TEST YEAR ENDING 12/31/2024</v>
      </c>
      <c r="C6" s="68"/>
      <c r="D6" s="67"/>
      <c r="E6" s="66"/>
      <c r="F6" s="66"/>
      <c r="G6" s="66"/>
      <c r="H6" s="66"/>
      <c r="I6" s="66"/>
      <c r="J6" s="66"/>
    </row>
    <row r="7" spans="1:10" ht="15" x14ac:dyDescent="0.25">
      <c r="A7" s="64"/>
      <c r="B7" s="3" t="str">
        <f>'II-I-1'!B6</f>
        <v>SPONSOR:  MATTHEW A. TROXLE</v>
      </c>
      <c r="C7" s="69"/>
      <c r="D7" s="68"/>
      <c r="E7" s="70"/>
      <c r="F7" s="70"/>
      <c r="G7" s="70"/>
      <c r="H7" s="70"/>
      <c r="I7" s="70"/>
      <c r="J7" s="70"/>
    </row>
    <row r="8" spans="1:10" ht="15" x14ac:dyDescent="0.25">
      <c r="A8" s="64"/>
      <c r="B8" s="3"/>
      <c r="C8" s="68"/>
      <c r="D8" s="71"/>
      <c r="E8" s="70"/>
      <c r="F8" s="70"/>
      <c r="G8" s="70"/>
      <c r="H8" s="70"/>
      <c r="I8" s="70"/>
      <c r="J8" s="70"/>
    </row>
    <row r="9" spans="1:10" ht="15" x14ac:dyDescent="0.25">
      <c r="A9" s="64"/>
      <c r="C9" s="68"/>
      <c r="D9" s="72"/>
      <c r="E9" s="70"/>
      <c r="F9" s="70"/>
      <c r="G9" s="70"/>
      <c r="H9" s="70"/>
      <c r="I9" s="70"/>
      <c r="J9" s="70"/>
    </row>
    <row r="10" spans="1:10" ht="15" x14ac:dyDescent="0.25">
      <c r="A10" s="64"/>
      <c r="B10" s="71" t="s">
        <v>950</v>
      </c>
      <c r="C10" s="68"/>
      <c r="D10" s="71"/>
      <c r="E10" s="70"/>
      <c r="F10" s="70"/>
      <c r="G10" s="70"/>
      <c r="H10" s="70"/>
      <c r="I10" s="70"/>
      <c r="J10" s="70"/>
    </row>
    <row r="11" spans="1:10" ht="15" thickBot="1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</row>
    <row r="12" spans="1:10" x14ac:dyDescent="0.2">
      <c r="A12" s="64"/>
      <c r="B12" s="12" t="s">
        <v>2</v>
      </c>
      <c r="C12" s="12" t="s">
        <v>349</v>
      </c>
      <c r="D12" s="12" t="s">
        <v>4</v>
      </c>
      <c r="E12" s="12" t="s">
        <v>355</v>
      </c>
      <c r="F12" s="12" t="s">
        <v>6</v>
      </c>
      <c r="G12" s="12" t="s">
        <v>7</v>
      </c>
      <c r="H12" s="12" t="s">
        <v>8</v>
      </c>
      <c r="I12" s="12" t="s">
        <v>9</v>
      </c>
      <c r="J12" s="12" t="s">
        <v>10</v>
      </c>
    </row>
    <row r="13" spans="1:10" x14ac:dyDescent="0.2">
      <c r="A13" s="64"/>
      <c r="B13" s="14"/>
      <c r="C13" s="14"/>
      <c r="D13" s="14"/>
      <c r="E13" s="14" t="s">
        <v>457</v>
      </c>
      <c r="F13" s="14"/>
      <c r="G13" s="14"/>
      <c r="H13" s="14"/>
      <c r="I13" s="14"/>
      <c r="J13" s="14"/>
    </row>
    <row r="14" spans="1:10" ht="15" thickBot="1" x14ac:dyDescent="0.25">
      <c r="A14" s="64"/>
      <c r="B14" s="15"/>
      <c r="C14" s="15" t="s">
        <v>13</v>
      </c>
      <c r="D14" s="15" t="s">
        <v>14</v>
      </c>
      <c r="E14" s="15" t="s">
        <v>15</v>
      </c>
      <c r="F14" s="15" t="s">
        <v>16</v>
      </c>
      <c r="G14" s="15" t="s">
        <v>17</v>
      </c>
      <c r="H14" s="15" t="s">
        <v>18</v>
      </c>
      <c r="I14" s="15" t="s">
        <v>21</v>
      </c>
      <c r="J14" s="15" t="s">
        <v>22</v>
      </c>
    </row>
    <row r="15" spans="1:10" ht="15" x14ac:dyDescent="0.25">
      <c r="A15" s="64"/>
      <c r="B15" s="71"/>
      <c r="C15" s="64"/>
      <c r="D15" s="64"/>
      <c r="E15" s="64"/>
      <c r="F15" s="64"/>
      <c r="G15" s="64"/>
      <c r="H15" s="64"/>
      <c r="I15" s="64"/>
      <c r="J15" s="64"/>
    </row>
    <row r="16" spans="1:10" x14ac:dyDescent="0.2">
      <c r="A16" s="64"/>
      <c r="B16" s="16">
        <v>1</v>
      </c>
      <c r="C16" s="73" t="s">
        <v>328</v>
      </c>
      <c r="D16" s="74" t="s">
        <v>329</v>
      </c>
      <c r="E16" s="1019">
        <v>1</v>
      </c>
      <c r="F16" s="59">
        <f>'WP II-I-1.1'!F477</f>
        <v>961339</v>
      </c>
      <c r="G16" s="59">
        <f>'WP II-I-1.1'!G477</f>
        <v>1282936.18</v>
      </c>
      <c r="H16" s="59">
        <f>'WP II-I-1.1'!H477</f>
        <v>0</v>
      </c>
      <c r="I16" s="59">
        <f>'WP II-I-1.1'!I477</f>
        <v>0</v>
      </c>
      <c r="J16" s="63">
        <f>SUM(F16:I16)</f>
        <v>2244275.1799999997</v>
      </c>
    </row>
    <row r="17" spans="1:10" ht="16.5" x14ac:dyDescent="0.35">
      <c r="A17" s="64"/>
      <c r="B17" s="16">
        <f t="shared" ref="B17:B59" si="0">B16+1</f>
        <v>2</v>
      </c>
      <c r="C17" s="75" t="s">
        <v>351</v>
      </c>
      <c r="D17" s="11" t="s">
        <v>352</v>
      </c>
      <c r="E17" s="1301">
        <v>0.14899999999999999</v>
      </c>
      <c r="F17" s="810">
        <f>F16*$E17</f>
        <v>143239.511</v>
      </c>
      <c r="G17" s="810">
        <f>G16*$E17</f>
        <v>191157.49081999998</v>
      </c>
      <c r="H17" s="810">
        <f>H16*$E17</f>
        <v>0</v>
      </c>
      <c r="I17" s="810">
        <f>I16*$E17</f>
        <v>0</v>
      </c>
      <c r="J17" s="809">
        <f>SUM(F17:I17)</f>
        <v>334397.00182</v>
      </c>
    </row>
    <row r="18" spans="1:10" x14ac:dyDescent="0.2">
      <c r="A18" s="64"/>
      <c r="B18" s="16">
        <f t="shared" si="0"/>
        <v>3</v>
      </c>
      <c r="C18" s="77" t="s">
        <v>353</v>
      </c>
      <c r="D18" s="78" t="s">
        <v>354</v>
      </c>
      <c r="E18" s="1020">
        <f t="shared" ref="E18:H18" si="1">E16-E17</f>
        <v>0.85099999999999998</v>
      </c>
      <c r="F18" s="80">
        <f t="shared" si="1"/>
        <v>818099.48900000006</v>
      </c>
      <c r="G18" s="80">
        <f t="shared" si="1"/>
        <v>1091778.68918</v>
      </c>
      <c r="H18" s="80">
        <f t="shared" si="1"/>
        <v>0</v>
      </c>
      <c r="I18" s="80">
        <f>I16-I17</f>
        <v>0</v>
      </c>
      <c r="J18" s="1021">
        <f>SUM(F18:I18)</f>
        <v>1909878.17818</v>
      </c>
    </row>
    <row r="19" spans="1:10" x14ac:dyDescent="0.2">
      <c r="A19" s="64"/>
      <c r="B19" s="16">
        <f t="shared" si="0"/>
        <v>4</v>
      </c>
      <c r="C19" s="64"/>
      <c r="D19" s="64"/>
      <c r="E19" s="64"/>
      <c r="F19" s="64"/>
      <c r="G19" s="64"/>
      <c r="H19" s="64"/>
      <c r="I19" s="64"/>
      <c r="J19" s="64"/>
    </row>
    <row r="20" spans="1:10" ht="15" thickBot="1" x14ac:dyDescent="0.25">
      <c r="A20" s="64"/>
      <c r="B20" s="16">
        <f t="shared" si="0"/>
        <v>5</v>
      </c>
      <c r="C20" s="65"/>
      <c r="D20" s="64"/>
      <c r="E20" s="65"/>
      <c r="F20" s="64"/>
      <c r="G20" s="64"/>
      <c r="H20" s="64"/>
      <c r="I20" s="64"/>
      <c r="J20" s="64"/>
    </row>
    <row r="21" spans="1:10" x14ac:dyDescent="0.2">
      <c r="A21" s="64"/>
      <c r="B21" s="16">
        <f t="shared" si="0"/>
        <v>6</v>
      </c>
      <c r="C21" s="12" t="s">
        <v>349</v>
      </c>
      <c r="D21" s="12" t="s">
        <v>4</v>
      </c>
      <c r="E21" s="12" t="s">
        <v>355</v>
      </c>
      <c r="F21" s="12" t="s">
        <v>6</v>
      </c>
      <c r="G21" s="12" t="s">
        <v>7</v>
      </c>
      <c r="H21" s="12" t="s">
        <v>8</v>
      </c>
      <c r="I21" s="331" t="s">
        <v>9</v>
      </c>
      <c r="J21" s="12" t="s">
        <v>10</v>
      </c>
    </row>
    <row r="22" spans="1:10" x14ac:dyDescent="0.2">
      <c r="A22" s="64"/>
      <c r="B22" s="16">
        <f t="shared" si="0"/>
        <v>7</v>
      </c>
      <c r="C22" s="14"/>
      <c r="D22" s="14"/>
      <c r="E22" s="14" t="s">
        <v>356</v>
      </c>
      <c r="F22" s="14"/>
      <c r="G22" s="14"/>
      <c r="H22" s="14"/>
      <c r="I22" s="174"/>
      <c r="J22" s="14"/>
    </row>
    <row r="23" spans="1:10" ht="15" thickBot="1" x14ac:dyDescent="0.25">
      <c r="A23" s="64"/>
      <c r="B23" s="16">
        <f t="shared" si="0"/>
        <v>8</v>
      </c>
      <c r="C23" s="15" t="s">
        <v>13</v>
      </c>
      <c r="D23" s="15" t="s">
        <v>14</v>
      </c>
      <c r="E23" s="15" t="s">
        <v>15</v>
      </c>
      <c r="F23" s="15" t="s">
        <v>16</v>
      </c>
      <c r="G23" s="15" t="s">
        <v>17</v>
      </c>
      <c r="H23" s="15" t="s">
        <v>18</v>
      </c>
      <c r="I23" s="182" t="s">
        <v>21</v>
      </c>
      <c r="J23" s="15" t="s">
        <v>22</v>
      </c>
    </row>
    <row r="24" spans="1:10" ht="15" x14ac:dyDescent="0.25">
      <c r="A24" s="64"/>
      <c r="B24" s="16">
        <f t="shared" si="0"/>
        <v>9</v>
      </c>
      <c r="C24" s="82"/>
      <c r="D24" s="1"/>
      <c r="E24" s="83"/>
      <c r="F24" s="1"/>
      <c r="G24" s="64"/>
      <c r="H24" s="64"/>
      <c r="I24" s="64"/>
      <c r="J24" s="993"/>
    </row>
    <row r="25" spans="1:10" ht="15" x14ac:dyDescent="0.25">
      <c r="A25" s="64"/>
      <c r="B25" s="16">
        <f t="shared" si="0"/>
        <v>10</v>
      </c>
      <c r="C25" s="82" t="s">
        <v>24</v>
      </c>
      <c r="D25" s="8" t="s">
        <v>357</v>
      </c>
      <c r="E25" s="83"/>
      <c r="F25" s="1"/>
      <c r="G25" s="64"/>
      <c r="H25" s="64"/>
      <c r="I25" s="64"/>
      <c r="J25" s="993"/>
    </row>
    <row r="26" spans="1:10" x14ac:dyDescent="0.2">
      <c r="A26" s="64"/>
      <c r="B26" s="16">
        <f t="shared" si="0"/>
        <v>11</v>
      </c>
      <c r="C26" s="84" t="s">
        <v>62</v>
      </c>
      <c r="D26" s="85" t="s">
        <v>358</v>
      </c>
      <c r="E26" s="86">
        <f>SUM(E27:E28)</f>
        <v>0.99999999999999978</v>
      </c>
      <c r="F26" s="59">
        <f>'WP II-I-1.1'!F62</f>
        <v>0</v>
      </c>
      <c r="G26" s="59">
        <f>'WP II-I-1.1'!G62</f>
        <v>3523411256.3600001</v>
      </c>
      <c r="H26" s="59">
        <f>'WP II-I-1.1'!H62</f>
        <v>0</v>
      </c>
      <c r="I26" s="59">
        <f>'WP II-I-1.1'!I62</f>
        <v>0</v>
      </c>
      <c r="J26" s="994">
        <f>SUM(F26:I26)</f>
        <v>3523411256.3600001</v>
      </c>
    </row>
    <row r="27" spans="1:10" x14ac:dyDescent="0.2">
      <c r="A27" s="64"/>
      <c r="B27" s="16">
        <f t="shared" si="0"/>
        <v>12</v>
      </c>
      <c r="C27" s="87" t="s">
        <v>359</v>
      </c>
      <c r="D27" s="1" t="s">
        <v>360</v>
      </c>
      <c r="E27" s="88">
        <f>'WP II-I-2.1'!H20</f>
        <v>0.84374658928178026</v>
      </c>
      <c r="F27" s="18">
        <f t="shared" ref="F27:H28" si="2">F$26*$E27</f>
        <v>0</v>
      </c>
      <c r="G27" s="18">
        <f t="shared" si="2"/>
        <v>2972866230.1907825</v>
      </c>
      <c r="H27" s="18">
        <f t="shared" si="2"/>
        <v>0</v>
      </c>
      <c r="I27" s="18">
        <f>I$26*$E27</f>
        <v>0</v>
      </c>
      <c r="J27" s="995">
        <f t="shared" ref="J27:J41" si="3">SUM(F27:I27)</f>
        <v>2972866230.1907825</v>
      </c>
    </row>
    <row r="28" spans="1:10" x14ac:dyDescent="0.2">
      <c r="A28" s="64"/>
      <c r="B28" s="16">
        <f t="shared" si="0"/>
        <v>13</v>
      </c>
      <c r="C28" s="89" t="s">
        <v>361</v>
      </c>
      <c r="D28" s="62" t="s">
        <v>362</v>
      </c>
      <c r="E28" s="90">
        <f>'WP II-I-2.1'!H21</f>
        <v>0.15625341071821958</v>
      </c>
      <c r="F28" s="80">
        <f t="shared" si="2"/>
        <v>0</v>
      </c>
      <c r="G28" s="80">
        <f t="shared" si="2"/>
        <v>550545026.16921711</v>
      </c>
      <c r="H28" s="80">
        <f t="shared" si="2"/>
        <v>0</v>
      </c>
      <c r="I28" s="80">
        <f>I$26*$E28</f>
        <v>0</v>
      </c>
      <c r="J28" s="996">
        <f t="shared" si="3"/>
        <v>550545026.16921711</v>
      </c>
    </row>
    <row r="29" spans="1:10" x14ac:dyDescent="0.2">
      <c r="A29" s="64"/>
      <c r="B29" s="16">
        <f t="shared" si="0"/>
        <v>14</v>
      </c>
      <c r="C29" s="84" t="s">
        <v>64</v>
      </c>
      <c r="D29" s="85" t="s">
        <v>363</v>
      </c>
      <c r="E29" s="86">
        <f>SUM(E30:E31)</f>
        <v>1</v>
      </c>
      <c r="F29" s="59">
        <f>'WP II-I-1.1'!F63</f>
        <v>0</v>
      </c>
      <c r="G29" s="59">
        <f>'WP II-I-1.1'!G63</f>
        <v>2182618392.98</v>
      </c>
      <c r="H29" s="59">
        <f>'WP II-I-1.1'!H63</f>
        <v>0</v>
      </c>
      <c r="I29" s="59">
        <f>'WP II-I-1.1'!I63</f>
        <v>0</v>
      </c>
      <c r="J29" s="994">
        <f t="shared" si="3"/>
        <v>2182618392.98</v>
      </c>
    </row>
    <row r="30" spans="1:10" x14ac:dyDescent="0.2">
      <c r="A30" s="64"/>
      <c r="B30" s="16">
        <f t="shared" si="0"/>
        <v>15</v>
      </c>
      <c r="C30" s="87" t="s">
        <v>364</v>
      </c>
      <c r="D30" s="1" t="s">
        <v>365</v>
      </c>
      <c r="E30" s="88">
        <f>'WP II-I-2.1'!H23</f>
        <v>0.87322964576709317</v>
      </c>
      <c r="F30" s="18">
        <f t="shared" ref="F30:H31" si="4">F$29*$E30</f>
        <v>0</v>
      </c>
      <c r="G30" s="18">
        <f t="shared" si="4"/>
        <v>1905927086.1466675</v>
      </c>
      <c r="H30" s="18">
        <f t="shared" si="4"/>
        <v>0</v>
      </c>
      <c r="I30" s="18">
        <f>I$29*$E30</f>
        <v>0</v>
      </c>
      <c r="J30" s="995">
        <f t="shared" si="3"/>
        <v>1905927086.1466675</v>
      </c>
    </row>
    <row r="31" spans="1:10" x14ac:dyDescent="0.2">
      <c r="A31" s="64"/>
      <c r="B31" s="16">
        <f t="shared" si="0"/>
        <v>16</v>
      </c>
      <c r="C31" s="89" t="s">
        <v>366</v>
      </c>
      <c r="D31" s="62" t="s">
        <v>367</v>
      </c>
      <c r="E31" s="90">
        <f>'WP II-I-2.1'!H24</f>
        <v>0.12677035423290683</v>
      </c>
      <c r="F31" s="80">
        <f t="shared" si="4"/>
        <v>0</v>
      </c>
      <c r="G31" s="80">
        <f t="shared" si="4"/>
        <v>276691306.83333248</v>
      </c>
      <c r="H31" s="80">
        <f t="shared" si="4"/>
        <v>0</v>
      </c>
      <c r="I31" s="80">
        <f>I$29*$E31</f>
        <v>0</v>
      </c>
      <c r="J31" s="996">
        <f t="shared" si="3"/>
        <v>276691306.83333248</v>
      </c>
    </row>
    <row r="32" spans="1:10" x14ac:dyDescent="0.2">
      <c r="A32" s="64"/>
      <c r="B32" s="16">
        <f t="shared" si="0"/>
        <v>17</v>
      </c>
      <c r="C32" s="84" t="s">
        <v>66</v>
      </c>
      <c r="D32" s="85" t="s">
        <v>368</v>
      </c>
      <c r="E32" s="86">
        <f>SUM(E33:E34)</f>
        <v>1</v>
      </c>
      <c r="F32" s="59">
        <f>'WP II-I-1.1'!F64</f>
        <v>0</v>
      </c>
      <c r="G32" s="59">
        <f>'WP II-I-1.1'!G64</f>
        <v>1637322838.0899999</v>
      </c>
      <c r="H32" s="59">
        <f>'WP II-I-1.1'!H64</f>
        <v>0</v>
      </c>
      <c r="I32" s="59">
        <f>'WP II-I-1.1'!I64</f>
        <v>0</v>
      </c>
      <c r="J32" s="994">
        <f t="shared" si="3"/>
        <v>1637322838.0899999</v>
      </c>
    </row>
    <row r="33" spans="1:10" x14ac:dyDescent="0.2">
      <c r="A33" s="64"/>
      <c r="B33" s="16">
        <f t="shared" si="0"/>
        <v>18</v>
      </c>
      <c r="C33" s="87" t="s">
        <v>369</v>
      </c>
      <c r="D33" s="1" t="s">
        <v>370</v>
      </c>
      <c r="E33" s="88">
        <f>'WP II-I-2.1'!H26</f>
        <v>0.65957424361366734</v>
      </c>
      <c r="F33" s="18">
        <f t="shared" ref="F33:H34" si="5">F$32*$E33</f>
        <v>0</v>
      </c>
      <c r="G33" s="18">
        <f t="shared" si="5"/>
        <v>1079935972.4845948</v>
      </c>
      <c r="H33" s="18">
        <f t="shared" si="5"/>
        <v>0</v>
      </c>
      <c r="I33" s="18">
        <f>I$32*$E33</f>
        <v>0</v>
      </c>
      <c r="J33" s="995">
        <f t="shared" si="3"/>
        <v>1079935972.4845948</v>
      </c>
    </row>
    <row r="34" spans="1:10" x14ac:dyDescent="0.2">
      <c r="A34" s="64"/>
      <c r="B34" s="16">
        <f t="shared" si="0"/>
        <v>19</v>
      </c>
      <c r="C34" s="89" t="s">
        <v>371</v>
      </c>
      <c r="D34" s="62" t="s">
        <v>372</v>
      </c>
      <c r="E34" s="90">
        <f>'WP II-I-2.1'!H27</f>
        <v>0.3404257563863326</v>
      </c>
      <c r="F34" s="80">
        <f t="shared" si="5"/>
        <v>0</v>
      </c>
      <c r="G34" s="80">
        <f t="shared" si="5"/>
        <v>557386865.60540497</v>
      </c>
      <c r="H34" s="80">
        <f t="shared" si="5"/>
        <v>0</v>
      </c>
      <c r="I34" s="80">
        <f>I$32*$E34</f>
        <v>0</v>
      </c>
      <c r="J34" s="996">
        <f t="shared" si="3"/>
        <v>557386865.60540497</v>
      </c>
    </row>
    <row r="35" spans="1:10" x14ac:dyDescent="0.2">
      <c r="A35" s="64"/>
      <c r="B35" s="16">
        <f t="shared" si="0"/>
        <v>20</v>
      </c>
      <c r="C35" s="84" t="s">
        <v>68</v>
      </c>
      <c r="D35" s="85" t="s">
        <v>373</v>
      </c>
      <c r="E35" s="86">
        <f>SUM(E36:E37)</f>
        <v>1</v>
      </c>
      <c r="F35" s="59">
        <f>'WP II-I-1.1'!F65</f>
        <v>0</v>
      </c>
      <c r="G35" s="59">
        <f>'WP II-I-1.1'!G65</f>
        <v>3176923318.8099999</v>
      </c>
      <c r="H35" s="59">
        <f>'WP II-I-1.1'!H65</f>
        <v>0</v>
      </c>
      <c r="I35" s="59">
        <f>'WP II-I-1.1'!I65</f>
        <v>0</v>
      </c>
      <c r="J35" s="994">
        <f t="shared" si="3"/>
        <v>3176923318.8099999</v>
      </c>
    </row>
    <row r="36" spans="1:10" x14ac:dyDescent="0.2">
      <c r="A36" s="64"/>
      <c r="B36" s="16">
        <f t="shared" si="0"/>
        <v>21</v>
      </c>
      <c r="C36" s="87" t="s">
        <v>374</v>
      </c>
      <c r="D36" s="1" t="s">
        <v>375</v>
      </c>
      <c r="E36" s="88">
        <f>'WP II-I-2.1'!H29</f>
        <v>0.79817703469963952</v>
      </c>
      <c r="F36" s="18">
        <f t="shared" ref="F36:H37" si="6">F$35*$E36</f>
        <v>0</v>
      </c>
      <c r="G36" s="18">
        <f t="shared" si="6"/>
        <v>2535747234.0759034</v>
      </c>
      <c r="H36" s="18">
        <f t="shared" si="6"/>
        <v>0</v>
      </c>
      <c r="I36" s="18">
        <f>I$35*$E36</f>
        <v>0</v>
      </c>
      <c r="J36" s="995">
        <f t="shared" si="3"/>
        <v>2535747234.0759034</v>
      </c>
    </row>
    <row r="37" spans="1:10" x14ac:dyDescent="0.2">
      <c r="A37" s="64"/>
      <c r="B37" s="16">
        <f t="shared" si="0"/>
        <v>22</v>
      </c>
      <c r="C37" s="89" t="s">
        <v>376</v>
      </c>
      <c r="D37" s="62" t="s">
        <v>377</v>
      </c>
      <c r="E37" s="90">
        <f>'WP II-I-2.1'!H30</f>
        <v>0.20182296530036048</v>
      </c>
      <c r="F37" s="80">
        <f t="shared" si="6"/>
        <v>0</v>
      </c>
      <c r="G37" s="80">
        <f t="shared" si="6"/>
        <v>641176084.73409665</v>
      </c>
      <c r="H37" s="80">
        <f t="shared" si="6"/>
        <v>0</v>
      </c>
      <c r="I37" s="80">
        <f>I$35*$E37</f>
        <v>0</v>
      </c>
      <c r="J37" s="996">
        <f t="shared" si="3"/>
        <v>641176084.73409665</v>
      </c>
    </row>
    <row r="38" spans="1:10" x14ac:dyDescent="0.2">
      <c r="A38" s="64"/>
      <c r="B38" s="16">
        <f t="shared" si="0"/>
        <v>23</v>
      </c>
      <c r="C38" s="84" t="s">
        <v>70</v>
      </c>
      <c r="D38" s="85" t="s">
        <v>378</v>
      </c>
      <c r="E38" s="86">
        <f>SUM(E39:E41)</f>
        <v>1</v>
      </c>
      <c r="F38" s="59">
        <f>'WP II-I-1.1'!F66</f>
        <v>0</v>
      </c>
      <c r="G38" s="59">
        <f>'WP II-I-1.1'!G66</f>
        <v>3167665925.5700002</v>
      </c>
      <c r="H38" s="59">
        <f>'WP II-I-1.1'!H66</f>
        <v>0</v>
      </c>
      <c r="I38" s="59">
        <f>'WP II-I-1.1'!I66</f>
        <v>0</v>
      </c>
      <c r="J38" s="994">
        <f t="shared" si="3"/>
        <v>3167665925.5700002</v>
      </c>
    </row>
    <row r="39" spans="1:10" x14ac:dyDescent="0.2">
      <c r="A39" s="64"/>
      <c r="B39" s="16">
        <f t="shared" si="0"/>
        <v>24</v>
      </c>
      <c r="C39" s="87" t="s">
        <v>379</v>
      </c>
      <c r="D39" s="1" t="s">
        <v>380</v>
      </c>
      <c r="E39" s="88">
        <f>'WP II-I-2.1'!H32</f>
        <v>6.9002742898359268E-2</v>
      </c>
      <c r="F39" s="18">
        <f t="shared" ref="F39:H41" si="7">F$38*$E39</f>
        <v>0</v>
      </c>
      <c r="G39" s="18">
        <f t="shared" si="7"/>
        <v>218577637.44999996</v>
      </c>
      <c r="H39" s="18">
        <f t="shared" si="7"/>
        <v>0</v>
      </c>
      <c r="I39" s="18">
        <f>I$38*$E39</f>
        <v>0</v>
      </c>
      <c r="J39" s="995">
        <f t="shared" si="3"/>
        <v>218577637.44999996</v>
      </c>
    </row>
    <row r="40" spans="1:10" x14ac:dyDescent="0.2">
      <c r="A40" s="64"/>
      <c r="B40" s="16">
        <f t="shared" si="0"/>
        <v>25</v>
      </c>
      <c r="C40" s="87" t="s">
        <v>381</v>
      </c>
      <c r="D40" s="1" t="s">
        <v>382</v>
      </c>
      <c r="E40" s="88">
        <f>'WP II-I-2.1'!H33</f>
        <v>0.87797750967048482</v>
      </c>
      <c r="F40" s="18">
        <f t="shared" si="7"/>
        <v>0</v>
      </c>
      <c r="G40" s="18">
        <f t="shared" si="7"/>
        <v>2781139440.8000002</v>
      </c>
      <c r="H40" s="18">
        <f t="shared" si="7"/>
        <v>0</v>
      </c>
      <c r="I40" s="18">
        <f>I$38*$E40</f>
        <v>0</v>
      </c>
      <c r="J40" s="995">
        <f t="shared" si="3"/>
        <v>2781139440.8000002</v>
      </c>
    </row>
    <row r="41" spans="1:10" x14ac:dyDescent="0.2">
      <c r="A41" s="64"/>
      <c r="B41" s="16">
        <f t="shared" si="0"/>
        <v>26</v>
      </c>
      <c r="C41" s="89" t="s">
        <v>383</v>
      </c>
      <c r="D41" s="62" t="s">
        <v>384</v>
      </c>
      <c r="E41" s="90">
        <f>'WP II-I-2.1'!H34</f>
        <v>5.3019747431155867E-2</v>
      </c>
      <c r="F41" s="80">
        <f t="shared" si="7"/>
        <v>0</v>
      </c>
      <c r="G41" s="80">
        <f t="shared" si="7"/>
        <v>167948847.31999999</v>
      </c>
      <c r="H41" s="18">
        <f t="shared" si="7"/>
        <v>0</v>
      </c>
      <c r="I41" s="18">
        <f>I$38*$E41</f>
        <v>0</v>
      </c>
      <c r="J41" s="996">
        <f t="shared" si="3"/>
        <v>167948847.31999999</v>
      </c>
    </row>
    <row r="42" spans="1:10" x14ac:dyDescent="0.2">
      <c r="A42" s="64"/>
      <c r="B42" s="16">
        <f t="shared" si="0"/>
        <v>27</v>
      </c>
      <c r="C42" s="26"/>
      <c r="D42" s="1"/>
      <c r="E42" s="83"/>
      <c r="F42" s="1"/>
      <c r="G42" s="45"/>
      <c r="H42" s="147"/>
      <c r="I42" s="147"/>
      <c r="J42" s="357"/>
    </row>
    <row r="43" spans="1:10" ht="15" x14ac:dyDescent="0.25">
      <c r="A43" s="64"/>
      <c r="B43" s="16">
        <f t="shared" si="0"/>
        <v>28</v>
      </c>
      <c r="C43" s="82" t="s">
        <v>34</v>
      </c>
      <c r="D43" s="8" t="s">
        <v>534</v>
      </c>
      <c r="E43" s="83"/>
      <c r="F43" s="1"/>
      <c r="G43" s="45"/>
      <c r="H43" s="64"/>
      <c r="I43" s="79"/>
      <c r="J43" s="357"/>
    </row>
    <row r="44" spans="1:10" x14ac:dyDescent="0.2">
      <c r="A44" s="64"/>
      <c r="B44" s="16">
        <f t="shared" si="0"/>
        <v>29</v>
      </c>
      <c r="C44" s="84" t="s">
        <v>62</v>
      </c>
      <c r="D44" s="85" t="s">
        <v>358</v>
      </c>
      <c r="E44" s="86">
        <f>SUM(E45:E46)</f>
        <v>0.99999999999999978</v>
      </c>
      <c r="F44" s="59">
        <f>'WP II-I-1.1'!F80</f>
        <v>0</v>
      </c>
      <c r="G44" s="59">
        <f>'WP II-I-1.1'!G80</f>
        <v>1202556648.3599999</v>
      </c>
      <c r="H44" s="59">
        <f>'WP II-I-1.1'!H80</f>
        <v>0</v>
      </c>
      <c r="I44" s="18">
        <f>'WP II-I-1.1'!I80</f>
        <v>0</v>
      </c>
      <c r="J44" s="994">
        <f t="shared" ref="J44:J59" si="8">SUM(F44:I44)</f>
        <v>1202556648.3599999</v>
      </c>
    </row>
    <row r="45" spans="1:10" x14ac:dyDescent="0.2">
      <c r="A45" s="64"/>
      <c r="B45" s="16">
        <f t="shared" si="0"/>
        <v>30</v>
      </c>
      <c r="C45" s="87" t="s">
        <v>359</v>
      </c>
      <c r="D45" s="1" t="s">
        <v>360</v>
      </c>
      <c r="E45" s="88">
        <f>+E$27</f>
        <v>0.84374658928178026</v>
      </c>
      <c r="F45" s="18">
        <f>F$26*$E45</f>
        <v>0</v>
      </c>
      <c r="G45" s="18">
        <f t="shared" ref="G45:H46" si="9">G$44*$E45</f>
        <v>1014653070.4718791</v>
      </c>
      <c r="H45" s="18">
        <f t="shared" si="9"/>
        <v>0</v>
      </c>
      <c r="I45" s="18">
        <f>I$44*$E45</f>
        <v>0</v>
      </c>
      <c r="J45" s="995">
        <f t="shared" si="8"/>
        <v>1014653070.4718791</v>
      </c>
    </row>
    <row r="46" spans="1:10" x14ac:dyDescent="0.2">
      <c r="A46" s="64"/>
      <c r="B46" s="16">
        <f t="shared" si="0"/>
        <v>31</v>
      </c>
      <c r="C46" s="89" t="s">
        <v>361</v>
      </c>
      <c r="D46" s="62" t="s">
        <v>362</v>
      </c>
      <c r="E46" s="88">
        <f>+E$28</f>
        <v>0.15625341071821958</v>
      </c>
      <c r="F46" s="80">
        <f>F$26*$E46</f>
        <v>0</v>
      </c>
      <c r="G46" s="80">
        <f t="shared" si="9"/>
        <v>187903577.88812062</v>
      </c>
      <c r="H46" s="80">
        <f t="shared" si="9"/>
        <v>0</v>
      </c>
      <c r="I46" s="80">
        <f>I$44*$E46</f>
        <v>0</v>
      </c>
      <c r="J46" s="996">
        <f t="shared" si="8"/>
        <v>187903577.88812062</v>
      </c>
    </row>
    <row r="47" spans="1:10" x14ac:dyDescent="0.2">
      <c r="A47" s="64"/>
      <c r="B47" s="16">
        <f t="shared" si="0"/>
        <v>32</v>
      </c>
      <c r="C47" s="84" t="s">
        <v>64</v>
      </c>
      <c r="D47" s="85" t="s">
        <v>363</v>
      </c>
      <c r="E47" s="86">
        <f>SUM(E48:E49)</f>
        <v>1</v>
      </c>
      <c r="F47" s="59">
        <f>'WP II-I-1.1'!F81</f>
        <v>0</v>
      </c>
      <c r="G47" s="59">
        <f>'WP II-I-1.1'!G81</f>
        <v>689155456.41999996</v>
      </c>
      <c r="H47" s="59">
        <f>'WP II-I-1.1'!H81</f>
        <v>0</v>
      </c>
      <c r="I47" s="59">
        <f>'WP II-I-1.1'!I81</f>
        <v>0</v>
      </c>
      <c r="J47" s="994">
        <f t="shared" si="8"/>
        <v>689155456.41999996</v>
      </c>
    </row>
    <row r="48" spans="1:10" x14ac:dyDescent="0.2">
      <c r="A48" s="64"/>
      <c r="B48" s="16">
        <f t="shared" si="0"/>
        <v>33</v>
      </c>
      <c r="C48" s="87" t="s">
        <v>364</v>
      </c>
      <c r="D48" s="1" t="s">
        <v>365</v>
      </c>
      <c r="E48" s="88">
        <f>+E$30</f>
        <v>0.87322964576709317</v>
      </c>
      <c r="F48" s="18">
        <f>F$29*$E48</f>
        <v>0</v>
      </c>
      <c r="G48" s="18">
        <f t="shared" ref="G48:H49" si="10">G$47*$E48</f>
        <v>601790975.08809602</v>
      </c>
      <c r="H48" s="18">
        <f t="shared" si="10"/>
        <v>0</v>
      </c>
      <c r="I48" s="18">
        <f>I$47*$E48</f>
        <v>0</v>
      </c>
      <c r="J48" s="995">
        <f t="shared" si="8"/>
        <v>601790975.08809602</v>
      </c>
    </row>
    <row r="49" spans="1:10" x14ac:dyDescent="0.2">
      <c r="A49" s="64"/>
      <c r="B49" s="16">
        <f t="shared" si="0"/>
        <v>34</v>
      </c>
      <c r="C49" s="89" t="s">
        <v>366</v>
      </c>
      <c r="D49" s="62" t="s">
        <v>367</v>
      </c>
      <c r="E49" s="88">
        <f>+E$31</f>
        <v>0.12677035423290683</v>
      </c>
      <c r="F49" s="80">
        <f>F$29*$E49</f>
        <v>0</v>
      </c>
      <c r="G49" s="80">
        <f>G$47*$E49</f>
        <v>87364481.331903979</v>
      </c>
      <c r="H49" s="80">
        <f t="shared" si="10"/>
        <v>0</v>
      </c>
      <c r="I49" s="80">
        <f>I$47*$E49</f>
        <v>0</v>
      </c>
      <c r="J49" s="996">
        <f t="shared" si="8"/>
        <v>87364481.331903979</v>
      </c>
    </row>
    <row r="50" spans="1:10" x14ac:dyDescent="0.2">
      <c r="A50" s="64"/>
      <c r="B50" s="16">
        <f t="shared" si="0"/>
        <v>35</v>
      </c>
      <c r="C50" s="84" t="s">
        <v>66</v>
      </c>
      <c r="D50" s="85" t="s">
        <v>368</v>
      </c>
      <c r="E50" s="86">
        <f>SUM(E51:E52)</f>
        <v>1</v>
      </c>
      <c r="F50" s="59">
        <f>'WP II-I-1.1'!F82</f>
        <v>0</v>
      </c>
      <c r="G50" s="59">
        <f>'WP II-I-1.1'!G82</f>
        <v>550241099.80999994</v>
      </c>
      <c r="H50" s="59">
        <f>'WP II-I-1.1'!H82</f>
        <v>0</v>
      </c>
      <c r="I50" s="59">
        <f>'WP II-I-1.1'!I82</f>
        <v>0</v>
      </c>
      <c r="J50" s="994">
        <f t="shared" si="8"/>
        <v>550241099.80999994</v>
      </c>
    </row>
    <row r="51" spans="1:10" x14ac:dyDescent="0.2">
      <c r="A51" s="64"/>
      <c r="B51" s="16">
        <f t="shared" si="0"/>
        <v>36</v>
      </c>
      <c r="C51" s="87" t="s">
        <v>369</v>
      </c>
      <c r="D51" s="1" t="s">
        <v>370</v>
      </c>
      <c r="E51" s="88">
        <f>+E$33</f>
        <v>0.65957424361366734</v>
      </c>
      <c r="F51" s="18">
        <f>F$50*$E51</f>
        <v>0</v>
      </c>
      <c r="G51" s="18">
        <f>G$50*$E51</f>
        <v>362924857.21233314</v>
      </c>
      <c r="H51" s="18">
        <f t="shared" ref="H51:I52" si="11">H$50*$E51</f>
        <v>0</v>
      </c>
      <c r="I51" s="18">
        <f t="shared" si="11"/>
        <v>0</v>
      </c>
      <c r="J51" s="995">
        <f t="shared" si="8"/>
        <v>362924857.21233314</v>
      </c>
    </row>
    <row r="52" spans="1:10" x14ac:dyDescent="0.2">
      <c r="A52" s="64"/>
      <c r="B52" s="16">
        <f t="shared" si="0"/>
        <v>37</v>
      </c>
      <c r="C52" s="89" t="s">
        <v>371</v>
      </c>
      <c r="D52" s="62" t="s">
        <v>372</v>
      </c>
      <c r="E52" s="88">
        <f>+E$34</f>
        <v>0.3404257563863326</v>
      </c>
      <c r="F52" s="80">
        <f>F$50*$E52</f>
        <v>0</v>
      </c>
      <c r="G52" s="80">
        <f>G$50*$E52</f>
        <v>187316242.59766677</v>
      </c>
      <c r="H52" s="80">
        <f t="shared" si="11"/>
        <v>0</v>
      </c>
      <c r="I52" s="80">
        <f t="shared" si="11"/>
        <v>0</v>
      </c>
      <c r="J52" s="996">
        <f t="shared" si="8"/>
        <v>187316242.59766677</v>
      </c>
    </row>
    <row r="53" spans="1:10" x14ac:dyDescent="0.2">
      <c r="A53" s="64"/>
      <c r="B53" s="16">
        <f t="shared" si="0"/>
        <v>38</v>
      </c>
      <c r="C53" s="84" t="s">
        <v>68</v>
      </c>
      <c r="D53" s="85" t="s">
        <v>373</v>
      </c>
      <c r="E53" s="86">
        <f>SUM(E54:E55)</f>
        <v>1</v>
      </c>
      <c r="F53" s="59">
        <f>'WP II-I-1.1'!F83</f>
        <v>0</v>
      </c>
      <c r="G53" s="59">
        <f>'WP II-I-1.1'!G83</f>
        <v>691245457.77999997</v>
      </c>
      <c r="H53" s="59">
        <f>'WP II-I-1.1'!H83</f>
        <v>0</v>
      </c>
      <c r="I53" s="59">
        <f>'WP II-I-1.1'!I83</f>
        <v>0</v>
      </c>
      <c r="J53" s="994">
        <f t="shared" si="8"/>
        <v>691245457.77999997</v>
      </c>
    </row>
    <row r="54" spans="1:10" x14ac:dyDescent="0.2">
      <c r="A54" s="64"/>
      <c r="B54" s="16">
        <f t="shared" si="0"/>
        <v>39</v>
      </c>
      <c r="C54" s="87" t="s">
        <v>374</v>
      </c>
      <c r="D54" s="1" t="s">
        <v>375</v>
      </c>
      <c r="E54" s="88">
        <f>+E$36</f>
        <v>0.79817703469963952</v>
      </c>
      <c r="F54" s="18">
        <f>F$35*$E54</f>
        <v>0</v>
      </c>
      <c r="G54" s="18">
        <f t="shared" ref="G54:H55" si="12">G$53*$E54</f>
        <v>551736249.74043524</v>
      </c>
      <c r="H54" s="18">
        <f t="shared" si="12"/>
        <v>0</v>
      </c>
      <c r="I54" s="18">
        <f>I$53*$E54</f>
        <v>0</v>
      </c>
      <c r="J54" s="995">
        <f t="shared" si="8"/>
        <v>551736249.74043524</v>
      </c>
    </row>
    <row r="55" spans="1:10" x14ac:dyDescent="0.2">
      <c r="A55" s="64"/>
      <c r="B55" s="16">
        <f t="shared" si="0"/>
        <v>40</v>
      </c>
      <c r="C55" s="89" t="s">
        <v>376</v>
      </c>
      <c r="D55" s="62" t="s">
        <v>377</v>
      </c>
      <c r="E55" s="88">
        <f>+E$37</f>
        <v>0.20182296530036048</v>
      </c>
      <c r="F55" s="80">
        <f>F$35*$E55</f>
        <v>0</v>
      </c>
      <c r="G55" s="80">
        <f t="shared" si="12"/>
        <v>139509208.03956473</v>
      </c>
      <c r="H55" s="80">
        <f t="shared" si="12"/>
        <v>0</v>
      </c>
      <c r="I55" s="80">
        <f>I$53*$E55</f>
        <v>0</v>
      </c>
      <c r="J55" s="996">
        <f t="shared" si="8"/>
        <v>139509208.03956473</v>
      </c>
    </row>
    <row r="56" spans="1:10" x14ac:dyDescent="0.2">
      <c r="A56" s="64"/>
      <c r="B56" s="16">
        <f t="shared" si="0"/>
        <v>41</v>
      </c>
      <c r="C56" s="84" t="s">
        <v>70</v>
      </c>
      <c r="D56" s="85" t="s">
        <v>378</v>
      </c>
      <c r="E56" s="86">
        <f>SUM(E57:E59)</f>
        <v>1</v>
      </c>
      <c r="F56" s="59">
        <f>'WP II-I-1.1'!F84</f>
        <v>0</v>
      </c>
      <c r="G56" s="59">
        <f>'WP II-I-1.1'!G84</f>
        <v>761627190.17999995</v>
      </c>
      <c r="H56" s="59">
        <f>'WP II-I-1.1'!H84</f>
        <v>0</v>
      </c>
      <c r="I56" s="59">
        <f>'WP II-I-1.1'!I84</f>
        <v>0</v>
      </c>
      <c r="J56" s="994">
        <f t="shared" si="8"/>
        <v>761627190.17999995</v>
      </c>
    </row>
    <row r="57" spans="1:10" x14ac:dyDescent="0.2">
      <c r="A57" s="64"/>
      <c r="B57" s="16">
        <f t="shared" si="0"/>
        <v>42</v>
      </c>
      <c r="C57" s="87" t="s">
        <v>379</v>
      </c>
      <c r="D57" s="1" t="str">
        <f>D39</f>
        <v>Regulators, Protectors, Primary Transformers</v>
      </c>
      <c r="E57" s="88">
        <f>+E$39</f>
        <v>6.9002742898359268E-2</v>
      </c>
      <c r="F57" s="18">
        <f>F$38*$E57</f>
        <v>0</v>
      </c>
      <c r="G57" s="18">
        <f>G$56*$E57</f>
        <v>52554365.188390315</v>
      </c>
      <c r="H57" s="18">
        <f>H$56*$E57</f>
        <v>0</v>
      </c>
      <c r="I57" s="18">
        <f>I$56*$E57</f>
        <v>0</v>
      </c>
      <c r="J57" s="995">
        <f t="shared" si="8"/>
        <v>52554365.188390315</v>
      </c>
    </row>
    <row r="58" spans="1:10" x14ac:dyDescent="0.2">
      <c r="A58" s="64"/>
      <c r="B58" s="16">
        <f t="shared" si="0"/>
        <v>43</v>
      </c>
      <c r="C58" s="87" t="s">
        <v>381</v>
      </c>
      <c r="D58" s="1" t="str">
        <f>D40</f>
        <v>Secondary Transformers</v>
      </c>
      <c r="E58" s="88">
        <f>+E$40</f>
        <v>0.87797750967048482</v>
      </c>
      <c r="F58" s="18">
        <f>F$38*$E58</f>
        <v>0</v>
      </c>
      <c r="G58" s="18">
        <f t="shared" ref="G58:I59" si="13">G$56*$E58</f>
        <v>668691543.73156512</v>
      </c>
      <c r="H58" s="18">
        <f t="shared" si="13"/>
        <v>0</v>
      </c>
      <c r="I58" s="18">
        <f>I$56*$E58</f>
        <v>0</v>
      </c>
      <c r="J58" s="995">
        <f t="shared" si="8"/>
        <v>668691543.73156512</v>
      </c>
    </row>
    <row r="59" spans="1:10" x14ac:dyDescent="0.2">
      <c r="A59" s="64"/>
      <c r="B59" s="16">
        <f t="shared" si="0"/>
        <v>44</v>
      </c>
      <c r="C59" s="89" t="s">
        <v>383</v>
      </c>
      <c r="D59" s="62" t="str">
        <f>D41</f>
        <v>Capacitors</v>
      </c>
      <c r="E59" s="90">
        <f>+E$41</f>
        <v>5.3019747431155867E-2</v>
      </c>
      <c r="F59" s="80">
        <f>F$38*$E59</f>
        <v>0</v>
      </c>
      <c r="G59" s="80">
        <f t="shared" si="13"/>
        <v>40381281.260044515</v>
      </c>
      <c r="H59" s="80">
        <f t="shared" si="13"/>
        <v>0</v>
      </c>
      <c r="I59" s="80">
        <f t="shared" si="13"/>
        <v>0</v>
      </c>
      <c r="J59" s="996">
        <f t="shared" si="8"/>
        <v>40381281.260044515</v>
      </c>
    </row>
    <row r="60" spans="1:10" x14ac:dyDescent="0.2">
      <c r="A60" s="64"/>
      <c r="B60" s="16"/>
      <c r="C60" s="16"/>
      <c r="D60" s="1"/>
      <c r="E60" s="83"/>
      <c r="F60" s="1"/>
      <c r="G60" s="64"/>
      <c r="H60" s="64"/>
      <c r="I60" s="64"/>
      <c r="J60" s="64"/>
    </row>
    <row r="61" spans="1:10" x14ac:dyDescent="0.2">
      <c r="B61" s="64"/>
      <c r="C61" s="64"/>
      <c r="D61" s="64"/>
      <c r="E61" s="64"/>
      <c r="F61" s="64"/>
      <c r="G61" s="64"/>
      <c r="H61" s="64"/>
      <c r="I61" s="64"/>
      <c r="J61" s="64"/>
    </row>
  </sheetData>
  <phoneticPr fontId="0" type="noConversion"/>
  <printOptions horizontalCentered="1"/>
  <pageMargins left="1.5" right="0.5" top="1.5" bottom="0.75" header="1" footer="0.5"/>
  <pageSetup scale="61" orientation="portrait" r:id="rId1"/>
  <headerFooter alignWithMargins="0">
    <oddHeader>&amp;RWP/ II-I-1.2
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6"/>
  <dimension ref="A1:U48"/>
  <sheetViews>
    <sheetView view="pageBreakPreview" zoomScale="75" zoomScaleNormal="75" workbookViewId="0">
      <selection activeCell="L15" sqref="L15"/>
    </sheetView>
  </sheetViews>
  <sheetFormatPr defaultRowHeight="14.25" x14ac:dyDescent="0.2"/>
  <cols>
    <col min="1" max="1" width="1.5" customWidth="1"/>
    <col min="2" max="2" width="4.5" bestFit="1" customWidth="1"/>
    <col min="3" max="3" width="41.375" customWidth="1"/>
    <col min="4" max="4" width="0.875" customWidth="1"/>
    <col min="5" max="5" width="14.375" bestFit="1" customWidth="1"/>
    <col min="6" max="6" width="12.75" bestFit="1" customWidth="1"/>
    <col min="7" max="7" width="14.375" bestFit="1" customWidth="1"/>
    <col min="8" max="8" width="13.875" customWidth="1"/>
    <col min="9" max="9" width="12.5" bestFit="1" customWidth="1"/>
    <col min="10" max="10" width="14.375" customWidth="1"/>
    <col min="11" max="11" width="12.75" bestFit="1" customWidth="1"/>
    <col min="12" max="12" width="11.75" customWidth="1"/>
    <col min="13" max="13" width="12.75" customWidth="1"/>
    <col min="14" max="14" width="11.5" customWidth="1"/>
    <col min="15" max="15" width="1.5" customWidth="1"/>
    <col min="16" max="16" width="14.75" customWidth="1"/>
    <col min="17" max="17" width="17.375" customWidth="1"/>
    <col min="18" max="18" width="14.125" customWidth="1"/>
    <col min="21" max="21" width="13" customWidth="1"/>
  </cols>
  <sheetData>
    <row r="1" spans="1:17" x14ac:dyDescent="0.2">
      <c r="A1" s="64" t="s">
        <v>0</v>
      </c>
      <c r="B1" s="64"/>
      <c r="C1" s="64"/>
      <c r="D1" s="64"/>
      <c r="E1" s="64"/>
      <c r="F1" s="64"/>
      <c r="G1" s="64"/>
      <c r="H1" s="65"/>
      <c r="I1" s="65"/>
      <c r="J1" s="65"/>
      <c r="K1" s="64"/>
      <c r="L1" s="64"/>
      <c r="M1" s="64"/>
      <c r="N1" s="64"/>
      <c r="O1" s="64"/>
      <c r="P1" s="64"/>
      <c r="Q1" s="64"/>
    </row>
    <row r="2" spans="1:17" ht="15" x14ac:dyDescent="0.2">
      <c r="A2" s="64"/>
      <c r="B2" s="64"/>
      <c r="C2" s="1062"/>
      <c r="D2" s="64"/>
      <c r="E2" s="64"/>
      <c r="F2" s="64"/>
      <c r="G2" s="64"/>
      <c r="H2" s="65"/>
      <c r="I2" s="65"/>
      <c r="J2" s="65"/>
      <c r="K2" s="64"/>
      <c r="L2" s="64"/>
      <c r="M2" s="64"/>
      <c r="N2" s="64"/>
      <c r="O2" s="64"/>
      <c r="P2" s="64"/>
      <c r="Q2" s="64"/>
    </row>
    <row r="3" spans="1:17" ht="15" x14ac:dyDescent="0.25">
      <c r="A3" s="64"/>
      <c r="B3" s="3" t="str">
        <f>'WP II-I-1.1'!B3</f>
        <v>2025 RATE CASE</v>
      </c>
      <c r="C3" s="4"/>
      <c r="D3" s="4"/>
      <c r="E3" s="7"/>
      <c r="F3" s="7"/>
      <c r="G3" s="7"/>
      <c r="H3" s="103"/>
      <c r="I3" s="4"/>
      <c r="J3" s="4"/>
      <c r="K3" s="7"/>
      <c r="L3" s="4"/>
      <c r="M3" s="4"/>
      <c r="N3" s="4"/>
      <c r="O3" s="4"/>
      <c r="P3" s="7"/>
      <c r="Q3" s="64"/>
    </row>
    <row r="4" spans="1:17" ht="15" x14ac:dyDescent="0.25">
      <c r="A4" s="64"/>
      <c r="B4" s="3" t="str">
        <f>'WP II-I-1.1'!B4</f>
        <v>ONCOR ELECTRIC DELIVERY COMPANY LLC</v>
      </c>
      <c r="C4" s="5"/>
      <c r="D4" s="5"/>
      <c r="E4" s="5"/>
      <c r="F4" s="7"/>
      <c r="G4" s="7"/>
      <c r="H4" s="103"/>
      <c r="I4" s="4"/>
      <c r="J4" s="4"/>
      <c r="K4" s="4"/>
      <c r="L4" s="4"/>
      <c r="M4" s="4"/>
      <c r="N4" s="4"/>
      <c r="O4" s="4"/>
      <c r="P4" s="4"/>
      <c r="Q4" s="64"/>
    </row>
    <row r="5" spans="1:17" ht="15" x14ac:dyDescent="0.25">
      <c r="A5" s="64"/>
      <c r="B5" s="3" t="str">
        <f>'WP II-I-1.1'!B5</f>
        <v>II-I-1:  CLASS REVENUE REQUIREMENT ANALYSIS</v>
      </c>
      <c r="C5" s="3"/>
      <c r="D5" s="3"/>
      <c r="E5" s="5"/>
      <c r="F5" s="7"/>
      <c r="G5" s="7"/>
      <c r="H5" s="103"/>
      <c r="I5" s="7"/>
      <c r="J5" s="7"/>
      <c r="K5" s="7"/>
      <c r="L5" s="7"/>
      <c r="M5" s="7"/>
      <c r="N5" s="7"/>
      <c r="O5" s="7"/>
      <c r="P5" s="7"/>
      <c r="Q5" s="64"/>
    </row>
    <row r="6" spans="1:17" ht="15" x14ac:dyDescent="0.25">
      <c r="A6" s="64"/>
      <c r="B6" s="3" t="str">
        <f>'WP II-I-1.1'!B6</f>
        <v>TEST YEAR ENDING 12/31/2024</v>
      </c>
      <c r="C6" s="3"/>
      <c r="D6" s="3"/>
      <c r="E6" s="5"/>
      <c r="F6" s="7"/>
      <c r="G6" s="7"/>
      <c r="H6" s="106"/>
      <c r="I6" s="7"/>
      <c r="J6" s="7"/>
      <c r="K6" s="7"/>
      <c r="L6" s="7"/>
      <c r="M6" s="7"/>
      <c r="N6" s="7"/>
      <c r="O6" s="7"/>
      <c r="P6" s="7"/>
      <c r="Q6" s="64"/>
    </row>
    <row r="7" spans="1:17" ht="15" x14ac:dyDescent="0.25">
      <c r="A7" s="64"/>
      <c r="B7" s="3" t="str">
        <f>'WP II-I-1.1'!B7</f>
        <v>SPONSOR:  MATTHEW A. TROXLE</v>
      </c>
      <c r="C7" s="68"/>
      <c r="D7" s="68"/>
      <c r="E7" s="72"/>
      <c r="F7" s="7"/>
      <c r="G7" s="70"/>
      <c r="H7" s="71"/>
      <c r="I7" s="7"/>
      <c r="J7" s="70"/>
      <c r="K7" s="7"/>
      <c r="L7" s="7"/>
      <c r="M7" s="7"/>
      <c r="N7" s="7"/>
      <c r="O7" s="7"/>
      <c r="P7" s="7"/>
      <c r="Q7" s="64"/>
    </row>
    <row r="8" spans="1:17" ht="15" x14ac:dyDescent="0.25">
      <c r="A8" s="64"/>
      <c r="B8" s="3"/>
      <c r="C8" s="3"/>
      <c r="D8" s="3"/>
      <c r="E8" s="5"/>
      <c r="F8" s="7"/>
      <c r="G8" s="7"/>
      <c r="H8" s="107"/>
      <c r="I8" s="7"/>
      <c r="J8" s="7"/>
      <c r="K8" s="7"/>
      <c r="L8" s="7"/>
      <c r="M8" s="7"/>
      <c r="N8" s="7"/>
      <c r="O8" s="7"/>
      <c r="P8" s="7"/>
      <c r="Q8" s="64"/>
    </row>
    <row r="9" spans="1:17" ht="15" x14ac:dyDescent="0.25">
      <c r="A9" s="64"/>
      <c r="B9" s="5"/>
      <c r="C9" s="3"/>
      <c r="D9" s="3"/>
      <c r="E9" s="5"/>
      <c r="F9" s="7"/>
      <c r="G9" s="7"/>
      <c r="H9" s="3"/>
      <c r="I9" s="7"/>
      <c r="J9" s="7"/>
      <c r="K9" s="7"/>
      <c r="L9" s="7"/>
      <c r="M9" s="7"/>
      <c r="N9" s="7"/>
      <c r="O9" s="7"/>
      <c r="P9" s="7"/>
      <c r="Q9" s="64"/>
    </row>
    <row r="10" spans="1:17" ht="15.75" x14ac:dyDescent="0.25">
      <c r="A10" s="64"/>
      <c r="B10" s="103" t="s">
        <v>953</v>
      </c>
      <c r="C10" s="3"/>
      <c r="D10" s="3"/>
      <c r="E10" s="5"/>
      <c r="F10" s="7"/>
      <c r="G10" s="7"/>
      <c r="H10" s="108"/>
      <c r="I10" s="7"/>
      <c r="J10" s="7"/>
      <c r="K10" s="7"/>
      <c r="L10" s="7"/>
      <c r="M10" s="7"/>
      <c r="N10" s="7"/>
      <c r="O10" s="7"/>
      <c r="P10" s="7"/>
      <c r="Q10" s="64"/>
    </row>
    <row r="11" spans="1:17" ht="15.75" thickBot="1" x14ac:dyDescent="0.3">
      <c r="A11" s="64"/>
      <c r="B11" s="109"/>
      <c r="C11" s="11"/>
      <c r="D11" s="11"/>
      <c r="E11" s="11"/>
      <c r="F11" s="11"/>
      <c r="G11" s="11"/>
      <c r="H11" s="65"/>
      <c r="I11" s="65"/>
      <c r="J11" s="65"/>
      <c r="K11" s="64"/>
      <c r="L11" s="64"/>
      <c r="M11" s="64"/>
      <c r="N11" s="64"/>
      <c r="O11" s="64"/>
      <c r="P11" s="64"/>
      <c r="Q11" s="64"/>
    </row>
    <row r="12" spans="1:17" x14ac:dyDescent="0.2">
      <c r="A12" s="64"/>
      <c r="B12" s="550"/>
      <c r="C12" s="544"/>
      <c r="D12" s="547"/>
      <c r="E12" s="547"/>
      <c r="F12" s="92"/>
      <c r="G12" s="92"/>
      <c r="H12" s="92"/>
      <c r="I12" s="92"/>
      <c r="J12" s="92"/>
      <c r="K12" s="92"/>
      <c r="L12" s="110"/>
      <c r="M12" s="110"/>
      <c r="N12" s="555"/>
      <c r="O12" s="555"/>
      <c r="P12" s="556"/>
      <c r="Q12" s="64"/>
    </row>
    <row r="13" spans="1:17" x14ac:dyDescent="0.2">
      <c r="A13" s="64"/>
      <c r="B13" s="545" t="s">
        <v>385</v>
      </c>
      <c r="C13" s="545" t="s">
        <v>4</v>
      </c>
      <c r="D13" s="548"/>
      <c r="E13" s="548" t="s">
        <v>387</v>
      </c>
      <c r="F13" s="93" t="s">
        <v>388</v>
      </c>
      <c r="G13" s="93" t="s">
        <v>388</v>
      </c>
      <c r="H13" s="93" t="s">
        <v>93</v>
      </c>
      <c r="I13" s="93" t="s">
        <v>93</v>
      </c>
      <c r="J13" s="93" t="s">
        <v>389</v>
      </c>
      <c r="K13" s="93" t="s">
        <v>390</v>
      </c>
      <c r="L13" s="93" t="s">
        <v>391</v>
      </c>
      <c r="M13" s="93" t="s">
        <v>386</v>
      </c>
      <c r="N13" s="545" t="s">
        <v>386</v>
      </c>
      <c r="O13" s="545"/>
      <c r="P13" s="548" t="s">
        <v>10</v>
      </c>
      <c r="Q13" s="64"/>
    </row>
    <row r="14" spans="1:17" x14ac:dyDescent="0.2">
      <c r="A14" s="64"/>
      <c r="B14" s="545"/>
      <c r="C14" s="545"/>
      <c r="D14" s="548"/>
      <c r="E14" s="548"/>
      <c r="F14" s="94" t="s">
        <v>395</v>
      </c>
      <c r="G14" s="94" t="s">
        <v>396</v>
      </c>
      <c r="H14" s="94" t="s">
        <v>395</v>
      </c>
      <c r="I14" s="94" t="s">
        <v>396</v>
      </c>
      <c r="J14" s="94" t="s">
        <v>393</v>
      </c>
      <c r="K14" s="93"/>
      <c r="L14" s="93"/>
      <c r="M14" s="93" t="s">
        <v>393</v>
      </c>
      <c r="N14" s="545" t="s">
        <v>394</v>
      </c>
      <c r="O14" s="545"/>
      <c r="P14" s="548" t="s">
        <v>392</v>
      </c>
      <c r="Q14" s="64"/>
    </row>
    <row r="15" spans="1:17" ht="15" thickBot="1" x14ac:dyDescent="0.25">
      <c r="A15" s="64"/>
      <c r="B15" s="546"/>
      <c r="C15" s="546" t="s">
        <v>13</v>
      </c>
      <c r="D15" s="549"/>
      <c r="E15" s="549" t="s">
        <v>14</v>
      </c>
      <c r="F15" s="95" t="s">
        <v>15</v>
      </c>
      <c r="G15" s="95" t="s">
        <v>16</v>
      </c>
      <c r="H15" s="95" t="s">
        <v>17</v>
      </c>
      <c r="I15" s="95" t="s">
        <v>18</v>
      </c>
      <c r="J15" s="95" t="s">
        <v>19</v>
      </c>
      <c r="K15" s="95" t="s">
        <v>20</v>
      </c>
      <c r="L15" s="95" t="s">
        <v>21</v>
      </c>
      <c r="M15" s="95" t="s">
        <v>22</v>
      </c>
      <c r="N15" s="546" t="s">
        <v>397</v>
      </c>
      <c r="O15" s="546"/>
      <c r="P15" s="549" t="s">
        <v>398</v>
      </c>
      <c r="Q15" s="16"/>
    </row>
    <row r="16" spans="1:17" x14ac:dyDescent="0.2">
      <c r="A16" s="45"/>
      <c r="B16" s="1"/>
      <c r="C16" s="462"/>
      <c r="D16" s="462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1"/>
      <c r="P16" s="1"/>
      <c r="Q16" s="1"/>
    </row>
    <row r="17" spans="1:21" ht="15" x14ac:dyDescent="0.25">
      <c r="A17" s="45"/>
      <c r="B17" s="16">
        <v>1</v>
      </c>
      <c r="C17" s="112" t="s">
        <v>405</v>
      </c>
      <c r="D17" s="112"/>
      <c r="E17" s="113" t="s">
        <v>406</v>
      </c>
      <c r="F17" s="113" t="s">
        <v>406</v>
      </c>
      <c r="G17" s="113" t="s">
        <v>406</v>
      </c>
      <c r="H17" s="113" t="s">
        <v>406</v>
      </c>
      <c r="I17" s="113" t="s">
        <v>406</v>
      </c>
      <c r="J17" s="113" t="s">
        <v>406</v>
      </c>
      <c r="K17" s="113" t="s">
        <v>406</v>
      </c>
      <c r="L17" s="113" t="s">
        <v>406</v>
      </c>
      <c r="M17" s="113" t="s">
        <v>406</v>
      </c>
      <c r="N17" s="113" t="s">
        <v>406</v>
      </c>
      <c r="O17" s="113"/>
      <c r="P17" s="114">
        <f>'WP II-I-1.1'!F489</f>
        <v>1911456212.2359519</v>
      </c>
      <c r="Q17" s="23">
        <f>' WP II-I-1.4'!$F$33-P17</f>
        <v>-3.1023025512695313E-3</v>
      </c>
    </row>
    <row r="18" spans="1:21" ht="15" x14ac:dyDescent="0.25">
      <c r="A18" s="45"/>
      <c r="B18" s="16">
        <f t="shared" ref="B18:B31" si="0">B17+1</f>
        <v>2</v>
      </c>
      <c r="C18" s="8"/>
      <c r="D18" s="8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305"/>
      <c r="Q18" s="1"/>
    </row>
    <row r="19" spans="1:21" ht="15" x14ac:dyDescent="0.25">
      <c r="A19" s="45"/>
      <c r="B19" s="16">
        <f t="shared" si="0"/>
        <v>3</v>
      </c>
      <c r="C19" s="8" t="s">
        <v>30</v>
      </c>
      <c r="D19" s="8"/>
      <c r="E19" s="52">
        <f ca="1">'II-I-DIST'!J33</f>
        <v>2730268003.2854443</v>
      </c>
      <c r="F19" s="52">
        <f ca="1">'II-I-DIST'!K33</f>
        <v>69767962.657820329</v>
      </c>
      <c r="G19" s="52">
        <f ca="1">'II-I-DIST'!L33</f>
        <v>1849039641.0756085</v>
      </c>
      <c r="H19" s="52">
        <f ca="1">'II-I-DIST'!M33</f>
        <v>736813.36576250521</v>
      </c>
      <c r="I19" s="52">
        <f ca="1">'II-I-DIST'!N33</f>
        <v>434595154.16896993</v>
      </c>
      <c r="J19" s="52">
        <f ca="1">'II-I-DIST'!O33</f>
        <v>98568913.980654716</v>
      </c>
      <c r="K19" s="52">
        <f ca="1">'II-I-DIST'!P33</f>
        <v>274088245.12998217</v>
      </c>
      <c r="L19" s="52">
        <f ca="1">'II-I-DIST'!Q33</f>
        <v>92687433.402685627</v>
      </c>
      <c r="M19" s="52">
        <f ca="1">'II-I-DIST'!R33</f>
        <v>1834322.4234604596</v>
      </c>
      <c r="N19" s="52">
        <f ca="1">'II-I-DIST'!S33</f>
        <v>8506147.7628804408</v>
      </c>
      <c r="O19" s="52"/>
      <c r="P19" s="52">
        <f ca="1">SUM(D19:O19)</f>
        <v>5560092637.2532682</v>
      </c>
      <c r="Q19" s="115" t="b">
        <f ca="1">IF(ROUND('II-I-DIST'!F37-P19,0)=0,TRUE,'II-I-DIST'!F37-P19)</f>
        <v>1</v>
      </c>
    </row>
    <row r="20" spans="1:21" ht="16.5" x14ac:dyDescent="0.35">
      <c r="A20" s="45"/>
      <c r="B20" s="16">
        <f t="shared" si="0"/>
        <v>4</v>
      </c>
      <c r="C20" s="1"/>
      <c r="D20" s="8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1369"/>
      <c r="Q20" s="115"/>
    </row>
    <row r="21" spans="1:21" ht="15" x14ac:dyDescent="0.25">
      <c r="A21" s="45"/>
      <c r="B21" s="16">
        <f t="shared" si="0"/>
        <v>5</v>
      </c>
      <c r="C21" s="647" t="s">
        <v>1191</v>
      </c>
      <c r="D21" s="8"/>
      <c r="E21" s="52">
        <f>'II-I Summary'!$F$19</f>
        <v>0</v>
      </c>
      <c r="F21" s="52">
        <f>'II-I Summary'!$G$19</f>
        <v>0</v>
      </c>
      <c r="G21" s="52">
        <f>'II-I Summary'!$H$19</f>
        <v>0</v>
      </c>
      <c r="H21" s="52">
        <f>'II-I Summary'!$I$19</f>
        <v>0</v>
      </c>
      <c r="I21" s="52">
        <f>'II-I Summary'!$J$19</f>
        <v>0</v>
      </c>
      <c r="J21" s="52">
        <f>'II-I Summary'!$K$19</f>
        <v>0</v>
      </c>
      <c r="K21" s="52">
        <f>'II-I Summary'!$L$19</f>
        <v>0</v>
      </c>
      <c r="L21" s="52">
        <f>'II-I Summary'!$M$19</f>
        <v>0</v>
      </c>
      <c r="M21" s="52">
        <f>'II-I Summary'!$N$19</f>
        <v>0</v>
      </c>
      <c r="N21" s="52">
        <f>'II-I Summary'!$O$19</f>
        <v>0</v>
      </c>
      <c r="O21" s="52"/>
      <c r="P21" s="52">
        <f>SUM(D21:O21)</f>
        <v>0</v>
      </c>
      <c r="Q21" s="115"/>
    </row>
    <row r="22" spans="1:21" ht="16.5" x14ac:dyDescent="0.35">
      <c r="A22" s="45"/>
      <c r="B22" s="16">
        <f t="shared" si="0"/>
        <v>6</v>
      </c>
      <c r="C22" s="647" t="s">
        <v>1151</v>
      </c>
      <c r="D22" s="82"/>
      <c r="E22" s="116">
        <f>'II-I-DIST'!J645</f>
        <v>921404987.56823277</v>
      </c>
      <c r="F22" s="116">
        <f>'II-I-DIST'!K645</f>
        <v>18574877.225939702</v>
      </c>
      <c r="G22" s="116">
        <f>'II-I-DIST'!L645</f>
        <v>641459520.33425462</v>
      </c>
      <c r="H22" s="116">
        <f>'II-I-DIST'!M645</f>
        <v>202929.38868169783</v>
      </c>
      <c r="I22" s="116">
        <f>'II-I-DIST'!N645</f>
        <v>199449419.61540604</v>
      </c>
      <c r="J22" s="116">
        <f>'II-I-DIST'!O645</f>
        <v>72408095.541425809</v>
      </c>
      <c r="K22" s="116">
        <f>'II-I-DIST'!P645</f>
        <v>247341642.9860594</v>
      </c>
      <c r="L22" s="116">
        <f>'II-I-DIST'!Q645</f>
        <v>0</v>
      </c>
      <c r="M22" s="116">
        <f>'II-I-DIST'!R645</f>
        <v>0</v>
      </c>
      <c r="N22" s="116">
        <f>'II-I-DIST'!S645</f>
        <v>0</v>
      </c>
      <c r="O22" s="116"/>
      <c r="P22" s="116">
        <f>SUM(D22:O22)</f>
        <v>2100841472.6599998</v>
      </c>
      <c r="Q22" s="116">
        <f>'II-I-DIST'!F645-P22</f>
        <v>0</v>
      </c>
      <c r="U22" s="115"/>
    </row>
    <row r="23" spans="1:21" s="989" customFormat="1" ht="15" x14ac:dyDescent="0.25">
      <c r="A23" s="1196"/>
      <c r="B23" s="16">
        <f t="shared" si="0"/>
        <v>7</v>
      </c>
      <c r="C23" s="8" t="s">
        <v>1058</v>
      </c>
      <c r="D23" s="8"/>
      <c r="E23" s="816">
        <f ca="1">E19-E21-E22</f>
        <v>1808863015.7172115</v>
      </c>
      <c r="F23" s="816">
        <f t="shared" ref="F23:N23" ca="1" si="1">F19-F21-F22</f>
        <v>51193085.431880623</v>
      </c>
      <c r="G23" s="816">
        <f t="shared" ca="1" si="1"/>
        <v>1207580120.741354</v>
      </c>
      <c r="H23" s="816">
        <f t="shared" ca="1" si="1"/>
        <v>533883.97708080732</v>
      </c>
      <c r="I23" s="816">
        <f t="shared" ca="1" si="1"/>
        <v>235145734.55356389</v>
      </c>
      <c r="J23" s="816">
        <f t="shared" ca="1" si="1"/>
        <v>26160818.439228907</v>
      </c>
      <c r="K23" s="816">
        <f t="shared" ca="1" si="1"/>
        <v>26746602.143922776</v>
      </c>
      <c r="L23" s="816">
        <f t="shared" ca="1" si="1"/>
        <v>92687433.402685627</v>
      </c>
      <c r="M23" s="816">
        <f t="shared" ca="1" si="1"/>
        <v>1834322.4234604596</v>
      </c>
      <c r="N23" s="816">
        <f t="shared" ca="1" si="1"/>
        <v>8506147.7628804408</v>
      </c>
      <c r="O23" s="816"/>
      <c r="P23" s="816">
        <f ca="1">SUM(D23:O23)</f>
        <v>3459251164.5932693</v>
      </c>
      <c r="Q23" s="1197" t="b">
        <f ca="1">IF(ROUND('II-I-DIST'!F39-P23,0)=0,TRUE,'II-I-DIST'!F39-P23)</f>
        <v>1</v>
      </c>
    </row>
    <row r="24" spans="1:21" ht="15" x14ac:dyDescent="0.25">
      <c r="A24" s="45"/>
      <c r="B24" s="16">
        <f t="shared" si="0"/>
        <v>8</v>
      </c>
      <c r="C24" s="82"/>
      <c r="D24" s="82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115"/>
    </row>
    <row r="25" spans="1:21" ht="15" x14ac:dyDescent="0.25">
      <c r="A25" s="45"/>
      <c r="B25" s="16">
        <f t="shared" si="0"/>
        <v>9</v>
      </c>
      <c r="C25" s="82" t="s">
        <v>407</v>
      </c>
      <c r="D25" s="1"/>
      <c r="E25" s="234">
        <f ca="1">'II-I-MET'!J33</f>
        <v>107128369.71654037</v>
      </c>
      <c r="F25" s="234">
        <f ca="1">'II-I-MET'!K33</f>
        <v>15024827.075282607</v>
      </c>
      <c r="G25" s="234">
        <f ca="1">'II-I-MET'!L33</f>
        <v>59094145.324412614</v>
      </c>
      <c r="H25" s="234">
        <f ca="1">'II-I-MET'!M33</f>
        <v>2487758.3204837111</v>
      </c>
      <c r="I25" s="234">
        <f ca="1">'II-I-MET'!N33</f>
        <v>19159478.061950289</v>
      </c>
      <c r="J25" s="234">
        <f ca="1">'II-I-MET'!O33</f>
        <v>628890.65007431689</v>
      </c>
      <c r="K25" s="234">
        <f ca="1">'II-I-MET'!P33</f>
        <v>1312242.3470040676</v>
      </c>
      <c r="L25" s="234">
        <f ca="1">'II-I-MET'!Q33</f>
        <v>144408.8608343357</v>
      </c>
      <c r="M25" s="234">
        <f ca="1">'II-I-MET'!R33</f>
        <v>74189.556561552148</v>
      </c>
      <c r="N25" s="234">
        <f ca="1">'II-I-MET'!S33</f>
        <v>188303.24217351509</v>
      </c>
      <c r="O25" s="234"/>
      <c r="P25" s="234">
        <f ca="1">SUM(D25:O25)</f>
        <v>205242613.15531737</v>
      </c>
      <c r="Q25" s="115" t="b">
        <f ca="1">IF(ROUND(' WP II-I-1.4'!H33-P25,0)=0,TRUE,' WP II-I-1.4'!H33-P25)</f>
        <v>1</v>
      </c>
    </row>
    <row r="26" spans="1:21" ht="15" x14ac:dyDescent="0.25">
      <c r="A26" s="45"/>
      <c r="B26" s="16">
        <f t="shared" si="0"/>
        <v>10</v>
      </c>
      <c r="C26" s="82"/>
      <c r="D26" s="82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52"/>
      <c r="Q26" s="115"/>
    </row>
    <row r="27" spans="1:21" ht="19.5" x14ac:dyDescent="0.55000000000000004">
      <c r="A27" s="45"/>
      <c r="B27" s="16">
        <f t="shared" si="0"/>
        <v>11</v>
      </c>
      <c r="C27" s="82" t="s">
        <v>408</v>
      </c>
      <c r="D27" s="26"/>
      <c r="E27" s="554">
        <f ca="1">'II-I-TBILLTDCS'!J33</f>
        <v>61413320.278503723</v>
      </c>
      <c r="F27" s="554">
        <f ca="1">'II-I-TBILLTDCS'!K33</f>
        <v>8072044.3509532567</v>
      </c>
      <c r="G27" s="554">
        <f ca="1">'II-I-TBILLTDCS'!L33</f>
        <v>33901630.912658975</v>
      </c>
      <c r="H27" s="554">
        <f ca="1">'II-I-TBILLTDCS'!M33</f>
        <v>1296712.1714855914</v>
      </c>
      <c r="I27" s="554">
        <f ca="1">'II-I-TBILLTDCS'!N33</f>
        <v>10639949.738875244</v>
      </c>
      <c r="J27" s="554">
        <f ca="1">'II-I-TBILLTDCS'!O33</f>
        <v>465386.72416250466</v>
      </c>
      <c r="K27" s="554">
        <f ca="1">'II-I-TBILLTDCS'!P33</f>
        <v>1055899.508167366</v>
      </c>
      <c r="L27" s="554">
        <f ca="1">'II-I-TBILLTDCS'!Q33</f>
        <v>4692561.9931837013</v>
      </c>
      <c r="M27" s="554">
        <f ca="1">'II-I-TBILLTDCS'!R33</f>
        <v>35862.94831318986</v>
      </c>
      <c r="N27" s="554">
        <f ca="1">'II-I-TBILLTDCS'!S33</f>
        <v>90978.281524309466</v>
      </c>
      <c r="O27" s="554"/>
      <c r="P27" s="554">
        <f ca="1">SUM(D27:O27)</f>
        <v>121664346.90782787</v>
      </c>
      <c r="Q27" s="115" t="b">
        <f ca="1">IF(ROUND(' WP II-I-1.4'!I33-P27,0)=0,TRUE,' WP II-I-1.4'!I33-P27)</f>
        <v>1</v>
      </c>
    </row>
    <row r="28" spans="1:21" s="989" customFormat="1" ht="15" x14ac:dyDescent="0.25">
      <c r="A28" s="1196"/>
      <c r="B28" s="16">
        <f t="shared" si="0"/>
        <v>12</v>
      </c>
      <c r="C28" s="32" t="s">
        <v>409</v>
      </c>
      <c r="D28" s="29"/>
      <c r="E28" s="18">
        <f ca="1">E19+E25+E27</f>
        <v>2898809693.2804885</v>
      </c>
      <c r="F28" s="18">
        <f t="shared" ref="F28:N28" ca="1" si="2">F19+F25+F27</f>
        <v>92864834.084056184</v>
      </c>
      <c r="G28" s="18">
        <f t="shared" ca="1" si="2"/>
        <v>1942035417.31268</v>
      </c>
      <c r="H28" s="18">
        <f t="shared" ca="1" si="2"/>
        <v>4521283.857731808</v>
      </c>
      <c r="I28" s="18">
        <f t="shared" ca="1" si="2"/>
        <v>464394581.96979547</v>
      </c>
      <c r="J28" s="18">
        <f t="shared" ca="1" si="2"/>
        <v>99663191.354891539</v>
      </c>
      <c r="K28" s="18">
        <f t="shared" ca="1" si="2"/>
        <v>276456386.98515362</v>
      </c>
      <c r="L28" s="18">
        <f t="shared" ca="1" si="2"/>
        <v>97524404.25670366</v>
      </c>
      <c r="M28" s="18">
        <f t="shared" ca="1" si="2"/>
        <v>1944374.9283352017</v>
      </c>
      <c r="N28" s="18">
        <f t="shared" ca="1" si="2"/>
        <v>8785429.286578266</v>
      </c>
      <c r="O28" s="18"/>
      <c r="P28" s="18">
        <f ca="1">SUM(D28:O28)</f>
        <v>5886999597.3164139</v>
      </c>
      <c r="Q28" s="1197" t="b">
        <f ca="1">IF(ROUND(' WP II-I-1.4'!L33-P28,0-('II-I-DIST'!F776*('WP II-I-2.2'!$P$45)))=0,TRUE,(' WP II-I-1.4'!L33-P28-('II-I-DIST'!F776*('WP II-I-2.2'!$P$45))))</f>
        <v>1</v>
      </c>
      <c r="R28" s="1472">
        <f ca="1">'II-I-Total'!$O$37-J28</f>
        <v>0</v>
      </c>
      <c r="S28" s="1472"/>
    </row>
    <row r="29" spans="1:21" x14ac:dyDescent="0.2">
      <c r="A29" s="45"/>
      <c r="B29" s="16">
        <f t="shared" si="0"/>
        <v>13</v>
      </c>
      <c r="C29" s="29"/>
      <c r="D29" s="29"/>
      <c r="E29" s="803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17"/>
      <c r="R29" s="305"/>
    </row>
    <row r="30" spans="1:21" ht="15" x14ac:dyDescent="0.25">
      <c r="A30" s="118"/>
      <c r="B30" s="16">
        <f t="shared" si="0"/>
        <v>14</v>
      </c>
      <c r="C30" s="8" t="s">
        <v>1199</v>
      </c>
      <c r="D30" s="8"/>
      <c r="E30" s="119">
        <f ca="1">E28-E21-E22</f>
        <v>1977404705.7122557</v>
      </c>
      <c r="F30" s="119">
        <f t="shared" ref="F30:N30" ca="1" si="3">F28-F21-F22</f>
        <v>74289956.858116478</v>
      </c>
      <c r="G30" s="119">
        <f t="shared" ca="1" si="3"/>
        <v>1300575896.9784255</v>
      </c>
      <c r="H30" s="119">
        <f t="shared" ca="1" si="3"/>
        <v>4318354.4690501103</v>
      </c>
      <c r="I30" s="119">
        <f t="shared" ca="1" si="3"/>
        <v>264945162.35438943</v>
      </c>
      <c r="J30" s="119">
        <f t="shared" ca="1" si="3"/>
        <v>27255095.813465729</v>
      </c>
      <c r="K30" s="119">
        <f t="shared" ca="1" si="3"/>
        <v>29114743.999094218</v>
      </c>
      <c r="L30" s="119">
        <f t="shared" ca="1" si="3"/>
        <v>97524404.25670366</v>
      </c>
      <c r="M30" s="119">
        <f t="shared" ca="1" si="3"/>
        <v>1944374.9283352017</v>
      </c>
      <c r="N30" s="119">
        <f t="shared" ca="1" si="3"/>
        <v>8785429.286578266</v>
      </c>
      <c r="O30" s="119"/>
      <c r="P30" s="119">
        <f ca="1">SUM(D30:O30)</f>
        <v>3786158124.656414</v>
      </c>
      <c r="Q30" s="1197" t="b">
        <f ca="1">IF('II-I-Total'!$U$39=P30,TRUE)</f>
        <v>1</v>
      </c>
      <c r="R30" s="805" t="b">
        <f ca="1">IF(ROUND('II-I-Total'!$N$39,0)=ROUND(I30,0),TRUE)</f>
        <v>1</v>
      </c>
    </row>
    <row r="31" spans="1:21" ht="15" x14ac:dyDescent="0.25">
      <c r="A31" s="118"/>
      <c r="B31" s="16">
        <f t="shared" si="0"/>
        <v>15</v>
      </c>
      <c r="C31" s="8"/>
      <c r="D31" s="8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7"/>
    </row>
    <row r="32" spans="1:21" ht="15" x14ac:dyDescent="0.25">
      <c r="A32" s="45"/>
      <c r="B32" s="16"/>
      <c r="C32" s="82"/>
      <c r="D32" s="82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727"/>
      <c r="Q32" s="115"/>
    </row>
    <row r="33" spans="1:17" x14ac:dyDescent="0.2">
      <c r="A33" s="45"/>
      <c r="B33" s="16"/>
      <c r="C33" s="650"/>
      <c r="D33" s="2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2"/>
      <c r="Q33" s="117"/>
    </row>
    <row r="34" spans="1:17" ht="15" x14ac:dyDescent="0.25">
      <c r="A34" s="8"/>
      <c r="B34" s="16"/>
      <c r="C34" s="649" t="s">
        <v>1337</v>
      </c>
      <c r="D34" s="2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8"/>
    </row>
    <row r="35" spans="1:17" x14ac:dyDescent="0.2">
      <c r="A35" s="1"/>
      <c r="B35" s="16"/>
      <c r="C35" s="650"/>
      <c r="D35" s="2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6"/>
      <c r="C36" s="650" t="s">
        <v>1207</v>
      </c>
      <c r="D36" s="2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"/>
    </row>
    <row r="37" spans="1:17" x14ac:dyDescent="0.2">
      <c r="A37" s="1"/>
      <c r="B37" s="16"/>
      <c r="C37" s="29"/>
      <c r="D37" s="2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"/>
    </row>
    <row r="38" spans="1:17" x14ac:dyDescent="0.2">
      <c r="A38" s="1"/>
      <c r="B38" s="16"/>
      <c r="D38" s="29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"/>
    </row>
    <row r="39" spans="1:17" x14ac:dyDescent="0.2">
      <c r="A39" s="1"/>
      <c r="B39" s="16"/>
      <c r="C39" s="650"/>
      <c r="D39" s="1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"/>
    </row>
    <row r="40" spans="1:17" x14ac:dyDescent="0.2">
      <c r="A40" s="1"/>
      <c r="B40" s="16"/>
      <c r="C40" s="26"/>
      <c r="D40" s="26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"/>
    </row>
    <row r="41" spans="1:17" ht="15" x14ac:dyDescent="0.25">
      <c r="A41" s="8"/>
      <c r="B41" s="8"/>
      <c r="C41" s="121"/>
      <c r="D41" s="1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8"/>
    </row>
    <row r="42" spans="1:17" x14ac:dyDescent="0.2">
      <c r="A42" s="64"/>
      <c r="B42" s="11"/>
      <c r="C42" s="122"/>
      <c r="D42" s="122"/>
      <c r="E42" s="115" t="b">
        <f ca="1">IF(ROUND('II-I-Total'!J37-E28,0)=0,TRUE,'II-I-Total'!J37-E28)</f>
        <v>1</v>
      </c>
      <c r="F42" s="115" t="b">
        <f ca="1">IF(ROUND('II-I-Total'!K37-F28,0)=0,TRUE,'II-I-Total'!K37-F28)</f>
        <v>1</v>
      </c>
      <c r="G42" s="115" t="b">
        <f ca="1">IF(ROUND('II-I-Total'!L37-G28,0)=0,TRUE,'II-I-Total'!L37-G28)</f>
        <v>1</v>
      </c>
      <c r="H42" s="115" t="b">
        <f ca="1">IF(ROUND('II-I-Total'!M37-H28,0)=0,TRUE,'II-I-Total'!M37-H28)</f>
        <v>1</v>
      </c>
      <c r="I42" s="115" t="b">
        <f ca="1">IF(ROUND('II-I-Total'!N37-I28,0)=0,TRUE,'II-I-Total'!N37-I28)</f>
        <v>1</v>
      </c>
      <c r="J42" s="115" t="b">
        <f ca="1">IF(ROUND('II-I-Total'!O37-J28,0)=0,TRUE,'II-I-Total'!O37-J28)</f>
        <v>1</v>
      </c>
      <c r="K42" s="115" t="b">
        <f ca="1">IF(ROUND('II-I-Total'!P37-K28,0)=0,TRUE,'II-I-Total'!P37-K28)</f>
        <v>1</v>
      </c>
      <c r="L42" s="115" t="b">
        <f ca="1">IF(ROUND('II-I-Total'!Q37-L28,0)=0,TRUE,'II-I-Total'!Q37-L28)</f>
        <v>1</v>
      </c>
      <c r="M42" s="115" t="b">
        <f ca="1">IF(ROUND('II-I-Total'!R37-M28,0)=0,TRUE,'II-I-Total'!R37-M28)</f>
        <v>1</v>
      </c>
      <c r="N42" s="115" t="b">
        <f ca="1">IF(ROUND('II-I-Total'!S37-N28,0)=0,TRUE,'II-I-Total'!S37-N28)</f>
        <v>1</v>
      </c>
      <c r="O42" s="123"/>
      <c r="P42" s="115" t="b">
        <f ca="1">IF(ROUND('II-I-Total'!F39-P30,0)=0,TRUE,'II-I-Total'!F39-P30)</f>
        <v>1</v>
      </c>
      <c r="Q42" s="11" t="s">
        <v>0</v>
      </c>
    </row>
    <row r="47" spans="1:17" x14ac:dyDescent="0.2">
      <c r="E47" s="305"/>
      <c r="F47" s="305"/>
      <c r="G47" s="305"/>
      <c r="H47" s="305"/>
      <c r="I47" s="305"/>
      <c r="J47" s="305"/>
      <c r="K47" s="305"/>
      <c r="L47" s="305"/>
      <c r="M47" s="305"/>
      <c r="N47" s="305"/>
    </row>
    <row r="48" spans="1:17" x14ac:dyDescent="0.2">
      <c r="F48" s="305"/>
      <c r="G48" s="305"/>
      <c r="H48" s="305"/>
      <c r="I48" s="305"/>
      <c r="J48" s="305"/>
      <c r="K48" s="305"/>
      <c r="L48" s="305"/>
      <c r="M48" s="305"/>
      <c r="N48" s="305"/>
    </row>
  </sheetData>
  <phoneticPr fontId="0" type="noConversion"/>
  <printOptions horizontalCentered="1"/>
  <pageMargins left="0.5" right="0.5" top="1.75" bottom="0.75" header="1.5" footer="0.5"/>
  <pageSetup scale="60" orientation="landscape" r:id="rId1"/>
  <headerFooter alignWithMargins="0">
    <oddHeader>&amp;RWP/ II-I-1.7
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82"/>
  <sheetViews>
    <sheetView topLeftCell="B1" zoomScaleNormal="100" zoomScaleSheetLayoutView="100" workbookViewId="0">
      <selection activeCell="E7" sqref="E7"/>
    </sheetView>
  </sheetViews>
  <sheetFormatPr defaultColWidth="12.5" defaultRowHeight="17.25" customHeight="1" x14ac:dyDescent="0.2"/>
  <cols>
    <col min="1" max="1" width="2.75" style="591" customWidth="1"/>
    <col min="2" max="3" width="1.5" style="591" customWidth="1"/>
    <col min="4" max="4" width="5.125" style="591" customWidth="1"/>
    <col min="5" max="5" width="28.625" style="591" customWidth="1"/>
    <col min="6" max="6" width="20.375" style="591" customWidth="1"/>
    <col min="7" max="7" width="2.375" style="591" customWidth="1"/>
    <col min="8" max="9" width="12.625" style="591" bestFit="1" customWidth="1"/>
    <col min="10" max="10" width="13.375" style="591" bestFit="1" customWidth="1"/>
    <col min="11" max="11" width="8.625" style="591" bestFit="1" customWidth="1"/>
    <col min="12" max="12" width="11.875" style="591" customWidth="1"/>
    <col min="13" max="13" width="12.25" style="591" customWidth="1"/>
    <col min="14" max="15" width="12.625" style="591" bestFit="1" customWidth="1"/>
    <col min="16" max="16" width="15.625" style="599" customWidth="1"/>
    <col min="17" max="17" width="11.5" style="599" customWidth="1"/>
    <col min="18" max="18" width="14.5" style="591" customWidth="1"/>
    <col min="19" max="19" width="1.5" style="591" customWidth="1"/>
    <col min="20" max="16384" width="12.5" style="591"/>
  </cols>
  <sheetData>
    <row r="1" spans="2:20" ht="17.25" customHeight="1" x14ac:dyDescent="0.25">
      <c r="E1" s="1065"/>
    </row>
    <row r="2" spans="2:20" s="600" customFormat="1" ht="17.25" customHeight="1" x14ac:dyDescent="0.2">
      <c r="B2" s="1643" t="s">
        <v>1227</v>
      </c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</row>
    <row r="3" spans="2:20" s="600" customFormat="1" ht="17.25" customHeight="1" x14ac:dyDescent="0.2">
      <c r="B3" s="1643" t="s">
        <v>1</v>
      </c>
      <c r="C3" s="1643"/>
      <c r="D3" s="1643"/>
      <c r="E3" s="1643"/>
      <c r="F3" s="1643"/>
      <c r="G3" s="1643"/>
      <c r="H3" s="1643"/>
      <c r="I3" s="1643"/>
      <c r="J3" s="1643"/>
      <c r="K3" s="1643"/>
      <c r="L3" s="1643"/>
      <c r="M3" s="1643"/>
      <c r="N3" s="1643"/>
      <c r="O3" s="1643"/>
      <c r="P3" s="1643"/>
      <c r="Q3" s="1643"/>
      <c r="R3" s="1643"/>
    </row>
    <row r="4" spans="2:20" s="600" customFormat="1" ht="17.25" customHeight="1" x14ac:dyDescent="0.2">
      <c r="B4" s="1643" t="s">
        <v>924</v>
      </c>
      <c r="C4" s="1643"/>
      <c r="D4" s="1643"/>
      <c r="E4" s="1643"/>
      <c r="F4" s="1643"/>
      <c r="G4" s="1643"/>
      <c r="H4" s="1643"/>
      <c r="I4" s="1643"/>
      <c r="J4" s="1643"/>
      <c r="K4" s="1643"/>
      <c r="L4" s="1643"/>
      <c r="M4" s="1643"/>
      <c r="N4" s="1643"/>
      <c r="O4" s="1643"/>
      <c r="P4" s="1643"/>
      <c r="Q4" s="1643"/>
      <c r="R4" s="1643"/>
    </row>
    <row r="5" spans="2:20" s="600" customFormat="1" ht="17.25" customHeight="1" x14ac:dyDescent="0.2">
      <c r="B5" s="1643" t="s">
        <v>1228</v>
      </c>
      <c r="C5" s="1643"/>
      <c r="D5" s="1643"/>
      <c r="E5" s="1643"/>
      <c r="F5" s="1643"/>
      <c r="G5" s="1643"/>
      <c r="H5" s="1643"/>
      <c r="I5" s="1643"/>
      <c r="J5" s="1643"/>
      <c r="K5" s="1643"/>
      <c r="L5" s="1643"/>
      <c r="M5" s="1643"/>
      <c r="N5" s="1643"/>
      <c r="O5" s="1643"/>
      <c r="P5" s="1643"/>
      <c r="Q5" s="1643"/>
      <c r="R5" s="1643"/>
    </row>
    <row r="6" spans="2:20" s="600" customFormat="1" ht="17.25" customHeight="1" x14ac:dyDescent="0.2">
      <c r="B6" s="1643" t="s">
        <v>1116</v>
      </c>
      <c r="C6" s="1643"/>
      <c r="D6" s="1643"/>
      <c r="E6" s="1643"/>
      <c r="F6" s="1643"/>
      <c r="G6" s="1643"/>
      <c r="H6" s="1643"/>
      <c r="I6" s="1643"/>
      <c r="J6" s="1643"/>
      <c r="K6" s="1643"/>
      <c r="L6" s="1643"/>
      <c r="M6" s="1643"/>
      <c r="N6" s="1643"/>
      <c r="O6" s="1643"/>
      <c r="P6" s="1643"/>
      <c r="Q6" s="1643"/>
      <c r="R6" s="1643"/>
    </row>
    <row r="7" spans="2:20" s="600" customFormat="1" ht="17.25" customHeight="1" x14ac:dyDescent="0.2">
      <c r="E7" s="641"/>
      <c r="F7" s="585"/>
      <c r="G7" s="585"/>
      <c r="H7" s="585"/>
      <c r="I7" s="585"/>
      <c r="J7" s="578"/>
      <c r="K7" s="578"/>
      <c r="L7" s="578"/>
      <c r="M7" s="578"/>
      <c r="N7" s="588"/>
      <c r="O7" s="578"/>
      <c r="P7" s="761"/>
      <c r="Q7" s="578"/>
    </row>
    <row r="8" spans="2:20" s="600" customFormat="1" ht="17.25" customHeight="1" x14ac:dyDescent="0.2">
      <c r="E8" s="593"/>
      <c r="F8" s="577"/>
      <c r="G8" s="577"/>
      <c r="H8" s="577"/>
      <c r="I8" s="577"/>
      <c r="J8" s="577"/>
      <c r="K8" s="577"/>
      <c r="L8" s="577"/>
      <c r="M8" s="577"/>
      <c r="N8" s="588"/>
      <c r="O8" s="578"/>
      <c r="P8" s="576"/>
      <c r="Q8" s="578"/>
    </row>
    <row r="9" spans="2:20" s="600" customFormat="1" ht="21" customHeight="1" x14ac:dyDescent="0.2">
      <c r="E9" s="577"/>
      <c r="F9" s="581">
        <v>1</v>
      </c>
      <c r="G9" s="581"/>
      <c r="H9" s="586">
        <v>3</v>
      </c>
      <c r="I9" s="586">
        <v>4</v>
      </c>
      <c r="J9" s="581">
        <v>5</v>
      </c>
      <c r="K9" s="581">
        <v>6</v>
      </c>
      <c r="L9" s="581">
        <v>7</v>
      </c>
      <c r="M9" s="581">
        <v>8</v>
      </c>
      <c r="N9" s="581">
        <v>9</v>
      </c>
      <c r="O9" s="581">
        <v>10</v>
      </c>
      <c r="P9" s="627">
        <v>11</v>
      </c>
      <c r="Q9" s="628">
        <v>12</v>
      </c>
      <c r="R9" s="600">
        <v>13</v>
      </c>
    </row>
    <row r="10" spans="2:20" s="600" customFormat="1" ht="17.25" customHeight="1" x14ac:dyDescent="0.2">
      <c r="D10" s="629"/>
      <c r="E10" s="629"/>
      <c r="F10" s="630" t="s">
        <v>918</v>
      </c>
      <c r="G10" s="630"/>
      <c r="H10" s="631"/>
      <c r="I10" s="631"/>
      <c r="J10" s="632"/>
      <c r="K10" s="631"/>
      <c r="L10" s="631"/>
      <c r="M10" s="631"/>
      <c r="N10" s="633"/>
      <c r="O10" s="634"/>
      <c r="P10" s="623"/>
      <c r="Q10" s="625"/>
      <c r="R10" s="754"/>
    </row>
    <row r="11" spans="2:20" s="600" customFormat="1" ht="17.25" customHeight="1" x14ac:dyDescent="0.2">
      <c r="D11" s="635" t="s">
        <v>385</v>
      </c>
      <c r="E11" s="635" t="s">
        <v>4</v>
      </c>
      <c r="F11" s="582" t="s">
        <v>919</v>
      </c>
      <c r="G11" s="582"/>
      <c r="H11" s="579" t="s">
        <v>679</v>
      </c>
      <c r="I11" s="579" t="s">
        <v>388</v>
      </c>
      <c r="J11" s="601" t="s">
        <v>388</v>
      </c>
      <c r="K11" s="587" t="s">
        <v>389</v>
      </c>
      <c r="L11" s="587" t="s">
        <v>389</v>
      </c>
      <c r="M11" s="587" t="s">
        <v>389</v>
      </c>
      <c r="N11" s="587" t="s">
        <v>390</v>
      </c>
      <c r="O11" s="622" t="s">
        <v>391</v>
      </c>
      <c r="P11" s="624" t="s">
        <v>386</v>
      </c>
      <c r="Q11" s="626" t="s">
        <v>386</v>
      </c>
      <c r="R11" s="755" t="s">
        <v>10</v>
      </c>
    </row>
    <row r="12" spans="2:20" s="600" customFormat="1" ht="17.25" customHeight="1" x14ac:dyDescent="0.2">
      <c r="D12" s="635"/>
      <c r="E12" s="635"/>
      <c r="F12" s="582" t="s">
        <v>920</v>
      </c>
      <c r="G12" s="582"/>
      <c r="H12" s="579"/>
      <c r="I12" s="579" t="s">
        <v>922</v>
      </c>
      <c r="J12" s="601" t="s">
        <v>681</v>
      </c>
      <c r="K12" s="579" t="s">
        <v>922</v>
      </c>
      <c r="L12" s="587" t="s">
        <v>681</v>
      </c>
      <c r="M12" s="587" t="s">
        <v>393</v>
      </c>
      <c r="N12" s="587"/>
      <c r="O12" s="622"/>
      <c r="P12" s="624" t="s">
        <v>411</v>
      </c>
      <c r="Q12" s="626" t="s">
        <v>394</v>
      </c>
      <c r="R12" s="755" t="s">
        <v>951</v>
      </c>
    </row>
    <row r="13" spans="2:20" s="600" customFormat="1" ht="17.25" customHeight="1" x14ac:dyDescent="0.2">
      <c r="D13" s="735"/>
      <c r="E13" s="735"/>
      <c r="F13" s="582" t="s">
        <v>10</v>
      </c>
      <c r="G13" s="582"/>
      <c r="H13" s="736"/>
      <c r="I13" s="736"/>
      <c r="J13" s="737"/>
      <c r="K13" s="736"/>
      <c r="L13" s="736"/>
      <c r="M13" s="736"/>
      <c r="N13" s="736"/>
      <c r="O13" s="737"/>
      <c r="P13" s="738"/>
      <c r="Q13" s="753"/>
      <c r="R13" s="756" t="s">
        <v>1164</v>
      </c>
      <c r="S13" s="641"/>
    </row>
    <row r="14" spans="2:20" s="600" customFormat="1" ht="19.5" customHeight="1" x14ac:dyDescent="0.2">
      <c r="D14" s="740"/>
      <c r="E14" s="741"/>
      <c r="F14" s="741"/>
      <c r="G14" s="741"/>
      <c r="H14" s="742"/>
      <c r="I14" s="742"/>
      <c r="J14" s="742"/>
      <c r="K14" s="742"/>
      <c r="L14" s="742"/>
      <c r="M14" s="742"/>
      <c r="N14" s="742"/>
      <c r="O14" s="742"/>
      <c r="P14" s="742"/>
      <c r="Q14" s="577"/>
      <c r="R14" s="757"/>
      <c r="S14" s="641"/>
    </row>
    <row r="15" spans="2:20" s="600" customFormat="1" ht="17.25" customHeight="1" x14ac:dyDescent="0.2">
      <c r="D15" s="743"/>
      <c r="E15" s="584"/>
      <c r="F15" s="583"/>
      <c r="G15" s="583"/>
      <c r="H15" s="590"/>
      <c r="I15" s="590"/>
      <c r="J15" s="590"/>
      <c r="K15" s="590"/>
      <c r="L15" s="590"/>
      <c r="M15" s="590"/>
      <c r="N15" s="590"/>
      <c r="O15" s="590"/>
      <c r="P15" s="590"/>
      <c r="Q15" s="577"/>
      <c r="R15" s="757"/>
      <c r="S15" s="641"/>
      <c r="T15" s="600" t="s">
        <v>1117</v>
      </c>
    </row>
    <row r="16" spans="2:20" s="600" customFormat="1" ht="17.25" customHeight="1" x14ac:dyDescent="0.2">
      <c r="D16" s="744">
        <v>1</v>
      </c>
      <c r="E16" s="576" t="s">
        <v>1203</v>
      </c>
      <c r="F16" s="602">
        <f>'II-I-DIST'!$F$33</f>
        <v>5560092637.2532701</v>
      </c>
      <c r="G16" s="602"/>
      <c r="H16" s="602">
        <f ca="1">'II-I-DIST'!$J$33</f>
        <v>2730268003.2854443</v>
      </c>
      <c r="I16" s="602">
        <f ca="1">'II-I-DIST'!$K$33</f>
        <v>69767962.657820329</v>
      </c>
      <c r="J16" s="602">
        <f ca="1">'II-I-DIST'!$L$33</f>
        <v>1849039641.0756085</v>
      </c>
      <c r="K16" s="602">
        <f ca="1">'II-I-DIST'!$M$33</f>
        <v>736813.36576250521</v>
      </c>
      <c r="L16" s="602">
        <f ca="1">'II-I-DIST'!$N$33</f>
        <v>434595154.16896993</v>
      </c>
      <c r="M16" s="602">
        <f ca="1">'II-I-DIST'!$O$33</f>
        <v>98568913.980654716</v>
      </c>
      <c r="N16" s="602">
        <f ca="1">'II-I-DIST'!$P$33</f>
        <v>274088245.12998217</v>
      </c>
      <c r="O16" s="602">
        <f ca="1">'II-I-DIST'!$Q$33</f>
        <v>92687433.402685627</v>
      </c>
      <c r="P16" s="602">
        <f ca="1">'II-I-DIST'!$R$33</f>
        <v>1834322.4234604596</v>
      </c>
      <c r="Q16" s="762">
        <f ca="1">'II-I-DIST'!$S$33</f>
        <v>8506147.7628804408</v>
      </c>
      <c r="R16" s="759">
        <f ca="1">SUM(H16+I16+J16+K16+L16+M16+N16+O16)</f>
        <v>5549752167.0669279</v>
      </c>
      <c r="S16" s="641"/>
      <c r="T16" s="979">
        <f ca="1">F16-P16-Q16-R16</f>
        <v>0</v>
      </c>
    </row>
    <row r="17" spans="4:20" s="600" customFormat="1" ht="17.25" customHeight="1" x14ac:dyDescent="0.2">
      <c r="D17" s="744">
        <v>2</v>
      </c>
      <c r="E17" s="584" t="s">
        <v>921</v>
      </c>
      <c r="F17" s="636">
        <f>'II-I-MET'!$F$33</f>
        <v>205242613.1553174</v>
      </c>
      <c r="G17" s="636"/>
      <c r="H17" s="602">
        <f ca="1">'II-I-MET'!J33</f>
        <v>107128369.71654037</v>
      </c>
      <c r="I17" s="602">
        <f ca="1">'II-I-MET'!K33</f>
        <v>15024827.075282607</v>
      </c>
      <c r="J17" s="602">
        <f ca="1">'II-I-MET'!L33</f>
        <v>59094145.324412614</v>
      </c>
      <c r="K17" s="602">
        <f ca="1">'II-I-MET'!M33</f>
        <v>2487758.3204837111</v>
      </c>
      <c r="L17" s="602">
        <f ca="1">'II-I-MET'!N33</f>
        <v>19159478.061950289</v>
      </c>
      <c r="M17" s="602">
        <f ca="1">'II-I-MET'!O33</f>
        <v>628890.65007431689</v>
      </c>
      <c r="N17" s="602">
        <f ca="1">'II-I-MET'!P33</f>
        <v>1312242.3470040681</v>
      </c>
      <c r="O17" s="602">
        <f ca="1">'II-I-MET'!Q33</f>
        <v>144408.8608343357</v>
      </c>
      <c r="P17" s="602">
        <f ca="1">'II-I-MET'!R33</f>
        <v>74189.556561552148</v>
      </c>
      <c r="Q17" s="762">
        <f ca="1">'II-I-MET'!S33</f>
        <v>188303.24217351509</v>
      </c>
      <c r="R17" s="759">
        <f ca="1">SUM(H17+I17+J17+K17+L17+M17+N17+O17)</f>
        <v>204980120.35658228</v>
      </c>
      <c r="S17" s="641"/>
      <c r="T17" s="979">
        <f t="shared" ref="T17:T18" ca="1" si="0">F17-P17-Q17-R17</f>
        <v>0</v>
      </c>
    </row>
    <row r="18" spans="4:20" s="600" customFormat="1" ht="17.25" customHeight="1" x14ac:dyDescent="0.35">
      <c r="D18" s="744">
        <v>3</v>
      </c>
      <c r="E18" s="584" t="s">
        <v>923</v>
      </c>
      <c r="F18" s="746">
        <f>'II-I-TBILLTDCS'!$F$33</f>
        <v>121664346.90782787</v>
      </c>
      <c r="G18" s="636"/>
      <c r="H18" s="747">
        <f ca="1">'II-I-TBILLTDCS'!J33</f>
        <v>61413320.278503731</v>
      </c>
      <c r="I18" s="747">
        <f ca="1">'II-I-TBILLTDCS'!K33</f>
        <v>8072044.3509532567</v>
      </c>
      <c r="J18" s="747">
        <f ca="1">'II-I-TBILLTDCS'!L33</f>
        <v>33901630.912658975</v>
      </c>
      <c r="K18" s="747">
        <f ca="1">'II-I-TBILLTDCS'!M33</f>
        <v>1296712.1714855914</v>
      </c>
      <c r="L18" s="747">
        <f ca="1">'II-I-TBILLTDCS'!N33</f>
        <v>10639949.738875244</v>
      </c>
      <c r="M18" s="747">
        <f ca="1">'II-I-TBILLTDCS'!O33</f>
        <v>465386.72416250466</v>
      </c>
      <c r="N18" s="747">
        <f ca="1">'II-I-TBILLTDCS'!P33</f>
        <v>1055899.508167366</v>
      </c>
      <c r="O18" s="747">
        <f ca="1">'II-I-TBILLTDCS'!Q33</f>
        <v>4692561.9931837013</v>
      </c>
      <c r="P18" s="747">
        <f ca="1">'II-I-TBILLTDCS'!R33</f>
        <v>35862.94831318986</v>
      </c>
      <c r="Q18" s="763">
        <f ca="1">'II-I-TBILLTDCS'!S33</f>
        <v>90978.281524309466</v>
      </c>
      <c r="R18" s="760">
        <f ca="1">SUM(H18+I18+J18+K18+L18+M18+N18+O18)</f>
        <v>121537505.67799036</v>
      </c>
      <c r="S18" s="641"/>
      <c r="T18" s="979">
        <f t="shared" ca="1" si="0"/>
        <v>0</v>
      </c>
    </row>
    <row r="19" spans="4:20" s="600" customFormat="1" ht="17.25" customHeight="1" x14ac:dyDescent="0.2">
      <c r="D19" s="744">
        <v>4</v>
      </c>
      <c r="E19" s="739" t="s">
        <v>927</v>
      </c>
      <c r="F19" s="642">
        <f>SUM(F16:F18)</f>
        <v>5886999597.3164158</v>
      </c>
      <c r="G19" s="584"/>
      <c r="H19" s="642">
        <f t="shared" ref="H19:P19" ca="1" si="1">SUM(H16:H18)</f>
        <v>2898809693.2804885</v>
      </c>
      <c r="I19" s="642">
        <f t="shared" ca="1" si="1"/>
        <v>92864834.084056184</v>
      </c>
      <c r="J19" s="642">
        <f t="shared" ca="1" si="1"/>
        <v>1942035417.31268</v>
      </c>
      <c r="K19" s="642">
        <f t="shared" ca="1" si="1"/>
        <v>4521283.857731808</v>
      </c>
      <c r="L19" s="642">
        <f t="shared" ca="1" si="1"/>
        <v>464394581.96979547</v>
      </c>
      <c r="M19" s="642">
        <f t="shared" ca="1" si="1"/>
        <v>99663191.354891539</v>
      </c>
      <c r="N19" s="642">
        <f t="shared" ca="1" si="1"/>
        <v>276456386.98515362</v>
      </c>
      <c r="O19" s="642">
        <f t="shared" ca="1" si="1"/>
        <v>97524404.25670366</v>
      </c>
      <c r="P19" s="642">
        <f t="shared" ca="1" si="1"/>
        <v>1944374.9283352017</v>
      </c>
      <c r="Q19" s="642">
        <f ca="1">SUM(Q16:Q18)</f>
        <v>8785429.286578266</v>
      </c>
      <c r="R19" s="759">
        <f ca="1">SUM(H19+I19+J19+K19+L19+M19+N19+O19)</f>
        <v>5876269793.1015005</v>
      </c>
      <c r="S19" s="641"/>
      <c r="T19" s="979">
        <f ca="1">H19+I19+J19+K19+L19+M19+N19+O19-R19</f>
        <v>0</v>
      </c>
    </row>
    <row r="20" spans="4:20" s="600" customFormat="1" ht="17.25" customHeight="1" x14ac:dyDescent="0.2">
      <c r="D20" s="745"/>
      <c r="E20" s="639"/>
      <c r="F20" s="639"/>
      <c r="G20" s="639"/>
      <c r="H20" s="640"/>
      <c r="I20" s="640"/>
      <c r="J20" s="640"/>
      <c r="K20" s="640"/>
      <c r="L20" s="640"/>
      <c r="M20" s="640"/>
      <c r="N20" s="640"/>
      <c r="O20" s="640"/>
      <c r="P20" s="640"/>
      <c r="Q20" s="764"/>
      <c r="R20" s="758"/>
      <c r="S20" s="641"/>
    </row>
    <row r="21" spans="4:20" s="600" customFormat="1" ht="17.25" customHeight="1" x14ac:dyDescent="0.2">
      <c r="E21" s="585"/>
      <c r="F21" s="584"/>
      <c r="G21" s="584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577"/>
    </row>
    <row r="22" spans="4:20" ht="17.25" customHeight="1" x14ac:dyDescent="0.2">
      <c r="E22" s="597" t="s">
        <v>1163</v>
      </c>
      <c r="F22" s="1069">
        <f>IF('II-I-DIST'!F33='WP II-I-1.1'!G489,TRUE,'II-I-DIST'!F33-'WP II-I-1.1'!G489)</f>
        <v>4.0864944458007813E-3</v>
      </c>
      <c r="G22" s="596"/>
      <c r="H22" s="595"/>
      <c r="I22" s="595"/>
      <c r="J22" s="595"/>
      <c r="K22" s="595"/>
      <c r="L22" s="595"/>
      <c r="M22" s="595"/>
      <c r="N22" s="595"/>
      <c r="O22" s="595"/>
      <c r="P22" s="637"/>
      <c r="Q22" s="591"/>
      <c r="R22" s="1066"/>
    </row>
    <row r="23" spans="4:20" ht="17.25" customHeight="1" x14ac:dyDescent="0.2">
      <c r="E23" s="598"/>
      <c r="F23" s="1069">
        <f>IF('II-I-MET'!F33='WP II-I-1.1'!H489,TRUE,'II-I-MET'!F33-'WP II-I-1.1'!H489)</f>
        <v>-8.8331103324890137E-4</v>
      </c>
      <c r="G23" s="596"/>
      <c r="H23" s="595"/>
      <c r="I23" s="595"/>
      <c r="J23" s="595"/>
      <c r="K23" s="595"/>
      <c r="L23" s="595"/>
      <c r="M23" s="595"/>
      <c r="N23" s="595"/>
      <c r="O23" s="595"/>
      <c r="P23" s="637"/>
      <c r="Q23" s="591"/>
    </row>
    <row r="24" spans="4:20" ht="17.25" customHeight="1" x14ac:dyDescent="0.2">
      <c r="E24" s="596"/>
      <c r="F24" s="1069">
        <f>IF('II-I-TBILLTDCS'!F33='WP II-I-1.1'!I489,TRUE,'II-I-TBILLTDCS'!F33-'WP II-I-1.1'!I489)</f>
        <v>-1.156151294708252E-3</v>
      </c>
      <c r="G24" s="596"/>
      <c r="H24" s="595"/>
      <c r="I24" s="595"/>
      <c r="J24" s="595"/>
      <c r="K24" s="595"/>
      <c r="L24" s="595"/>
      <c r="M24" s="595"/>
      <c r="N24" s="595"/>
      <c r="O24" s="595"/>
      <c r="P24" s="637"/>
      <c r="Q24" s="591"/>
    </row>
    <row r="25" spans="4:20" ht="17.25" customHeight="1" x14ac:dyDescent="0.2">
      <c r="E25" s="580"/>
      <c r="F25" s="596" t="b">
        <f>IF(SUM(F16:F18)='II-I-Total'!F33,TRUE,SUM(F16:F18)-'II-I-Total'!F33)</f>
        <v>1</v>
      </c>
      <c r="G25" s="596"/>
      <c r="H25" s="596" t="b">
        <f ca="1">IF(SUM(H16:H18)='II-I-Total'!J33,TRUE,SUM(H16:H18)-'II-I-Total'!J33)</f>
        <v>1</v>
      </c>
      <c r="I25" s="596" t="b">
        <f ca="1">IF(SUM(I16:I18)='II-I-Total'!K33,TRUE,SUM(I16:I18)-'II-I-Total'!K33)</f>
        <v>1</v>
      </c>
      <c r="J25" s="596" t="b">
        <f ca="1">IF(SUM(J16:J18)='II-I-Total'!L33,TRUE,SUM(J16:J18)-'II-I-Total'!L33)</f>
        <v>1</v>
      </c>
      <c r="K25" s="596" t="b">
        <f ca="1">IF(SUM(K16:K18)='II-I-Total'!M33,TRUE,SUM(K16:K18)-'II-I-Total'!M33)</f>
        <v>1</v>
      </c>
      <c r="L25" s="596" t="b">
        <f ca="1">IF(SUM(L16:L18)='II-I-Total'!N33,TRUE,SUM(L16:L18)-'II-I-Total'!N33)</f>
        <v>1</v>
      </c>
      <c r="M25" s="596">
        <f ca="1">IF(SUM(M16:M18)='II-I-Total'!O33,TRUE,SUM(M16:M18)-'II-I-Total'!O33)</f>
        <v>-2.9802322387695313E-8</v>
      </c>
      <c r="N25" s="1061" t="b">
        <f ca="1">IF(SUM(N16:N18)='II-I-Total'!P33,TRUE,SUM(N16:N18)-'II-I-Total'!P33)</f>
        <v>1</v>
      </c>
      <c r="O25" s="596">
        <f ca="1">IF(SUM(O16:O18)='II-I-Total'!Q33,TRUE,SUM(O16:O18)-'II-I-Total'!Q33)</f>
        <v>1.4901161193847656E-8</v>
      </c>
      <c r="P25" s="596" t="b">
        <f ca="1">IF(SUM(P16:P18)='II-I-Total'!R33,TRUE,SUM(P16:P18)-'II-I-Total'!R33)</f>
        <v>1</v>
      </c>
      <c r="Q25" s="596" t="b">
        <f ca="1">IF(SUM(Q16:Q18)='II-I-Total'!S33,TRUE,SUM(Q16:Q18)-'II-I-Total'!S33)</f>
        <v>1</v>
      </c>
      <c r="R25" s="1039">
        <f ca="1">F19-P19-Q19-R19</f>
        <v>0</v>
      </c>
    </row>
    <row r="26" spans="4:20" ht="17.25" customHeight="1" x14ac:dyDescent="0.2">
      <c r="E26" s="596"/>
      <c r="F26" s="1039"/>
      <c r="G26" s="1039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637"/>
    </row>
    <row r="27" spans="4:20" ht="17.25" customHeight="1" x14ac:dyDescent="0.2">
      <c r="E27" s="580"/>
      <c r="F27" s="1069"/>
      <c r="G27" s="1069"/>
      <c r="H27" s="595"/>
      <c r="I27" s="595"/>
      <c r="J27" s="595"/>
      <c r="K27" s="595"/>
      <c r="L27" s="595"/>
      <c r="M27" s="595"/>
      <c r="N27" s="595"/>
      <c r="O27" s="595"/>
      <c r="P27" s="595"/>
      <c r="Q27" s="595"/>
      <c r="R27" s="1070"/>
    </row>
    <row r="28" spans="4:20" ht="17.25" customHeight="1" x14ac:dyDescent="0.2">
      <c r="F28" s="1039"/>
      <c r="G28" s="596"/>
      <c r="H28" s="1039"/>
      <c r="I28" s="1039"/>
      <c r="J28" s="1039"/>
      <c r="K28" s="1039"/>
      <c r="L28" s="1039"/>
      <c r="M28" s="1039"/>
      <c r="N28" s="1039"/>
      <c r="O28" s="1039"/>
      <c r="P28" s="1039"/>
      <c r="Q28" s="1039"/>
      <c r="R28" s="1070"/>
    </row>
    <row r="29" spans="4:20" ht="17.25" customHeight="1" x14ac:dyDescent="0.2">
      <c r="F29" s="1071"/>
      <c r="G29" s="596"/>
      <c r="H29" s="1071"/>
      <c r="I29" s="1071"/>
      <c r="J29" s="1071"/>
      <c r="K29" s="1071"/>
      <c r="L29" s="1073"/>
      <c r="M29" s="1071"/>
      <c r="N29" s="1071"/>
      <c r="O29" s="1071"/>
      <c r="P29" s="1072"/>
      <c r="Q29" s="1071"/>
      <c r="R29" s="1071"/>
    </row>
    <row r="30" spans="4:20" ht="17.25" customHeight="1" x14ac:dyDescent="0.2">
      <c r="F30" s="1039"/>
      <c r="G30" s="596"/>
      <c r="H30" s="595"/>
      <c r="I30" s="1079"/>
      <c r="J30" s="1077"/>
      <c r="K30" s="1078"/>
      <c r="L30" s="595"/>
      <c r="M30" s="595"/>
      <c r="N30" s="595"/>
      <c r="O30" s="595"/>
      <c r="P30" s="595"/>
      <c r="Q30" s="595"/>
      <c r="R30" s="637"/>
    </row>
    <row r="31" spans="4:20" ht="17.25" customHeight="1" x14ac:dyDescent="0.2">
      <c r="E31" s="596"/>
      <c r="F31" s="596"/>
      <c r="G31" s="596"/>
      <c r="H31" s="595"/>
      <c r="I31" s="595"/>
      <c r="J31" s="595"/>
      <c r="K31" s="595"/>
      <c r="L31" s="595"/>
      <c r="M31" s="595"/>
      <c r="N31" s="595"/>
      <c r="O31" s="595"/>
      <c r="P31" s="595"/>
      <c r="Q31" s="595"/>
      <c r="R31" s="637"/>
    </row>
    <row r="32" spans="4:20" ht="17.25" customHeight="1" x14ac:dyDescent="0.2">
      <c r="E32" s="598"/>
      <c r="F32" s="596"/>
      <c r="G32" s="596"/>
      <c r="H32" s="595"/>
      <c r="I32" s="595"/>
      <c r="J32" s="595"/>
      <c r="K32" s="595"/>
      <c r="L32" s="595"/>
      <c r="M32" s="595"/>
      <c r="N32" s="595"/>
      <c r="O32" s="595"/>
      <c r="P32" s="595"/>
      <c r="Q32" s="595"/>
      <c r="R32" s="637"/>
    </row>
    <row r="33" spans="5:18" ht="17.25" customHeight="1" x14ac:dyDescent="0.2">
      <c r="E33" s="598"/>
      <c r="F33" s="596"/>
      <c r="G33" s="596"/>
      <c r="H33" s="595"/>
      <c r="I33" s="595"/>
      <c r="J33" s="595"/>
      <c r="K33" s="595"/>
      <c r="L33" s="595"/>
      <c r="M33" s="595"/>
      <c r="N33" s="595"/>
      <c r="O33" s="595"/>
      <c r="P33" s="595"/>
      <c r="Q33" s="595"/>
      <c r="R33" s="637"/>
    </row>
    <row r="34" spans="5:18" ht="17.25" customHeight="1" x14ac:dyDescent="0.2">
      <c r="E34" s="598"/>
      <c r="F34" s="596"/>
      <c r="G34" s="596"/>
      <c r="H34" s="595"/>
      <c r="I34" s="595"/>
      <c r="J34" s="595"/>
      <c r="K34" s="595"/>
      <c r="L34" s="595"/>
      <c r="M34" s="595"/>
      <c r="N34" s="595"/>
      <c r="O34" s="595"/>
      <c r="P34" s="595"/>
      <c r="Q34" s="595"/>
      <c r="R34" s="637"/>
    </row>
    <row r="35" spans="5:18" ht="17.25" customHeight="1" x14ac:dyDescent="0.2">
      <c r="E35" s="598"/>
      <c r="F35" s="596"/>
      <c r="G35" s="596"/>
      <c r="H35" s="595"/>
      <c r="I35" s="595"/>
      <c r="J35" s="595"/>
      <c r="K35" s="595"/>
      <c r="L35" s="595"/>
      <c r="M35" s="595"/>
      <c r="N35" s="595"/>
      <c r="O35" s="595"/>
      <c r="P35" s="595"/>
      <c r="Q35" s="595"/>
      <c r="R35" s="637"/>
    </row>
    <row r="36" spans="5:18" ht="17.25" customHeight="1" x14ac:dyDescent="0.2">
      <c r="E36" s="598"/>
      <c r="F36" s="596"/>
      <c r="G36" s="596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R36" s="637"/>
    </row>
    <row r="37" spans="5:18" ht="17.25" customHeight="1" x14ac:dyDescent="0.2">
      <c r="E37" s="598"/>
      <c r="F37" s="596"/>
      <c r="G37" s="596"/>
      <c r="H37" s="595"/>
      <c r="I37" s="595"/>
      <c r="J37" s="595"/>
      <c r="K37" s="595"/>
      <c r="L37" s="595"/>
      <c r="M37" s="595"/>
      <c r="N37" s="595"/>
      <c r="O37" s="595"/>
      <c r="P37" s="595"/>
      <c r="Q37" s="595"/>
      <c r="R37" s="637"/>
    </row>
    <row r="38" spans="5:18" ht="17.25" customHeight="1" x14ac:dyDescent="0.2">
      <c r="E38" s="598"/>
      <c r="F38" s="596"/>
      <c r="G38" s="596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R38" s="637"/>
    </row>
    <row r="39" spans="5:18" ht="17.25" customHeight="1" x14ac:dyDescent="0.2">
      <c r="E39" s="580"/>
      <c r="F39" s="596"/>
      <c r="G39" s="596"/>
      <c r="H39" s="595"/>
      <c r="I39" s="595"/>
      <c r="J39" s="595"/>
      <c r="K39" s="595"/>
      <c r="L39" s="595"/>
      <c r="M39" s="595"/>
      <c r="N39" s="595"/>
      <c r="O39" s="595"/>
      <c r="P39" s="595"/>
      <c r="Q39" s="595"/>
      <c r="R39" s="637"/>
    </row>
    <row r="40" spans="5:18" ht="17.25" customHeight="1" x14ac:dyDescent="0.2">
      <c r="E40" s="596"/>
      <c r="F40" s="596"/>
      <c r="G40" s="596"/>
      <c r="H40" s="595"/>
      <c r="I40" s="595"/>
      <c r="J40" s="595"/>
      <c r="K40" s="595"/>
      <c r="L40" s="595"/>
      <c r="M40" s="595"/>
      <c r="N40" s="595"/>
      <c r="O40" s="595"/>
      <c r="P40" s="595"/>
      <c r="Q40" s="595"/>
      <c r="R40" s="637"/>
    </row>
    <row r="41" spans="5:18" ht="17.25" customHeight="1" x14ac:dyDescent="0.2">
      <c r="E41" s="580"/>
      <c r="F41" s="596"/>
      <c r="G41" s="596"/>
      <c r="H41" s="595"/>
      <c r="I41" s="595"/>
      <c r="J41" s="595"/>
      <c r="K41" s="595"/>
      <c r="L41" s="595"/>
      <c r="M41" s="595"/>
      <c r="N41" s="595"/>
      <c r="O41" s="595"/>
      <c r="P41" s="595"/>
      <c r="Q41" s="595"/>
      <c r="R41" s="637"/>
    </row>
    <row r="42" spans="5:18" ht="17.25" customHeight="1" x14ac:dyDescent="0.2">
      <c r="E42" s="596"/>
      <c r="F42" s="596"/>
      <c r="G42" s="596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637"/>
    </row>
    <row r="43" spans="5:18" ht="17.25" customHeight="1" x14ac:dyDescent="0.2">
      <c r="E43" s="580"/>
      <c r="F43" s="596"/>
      <c r="G43" s="596"/>
      <c r="H43" s="595"/>
      <c r="I43" s="595"/>
      <c r="J43" s="595"/>
      <c r="K43" s="595"/>
      <c r="L43" s="595"/>
      <c r="M43" s="595"/>
      <c r="N43" s="595"/>
      <c r="O43" s="595"/>
      <c r="P43" s="595"/>
      <c r="Q43" s="595"/>
      <c r="R43" s="637"/>
    </row>
    <row r="44" spans="5:18" ht="17.25" customHeight="1" x14ac:dyDescent="0.2">
      <c r="E44" s="598"/>
      <c r="F44" s="596"/>
      <c r="G44" s="596"/>
      <c r="H44" s="595"/>
      <c r="I44" s="595"/>
      <c r="J44" s="595"/>
      <c r="K44" s="595"/>
      <c r="L44" s="595"/>
      <c r="M44" s="595"/>
      <c r="N44" s="595"/>
      <c r="O44" s="595"/>
      <c r="P44" s="595"/>
      <c r="Q44" s="595"/>
      <c r="R44" s="637"/>
    </row>
    <row r="45" spans="5:18" ht="17.25" customHeight="1" x14ac:dyDescent="0.2">
      <c r="E45" s="580"/>
      <c r="F45" s="596"/>
      <c r="G45" s="596"/>
      <c r="H45" s="595"/>
      <c r="I45" s="595"/>
      <c r="J45" s="595"/>
      <c r="K45" s="595"/>
      <c r="L45" s="595"/>
      <c r="M45" s="595"/>
      <c r="N45" s="595"/>
      <c r="O45" s="595"/>
      <c r="P45" s="595"/>
      <c r="Q45" s="595"/>
      <c r="R45" s="637"/>
    </row>
    <row r="46" spans="5:18" ht="17.25" customHeight="1" x14ac:dyDescent="0.2">
      <c r="E46" s="596"/>
      <c r="F46" s="594"/>
      <c r="G46" s="594"/>
      <c r="H46" s="595"/>
      <c r="I46" s="595"/>
      <c r="J46" s="595"/>
      <c r="K46" s="595"/>
      <c r="L46" s="595"/>
      <c r="M46" s="595"/>
      <c r="N46" s="595"/>
      <c r="O46" s="595"/>
      <c r="P46" s="595"/>
      <c r="Q46" s="595"/>
      <c r="R46" s="637"/>
    </row>
    <row r="47" spans="5:18" ht="17.25" customHeight="1" x14ac:dyDescent="0.2">
      <c r="E47" s="580"/>
      <c r="F47" s="594"/>
      <c r="G47" s="594"/>
      <c r="H47" s="595"/>
      <c r="I47" s="595"/>
      <c r="J47" s="595"/>
      <c r="K47" s="595"/>
      <c r="L47" s="595"/>
      <c r="M47" s="595"/>
      <c r="N47" s="595"/>
      <c r="O47" s="595"/>
      <c r="P47" s="595"/>
      <c r="Q47" s="595"/>
      <c r="R47" s="637"/>
    </row>
    <row r="48" spans="5:18" ht="17.25" customHeight="1" x14ac:dyDescent="0.2">
      <c r="E48" s="594"/>
      <c r="F48" s="594"/>
      <c r="G48" s="594"/>
      <c r="H48" s="595"/>
      <c r="I48" s="595"/>
      <c r="J48" s="595"/>
      <c r="K48" s="595"/>
      <c r="L48" s="595"/>
      <c r="M48" s="595"/>
      <c r="N48" s="595"/>
      <c r="O48" s="595"/>
      <c r="P48" s="595"/>
      <c r="Q48" s="595"/>
      <c r="R48" s="637"/>
    </row>
    <row r="49" spans="5:18" ht="17.25" customHeight="1" x14ac:dyDescent="0.2">
      <c r="E49" s="592"/>
      <c r="F49" s="592"/>
      <c r="G49" s="592"/>
      <c r="H49" s="595"/>
      <c r="I49" s="595"/>
      <c r="J49" s="595"/>
      <c r="K49" s="595"/>
      <c r="L49" s="595"/>
      <c r="M49" s="595"/>
      <c r="N49" s="595"/>
      <c r="O49" s="595"/>
      <c r="P49" s="595"/>
      <c r="Q49" s="595"/>
      <c r="R49" s="637"/>
    </row>
    <row r="50" spans="5:18" ht="17.25" customHeight="1" x14ac:dyDescent="0.2">
      <c r="E50" s="637"/>
      <c r="F50" s="637"/>
      <c r="G50" s="637"/>
      <c r="H50" s="637"/>
      <c r="I50" s="637"/>
      <c r="J50" s="637"/>
      <c r="K50" s="637"/>
      <c r="L50" s="637"/>
      <c r="M50" s="637"/>
      <c r="N50" s="638"/>
      <c r="O50" s="637"/>
      <c r="P50" s="592"/>
      <c r="Q50" s="592"/>
      <c r="R50" s="637"/>
    </row>
    <row r="51" spans="5:18" ht="17.25" customHeight="1" x14ac:dyDescent="0.2"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592"/>
      <c r="Q51" s="592"/>
      <c r="R51" s="172"/>
    </row>
    <row r="52" spans="5:18" ht="17.25" customHeight="1" x14ac:dyDescent="0.2"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592"/>
      <c r="Q52" s="592"/>
      <c r="R52" s="172"/>
    </row>
    <row r="53" spans="5:18" ht="17.25" customHeight="1" x14ac:dyDescent="0.2"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592"/>
      <c r="Q53" s="592"/>
      <c r="R53" s="172"/>
    </row>
    <row r="54" spans="5:18" ht="17.25" customHeight="1" x14ac:dyDescent="0.2"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592"/>
      <c r="Q54" s="592"/>
      <c r="R54" s="172"/>
    </row>
    <row r="55" spans="5:18" ht="17.25" customHeight="1" x14ac:dyDescent="0.2"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592"/>
      <c r="Q55" s="592"/>
      <c r="R55" s="172"/>
    </row>
    <row r="56" spans="5:18" ht="17.25" customHeight="1" x14ac:dyDescent="0.2"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592"/>
      <c r="Q56" s="592"/>
      <c r="R56" s="172"/>
    </row>
    <row r="57" spans="5:18" ht="17.25" customHeight="1" x14ac:dyDescent="0.2"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592"/>
      <c r="Q57" s="592"/>
      <c r="R57" s="172"/>
    </row>
    <row r="58" spans="5:18" ht="17.25" customHeight="1" x14ac:dyDescent="0.2"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592"/>
      <c r="Q58" s="592"/>
      <c r="R58" s="172"/>
    </row>
    <row r="59" spans="5:18" ht="17.25" customHeight="1" x14ac:dyDescent="0.2"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592"/>
      <c r="Q59" s="592"/>
      <c r="R59" s="172"/>
    </row>
    <row r="60" spans="5:18" ht="17.25" customHeight="1" x14ac:dyDescent="0.2"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592"/>
      <c r="Q60" s="592"/>
      <c r="R60" s="172"/>
    </row>
    <row r="61" spans="5:18" ht="17.25" customHeight="1" x14ac:dyDescent="0.2"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592"/>
      <c r="Q61" s="592"/>
      <c r="R61" s="172"/>
    </row>
    <row r="62" spans="5:18" ht="17.25" customHeight="1" x14ac:dyDescent="0.2"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592"/>
      <c r="Q62" s="592"/>
      <c r="R62" s="172"/>
    </row>
    <row r="63" spans="5:18" ht="17.25" customHeight="1" x14ac:dyDescent="0.2"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592"/>
      <c r="Q63" s="592"/>
      <c r="R63" s="172"/>
    </row>
    <row r="64" spans="5:18" ht="17.25" customHeight="1" x14ac:dyDescent="0.2"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592"/>
      <c r="Q64" s="592"/>
      <c r="R64" s="172"/>
    </row>
    <row r="65" spans="5:18" ht="17.25" customHeight="1" x14ac:dyDescent="0.2"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592"/>
      <c r="Q65" s="592"/>
      <c r="R65" s="172"/>
    </row>
    <row r="66" spans="5:18" ht="17.25" customHeight="1" x14ac:dyDescent="0.2"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592"/>
      <c r="Q66" s="592"/>
      <c r="R66" s="172"/>
    </row>
    <row r="67" spans="5:18" ht="17.25" customHeight="1" x14ac:dyDescent="0.2"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592"/>
      <c r="Q67" s="592"/>
      <c r="R67" s="172"/>
    </row>
    <row r="68" spans="5:18" ht="17.25" customHeight="1" x14ac:dyDescent="0.2"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592"/>
      <c r="Q68" s="592"/>
      <c r="R68" s="172"/>
    </row>
    <row r="69" spans="5:18" ht="17.25" customHeight="1" x14ac:dyDescent="0.2"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592"/>
      <c r="Q69" s="592"/>
      <c r="R69" s="172"/>
    </row>
    <row r="70" spans="5:18" ht="17.25" customHeight="1" x14ac:dyDescent="0.2"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592"/>
      <c r="Q70" s="592"/>
      <c r="R70" s="172"/>
    </row>
    <row r="71" spans="5:18" ht="17.25" customHeight="1" x14ac:dyDescent="0.2"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592"/>
      <c r="Q71" s="592"/>
      <c r="R71" s="172"/>
    </row>
    <row r="72" spans="5:18" ht="17.25" customHeight="1" x14ac:dyDescent="0.2"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592"/>
      <c r="Q72" s="592"/>
      <c r="R72" s="172"/>
    </row>
    <row r="73" spans="5:18" ht="17.25" customHeight="1" x14ac:dyDescent="0.2"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592"/>
      <c r="Q73" s="592"/>
      <c r="R73" s="172"/>
    </row>
    <row r="74" spans="5:18" ht="17.25" customHeight="1" x14ac:dyDescent="0.2"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592"/>
      <c r="Q74" s="592"/>
      <c r="R74" s="172"/>
    </row>
    <row r="75" spans="5:18" ht="17.25" customHeight="1" x14ac:dyDescent="0.2"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592"/>
      <c r="Q75" s="592"/>
      <c r="R75" s="172"/>
    </row>
    <row r="76" spans="5:18" ht="17.25" customHeight="1" x14ac:dyDescent="0.2"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592"/>
      <c r="Q76" s="592"/>
      <c r="R76" s="172"/>
    </row>
    <row r="77" spans="5:18" ht="17.25" customHeight="1" x14ac:dyDescent="0.2"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592"/>
      <c r="Q77" s="592"/>
      <c r="R77" s="172"/>
    </row>
    <row r="78" spans="5:18" ht="17.25" customHeight="1" x14ac:dyDescent="0.2"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592"/>
      <c r="Q78" s="592"/>
      <c r="R78" s="172"/>
    </row>
    <row r="79" spans="5:18" ht="17.25" customHeight="1" x14ac:dyDescent="0.2"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592"/>
      <c r="Q79" s="592"/>
      <c r="R79" s="172"/>
    </row>
    <row r="80" spans="5:18" ht="17.25" customHeight="1" x14ac:dyDescent="0.2"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592"/>
      <c r="Q80" s="592"/>
      <c r="R80" s="172"/>
    </row>
    <row r="81" spans="5:18" ht="17.25" customHeight="1" x14ac:dyDescent="0.2"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592"/>
      <c r="Q81" s="592"/>
      <c r="R81" s="172"/>
    </row>
    <row r="82" spans="5:18" ht="17.25" customHeight="1" x14ac:dyDescent="0.2"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592"/>
      <c r="Q82" s="592"/>
      <c r="R82" s="172"/>
    </row>
  </sheetData>
  <mergeCells count="5">
    <mergeCell ref="B2:R2"/>
    <mergeCell ref="B3:R3"/>
    <mergeCell ref="B4:R4"/>
    <mergeCell ref="B5:R5"/>
    <mergeCell ref="B6:R6"/>
  </mergeCells>
  <pageMargins left="0.35" right="0.35" top="1.5" bottom="0.75" header="1.3" footer="0.3"/>
  <pageSetup scale="60" orientation="landscape"/>
  <headerFooter>
    <oddHeader>&amp;RSchedule II-I-1
Page  1 of 1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Y92"/>
  <sheetViews>
    <sheetView view="pageBreakPreview" zoomScaleNormal="70" zoomScaleSheetLayoutView="100" workbookViewId="0">
      <selection activeCell="J12" sqref="J12"/>
    </sheetView>
  </sheetViews>
  <sheetFormatPr defaultColWidth="26.25" defaultRowHeight="14.25" x14ac:dyDescent="0.2"/>
  <cols>
    <col min="1" max="1" width="0.875" customWidth="1"/>
    <col min="2" max="2" width="5.375" customWidth="1"/>
    <col min="3" max="3" width="27.125" customWidth="1"/>
    <col min="4" max="4" width="1.125" customWidth="1"/>
    <col min="5" max="5" width="18.5" customWidth="1"/>
    <col min="6" max="6" width="14" customWidth="1"/>
    <col min="7" max="7" width="16.25" customWidth="1"/>
    <col min="8" max="8" width="12.625" customWidth="1"/>
    <col min="9" max="9" width="15.625" customWidth="1"/>
    <col min="10" max="10" width="14.75" customWidth="1"/>
    <col min="11" max="11" width="14" customWidth="1"/>
    <col min="12" max="12" width="13.125" customWidth="1"/>
    <col min="13" max="13" width="13" customWidth="1"/>
    <col min="14" max="14" width="16.25" customWidth="1"/>
    <col min="15" max="15" width="1.125" customWidth="1"/>
    <col min="16" max="16" width="20.625" customWidth="1"/>
    <col min="17" max="17" width="20.25" customWidth="1"/>
    <col min="18" max="18" width="17.25" customWidth="1"/>
    <col min="19" max="19" width="19.75" customWidth="1"/>
  </cols>
  <sheetData>
    <row r="1" spans="1:19" ht="15" x14ac:dyDescent="0.2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19" s="1207" customFormat="1" ht="15" x14ac:dyDescent="0.2">
      <c r="A2" s="1204"/>
      <c r="B2" s="1205"/>
      <c r="C2" s="1206"/>
      <c r="D2" s="1206"/>
      <c r="E2" s="1206"/>
      <c r="F2" s="1206"/>
      <c r="G2" s="1206"/>
      <c r="H2" s="1206"/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</row>
    <row r="3" spans="1:19" s="1207" customFormat="1" ht="15.75" x14ac:dyDescent="0.25">
      <c r="A3" s="1204"/>
      <c r="B3" s="1208" t="str">
        <f>'II-I-1'!B2</f>
        <v>2025 RATE CASE</v>
      </c>
      <c r="C3" s="1209"/>
      <c r="D3" s="1209"/>
      <c r="E3" s="1209"/>
      <c r="F3" s="1209"/>
      <c r="G3" s="1210"/>
      <c r="H3" s="1209"/>
      <c r="I3" s="1209"/>
      <c r="J3" s="1209"/>
      <c r="K3" s="1209"/>
      <c r="L3" s="1209"/>
      <c r="M3" s="1209"/>
      <c r="N3" s="1209"/>
      <c r="O3" s="1209"/>
      <c r="P3" s="1209"/>
      <c r="Q3" s="1209"/>
      <c r="R3" s="1206"/>
      <c r="S3" s="1206"/>
    </row>
    <row r="4" spans="1:19" s="1207" customFormat="1" ht="15.75" x14ac:dyDescent="0.25">
      <c r="A4" s="1204"/>
      <c r="B4" s="1208" t="str">
        <f>'II-I-1'!B3</f>
        <v>ONCOR ELECTRIC DELIVERY COMPANY LLC</v>
      </c>
      <c r="C4" s="1209"/>
      <c r="D4" s="1209"/>
      <c r="E4" s="1209"/>
      <c r="F4" s="1209"/>
      <c r="G4" s="1210"/>
      <c r="H4" s="1209"/>
      <c r="I4" s="1209"/>
      <c r="J4" s="1209"/>
      <c r="K4" s="1209"/>
      <c r="L4" s="1209"/>
      <c r="M4" s="1209"/>
      <c r="N4" s="1209"/>
      <c r="O4" s="1209"/>
      <c r="P4" s="1209"/>
      <c r="Q4" s="1209"/>
      <c r="R4" s="1206"/>
      <c r="S4" s="1206"/>
    </row>
    <row r="5" spans="1:19" s="1207" customFormat="1" ht="15.75" x14ac:dyDescent="0.25">
      <c r="A5" s="1204"/>
      <c r="B5" s="1208" t="str">
        <f>'WP II-I-2.1'!$B$5</f>
        <v>II-I-2:  CLASS ALLOCATION FACTORS</v>
      </c>
      <c r="C5" s="1209"/>
      <c r="D5" s="1209"/>
      <c r="E5" s="1209"/>
      <c r="F5" s="1209"/>
      <c r="G5" s="1210"/>
      <c r="H5" s="1209"/>
      <c r="I5" s="1209"/>
      <c r="J5" s="1209"/>
      <c r="K5" s="1209"/>
      <c r="L5" s="1209"/>
      <c r="M5" s="1209"/>
      <c r="N5" s="1209"/>
      <c r="O5" s="1209"/>
      <c r="P5" s="1209"/>
      <c r="Q5" s="1209"/>
      <c r="R5" s="1206"/>
      <c r="S5" s="1206"/>
    </row>
    <row r="6" spans="1:19" s="1207" customFormat="1" ht="15.75" x14ac:dyDescent="0.25">
      <c r="A6" s="1204"/>
      <c r="B6" s="1208" t="str">
        <f>'II-I-1'!B5</f>
        <v>TEST YEAR ENDING 12/31/2024</v>
      </c>
      <c r="C6" s="1209"/>
      <c r="D6" s="1209"/>
      <c r="E6" s="1209"/>
      <c r="F6" s="1209"/>
      <c r="G6" s="1210"/>
      <c r="H6" s="1209"/>
      <c r="I6" s="1209"/>
      <c r="J6" s="1209"/>
      <c r="K6" s="1209"/>
      <c r="L6" s="1209"/>
      <c r="M6" s="1209"/>
      <c r="N6" s="1209"/>
      <c r="O6" s="1209"/>
      <c r="P6" s="1209"/>
      <c r="Q6" s="1209"/>
      <c r="R6" s="1206"/>
      <c r="S6" s="1206"/>
    </row>
    <row r="7" spans="1:19" s="1207" customFormat="1" ht="15.75" x14ac:dyDescent="0.25">
      <c r="A7" s="1204"/>
      <c r="B7" s="1208" t="str">
        <f>'II-I-1'!B6</f>
        <v>SPONSOR:  MATTHEW A. TROXLE</v>
      </c>
      <c r="C7" s="1209"/>
      <c r="D7" s="1209"/>
      <c r="E7" s="1209"/>
      <c r="F7" s="1209"/>
      <c r="G7" s="1208"/>
      <c r="H7" s="1209"/>
      <c r="I7" s="1209"/>
      <c r="J7" s="1209"/>
      <c r="K7" s="1209"/>
      <c r="L7" s="1209"/>
      <c r="M7" s="1209"/>
      <c r="N7" s="1209"/>
      <c r="O7" s="1209"/>
      <c r="P7" s="1209"/>
      <c r="Q7" s="1209"/>
      <c r="R7" s="1206"/>
      <c r="S7" s="1206"/>
    </row>
    <row r="8" spans="1:19" s="1207" customFormat="1" ht="15.75" x14ac:dyDescent="0.25">
      <c r="A8" s="1204"/>
      <c r="B8" s="1208"/>
      <c r="C8" s="1209"/>
      <c r="D8" s="1209"/>
      <c r="E8" s="1209"/>
      <c r="F8" s="1209"/>
      <c r="G8" s="1210"/>
      <c r="H8" s="1209"/>
      <c r="I8" s="1211"/>
      <c r="J8" s="1209"/>
      <c r="K8" s="1209"/>
      <c r="L8" s="1209"/>
      <c r="M8" s="1209"/>
      <c r="N8" s="1209"/>
      <c r="O8" s="1209"/>
      <c r="P8" s="1209"/>
      <c r="Q8" s="1209"/>
      <c r="R8" s="1206"/>
      <c r="S8" s="1206"/>
    </row>
    <row r="9" spans="1:19" s="1207" customFormat="1" ht="15" x14ac:dyDescent="0.2">
      <c r="A9" s="1204"/>
      <c r="B9" s="1209"/>
      <c r="C9" s="1209"/>
      <c r="D9" s="1209"/>
      <c r="E9" s="1209"/>
      <c r="F9" s="1209"/>
      <c r="G9" s="1212"/>
      <c r="H9" s="1209"/>
      <c r="I9" s="1209"/>
      <c r="J9" s="1209"/>
      <c r="K9" s="1209"/>
      <c r="L9" s="1209"/>
      <c r="M9" s="1209"/>
      <c r="N9" s="1209"/>
      <c r="O9" s="1209"/>
      <c r="P9" s="1209"/>
      <c r="Q9" s="1209"/>
      <c r="R9" s="1206"/>
      <c r="S9" s="1206"/>
    </row>
    <row r="10" spans="1:19" s="1207" customFormat="1" ht="15.75" x14ac:dyDescent="0.25">
      <c r="A10" s="1204"/>
      <c r="B10" s="1208" t="s">
        <v>956</v>
      </c>
      <c r="C10" s="1209"/>
      <c r="D10" s="1209"/>
      <c r="E10" s="1209"/>
      <c r="F10" s="1209"/>
      <c r="G10" s="1210"/>
      <c r="H10" s="1209"/>
      <c r="I10" s="1209"/>
      <c r="J10" s="1209"/>
      <c r="K10" s="1209"/>
      <c r="L10" s="1209"/>
      <c r="M10" s="1209"/>
      <c r="N10" s="1209"/>
      <c r="O10" s="1209"/>
      <c r="P10" s="1209"/>
      <c r="Q10" s="1209"/>
      <c r="R10" s="1206"/>
      <c r="S10" s="1206"/>
    </row>
    <row r="11" spans="1:19" s="1207" customFormat="1" ht="15.75" x14ac:dyDescent="0.25">
      <c r="A11" s="1204"/>
      <c r="B11" s="1213"/>
      <c r="C11" s="1213"/>
      <c r="D11" s="1213"/>
      <c r="G11" s="1214"/>
      <c r="H11" s="1213"/>
      <c r="I11" s="1213"/>
      <c r="J11" s="1213"/>
      <c r="K11" s="1213"/>
      <c r="L11" s="1213"/>
      <c r="M11" s="1213"/>
      <c r="N11" s="1213"/>
      <c r="O11" s="1213"/>
      <c r="P11" s="1213"/>
      <c r="Q11" s="1213"/>
      <c r="R11" s="1206"/>
      <c r="S11" s="1206"/>
    </row>
    <row r="12" spans="1:19" s="1207" customFormat="1" ht="15.75" x14ac:dyDescent="0.25">
      <c r="A12" s="1204"/>
      <c r="B12" s="1215" t="s">
        <v>385</v>
      </c>
      <c r="C12" s="1216"/>
      <c r="D12" s="1216"/>
      <c r="E12" s="1217" t="s">
        <v>427</v>
      </c>
      <c r="F12" s="1217" t="s">
        <v>428</v>
      </c>
      <c r="G12" s="1217" t="s">
        <v>429</v>
      </c>
      <c r="H12" s="1217" t="s">
        <v>430</v>
      </c>
      <c r="I12" s="1217" t="s">
        <v>432</v>
      </c>
      <c r="J12" s="1217" t="s">
        <v>431</v>
      </c>
      <c r="K12" s="1217" t="s">
        <v>6</v>
      </c>
      <c r="L12" s="1217" t="s">
        <v>433</v>
      </c>
      <c r="M12" s="1217" t="s">
        <v>425</v>
      </c>
      <c r="N12" s="1217" t="s">
        <v>426</v>
      </c>
      <c r="O12" s="1217"/>
      <c r="P12" s="1217" t="s">
        <v>434</v>
      </c>
      <c r="Q12" s="1217"/>
      <c r="R12" s="1218"/>
      <c r="S12" s="1206"/>
    </row>
    <row r="13" spans="1:19" s="1207" customFormat="1" ht="15" x14ac:dyDescent="0.2">
      <c r="A13" s="1204"/>
      <c r="B13" s="1219"/>
      <c r="C13" s="1219"/>
      <c r="D13" s="1220"/>
      <c r="E13" s="1221" t="s">
        <v>13</v>
      </c>
      <c r="F13" s="1221" t="s">
        <v>14</v>
      </c>
      <c r="G13" s="1221" t="s">
        <v>15</v>
      </c>
      <c r="H13" s="1221" t="s">
        <v>16</v>
      </c>
      <c r="I13" s="1221" t="s">
        <v>17</v>
      </c>
      <c r="J13" s="1221" t="s">
        <v>18</v>
      </c>
      <c r="K13" s="1221" t="s">
        <v>19</v>
      </c>
      <c r="L13" s="1221" t="s">
        <v>20</v>
      </c>
      <c r="M13" s="1221" t="s">
        <v>21</v>
      </c>
      <c r="N13" s="1221" t="s">
        <v>22</v>
      </c>
      <c r="O13" s="1221"/>
      <c r="P13" s="1221" t="s">
        <v>397</v>
      </c>
      <c r="Q13" s="1220"/>
      <c r="R13" s="1218"/>
      <c r="S13" s="1206"/>
    </row>
    <row r="14" spans="1:19" s="1207" customFormat="1" ht="15.75" x14ac:dyDescent="0.25">
      <c r="A14" s="1204"/>
      <c r="B14" s="1462">
        <v>1</v>
      </c>
      <c r="C14" s="1223" t="s">
        <v>435</v>
      </c>
      <c r="D14" s="1224"/>
      <c r="E14" s="613">
        <f>('[6]Page 9'!$E$17)/12</f>
        <v>3462111</v>
      </c>
      <c r="F14" s="613">
        <f>('[6]Page 9'!$E$19)/12</f>
        <v>287174</v>
      </c>
      <c r="G14" s="613">
        <f>('[6]Page 9'!$E$21+'[6]Page 9'!$E$22)/12</f>
        <v>234639</v>
      </c>
      <c r="H14" s="613">
        <f>('[6]Page 9'!$E$24)/12</f>
        <v>3135</v>
      </c>
      <c r="I14" s="613">
        <f>('[6]Page 9'!$E$26+'[6]Page 9'!$E$27)/12</f>
        <v>7018</v>
      </c>
      <c r="J14" s="613">
        <f>('[6]Page 9'!$E$28)/12</f>
        <v>163</v>
      </c>
      <c r="K14" s="613">
        <f>('[6]Page 9'!$E$29)/12</f>
        <v>340</v>
      </c>
      <c r="L14" s="613">
        <f>('[6]Page 9'!$E$35)/12</f>
        <v>51221</v>
      </c>
      <c r="M14" s="613">
        <f>('[6]Page 9'!$E$37)/12</f>
        <v>18</v>
      </c>
      <c r="N14" s="613">
        <f>('[6]Page 9'!$E$38)/12</f>
        <v>52</v>
      </c>
      <c r="O14" s="1310"/>
      <c r="P14" s="1311">
        <f>SUM(D14:O14)</f>
        <v>4045871</v>
      </c>
      <c r="Q14" s="1215"/>
      <c r="R14" s="1218"/>
      <c r="S14" s="1206"/>
    </row>
    <row r="15" spans="1:19" s="1207" customFormat="1" ht="15.75" x14ac:dyDescent="0.25">
      <c r="A15" s="1204"/>
      <c r="B15" s="1462">
        <f t="shared" ref="B15:B42" si="0">B14+1</f>
        <v>2</v>
      </c>
      <c r="C15" s="1227" t="s">
        <v>1170</v>
      </c>
      <c r="D15" s="1228"/>
      <c r="E15" s="1229"/>
      <c r="F15" s="1229"/>
      <c r="G15" s="1229"/>
      <c r="H15" s="1229"/>
      <c r="I15" s="1229"/>
      <c r="J15" s="1229"/>
      <c r="K15" s="1229"/>
      <c r="L15" s="1229"/>
      <c r="M15" s="1229"/>
      <c r="N15" s="1229"/>
      <c r="O15" s="1230"/>
      <c r="P15" s="1231"/>
      <c r="Q15" s="1204"/>
      <c r="R15" s="1218"/>
      <c r="S15" s="1206"/>
    </row>
    <row r="16" spans="1:19" s="1207" customFormat="1" ht="15.75" x14ac:dyDescent="0.25">
      <c r="A16" s="1204"/>
      <c r="B16" s="1462">
        <f t="shared" si="0"/>
        <v>3</v>
      </c>
      <c r="C16" s="1232"/>
      <c r="D16" s="1232"/>
      <c r="E16" s="1233"/>
      <c r="F16" s="1233"/>
      <c r="G16" s="1233"/>
      <c r="H16" s="1233"/>
      <c r="I16" s="1233"/>
      <c r="J16" s="1233"/>
      <c r="K16" s="1233"/>
      <c r="L16" s="1233"/>
      <c r="M16" s="1233"/>
      <c r="N16" s="1233"/>
      <c r="O16" s="1233"/>
      <c r="P16" s="1215"/>
      <c r="Q16" s="1215"/>
      <c r="R16" s="1218"/>
      <c r="S16" s="1206"/>
    </row>
    <row r="17" spans="1:19" s="1234" customFormat="1" ht="15.75" x14ac:dyDescent="0.25">
      <c r="A17" s="1204"/>
      <c r="B17" s="1463">
        <f t="shared" si="0"/>
        <v>4</v>
      </c>
      <c r="C17" s="1223" t="s">
        <v>436</v>
      </c>
      <c r="D17" s="1224"/>
      <c r="E17" s="1290">
        <f>'[2]wp 2.5'!$P$13</f>
        <v>0.5220434734948457</v>
      </c>
      <c r="F17" s="1290">
        <f>'[2]wp 2.5'!$P$15</f>
        <v>7.3234910219164243E-2</v>
      </c>
      <c r="G17" s="1290">
        <f>'[2]wp 2.5'!$P$17</f>
        <v>0.28800912921560134</v>
      </c>
      <c r="H17" s="1290">
        <f>'[2]wp 2.5'!$P$19</f>
        <v>1.2128655972860062E-2</v>
      </c>
      <c r="I17" s="1290">
        <f>'[2]wp 2.5'!$P$21</f>
        <v>9.3397053702985858E-2</v>
      </c>
      <c r="J17" s="1290">
        <f>'[2]wp 2.5'!$P$23</f>
        <v>3.0645626579865848E-3</v>
      </c>
      <c r="K17" s="1290">
        <f>'[2]wp 2.5'!$P25</f>
        <v>6.3923392865977858E-3</v>
      </c>
      <c r="L17" s="1290">
        <f>'[2]wp 2.5'!$P$27</f>
        <v>5.3233524815684392E-4</v>
      </c>
      <c r="M17" s="1290">
        <f>'[2]wp 2.5'!$P$31</f>
        <v>3.3841796223164748E-4</v>
      </c>
      <c r="N17" s="1290">
        <f>'[2]wp 2.5'!$P$29</f>
        <v>8.5912223956998443E-4</v>
      </c>
      <c r="O17" s="1225"/>
      <c r="P17" s="1226">
        <f>SUM(D17:O17)</f>
        <v>1.0000000000000002</v>
      </c>
      <c r="Q17" s="1215"/>
      <c r="R17" s="1218"/>
      <c r="S17" s="1206"/>
    </row>
    <row r="18" spans="1:19" s="1207" customFormat="1" ht="15.75" x14ac:dyDescent="0.25">
      <c r="A18" s="1204"/>
      <c r="B18" s="1462">
        <f t="shared" si="0"/>
        <v>5</v>
      </c>
      <c r="C18" s="1227" t="s">
        <v>437</v>
      </c>
      <c r="D18" s="1235"/>
      <c r="E18" s="1236"/>
      <c r="F18" s="1236"/>
      <c r="G18" s="1237"/>
      <c r="H18" s="1236"/>
      <c r="I18" s="1236"/>
      <c r="J18" s="1236"/>
      <c r="K18" s="1236"/>
      <c r="L18" s="1238"/>
      <c r="M18" s="1238"/>
      <c r="N18" s="1238"/>
      <c r="O18" s="1238"/>
      <c r="P18" s="1239"/>
      <c r="Q18" s="1215"/>
      <c r="R18" s="1218"/>
      <c r="S18" s="1206"/>
    </row>
    <row r="19" spans="1:19" s="1207" customFormat="1" ht="15.75" x14ac:dyDescent="0.25">
      <c r="A19" s="1204"/>
      <c r="B19" s="1462">
        <f t="shared" si="0"/>
        <v>6</v>
      </c>
      <c r="C19" s="1240"/>
      <c r="D19" s="1240"/>
      <c r="E19" s="1216"/>
      <c r="F19" s="1216"/>
      <c r="G19" s="1216"/>
      <c r="H19" s="1216"/>
      <c r="I19" s="1216"/>
      <c r="J19" s="1216"/>
      <c r="K19" s="1216"/>
      <c r="L19" s="1216"/>
      <c r="M19" s="1216"/>
      <c r="N19" s="1216"/>
      <c r="O19" s="1216"/>
      <c r="P19" s="1215"/>
      <c r="Q19" s="1215"/>
      <c r="R19" s="1218"/>
      <c r="S19" s="1241"/>
    </row>
    <row r="20" spans="1:19" s="1245" customFormat="1" ht="15.75" x14ac:dyDescent="0.25">
      <c r="A20" s="1242"/>
      <c r="B20" s="1464">
        <f t="shared" si="0"/>
        <v>7</v>
      </c>
      <c r="C20" s="1223" t="s">
        <v>960</v>
      </c>
      <c r="D20" s="1224"/>
      <c r="E20" s="1529">
        <f>[3]comparison!$G$12/1000</f>
        <v>40817970.445</v>
      </c>
      <c r="F20" s="1529">
        <f>[3]comparison!$G$16/1000</f>
        <v>1236620.575</v>
      </c>
      <c r="G20" s="1529">
        <f>[3]comparison!$G$28/1000</f>
        <v>43461525.475000001</v>
      </c>
      <c r="H20" s="1529">
        <f>[3]comparison!$G$36/1000</f>
        <v>836.80100000000004</v>
      </c>
      <c r="I20" s="1529">
        <f>([3]comparison!$G$40+[3]comparison!$G$44)/1000</f>
        <v>7196537.642</v>
      </c>
      <c r="J20" s="1530">
        <f>[3]comparison!$G$56/1000</f>
        <v>1371791.51</v>
      </c>
      <c r="K20" s="1529">
        <f>[3]comparison!$G$68/1000</f>
        <v>9461162.5539999995</v>
      </c>
      <c r="L20" s="1529">
        <f>([3]comparison!$G$72+[3]comparison!$G$76)/1000</f>
        <v>333986.83399999997</v>
      </c>
      <c r="M20" s="1531">
        <f>[3]comparison!$G$81/1000</f>
        <v>103747.4</v>
      </c>
      <c r="N20" s="1531">
        <f>[3]comparison!$G$85/1000</f>
        <v>122393.4</v>
      </c>
      <c r="O20" s="1243"/>
      <c r="P20" s="1226">
        <f>SUM(D20:O20)</f>
        <v>104106572.63600004</v>
      </c>
      <c r="Q20" s="1215"/>
      <c r="R20" s="1218"/>
      <c r="S20" s="1244" t="b">
        <v>1</v>
      </c>
    </row>
    <row r="21" spans="1:19" s="1207" customFormat="1" ht="15.75" x14ac:dyDescent="0.25">
      <c r="A21" s="1204"/>
      <c r="B21" s="1462">
        <f t="shared" si="0"/>
        <v>8</v>
      </c>
      <c r="C21" s="1227" t="s">
        <v>879</v>
      </c>
      <c r="D21" s="1235"/>
      <c r="E21" s="1246"/>
      <c r="F21" s="1246"/>
      <c r="G21" s="1246"/>
      <c r="H21" s="1246"/>
      <c r="I21" s="1246"/>
      <c r="J21" s="1236"/>
      <c r="K21" s="1246"/>
      <c r="L21" s="1247"/>
      <c r="M21" s="1236"/>
      <c r="N21" s="1236"/>
      <c r="O21" s="1236"/>
      <c r="P21" s="1239"/>
      <c r="Q21" s="1215"/>
      <c r="R21" s="1218"/>
      <c r="S21" s="1241"/>
    </row>
    <row r="22" spans="1:19" s="1207" customFormat="1" ht="15.75" x14ac:dyDescent="0.25">
      <c r="A22" s="1204"/>
      <c r="B22" s="1462">
        <f t="shared" si="0"/>
        <v>9</v>
      </c>
      <c r="C22" s="1240"/>
      <c r="D22" s="1240"/>
      <c r="E22" s="1216"/>
      <c r="F22" s="1216"/>
      <c r="G22" s="1216"/>
      <c r="H22" s="1216"/>
      <c r="I22" s="1216"/>
      <c r="J22" s="1216"/>
      <c r="K22" s="1216"/>
      <c r="L22" s="1216"/>
      <c r="M22" s="1216"/>
      <c r="N22" s="1216"/>
      <c r="O22" s="1216"/>
      <c r="P22" s="1215"/>
      <c r="Q22" s="1215"/>
      <c r="R22" s="1218"/>
      <c r="S22" s="1241"/>
    </row>
    <row r="23" spans="1:19" s="1207" customFormat="1" ht="15.75" x14ac:dyDescent="0.25">
      <c r="A23" s="1204"/>
      <c r="B23" s="1462">
        <f t="shared" si="0"/>
        <v>10</v>
      </c>
      <c r="C23" s="1223" t="s">
        <v>438</v>
      </c>
      <c r="D23" s="1224"/>
      <c r="E23" s="1248" t="s">
        <v>427</v>
      </c>
      <c r="F23" s="1248" t="s">
        <v>428</v>
      </c>
      <c r="G23" s="1248" t="s">
        <v>429</v>
      </c>
      <c r="H23" s="1248" t="s">
        <v>430</v>
      </c>
      <c r="I23" s="1248" t="s">
        <v>432</v>
      </c>
      <c r="J23" s="1248" t="s">
        <v>431</v>
      </c>
      <c r="K23" s="1248" t="s">
        <v>6</v>
      </c>
      <c r="L23" s="1248" t="s">
        <v>433</v>
      </c>
      <c r="M23" s="1248" t="s">
        <v>425</v>
      </c>
      <c r="N23" s="1248" t="s">
        <v>426</v>
      </c>
      <c r="O23" s="1249"/>
      <c r="P23" s="1250"/>
      <c r="Q23" s="1251"/>
      <c r="R23" s="1241"/>
      <c r="S23" s="1206"/>
    </row>
    <row r="24" spans="1:19" s="1207" customFormat="1" ht="15.75" x14ac:dyDescent="0.25">
      <c r="A24" s="1204"/>
      <c r="B24" s="1462">
        <f t="shared" si="0"/>
        <v>11</v>
      </c>
      <c r="C24" s="1304" t="s">
        <v>1316</v>
      </c>
      <c r="D24" s="1252"/>
      <c r="E24" s="1532">
        <f>[5]RESIDENTIAL!H22</f>
        <v>15919713.533920208</v>
      </c>
      <c r="F24" s="1532">
        <f>'[5]SEC &lt; 10kW'!H22</f>
        <v>300765.84980009048</v>
      </c>
      <c r="G24" s="1532">
        <f>'[5]SEC &gt; 10kW '!H22</f>
        <v>7917999.2257910557</v>
      </c>
      <c r="H24" s="1532">
        <f>'[5]PRIMARY  &lt; 10kW'!H22</f>
        <v>4784.8338942797454</v>
      </c>
      <c r="I24" s="1532">
        <f>'[5]PRIMARY  &gt; 10kW DLS'!H22</f>
        <v>2702558.3577933717</v>
      </c>
      <c r="J24" s="1532">
        <f>'[5]PRIMARY  SUBSTATIONS'!H22</f>
        <v>1241474.0075200857</v>
      </c>
      <c r="K24" s="1532">
        <f>[5]TRANSMISSION!H22</f>
        <v>4209762.7586206896</v>
      </c>
      <c r="L24" s="1532">
        <f>'[5]STREET LIGHTING'!H22</f>
        <v>90934.292990564922</v>
      </c>
      <c r="M24" s="1532">
        <f>'[5]WHOLESALE SUB '!H22</f>
        <v>89360.767768842663</v>
      </c>
      <c r="N24" s="1532">
        <f>'[5]WHOLESALE DLS'!H22</f>
        <v>115405.61806833629</v>
      </c>
      <c r="O24" s="1533"/>
      <c r="P24" s="1534">
        <f t="shared" ref="P24:P35" si="1">SUM(D24:O24)</f>
        <v>32592759.246167526</v>
      </c>
      <c r="Q24" s="1215"/>
      <c r="R24" s="1241"/>
      <c r="S24" s="1206"/>
    </row>
    <row r="25" spans="1:19" s="1207" customFormat="1" ht="15.75" x14ac:dyDescent="0.25">
      <c r="A25" s="1204"/>
      <c r="B25" s="1462">
        <f t="shared" si="0"/>
        <v>12</v>
      </c>
      <c r="C25" s="1254" t="s">
        <v>1281</v>
      </c>
      <c r="D25" s="1252"/>
      <c r="E25" s="1532">
        <f>[5]RESIDENTIAL!H23</f>
        <v>8287879.7637167973</v>
      </c>
      <c r="F25" s="1532">
        <f>'[5]SEC &lt; 10kW'!H23</f>
        <v>217908.33541200767</v>
      </c>
      <c r="G25" s="1532">
        <f>'[5]SEC &gt; 10kW '!H23</f>
        <v>6971509.7142845541</v>
      </c>
      <c r="H25" s="1532">
        <f>'[5]PRIMARY  &lt; 10kW'!H23</f>
        <v>3442.5638442360087</v>
      </c>
      <c r="I25" s="1532">
        <f>'[5]PRIMARY  &gt; 10kW DLS'!H23</f>
        <v>2799985.7874292778</v>
      </c>
      <c r="J25" s="1532">
        <f>'[5]PRIMARY  SUBSTATIONS'!H23</f>
        <v>1292762.1114743971</v>
      </c>
      <c r="K25" s="1532">
        <f>[5]TRANSMISSION!H23</f>
        <v>4210422.9375</v>
      </c>
      <c r="L25" s="1532">
        <f>'[5]STREET LIGHTING'!H23</f>
        <v>90934.292990564922</v>
      </c>
      <c r="M25" s="1532">
        <f>'[5]WHOLESALE SUB '!H23</f>
        <v>64912.699655787968</v>
      </c>
      <c r="N25" s="1532">
        <f>'[5]WHOLESALE DLS'!H23</f>
        <v>79989.94972666401</v>
      </c>
      <c r="O25" s="1533"/>
      <c r="P25" s="1534">
        <f t="shared" si="1"/>
        <v>24019748.156034287</v>
      </c>
      <c r="Q25" s="1215"/>
      <c r="R25" s="1241"/>
      <c r="S25" s="1206"/>
    </row>
    <row r="26" spans="1:19" s="1207" customFormat="1" ht="15.75" x14ac:dyDescent="0.25">
      <c r="A26" s="1204"/>
      <c r="B26" s="1462">
        <f t="shared" si="0"/>
        <v>13</v>
      </c>
      <c r="C26" s="1254" t="s">
        <v>1282</v>
      </c>
      <c r="D26" s="1252"/>
      <c r="E26" s="1532">
        <f>[5]RESIDENTIAL!H24</f>
        <v>7317376.1935723377</v>
      </c>
      <c r="F26" s="1532">
        <f>'[5]SEC &lt; 10kW'!H24</f>
        <v>211593.30275397486</v>
      </c>
      <c r="G26" s="1532">
        <f>'[5]SEC &gt; 10kW '!H24</f>
        <v>7002650.6864771834</v>
      </c>
      <c r="H26" s="1532">
        <f>'[5]PRIMARY  &lt; 10kW'!H24</f>
        <v>3089.396638562052</v>
      </c>
      <c r="I26" s="1532">
        <f>'[5]PRIMARY  &gt; 10kW DLS'!H24</f>
        <v>2728085.8871339159</v>
      </c>
      <c r="J26" s="1532">
        <f>'[5]PRIMARY  SUBSTATIONS'!H24</f>
        <v>1239394.2151390172</v>
      </c>
      <c r="K26" s="1532">
        <f>[5]TRANSMISSION!H24</f>
        <v>4415905.2173913047</v>
      </c>
      <c r="L26" s="1532">
        <f>'[5]STREET LIGHTING'!H24</f>
        <v>90934.292990564922</v>
      </c>
      <c r="M26" s="1532">
        <f>'[5]WHOLESALE SUB '!H24</f>
        <v>46902.906102242589</v>
      </c>
      <c r="N26" s="1532">
        <f>'[5]WHOLESALE DLS'!H24</f>
        <v>62098.356337041121</v>
      </c>
      <c r="O26" s="1533"/>
      <c r="P26" s="1534">
        <f t="shared" si="1"/>
        <v>23118030.454536147</v>
      </c>
      <c r="Q26" s="1215"/>
      <c r="R26" s="1241"/>
      <c r="S26" s="1206"/>
    </row>
    <row r="27" spans="1:19" s="1207" customFormat="1" ht="15.75" x14ac:dyDescent="0.25">
      <c r="A27" s="1204"/>
      <c r="B27" s="1462">
        <f t="shared" si="0"/>
        <v>14</v>
      </c>
      <c r="C27" s="1254" t="s">
        <v>1283</v>
      </c>
      <c r="D27" s="1252"/>
      <c r="E27" s="1532">
        <f>[5]RESIDENTIAL!H25</f>
        <v>8090895.0192927467</v>
      </c>
      <c r="F27" s="1532">
        <f>'[5]SEC &lt; 10kW'!H25</f>
        <v>208190.93753213869</v>
      </c>
      <c r="G27" s="1532">
        <f>'[5]SEC &gt; 10kW '!H25</f>
        <v>7882866.1289557172</v>
      </c>
      <c r="H27" s="1532">
        <f>'[5]PRIMARY  &lt; 10kW'!H25</f>
        <v>3250.8339113051647</v>
      </c>
      <c r="I27" s="1532">
        <f>'[5]PRIMARY  &gt; 10kW DLS'!H25</f>
        <v>2802624.4730551001</v>
      </c>
      <c r="J27" s="1532">
        <f>'[5]PRIMARY  SUBSTATIONS'!H25</f>
        <v>1218123.9799573731</v>
      </c>
      <c r="K27" s="1532">
        <f>[5]TRANSMISSION!H25</f>
        <v>4456475.0310559003</v>
      </c>
      <c r="L27" s="1532">
        <f>'[5]STREET LIGHTING'!H25</f>
        <v>90934.292990564922</v>
      </c>
      <c r="M27" s="1532">
        <f>'[5]WHOLESALE SUB '!H25</f>
        <v>44022.171709591537</v>
      </c>
      <c r="N27" s="1532">
        <f>'[5]WHOLESALE DLS'!H25</f>
        <v>56796.504248876379</v>
      </c>
      <c r="O27" s="1533"/>
      <c r="P27" s="1534">
        <f t="shared" si="1"/>
        <v>24854179.372709315</v>
      </c>
      <c r="Q27" s="1215"/>
      <c r="R27" s="1241"/>
      <c r="S27" s="1206"/>
    </row>
    <row r="28" spans="1:19" s="1207" customFormat="1" ht="15.75" x14ac:dyDescent="0.25">
      <c r="A28" s="1204"/>
      <c r="B28" s="1462">
        <f t="shared" si="0"/>
        <v>15</v>
      </c>
      <c r="C28" s="1254" t="s">
        <v>1284</v>
      </c>
      <c r="D28" s="1252"/>
      <c r="E28" s="1532">
        <f>[5]RESIDENTIAL!H26</f>
        <v>11218275.33367799</v>
      </c>
      <c r="F28" s="1532">
        <f>'[5]SEC &lt; 10kW'!H26</f>
        <v>224177.84261521048</v>
      </c>
      <c r="G28" s="1532">
        <f>'[5]SEC &gt; 10kW '!H26</f>
        <v>8554091.1605173722</v>
      </c>
      <c r="H28" s="1532">
        <f>'[5]PRIMARY  &lt; 10kW'!H26</f>
        <v>4006.1477474479698</v>
      </c>
      <c r="I28" s="1532">
        <f>'[5]PRIMARY  &gt; 10kW DLS'!H26</f>
        <v>2829760.6355566075</v>
      </c>
      <c r="J28" s="1532">
        <f>'[5]PRIMARY  SUBSTATIONS'!H26</f>
        <v>1178415.485159846</v>
      </c>
      <c r="K28" s="1532">
        <f>[5]TRANSMISSION!H26</f>
        <v>4378300.6790123461</v>
      </c>
      <c r="L28" s="1532">
        <f>'[5]STREET LIGHTING'!H26</f>
        <v>90934.292990564922</v>
      </c>
      <c r="M28" s="1532">
        <f>'[5]WHOLESALE SUB '!H26</f>
        <v>61859.800914074614</v>
      </c>
      <c r="N28" s="1532">
        <f>'[5]WHOLESALE DLS'!H26</f>
        <v>74792.056244914347</v>
      </c>
      <c r="O28" s="1533"/>
      <c r="P28" s="1534">
        <f t="shared" si="1"/>
        <v>28614613.434436377</v>
      </c>
      <c r="Q28" s="1215"/>
      <c r="R28" s="1241"/>
      <c r="S28" s="1206"/>
    </row>
    <row r="29" spans="1:19" s="1207" customFormat="1" ht="15.75" x14ac:dyDescent="0.25">
      <c r="A29" s="1204"/>
      <c r="B29" s="1462">
        <f t="shared" si="0"/>
        <v>16</v>
      </c>
      <c r="C29" s="1254" t="s">
        <v>1285</v>
      </c>
      <c r="D29" s="1252"/>
      <c r="E29" s="1532">
        <f>[5]RESIDENTIAL!H27</f>
        <v>12552930.608607061</v>
      </c>
      <c r="F29" s="1532">
        <f>'[5]SEC &lt; 10kW'!H27</f>
        <v>264273.59003355959</v>
      </c>
      <c r="G29" s="1532">
        <f>'[5]SEC &gt; 10kW '!H27</f>
        <v>9315276.1003653929</v>
      </c>
      <c r="H29" s="1532">
        <f>'[5]PRIMARY  &lt; 10kW'!H27</f>
        <v>2941.3081589356198</v>
      </c>
      <c r="I29" s="1532">
        <f>'[5]PRIMARY  &gt; 10kW DLS'!H27</f>
        <v>2910580.6710426956</v>
      </c>
      <c r="J29" s="1532">
        <f>'[5]PRIMARY  SUBSTATIONS'!H27</f>
        <v>1275612.2058445262</v>
      </c>
      <c r="K29" s="1532">
        <f>[5]TRANSMISSION!H27</f>
        <v>4472397.5460122703</v>
      </c>
      <c r="L29" s="1532">
        <f>'[5]STREET LIGHTING'!H27</f>
        <v>90934.292990564922</v>
      </c>
      <c r="M29" s="1532">
        <f>'[5]WHOLESALE SUB '!H27</f>
        <v>70371.890760891532</v>
      </c>
      <c r="N29" s="1532">
        <f>'[5]WHOLESALE DLS'!H27</f>
        <v>85539.635335083847</v>
      </c>
      <c r="O29" s="1533"/>
      <c r="P29" s="1534">
        <f t="shared" si="1"/>
        <v>31040857.849150982</v>
      </c>
      <c r="Q29" s="1215"/>
      <c r="R29" s="1241"/>
      <c r="S29" s="1206"/>
    </row>
    <row r="30" spans="1:19" s="1207" customFormat="1" ht="15.75" x14ac:dyDescent="0.25">
      <c r="A30" s="1204"/>
      <c r="B30" s="1462">
        <f t="shared" si="0"/>
        <v>17</v>
      </c>
      <c r="C30" s="1254" t="s">
        <v>1286</v>
      </c>
      <c r="D30" s="1252"/>
      <c r="E30" s="1532">
        <f>[5]RESIDENTIAL!H28</f>
        <v>12342725.183295522</v>
      </c>
      <c r="F30" s="1532">
        <f>'[5]SEC &lt; 10kW'!H28</f>
        <v>266096.84349977534</v>
      </c>
      <c r="G30" s="1532">
        <f>'[5]SEC &gt; 10kW '!H28</f>
        <v>9212187.2938459888</v>
      </c>
      <c r="H30" s="1532">
        <f>'[5]PRIMARY  &lt; 10kW'!H28</f>
        <v>3167.1227822293049</v>
      </c>
      <c r="I30" s="1532">
        <f>'[5]PRIMARY  &gt; 10kW DLS'!H28</f>
        <v>2974296.1602397538</v>
      </c>
      <c r="J30" s="1532">
        <f>'[5]PRIMARY  SUBSTATIONS'!H28</f>
        <v>1263313.2926533939</v>
      </c>
      <c r="K30" s="1532">
        <f>[5]TRANSMISSION!H28</f>
        <v>4592163.7308868505</v>
      </c>
      <c r="L30" s="1532">
        <f>'[5]STREET LIGHTING'!H28</f>
        <v>90934.292990564922</v>
      </c>
      <c r="M30" s="1532">
        <f>'[5]WHOLESALE SUB '!H28</f>
        <v>72575.336995198959</v>
      </c>
      <c r="N30" s="1532">
        <f>'[5]WHOLESALE DLS'!H28</f>
        <v>87509.224113561679</v>
      </c>
      <c r="O30" s="1533"/>
      <c r="P30" s="1534">
        <f t="shared" si="1"/>
        <v>30904968.481302839</v>
      </c>
      <c r="Q30" s="1215"/>
      <c r="R30" s="1241"/>
      <c r="S30" s="1206"/>
    </row>
    <row r="31" spans="1:19" s="1207" customFormat="1" ht="15.75" x14ac:dyDescent="0.25">
      <c r="A31" s="1204"/>
      <c r="B31" s="1462">
        <f t="shared" si="0"/>
        <v>18</v>
      </c>
      <c r="C31" s="1254" t="s">
        <v>1287</v>
      </c>
      <c r="D31" s="1252"/>
      <c r="E31" s="1532">
        <f>[5]RESIDENTIAL!H29</f>
        <v>14969814.510673698</v>
      </c>
      <c r="F31" s="1532">
        <f>'[5]SEC &lt; 10kW'!H29</f>
        <v>285766.92437535385</v>
      </c>
      <c r="G31" s="1532">
        <f>'[5]SEC &gt; 10kW '!H29</f>
        <v>10225299.230063109</v>
      </c>
      <c r="H31" s="1532">
        <f>'[5]PRIMARY  &lt; 10kW'!H29</f>
        <v>3133.4057381981179</v>
      </c>
      <c r="I31" s="1532">
        <f>'[5]PRIMARY  &gt; 10kW DLS'!H29</f>
        <v>3007684.7612368348</v>
      </c>
      <c r="J31" s="1532">
        <f>'[5]PRIMARY  SUBSTATIONS'!H29</f>
        <v>1240931.1234971692</v>
      </c>
      <c r="K31" s="1532">
        <f>[5]TRANSMISSION!H29</f>
        <v>4537057.8787878789</v>
      </c>
      <c r="L31" s="1532">
        <f>'[5]STREET LIGHTING'!H29</f>
        <v>90934.292990564922</v>
      </c>
      <c r="M31" s="1532">
        <f>'[5]WHOLESALE SUB '!H29</f>
        <v>77669.672522013381</v>
      </c>
      <c r="N31" s="1532">
        <f>'[5]WHOLESALE DLS'!H29</f>
        <v>92229.316325092455</v>
      </c>
      <c r="O31" s="1533"/>
      <c r="P31" s="1534">
        <f t="shared" si="1"/>
        <v>34530521.116209909</v>
      </c>
      <c r="Q31" s="1215"/>
      <c r="R31" s="1241"/>
      <c r="S31" s="1206"/>
    </row>
    <row r="32" spans="1:19" s="1207" customFormat="1" ht="15.75" x14ac:dyDescent="0.25">
      <c r="A32" s="1204"/>
      <c r="B32" s="1462">
        <f t="shared" si="0"/>
        <v>19</v>
      </c>
      <c r="C32" s="1254" t="s">
        <v>1288</v>
      </c>
      <c r="D32" s="1252"/>
      <c r="E32" s="1532">
        <f>[5]RESIDENTIAL!H30</f>
        <v>11435652.078624286</v>
      </c>
      <c r="F32" s="1532">
        <f>'[5]SEC &lt; 10kW'!H30</f>
        <v>255403.78796578705</v>
      </c>
      <c r="G32" s="1532">
        <f>'[5]SEC &gt; 10kW '!H30</f>
        <v>9228423.054467408</v>
      </c>
      <c r="H32" s="1532">
        <f>'[5]PRIMARY  &lt; 10kW'!H30</f>
        <v>2991.1736680826061</v>
      </c>
      <c r="I32" s="1532">
        <f>'[5]PRIMARY  &gt; 10kW DLS'!H30</f>
        <v>2844542.1853388338</v>
      </c>
      <c r="J32" s="1532">
        <f>'[5]PRIMARY  SUBSTATIONS'!H30</f>
        <v>1216577.2007640626</v>
      </c>
      <c r="K32" s="1532">
        <f>[5]TRANSMISSION!H30</f>
        <v>4547874.8192771077</v>
      </c>
      <c r="L32" s="1532">
        <f>'[5]STREET LIGHTING'!H30</f>
        <v>90934.292990564922</v>
      </c>
      <c r="M32" s="1532">
        <f>'[5]WHOLESALE SUB '!H30</f>
        <v>66051.819452322467</v>
      </c>
      <c r="N32" s="1532">
        <f>'[5]WHOLESALE DLS'!H30</f>
        <v>82633.011326629072</v>
      </c>
      <c r="O32" s="1533"/>
      <c r="P32" s="1534">
        <f t="shared" si="1"/>
        <v>29771083.423875086</v>
      </c>
      <c r="Q32" s="1215"/>
      <c r="R32" s="1241"/>
      <c r="S32" s="1206"/>
    </row>
    <row r="33" spans="1:19" s="1207" customFormat="1" ht="15.75" x14ac:dyDescent="0.25">
      <c r="A33" s="1204"/>
      <c r="B33" s="1462">
        <f t="shared" si="0"/>
        <v>20</v>
      </c>
      <c r="C33" s="1254" t="s">
        <v>1289</v>
      </c>
      <c r="D33" s="1252"/>
      <c r="E33" s="1532">
        <f>[5]RESIDENTIAL!H31</f>
        <v>9723940.28550932</v>
      </c>
      <c r="F33" s="1532">
        <f>'[5]SEC &lt; 10kW'!H31</f>
        <v>235314.41057235043</v>
      </c>
      <c r="G33" s="1532">
        <f>'[5]SEC &gt; 10kW '!H31</f>
        <v>8449680.6106396373</v>
      </c>
      <c r="H33" s="1532">
        <f>'[5]PRIMARY  &lt; 10kW'!H31</f>
        <v>2997.9659748118411</v>
      </c>
      <c r="I33" s="1532">
        <f>'[5]PRIMARY  &gt; 10kW DLS'!H31</f>
        <v>2880897.1963286796</v>
      </c>
      <c r="J33" s="1532">
        <f>'[5]PRIMARY  SUBSTATIONS'!H31</f>
        <v>1238556.324976482</v>
      </c>
      <c r="K33" s="1532">
        <f>[5]TRANSMISSION!H31</f>
        <v>4624161.8072289154</v>
      </c>
      <c r="L33" s="1532">
        <f>'[5]STREET LIGHTING'!H31</f>
        <v>90934.292990564922</v>
      </c>
      <c r="M33" s="1532">
        <f>'[5]WHOLESALE SUB '!H31</f>
        <v>57434.505953820903</v>
      </c>
      <c r="N33" s="1532">
        <f>'[5]WHOLESALE DLS'!H31</f>
        <v>72446.409968448963</v>
      </c>
      <c r="O33" s="1533"/>
      <c r="P33" s="1534">
        <f t="shared" si="1"/>
        <v>27376363.810143035</v>
      </c>
      <c r="Q33" s="1215"/>
      <c r="R33" s="1241"/>
      <c r="S33" s="1206"/>
    </row>
    <row r="34" spans="1:19" s="1207" customFormat="1" ht="15.75" x14ac:dyDescent="0.25">
      <c r="A34" s="1204"/>
      <c r="B34" s="1462">
        <f t="shared" si="0"/>
        <v>21</v>
      </c>
      <c r="C34" s="1254" t="s">
        <v>1290</v>
      </c>
      <c r="D34" s="1252"/>
      <c r="E34" s="1532">
        <f>[5]RESIDENTIAL!H32</f>
        <v>5981747.3540480733</v>
      </c>
      <c r="F34" s="1532">
        <f>'[5]SEC &lt; 10kW'!H32</f>
        <v>194822.66114175439</v>
      </c>
      <c r="G34" s="1532">
        <f>'[5]SEC &gt; 10kW '!H32</f>
        <v>6905374.5807803655</v>
      </c>
      <c r="H34" s="1532">
        <f>'[5]PRIMARY  &lt; 10kW'!H32</f>
        <v>4110.6451832255925</v>
      </c>
      <c r="I34" s="1532">
        <f>'[5]PRIMARY  &gt; 10kW DLS'!H32</f>
        <v>2721949.8280338109</v>
      </c>
      <c r="J34" s="1532">
        <f>'[5]PRIMARY  SUBSTATIONS'!H32</f>
        <v>1206497.4367485361</v>
      </c>
      <c r="K34" s="1532">
        <f>[5]TRANSMISSION!H32</f>
        <v>4728173.3532934133</v>
      </c>
      <c r="L34" s="1532">
        <f>'[5]STREET LIGHTING'!H32</f>
        <v>90934.292990564922</v>
      </c>
      <c r="M34" s="1532">
        <f>'[5]WHOLESALE SUB '!H32</f>
        <v>43239.049797198095</v>
      </c>
      <c r="N34" s="1532">
        <f>'[5]WHOLESALE DLS'!H32</f>
        <v>63395.959045696203</v>
      </c>
      <c r="O34" s="1533"/>
      <c r="P34" s="1534">
        <f t="shared" si="1"/>
        <v>21940245.161062639</v>
      </c>
      <c r="Q34" s="1215"/>
      <c r="R34" s="1241"/>
      <c r="S34" s="1206"/>
    </row>
    <row r="35" spans="1:19" s="1207" customFormat="1" ht="15.75" x14ac:dyDescent="0.25">
      <c r="A35" s="1204"/>
      <c r="B35" s="1462">
        <f t="shared" si="0"/>
        <v>22</v>
      </c>
      <c r="C35" s="1254" t="s">
        <v>1291</v>
      </c>
      <c r="D35" s="1252"/>
      <c r="E35" s="1532">
        <f>[5]RESIDENTIAL!H33</f>
        <v>8934652.1157820858</v>
      </c>
      <c r="F35" s="1532">
        <f>'[5]SEC &lt; 10kW'!H33</f>
        <v>222290.0860874381</v>
      </c>
      <c r="G35" s="1532">
        <f>'[5]SEC &gt; 10kW '!H33</f>
        <v>6492837.4603327829</v>
      </c>
      <c r="H35" s="1532">
        <f>'[5]PRIMARY  &lt; 10kW'!H33</f>
        <v>4228.0816037021104</v>
      </c>
      <c r="I35" s="1532">
        <f>'[5]PRIMARY  &gt; 10kW DLS'!H33</f>
        <v>2730900.9565502899</v>
      </c>
      <c r="J35" s="1532">
        <f>'[5]PRIMARY  SUBSTATIONS'!H33</f>
        <v>1196100.7629852102</v>
      </c>
      <c r="K35" s="1532">
        <f>[5]TRANSMISSION!H33</f>
        <v>4667054</v>
      </c>
      <c r="L35" s="1532">
        <f>'[5]STREET LIGHTING'!H33</f>
        <v>90934.292990564922</v>
      </c>
      <c r="M35" s="1532">
        <f>'[5]WHOLESALE SUB '!H33</f>
        <v>53983.728259999996</v>
      </c>
      <c r="N35" s="1532">
        <f>'[5]WHOLESALE DLS'!H33</f>
        <v>73761.323302170902</v>
      </c>
      <c r="O35" s="1533"/>
      <c r="P35" s="1534">
        <f t="shared" si="1"/>
        <v>24466742.807894245</v>
      </c>
      <c r="Q35" s="1215"/>
      <c r="R35" s="1241"/>
      <c r="S35" s="1206"/>
    </row>
    <row r="36" spans="1:19" s="1207" customFormat="1" ht="15" x14ac:dyDescent="0.2">
      <c r="A36" s="1204"/>
      <c r="B36" s="1462">
        <f t="shared" si="0"/>
        <v>23</v>
      </c>
      <c r="C36" s="1256"/>
      <c r="D36" s="1257"/>
      <c r="E36" s="1533"/>
      <c r="F36" s="1533" t="s">
        <v>0</v>
      </c>
      <c r="G36" s="1533"/>
      <c r="H36" s="1533"/>
      <c r="I36" s="1533"/>
      <c r="J36" s="1533"/>
      <c r="K36" s="1533"/>
      <c r="L36" s="1533"/>
      <c r="M36" s="1533"/>
      <c r="N36" s="1533"/>
      <c r="O36" s="1533"/>
      <c r="P36" s="1535"/>
      <c r="Q36" s="1251"/>
      <c r="R36" s="1241"/>
      <c r="S36" s="1206"/>
    </row>
    <row r="37" spans="1:19" s="1207" customFormat="1" ht="15.75" x14ac:dyDescent="0.25">
      <c r="A37" s="1204"/>
      <c r="B37" s="1462">
        <f t="shared" si="0"/>
        <v>24</v>
      </c>
      <c r="C37" s="1258" t="s">
        <v>439</v>
      </c>
      <c r="D37" s="1259"/>
      <c r="E37" s="1536">
        <f t="shared" ref="E37:N37" si="2">MAX(E24:E35)</f>
        <v>15919713.533920208</v>
      </c>
      <c r="F37" s="1536">
        <f t="shared" si="2"/>
        <v>300765.84980009048</v>
      </c>
      <c r="G37" s="1536">
        <f t="shared" si="2"/>
        <v>10225299.230063109</v>
      </c>
      <c r="H37" s="1536">
        <f t="shared" si="2"/>
        <v>4784.8338942797454</v>
      </c>
      <c r="I37" s="1536">
        <f t="shared" si="2"/>
        <v>3007684.7612368348</v>
      </c>
      <c r="J37" s="1536">
        <f>MAX(J24:J35)</f>
        <v>1292762.1114743971</v>
      </c>
      <c r="K37" s="1536">
        <f t="shared" si="2"/>
        <v>4728173.3532934133</v>
      </c>
      <c r="L37" s="1536">
        <f t="shared" si="2"/>
        <v>90934.292990564922</v>
      </c>
      <c r="M37" s="1536">
        <f t="shared" si="2"/>
        <v>89360.767768842663</v>
      </c>
      <c r="N37" s="1536">
        <f t="shared" si="2"/>
        <v>115405.61806833629</v>
      </c>
      <c r="O37" s="1536"/>
      <c r="P37" s="1537">
        <f>SUM(D37:O37)</f>
        <v>35774884.35251008</v>
      </c>
      <c r="Q37" s="1215"/>
      <c r="R37" s="1241"/>
      <c r="S37" s="1206"/>
    </row>
    <row r="38" spans="1:19" s="1207" customFormat="1" ht="15.75" x14ac:dyDescent="0.25">
      <c r="A38" s="1204"/>
      <c r="B38" s="1462">
        <f t="shared" si="0"/>
        <v>25</v>
      </c>
      <c r="C38" s="1260"/>
      <c r="D38" s="1260"/>
      <c r="E38" s="1261"/>
      <c r="F38" s="1261"/>
      <c r="G38" s="1261"/>
      <c r="H38" s="1261"/>
      <c r="I38" s="1261"/>
      <c r="J38" s="1261"/>
      <c r="K38" s="1261"/>
      <c r="L38" s="1261"/>
      <c r="M38" s="1261"/>
      <c r="N38" s="1261"/>
      <c r="O38" s="1261"/>
      <c r="P38" s="1215"/>
      <c r="Q38" s="1215"/>
      <c r="R38" s="1241"/>
      <c r="S38" s="1206"/>
    </row>
    <row r="39" spans="1:19" s="1207" customFormat="1" ht="15.75" x14ac:dyDescent="0.25">
      <c r="A39" s="1204"/>
      <c r="B39" s="1462">
        <f t="shared" si="0"/>
        <v>26</v>
      </c>
      <c r="C39" s="1223" t="s">
        <v>880</v>
      </c>
      <c r="D39" s="1224"/>
      <c r="E39" s="1248" t="s">
        <v>427</v>
      </c>
      <c r="F39" s="1248" t="s">
        <v>428</v>
      </c>
      <c r="G39" s="1248" t="s">
        <v>429</v>
      </c>
      <c r="H39" s="1248" t="s">
        <v>430</v>
      </c>
      <c r="I39" s="1248" t="s">
        <v>432</v>
      </c>
      <c r="J39" s="1248" t="s">
        <v>431</v>
      </c>
      <c r="K39" s="1248" t="s">
        <v>6</v>
      </c>
      <c r="L39" s="1248" t="s">
        <v>433</v>
      </c>
      <c r="M39" s="1248" t="s">
        <v>425</v>
      </c>
      <c r="N39" s="1248" t="s">
        <v>426</v>
      </c>
      <c r="O39" s="1243"/>
      <c r="P39" s="1262"/>
      <c r="Q39" s="1216"/>
      <c r="R39" s="1263"/>
      <c r="S39" s="1206"/>
    </row>
    <row r="40" spans="1:19" s="1207" customFormat="1" ht="15.75" x14ac:dyDescent="0.25">
      <c r="A40" s="1204"/>
      <c r="B40" s="1462">
        <f t="shared" si="0"/>
        <v>27</v>
      </c>
      <c r="C40" s="1258" t="s">
        <v>675</v>
      </c>
      <c r="D40" s="1259"/>
      <c r="E40" s="1264">
        <f>[4]Sheet1!$E$22</f>
        <v>12679094.989879329</v>
      </c>
      <c r="F40" s="1264">
        <f>[4]Sheet1!$F$22</f>
        <v>255601.64743040886</v>
      </c>
      <c r="G40" s="1264">
        <f>[4]Sheet1!$G$22</f>
        <v>8826874.5016730912</v>
      </c>
      <c r="H40" s="1264">
        <f>[4]Sheet1!$H$22</f>
        <v>2792.4322421174811</v>
      </c>
      <c r="I40" s="1264">
        <f>[4]Sheet1!$I$22</f>
        <v>2744545.7438364113</v>
      </c>
      <c r="J40" s="1264">
        <f>[4]Sheet1!$J$22</f>
        <v>996379.58746995602</v>
      </c>
      <c r="K40" s="1264">
        <f>[4]Sheet1!$K$22</f>
        <v>3403571.9674686831</v>
      </c>
      <c r="L40" s="1264">
        <f>[4]Sheet1!$L$22</f>
        <v>0</v>
      </c>
      <c r="M40" s="1236" t="s">
        <v>406</v>
      </c>
      <c r="N40" s="1236" t="s">
        <v>406</v>
      </c>
      <c r="O40" s="1236"/>
      <c r="P40" s="1239">
        <f>SUM(D40:O40)</f>
        <v>28908860.869999997</v>
      </c>
      <c r="Q40" s="1215"/>
      <c r="R40" s="1263"/>
      <c r="S40" s="1206"/>
    </row>
    <row r="41" spans="1:19" s="1207" customFormat="1" ht="15.75" x14ac:dyDescent="0.25">
      <c r="A41" s="1204"/>
      <c r="B41" s="1462">
        <f t="shared" si="0"/>
        <v>28</v>
      </c>
      <c r="C41" s="1265"/>
      <c r="D41" s="1265"/>
      <c r="E41" s="1266"/>
      <c r="F41" s="1266"/>
      <c r="G41" s="1266"/>
      <c r="H41" s="1266"/>
      <c r="I41" s="1266"/>
      <c r="J41" s="1266"/>
      <c r="K41" s="1266"/>
      <c r="L41" s="1266"/>
      <c r="M41" s="1216"/>
      <c r="N41" s="1216"/>
      <c r="O41" s="1216"/>
      <c r="P41" s="1215"/>
      <c r="Q41" s="1215"/>
      <c r="R41" s="1263"/>
      <c r="S41" s="1206"/>
    </row>
    <row r="42" spans="1:19" s="1207" customFormat="1" ht="15.75" x14ac:dyDescent="0.25">
      <c r="A42" s="1204"/>
      <c r="B42" s="1462">
        <f t="shared" si="0"/>
        <v>29</v>
      </c>
      <c r="C42" s="1267" t="s">
        <v>889</v>
      </c>
      <c r="D42" s="1265"/>
      <c r="E42" s="1245"/>
      <c r="F42" s="1245"/>
      <c r="G42" s="1268">
        <v>0</v>
      </c>
      <c r="H42" s="1266"/>
      <c r="I42" s="1269"/>
      <c r="J42" s="1266"/>
      <c r="K42" s="1268">
        <v>0</v>
      </c>
      <c r="L42" s="1266"/>
      <c r="O42" s="1216"/>
      <c r="P42" s="1234"/>
      <c r="Q42" s="1215"/>
      <c r="R42" s="1263"/>
      <c r="S42" s="1206"/>
    </row>
    <row r="43" spans="1:19" s="1207" customFormat="1" ht="15.75" x14ac:dyDescent="0.25">
      <c r="A43" s="1204"/>
      <c r="B43" s="1222"/>
      <c r="C43" s="1265"/>
      <c r="D43" s="1265"/>
      <c r="E43" s="1255"/>
      <c r="F43" s="1253"/>
      <c r="G43" s="1266"/>
      <c r="H43" s="1266"/>
      <c r="I43" s="1266"/>
      <c r="J43" s="1266"/>
      <c r="K43" s="1266"/>
      <c r="L43" s="1266"/>
      <c r="M43" s="1456"/>
      <c r="N43" s="1457" t="s">
        <v>1193</v>
      </c>
      <c r="O43" s="1243"/>
      <c r="P43" s="1280">
        <f>'WP II-I-1.1'!$G$279</f>
        <v>1604197.31</v>
      </c>
      <c r="Q43" s="1282"/>
      <c r="R43" s="1234"/>
      <c r="S43" s="1206"/>
    </row>
    <row r="44" spans="1:19" s="1207" customFormat="1" ht="15.75" x14ac:dyDescent="0.25">
      <c r="A44" s="1204"/>
      <c r="B44" s="1216"/>
      <c r="C44" s="1271"/>
      <c r="D44" s="1215"/>
      <c r="E44" s="1270"/>
      <c r="F44" s="1266"/>
      <c r="G44" s="1266"/>
      <c r="H44" s="1266"/>
      <c r="I44" s="1266"/>
      <c r="J44" s="1266"/>
      <c r="K44" s="1270" t="s">
        <v>1198</v>
      </c>
      <c r="L44" s="1266"/>
      <c r="M44" s="1458"/>
      <c r="N44" s="1455" t="s">
        <v>1317</v>
      </c>
      <c r="O44" s="1266"/>
      <c r="P44" s="1281">
        <v>0</v>
      </c>
      <c r="R44" s="1454"/>
      <c r="S44" s="1206"/>
    </row>
    <row r="45" spans="1:19" s="1207" customFormat="1" ht="15.75" x14ac:dyDescent="0.25">
      <c r="A45" s="1204"/>
      <c r="B45" s="1644" t="s">
        <v>875</v>
      </c>
      <c r="C45" s="1644"/>
      <c r="D45" s="1644"/>
      <c r="E45" s="1644"/>
      <c r="F45" s="1644"/>
      <c r="G45" s="1644"/>
      <c r="H45" s="1644"/>
      <c r="I45" s="1644"/>
      <c r="J45" s="1644"/>
      <c r="K45" s="1644"/>
      <c r="L45" s="1644"/>
      <c r="M45" s="1459"/>
      <c r="N45" s="1460" t="s">
        <v>1194</v>
      </c>
      <c r="O45" s="1272"/>
      <c r="P45" s="1277">
        <v>0</v>
      </c>
      <c r="R45" s="1273" t="s">
        <v>1208</v>
      </c>
      <c r="S45" s="1461">
        <f>1604197*P45</f>
        <v>0</v>
      </c>
    </row>
    <row r="46" spans="1:19" s="1207" customFormat="1" ht="16.5" customHeight="1" x14ac:dyDescent="0.25">
      <c r="A46" s="1204"/>
      <c r="M46" s="1216"/>
      <c r="N46" s="1279"/>
      <c r="O46" s="1216"/>
      <c r="P46" s="1274"/>
      <c r="Q46" s="1215"/>
      <c r="R46" s="1218"/>
      <c r="S46" s="1206"/>
    </row>
    <row r="47" spans="1:19" s="1245" customFormat="1" ht="15.75" x14ac:dyDescent="0.25">
      <c r="A47" s="1242"/>
      <c r="B47" s="1215" t="s">
        <v>385</v>
      </c>
      <c r="C47" s="1215"/>
      <c r="D47" s="1215"/>
      <c r="E47" s="1215" t="s">
        <v>427</v>
      </c>
      <c r="F47" s="1215" t="s">
        <v>440</v>
      </c>
      <c r="G47" s="1215" t="s">
        <v>429</v>
      </c>
      <c r="H47" s="1215" t="s">
        <v>441</v>
      </c>
      <c r="I47" s="1215" t="s">
        <v>432</v>
      </c>
      <c r="J47" s="1215" t="s">
        <v>431</v>
      </c>
      <c r="K47" s="1215" t="s">
        <v>6</v>
      </c>
      <c r="L47" s="1215" t="s">
        <v>433</v>
      </c>
      <c r="M47" s="1215" t="s">
        <v>425</v>
      </c>
      <c r="N47" s="1215" t="s">
        <v>426</v>
      </c>
      <c r="O47" s="1215"/>
      <c r="P47" s="1215" t="s">
        <v>434</v>
      </c>
      <c r="Q47" s="1215"/>
      <c r="R47" s="1218"/>
      <c r="S47" s="1275"/>
    </row>
    <row r="48" spans="1:19" s="321" customFormat="1" ht="15" x14ac:dyDescent="0.2">
      <c r="A48" s="609"/>
      <c r="B48" s="752"/>
      <c r="C48" s="752"/>
      <c r="D48" s="1023"/>
      <c r="E48" s="1024" t="s">
        <v>13</v>
      </c>
      <c r="F48" s="1024" t="s">
        <v>14</v>
      </c>
      <c r="G48" s="1024" t="s">
        <v>15</v>
      </c>
      <c r="H48" s="1024" t="s">
        <v>16</v>
      </c>
      <c r="I48" s="1024" t="s">
        <v>17</v>
      </c>
      <c r="J48" s="1024" t="s">
        <v>18</v>
      </c>
      <c r="K48" s="1024" t="s">
        <v>19</v>
      </c>
      <c r="L48" s="1024" t="s">
        <v>20</v>
      </c>
      <c r="M48" s="1024" t="s">
        <v>21</v>
      </c>
      <c r="N48" s="1024" t="s">
        <v>22</v>
      </c>
      <c r="O48" s="1024"/>
      <c r="P48" s="1024" t="s">
        <v>397</v>
      </c>
      <c r="Q48" s="1023"/>
      <c r="R48" s="140"/>
      <c r="S48" s="1127"/>
    </row>
    <row r="49" spans="1:20" s="321" customFormat="1" ht="15" x14ac:dyDescent="0.2">
      <c r="A49" s="609"/>
      <c r="B49" s="16"/>
      <c r="C49" s="401"/>
      <c r="D49" s="401"/>
      <c r="E49" s="401"/>
      <c r="F49" s="401"/>
      <c r="G49" s="401"/>
      <c r="H49" s="401"/>
      <c r="I49" s="401"/>
      <c r="J49" s="401"/>
      <c r="K49" s="401"/>
      <c r="L49" s="401"/>
      <c r="M49" s="401"/>
      <c r="N49" s="401"/>
      <c r="O49" s="401"/>
      <c r="P49" s="401"/>
      <c r="Q49" s="401"/>
      <c r="R49" s="1132"/>
      <c r="S49" s="1127"/>
    </row>
    <row r="50" spans="1:20" s="321" customFormat="1" ht="15.75" x14ac:dyDescent="0.25">
      <c r="A50" s="609"/>
      <c r="B50" s="16"/>
      <c r="C50" s="1133" t="s">
        <v>892</v>
      </c>
      <c r="D50" s="85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368"/>
      <c r="Q50" s="401"/>
      <c r="R50" s="148"/>
      <c r="S50" s="1127"/>
    </row>
    <row r="51" spans="1:20" s="321" customFormat="1" ht="15.75" x14ac:dyDescent="0.25">
      <c r="A51" s="609"/>
      <c r="B51" s="16">
        <v>1</v>
      </c>
      <c r="C51" s="1126" t="s">
        <v>1139</v>
      </c>
      <c r="D51" s="1"/>
      <c r="E51" s="615">
        <f>'[6]Page 9'!$M$17</f>
        <v>272650848.40553617</v>
      </c>
      <c r="F51" s="615">
        <f>'[6]Page 9'!$M$19</f>
        <v>10175742.792601192</v>
      </c>
      <c r="G51" s="615">
        <f>'[6]Page 9'!$M$21</f>
        <v>115532739.65369147</v>
      </c>
      <c r="H51" s="615">
        <f>'[6]Page 9'!$M$24</f>
        <v>137505.65684530223</v>
      </c>
      <c r="I51" s="615">
        <f>'[6]Page 9'!$M$26</f>
        <v>2938075.29614441</v>
      </c>
      <c r="J51" s="528">
        <v>0</v>
      </c>
      <c r="K51" s="528">
        <v>0</v>
      </c>
      <c r="L51" s="615">
        <f>'[6]Page 9'!$N$35</f>
        <v>0</v>
      </c>
      <c r="M51" s="615">
        <f>'[6]Page 9'!$N$37</f>
        <v>0</v>
      </c>
      <c r="N51" s="615">
        <f>'[6]Page 9'!$N$38</f>
        <v>0</v>
      </c>
      <c r="O51" s="56"/>
      <c r="P51" s="1025">
        <f t="shared" ref="P51:P61" si="3">SUM(D51:O51)</f>
        <v>401434911.80481857</v>
      </c>
      <c r="Q51" s="468"/>
      <c r="R51" s="726"/>
      <c r="S51" s="1127"/>
      <c r="T51" s="1128"/>
    </row>
    <row r="52" spans="1:20" s="321" customFormat="1" ht="15.75" x14ac:dyDescent="0.25">
      <c r="A52" s="609"/>
      <c r="B52" s="16">
        <f t="shared" ref="B52:B87" si="4">B51+1</f>
        <v>2</v>
      </c>
      <c r="C52" s="1126" t="s">
        <v>1140</v>
      </c>
      <c r="D52" s="1"/>
      <c r="E52" s="615">
        <v>0</v>
      </c>
      <c r="F52" s="615">
        <v>0</v>
      </c>
      <c r="G52" s="615">
        <f>'[6]Page 9'!$M$22</f>
        <v>50388240.48058784</v>
      </c>
      <c r="H52" s="615">
        <v>0</v>
      </c>
      <c r="I52" s="615">
        <f>'[6]Page 9'!$M$27</f>
        <v>23843958.551116996</v>
      </c>
      <c r="J52" s="615">
        <f>'[6]Page 9'!$M$28</f>
        <v>2598476.4607927599</v>
      </c>
      <c r="K52" s="615">
        <f>'[6]Page 9'!$M$29</f>
        <v>600923.66016365902</v>
      </c>
      <c r="L52" s="615">
        <f>'[6]Page 9'!$M$35</f>
        <v>2449104.006003066</v>
      </c>
      <c r="M52" s="615">
        <f>'[6]Page 9'!$M$37</f>
        <v>308976.6128</v>
      </c>
      <c r="N52" s="615">
        <f>'[6]Page 9'!$M$38</f>
        <v>1483292.77174</v>
      </c>
      <c r="O52" s="528"/>
      <c r="P52" s="1025">
        <f t="shared" si="3"/>
        <v>81672972.543204337</v>
      </c>
      <c r="Q52" s="468"/>
      <c r="R52" s="148"/>
      <c r="S52" s="1127"/>
      <c r="T52" s="1128"/>
    </row>
    <row r="53" spans="1:20" s="321" customFormat="1" ht="15.75" x14ac:dyDescent="0.25">
      <c r="A53" s="609"/>
      <c r="B53" s="16">
        <f t="shared" si="4"/>
        <v>3</v>
      </c>
      <c r="C53" s="61" t="s">
        <v>872</v>
      </c>
      <c r="D53" s="1"/>
      <c r="E53" s="615">
        <f>'[6]Page 9'!$N$17</f>
        <v>935348038.89999998</v>
      </c>
      <c r="F53" s="615">
        <f>'[6]Page 9'!$N$19</f>
        <v>26144528.199999996</v>
      </c>
      <c r="G53" s="615">
        <f>'[6]Page 9'!$N$21</f>
        <v>484323077.38999999</v>
      </c>
      <c r="H53" s="615">
        <f>'[6]Page 9'!$N$24</f>
        <v>270413.38</v>
      </c>
      <c r="I53" s="615">
        <f>'[6]Page 9'!$N$26</f>
        <v>28876427.77</v>
      </c>
      <c r="J53" s="528">
        <v>0</v>
      </c>
      <c r="K53" s="528">
        <v>0</v>
      </c>
      <c r="L53" s="615">
        <f>'[6]Page 9'!$N$35</f>
        <v>0</v>
      </c>
      <c r="M53" s="615">
        <f>'[6]Page 9'!$N$37</f>
        <v>0</v>
      </c>
      <c r="N53" s="615">
        <f>'[6]Page 9'!$N$38</f>
        <v>0</v>
      </c>
      <c r="O53" s="528"/>
      <c r="P53" s="1025">
        <f t="shared" si="3"/>
        <v>1474962485.6400001</v>
      </c>
      <c r="Q53" s="468"/>
      <c r="R53" s="1297"/>
      <c r="S53" s="1127"/>
      <c r="T53" s="1128"/>
    </row>
    <row r="54" spans="1:20" s="321" customFormat="1" ht="15.75" x14ac:dyDescent="0.25">
      <c r="A54" s="609"/>
      <c r="B54" s="16">
        <f t="shared" si="4"/>
        <v>4</v>
      </c>
      <c r="C54" s="61" t="s">
        <v>873</v>
      </c>
      <c r="D54" s="1"/>
      <c r="E54" s="615">
        <v>0</v>
      </c>
      <c r="F54" s="615">
        <v>0</v>
      </c>
      <c r="G54" s="615">
        <f>'[6]Page 9'!$N$22</f>
        <v>195641185.22999999</v>
      </c>
      <c r="H54" s="615">
        <v>0</v>
      </c>
      <c r="I54" s="615">
        <f>'[6]Page 9'!$N$27</f>
        <v>142072791.11000001</v>
      </c>
      <c r="J54" s="615">
        <f>'[6]Page 9'!$N$28</f>
        <v>55988900.620000005</v>
      </c>
      <c r="K54" s="615">
        <f>'[6]Page 9'!$N$29</f>
        <v>169988373.36000001</v>
      </c>
      <c r="L54" s="615">
        <f>'[6]Page 9'!$N$35</f>
        <v>0</v>
      </c>
      <c r="M54" s="615">
        <f>'[6]Page 9'!$N$37</f>
        <v>0</v>
      </c>
      <c r="N54" s="615">
        <f>'[6]Page 9'!$N$38</f>
        <v>0</v>
      </c>
      <c r="O54" s="528"/>
      <c r="P54" s="1025">
        <f>SUM(D54:O54)</f>
        <v>563691250.32000005</v>
      </c>
      <c r="Q54" s="468"/>
      <c r="R54" s="1297"/>
      <c r="S54" s="1127"/>
      <c r="T54" s="1128"/>
    </row>
    <row r="55" spans="1:20" s="321" customFormat="1" ht="15.75" x14ac:dyDescent="0.25">
      <c r="A55" s="609"/>
      <c r="B55" s="16">
        <f t="shared" si="4"/>
        <v>5</v>
      </c>
      <c r="C55" s="61" t="s">
        <v>870</v>
      </c>
      <c r="D55" s="1"/>
      <c r="E55" s="615">
        <f>'[6]Page 9'!$L$17</f>
        <v>1197169630</v>
      </c>
      <c r="F55" s="615">
        <f>'[6]Page 9'!$L$19</f>
        <v>33730262</v>
      </c>
      <c r="G55" s="615">
        <f>'[6]Page 9'!$L$21</f>
        <v>570615464</v>
      </c>
      <c r="H55" s="615">
        <f>'[6]Page 9'!$L$24</f>
        <v>256208</v>
      </c>
      <c r="I55" s="615">
        <f>'[6]Page 9'!$L$26</f>
        <v>19579330</v>
      </c>
      <c r="J55" s="615">
        <v>0</v>
      </c>
      <c r="K55" s="615">
        <v>0</v>
      </c>
      <c r="L55" s="615">
        <v>0</v>
      </c>
      <c r="M55" s="528">
        <v>0</v>
      </c>
      <c r="N55" s="615">
        <v>0</v>
      </c>
      <c r="O55" s="528"/>
      <c r="P55" s="1025">
        <f>SUM(D55:O55)</f>
        <v>1821350894</v>
      </c>
      <c r="Q55" s="468"/>
      <c r="R55" s="1313"/>
      <c r="S55" s="1127"/>
      <c r="T55" s="1128"/>
    </row>
    <row r="56" spans="1:20" s="339" customFormat="1" ht="15.75" x14ac:dyDescent="0.25">
      <c r="A56" s="752"/>
      <c r="B56" s="16">
        <f t="shared" si="4"/>
        <v>6</v>
      </c>
      <c r="C56" s="61" t="s">
        <v>871</v>
      </c>
      <c r="D56" s="1"/>
      <c r="E56" s="615">
        <v>0</v>
      </c>
      <c r="F56" s="528">
        <v>0</v>
      </c>
      <c r="G56" s="615">
        <f>'[6]Page 9'!$L$22</f>
        <v>248867199</v>
      </c>
      <c r="H56" s="615">
        <v>0</v>
      </c>
      <c r="I56" s="615">
        <f>'[6]Page 9'!$L$27</f>
        <v>158896048</v>
      </c>
      <c r="J56" s="615">
        <f>'[6]Page 9'!$L$28</f>
        <v>18911803</v>
      </c>
      <c r="K56" s="615">
        <f>'[6]Page 9'!$L$29</f>
        <v>37203543</v>
      </c>
      <c r="L56" s="615">
        <f>'[6]Page 9'!$L$35</f>
        <v>60996254.057776004</v>
      </c>
      <c r="M56" s="615">
        <f>'[6]Page 9'!$L$37</f>
        <v>1378901</v>
      </c>
      <c r="N56" s="615">
        <f>'[6]Page 9'!$L$38</f>
        <v>7149799</v>
      </c>
      <c r="O56" s="528"/>
      <c r="P56" s="1025">
        <f t="shared" si="3"/>
        <v>533403547.05777597</v>
      </c>
      <c r="Q56" s="468"/>
      <c r="R56" s="1298"/>
      <c r="S56" s="1276"/>
      <c r="T56" s="1128"/>
    </row>
    <row r="57" spans="1:20" s="321" customFormat="1" ht="15.75" x14ac:dyDescent="0.25">
      <c r="A57" s="609"/>
      <c r="B57" s="16">
        <f t="shared" si="4"/>
        <v>7</v>
      </c>
      <c r="C57" s="61" t="s">
        <v>893</v>
      </c>
      <c r="D57" s="1"/>
      <c r="E57" s="615">
        <f>'[6]Page 9'!$J$17</f>
        <v>59409825</v>
      </c>
      <c r="F57" s="615">
        <f>'[6]Page 9'!$J$19</f>
        <v>7788159</v>
      </c>
      <c r="G57" s="615">
        <f>'[6]Page 9'!$J$21</f>
        <v>30570281</v>
      </c>
      <c r="H57" s="615">
        <f>'[6]Page 9'!$J$24</f>
        <v>354756</v>
      </c>
      <c r="I57" s="615">
        <f>'[6]Page 9'!$J$26</f>
        <v>912155</v>
      </c>
      <c r="J57" s="615">
        <v>0</v>
      </c>
      <c r="K57" s="615">
        <v>0</v>
      </c>
      <c r="L57" s="615">
        <f>'[6]Page 9'!$J$36</f>
        <v>0</v>
      </c>
      <c r="M57" s="615">
        <v>0</v>
      </c>
      <c r="N57" s="615">
        <v>0</v>
      </c>
      <c r="O57" s="528"/>
      <c r="P57" s="1025">
        <f t="shared" si="3"/>
        <v>99035176</v>
      </c>
      <c r="Q57" s="468"/>
      <c r="R57" s="1298"/>
      <c r="S57" s="1127"/>
      <c r="T57" s="1128"/>
    </row>
    <row r="58" spans="1:20" s="321" customFormat="1" ht="15.75" x14ac:dyDescent="0.25">
      <c r="A58" s="609"/>
      <c r="B58" s="16">
        <f t="shared" si="4"/>
        <v>8</v>
      </c>
      <c r="C58" s="61" t="s">
        <v>895</v>
      </c>
      <c r="D58" s="1"/>
      <c r="E58" s="615">
        <v>0</v>
      </c>
      <c r="F58" s="615">
        <v>0</v>
      </c>
      <c r="G58" s="615">
        <f>'[6]Page 9'!$J$22</f>
        <v>768104</v>
      </c>
      <c r="H58" s="615">
        <v>0</v>
      </c>
      <c r="I58" s="615">
        <f>'[6]Page 9'!$J$27</f>
        <v>370454</v>
      </c>
      <c r="J58" s="615">
        <f>'[6]Page 9'!$J$28</f>
        <v>373694</v>
      </c>
      <c r="K58" s="615">
        <f>'[6]Page 9'!$J$29</f>
        <v>869937</v>
      </c>
      <c r="L58" s="615">
        <f>'[6]Page 9'!$J$35</f>
        <v>1093612.02</v>
      </c>
      <c r="M58" s="615">
        <f>'[6]Page 9'!$J$37</f>
        <v>34424</v>
      </c>
      <c r="N58" s="615">
        <f>'[6]Page 9'!$J$38</f>
        <v>72521</v>
      </c>
      <c r="O58" s="528"/>
      <c r="P58" s="1025">
        <f>SUM(D58:O58)</f>
        <v>3582746.02</v>
      </c>
      <c r="Q58" s="468"/>
      <c r="R58" s="148"/>
      <c r="S58" s="1127"/>
      <c r="T58" s="1128"/>
    </row>
    <row r="59" spans="1:20" s="321" customFormat="1" ht="15.75" x14ac:dyDescent="0.25">
      <c r="A59" s="609"/>
      <c r="B59" s="16">
        <f t="shared" si="4"/>
        <v>9</v>
      </c>
      <c r="C59" s="61" t="s">
        <v>894</v>
      </c>
      <c r="D59" s="1"/>
      <c r="E59" s="615">
        <f>'[6]Page 9'!$K$17</f>
        <v>116326930</v>
      </c>
      <c r="F59" s="615">
        <f>'[6]Page 9'!$K$19</f>
        <v>15886465</v>
      </c>
      <c r="G59" s="615">
        <f>'[6]Page 9'!$K$21</f>
        <v>58503773</v>
      </c>
      <c r="H59" s="615">
        <f>'[6]Page 9'!$K$24</f>
        <v>737352</v>
      </c>
      <c r="I59" s="615">
        <f>'[6]Page 9'!$K$26</f>
        <v>2790967</v>
      </c>
      <c r="J59" s="528">
        <v>0</v>
      </c>
      <c r="K59" s="615">
        <v>0</v>
      </c>
      <c r="L59" s="615">
        <f>'[6]Page 9'!$K$36</f>
        <v>0</v>
      </c>
      <c r="M59" s="528">
        <v>0</v>
      </c>
      <c r="N59" s="615">
        <v>0</v>
      </c>
      <c r="O59" s="528"/>
      <c r="P59" s="1025">
        <f>SUM(D59:O59)</f>
        <v>194245487</v>
      </c>
      <c r="Q59" s="468"/>
      <c r="R59" s="148"/>
      <c r="S59" s="1127"/>
      <c r="T59" s="1128"/>
    </row>
    <row r="60" spans="1:20" s="321" customFormat="1" ht="20.25" x14ac:dyDescent="0.55000000000000004">
      <c r="A60" s="609"/>
      <c r="B60" s="16">
        <f t="shared" si="4"/>
        <v>10</v>
      </c>
      <c r="C60" s="61" t="s">
        <v>896</v>
      </c>
      <c r="D60" s="1"/>
      <c r="E60" s="531">
        <v>0</v>
      </c>
      <c r="F60" s="531">
        <v>0</v>
      </c>
      <c r="G60" s="531">
        <f>'[6]Page 9'!$K$22</f>
        <v>1469955</v>
      </c>
      <c r="H60" s="531">
        <v>0</v>
      </c>
      <c r="I60" s="531">
        <f>'[6]Page 9'!$K$27</f>
        <v>1133498</v>
      </c>
      <c r="J60" s="531">
        <f>'[6]Page 9'!$K$28</f>
        <v>653949</v>
      </c>
      <c r="K60" s="531">
        <f>'[6]Page 9'!$K$29</f>
        <v>1379366</v>
      </c>
      <c r="L60" s="531">
        <f>'[6]Page 9'!$K$35</f>
        <v>42965</v>
      </c>
      <c r="M60" s="531">
        <f>'[6]Page 9'!$K$37</f>
        <v>73909</v>
      </c>
      <c r="N60" s="531">
        <f>'[6]Page 9'!$K$38</f>
        <v>155788</v>
      </c>
      <c r="O60" s="529"/>
      <c r="P60" s="1026">
        <f t="shared" si="3"/>
        <v>4909430</v>
      </c>
      <c r="Q60" s="1134"/>
      <c r="R60" s="148"/>
      <c r="S60" s="1127"/>
      <c r="T60" s="1128"/>
    </row>
    <row r="61" spans="1:20" s="321" customFormat="1" ht="15.75" x14ac:dyDescent="0.25">
      <c r="A61" s="609"/>
      <c r="B61" s="16">
        <f t="shared" si="4"/>
        <v>11</v>
      </c>
      <c r="C61" s="61" t="s">
        <v>444</v>
      </c>
      <c r="D61" s="1"/>
      <c r="E61" s="152">
        <f t="shared" ref="E61:L61" si="5">SUM(E51:E60)</f>
        <v>2580905272.3055363</v>
      </c>
      <c r="F61" s="152">
        <f t="shared" si="5"/>
        <v>93725156.992601186</v>
      </c>
      <c r="G61" s="152">
        <f t="shared" si="5"/>
        <v>1756680018.7542794</v>
      </c>
      <c r="H61" s="152">
        <f t="shared" si="5"/>
        <v>1756235.0368453022</v>
      </c>
      <c r="I61" s="152">
        <f t="shared" si="5"/>
        <v>381413704.72726142</v>
      </c>
      <c r="J61" s="152">
        <f>SUM(J51:J60)</f>
        <v>78526823.080792755</v>
      </c>
      <c r="K61" s="152">
        <f t="shared" si="5"/>
        <v>210042143.02016369</v>
      </c>
      <c r="L61" s="152">
        <f t="shared" si="5"/>
        <v>64581935.083779074</v>
      </c>
      <c r="M61" s="152">
        <f>SUM(M51:M60)</f>
        <v>1796210.6128</v>
      </c>
      <c r="N61" s="152">
        <f>SUM(N51:N60)</f>
        <v>8861400.7717400007</v>
      </c>
      <c r="O61" s="152"/>
      <c r="P61" s="618">
        <f t="shared" si="3"/>
        <v>5178288900.3857985</v>
      </c>
      <c r="Q61" s="468"/>
      <c r="R61" s="1124"/>
      <c r="S61" s="1135"/>
      <c r="T61" s="1136"/>
    </row>
    <row r="62" spans="1:20" s="321" customFormat="1" ht="15.75" x14ac:dyDescent="0.25">
      <c r="A62" s="609"/>
      <c r="B62" s="16">
        <f t="shared" si="4"/>
        <v>12</v>
      </c>
      <c r="C62" s="1137" t="s">
        <v>445</v>
      </c>
      <c r="D62" s="1027"/>
      <c r="E62" s="1004" t="s">
        <v>447</v>
      </c>
      <c r="F62" s="1004" t="s">
        <v>448</v>
      </c>
      <c r="G62" s="1004" t="s">
        <v>449</v>
      </c>
      <c r="H62" s="1004" t="s">
        <v>450</v>
      </c>
      <c r="I62" s="1004" t="s">
        <v>1154</v>
      </c>
      <c r="J62" s="1004" t="s">
        <v>451</v>
      </c>
      <c r="K62" s="1004" t="s">
        <v>1155</v>
      </c>
      <c r="L62" s="1004" t="s">
        <v>1156</v>
      </c>
      <c r="M62" s="1004" t="s">
        <v>1157</v>
      </c>
      <c r="N62" s="1004" t="s">
        <v>446</v>
      </c>
      <c r="O62" s="542"/>
      <c r="P62" s="688"/>
      <c r="Q62" s="468"/>
      <c r="R62" s="678"/>
      <c r="S62" s="45"/>
      <c r="T62" s="1128"/>
    </row>
    <row r="63" spans="1:20" s="321" customFormat="1" ht="15.75" x14ac:dyDescent="0.25">
      <c r="A63" s="609"/>
      <c r="B63" s="16">
        <f t="shared" si="4"/>
        <v>13</v>
      </c>
      <c r="C63" s="401"/>
      <c r="D63" s="401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468"/>
      <c r="Q63" s="468"/>
      <c r="R63" s="678"/>
      <c r="S63" s="45"/>
      <c r="T63" s="1128"/>
    </row>
    <row r="64" spans="1:20" s="321" customFormat="1" ht="15.75" x14ac:dyDescent="0.25">
      <c r="A64" s="609"/>
      <c r="B64" s="16">
        <f t="shared" si="4"/>
        <v>14</v>
      </c>
      <c r="C64" s="1133" t="s">
        <v>1335</v>
      </c>
      <c r="D64" s="1138"/>
      <c r="E64" s="1139"/>
      <c r="F64" s="1140"/>
      <c r="G64" s="616"/>
      <c r="H64" s="1141"/>
      <c r="I64" s="616"/>
      <c r="J64" s="616"/>
      <c r="K64" s="616"/>
      <c r="L64" s="1141"/>
      <c r="M64" s="1141"/>
      <c r="N64" s="1141"/>
      <c r="O64" s="1141"/>
      <c r="P64" s="677"/>
      <c r="Q64" s="468"/>
      <c r="R64" s="678"/>
      <c r="S64" s="679"/>
      <c r="T64" s="1128"/>
    </row>
    <row r="65" spans="1:25" s="339" customFormat="1" ht="15" x14ac:dyDescent="0.2">
      <c r="A65" s="752"/>
      <c r="B65" s="16">
        <f t="shared" si="4"/>
        <v>15</v>
      </c>
      <c r="C65" s="1142"/>
      <c r="D65" s="1143"/>
      <c r="E65" s="1129">
        <f>E51+E55+E57+E59</f>
        <v>1645557233.4055362</v>
      </c>
      <c r="F65" s="1129">
        <f t="shared" ref="F65:Q65" si="6">F51+F55+F57+F59</f>
        <v>67580628.792601198</v>
      </c>
      <c r="G65" s="1129">
        <f>SUM(G51:G60)-G53-G54</f>
        <v>1076715756.1342793</v>
      </c>
      <c r="H65" s="1129">
        <f t="shared" ref="H65:N65" si="7">SUM(H51:H60)-H53-H54</f>
        <v>1485821.6568453023</v>
      </c>
      <c r="I65" s="1129">
        <f t="shared" si="7"/>
        <v>210464485.84726143</v>
      </c>
      <c r="J65" s="1129">
        <f t="shared" si="7"/>
        <v>22537922.46079275</v>
      </c>
      <c r="K65" s="1129">
        <f t="shared" si="7"/>
        <v>40053769.660163671</v>
      </c>
      <c r="L65" s="1129">
        <f t="shared" si="7"/>
        <v>64581935.083779074</v>
      </c>
      <c r="M65" s="1129">
        <f t="shared" si="7"/>
        <v>1796210.6128</v>
      </c>
      <c r="N65" s="1129">
        <f t="shared" si="7"/>
        <v>8861400.7717400007</v>
      </c>
      <c r="O65" s="1129">
        <f t="shared" si="6"/>
        <v>0</v>
      </c>
      <c r="P65" s="1144">
        <f>P61-P53-P54</f>
        <v>3139635164.4257979</v>
      </c>
      <c r="Q65" s="1131">
        <f t="shared" si="6"/>
        <v>0</v>
      </c>
      <c r="R65" s="1131">
        <f>SUM(R51:R60)-R53-R54</f>
        <v>0</v>
      </c>
      <c r="S65" s="1145">
        <f t="shared" ref="S65:Y65" si="8">SUM(S51:S60)-S53-S54</f>
        <v>0</v>
      </c>
      <c r="T65" s="1131">
        <f t="shared" si="8"/>
        <v>0</v>
      </c>
      <c r="U65" s="1131">
        <f t="shared" si="8"/>
        <v>0</v>
      </c>
      <c r="V65" s="1131">
        <f t="shared" si="8"/>
        <v>0</v>
      </c>
      <c r="W65" s="1131">
        <f t="shared" si="8"/>
        <v>0</v>
      </c>
      <c r="X65" s="1131">
        <f t="shared" si="8"/>
        <v>0</v>
      </c>
      <c r="Y65" s="1131">
        <f t="shared" si="8"/>
        <v>0</v>
      </c>
    </row>
    <row r="66" spans="1:25" s="321" customFormat="1" ht="15.75" x14ac:dyDescent="0.25">
      <c r="A66" s="609"/>
      <c r="B66" s="16">
        <f t="shared" si="4"/>
        <v>16</v>
      </c>
      <c r="C66" s="26"/>
      <c r="D66" s="26"/>
      <c r="E66" s="5"/>
      <c r="F66" s="30"/>
      <c r="G66" s="615"/>
      <c r="H66" s="680"/>
      <c r="I66" s="615"/>
      <c r="J66" s="615"/>
      <c r="K66" s="615"/>
      <c r="L66" s="16"/>
      <c r="M66" s="16"/>
      <c r="N66" s="16"/>
      <c r="O66" s="16"/>
      <c r="P66" s="468"/>
      <c r="Q66" s="468"/>
      <c r="R66" s="678"/>
      <c r="S66" s="1130"/>
      <c r="W66" s="321">
        <v>3981676756</v>
      </c>
    </row>
    <row r="67" spans="1:25" s="321" customFormat="1" ht="15.75" x14ac:dyDescent="0.25">
      <c r="A67" s="609"/>
      <c r="B67" s="16">
        <f t="shared" si="4"/>
        <v>17</v>
      </c>
      <c r="C67" s="84"/>
      <c r="D67" s="74"/>
      <c r="E67" s="675"/>
      <c r="F67" s="676"/>
      <c r="G67" s="766">
        <v>0</v>
      </c>
      <c r="H67" s="767"/>
      <c r="I67" s="766">
        <v>0</v>
      </c>
      <c r="J67" s="766">
        <v>0</v>
      </c>
      <c r="K67" s="766">
        <v>0</v>
      </c>
      <c r="L67" s="144"/>
      <c r="M67" s="144"/>
      <c r="N67" s="144"/>
      <c r="O67" s="144"/>
      <c r="P67" s="677">
        <f>SUM(D67:O67)</f>
        <v>0</v>
      </c>
      <c r="Q67" s="468"/>
      <c r="R67" s="678" t="b">
        <f>IF(P66+P67=S67,TRUE,P66+P67-S67)</f>
        <v>1</v>
      </c>
      <c r="S67" s="681">
        <v>0</v>
      </c>
      <c r="W67" s="321">
        <v>53729847</v>
      </c>
    </row>
    <row r="68" spans="1:25" s="321" customFormat="1" ht="15.75" x14ac:dyDescent="0.25">
      <c r="A68" s="609"/>
      <c r="B68" s="16">
        <f t="shared" si="4"/>
        <v>18</v>
      </c>
      <c r="C68" s="690" t="s">
        <v>930</v>
      </c>
      <c r="D68" s="26"/>
      <c r="E68" s="5"/>
      <c r="F68" s="30"/>
      <c r="G68" s="682">
        <f>'[7]DISTRIBUTION KW ADJ'!$G$36</f>
        <v>6799260.089261231</v>
      </c>
      <c r="H68" s="683"/>
      <c r="I68" s="682">
        <f>'[7]DISTRIBUTION KW ADJ'!$K$36</f>
        <v>980230.8665248832</v>
      </c>
      <c r="J68" s="528">
        <v>0</v>
      </c>
      <c r="K68" s="528">
        <v>0</v>
      </c>
      <c r="L68" s="16"/>
      <c r="M68" s="16"/>
      <c r="N68" s="16"/>
      <c r="O68" s="16"/>
      <c r="P68" s="618">
        <f>SUM(D68:O68)</f>
        <v>7779490.9557861146</v>
      </c>
      <c r="Q68" s="468"/>
      <c r="R68" s="678"/>
      <c r="S68" s="679"/>
      <c r="W68" s="321">
        <v>-4322572643</v>
      </c>
    </row>
    <row r="69" spans="1:25" s="321" customFormat="1" ht="20.25" x14ac:dyDescent="0.55000000000000004">
      <c r="A69" s="609"/>
      <c r="B69" s="16">
        <f t="shared" si="4"/>
        <v>19</v>
      </c>
      <c r="C69" s="1028" t="s">
        <v>931</v>
      </c>
      <c r="D69" s="684"/>
      <c r="E69" s="685"/>
      <c r="F69" s="152"/>
      <c r="G69" s="686">
        <f>'[7]DISTRIBUTION KW ADJ'!$I$36</f>
        <v>8798831.5178604648</v>
      </c>
      <c r="H69" s="683"/>
      <c r="I69" s="686">
        <f>'[7]DISTRIBUTION KW ADJ'!$M$36</f>
        <v>6323979.7270681597</v>
      </c>
      <c r="J69" s="686">
        <f>'[7]DISTRIBUTION KW ADJ'!$O$36</f>
        <v>297287.7366279267</v>
      </c>
      <c r="K69" s="686">
        <f>'[7]DISTRIBUTION KW ADJ'!$Q$36</f>
        <v>1229177.3906491736</v>
      </c>
      <c r="L69" s="16"/>
      <c r="M69" s="16"/>
      <c r="N69" s="16"/>
      <c r="O69" s="16"/>
      <c r="P69" s="617">
        <f>SUM(D69:O69)</f>
        <v>16649276.372205725</v>
      </c>
      <c r="Q69" s="468"/>
      <c r="R69" s="678" t="b">
        <f>IF(P68+P69=S69,TRUE,P68+P69-S69)</f>
        <v>1</v>
      </c>
      <c r="S69" s="681">
        <f>'[7]DISTRIBUTION KW ADJ'!$S$36</f>
        <v>24428767.327991843</v>
      </c>
      <c r="T69" s="620" t="s">
        <v>929</v>
      </c>
      <c r="W69" s="321">
        <f>SUM(W66:W68)</f>
        <v>-287166040</v>
      </c>
    </row>
    <row r="70" spans="1:25" s="321" customFormat="1" ht="15.75" x14ac:dyDescent="0.25">
      <c r="A70" s="609"/>
      <c r="B70" s="16">
        <f t="shared" si="4"/>
        <v>20</v>
      </c>
      <c r="C70" s="460" t="s">
        <v>444</v>
      </c>
      <c r="D70" s="62"/>
      <c r="E70" s="687"/>
      <c r="F70" s="687"/>
      <c r="G70" s="537">
        <f>SUM(G68:G69)</f>
        <v>15598091.607121695</v>
      </c>
      <c r="H70" s="537">
        <f t="shared" ref="H70:P70" si="9">SUM(H68:H69)</f>
        <v>0</v>
      </c>
      <c r="I70" s="537">
        <f t="shared" si="9"/>
        <v>7304210.5935930433</v>
      </c>
      <c r="J70" s="537">
        <f t="shared" si="9"/>
        <v>297287.7366279267</v>
      </c>
      <c r="K70" s="537">
        <f t="shared" si="9"/>
        <v>1229177.3906491736</v>
      </c>
      <c r="L70" s="537">
        <f t="shared" si="9"/>
        <v>0</v>
      </c>
      <c r="M70" s="537">
        <f t="shared" si="9"/>
        <v>0</v>
      </c>
      <c r="N70" s="537">
        <f t="shared" si="9"/>
        <v>0</v>
      </c>
      <c r="O70" s="537">
        <f t="shared" si="9"/>
        <v>0</v>
      </c>
      <c r="P70" s="688">
        <f t="shared" si="9"/>
        <v>24428767.327991839</v>
      </c>
      <c r="Q70" s="468"/>
      <c r="R70" s="678"/>
      <c r="S70" s="689" t="s">
        <v>452</v>
      </c>
    </row>
    <row r="71" spans="1:25" ht="8.25" customHeight="1" x14ac:dyDescent="0.25">
      <c r="A71" s="138"/>
      <c r="B71" s="10">
        <f t="shared" si="4"/>
        <v>21</v>
      </c>
      <c r="C71" s="1"/>
      <c r="D71" s="1"/>
      <c r="E71" s="1029"/>
      <c r="F71" s="1029"/>
      <c r="G71" s="1029"/>
      <c r="H71" s="1029"/>
      <c r="I71" s="1029"/>
      <c r="J71" s="1029"/>
      <c r="K71" s="1029"/>
      <c r="L71" s="1029"/>
      <c r="M71" s="1029"/>
      <c r="N71" s="1029"/>
      <c r="O71" s="1029"/>
      <c r="P71" s="1030"/>
      <c r="Q71" s="155"/>
      <c r="R71" s="156"/>
      <c r="S71" s="64"/>
    </row>
    <row r="72" spans="1:25" ht="15.75" x14ac:dyDescent="0.25">
      <c r="A72" s="138"/>
      <c r="B72" s="10">
        <f t="shared" si="4"/>
        <v>22</v>
      </c>
      <c r="C72" s="1031"/>
      <c r="D72" s="85"/>
      <c r="E72" s="1032"/>
      <c r="F72" s="1032"/>
      <c r="G72" s="1032"/>
      <c r="H72" s="1032"/>
      <c r="I72" s="1032"/>
      <c r="J72" s="1032"/>
      <c r="K72" s="1032"/>
      <c r="L72" s="1032"/>
      <c r="M72" s="1032"/>
      <c r="N72" s="1032"/>
      <c r="O72" s="532"/>
      <c r="P72" s="677">
        <f t="shared" ref="P72:P77" si="10">SUM(D72:O72)</f>
        <v>0</v>
      </c>
      <c r="Q72" s="149"/>
      <c r="R72" s="150" t="b">
        <f>IF(P72=S72,TRUE,P72-S72)</f>
        <v>1</v>
      </c>
      <c r="S72" s="514">
        <v>0</v>
      </c>
    </row>
    <row r="73" spans="1:25" ht="15.75" x14ac:dyDescent="0.25">
      <c r="A73" s="138"/>
      <c r="B73" s="10">
        <f t="shared" si="4"/>
        <v>23</v>
      </c>
      <c r="C73" s="61" t="s">
        <v>453</v>
      </c>
      <c r="D73" s="1"/>
      <c r="E73" s="530">
        <f t="shared" ref="E73:L73" si="11">SUM(E53:E54)+SUM(E66:E67)</f>
        <v>935348038.89999998</v>
      </c>
      <c r="F73" s="530">
        <f t="shared" si="11"/>
        <v>26144528.199999996</v>
      </c>
      <c r="G73" s="530">
        <f>SUM(G53:G54)</f>
        <v>679964262.62</v>
      </c>
      <c r="H73" s="530">
        <f>SUM(H53:H54)+SUM(H66:H67)</f>
        <v>270413.38</v>
      </c>
      <c r="I73" s="530">
        <f>SUM(I53:I54)</f>
        <v>170949218.88000003</v>
      </c>
      <c r="J73" s="530">
        <f>SUM(J53:J54)+SUM(J66:J67)</f>
        <v>55988900.620000005</v>
      </c>
      <c r="K73" s="530">
        <f t="shared" si="11"/>
        <v>169988373.36000001</v>
      </c>
      <c r="L73" s="530">
        <f t="shared" si="11"/>
        <v>0</v>
      </c>
      <c r="M73" s="530">
        <f>SUM(M53:M54)+SUM(M66:M67)</f>
        <v>0</v>
      </c>
      <c r="N73" s="530">
        <f>SUM(N53:N54)+SUM(N66:N67)</f>
        <v>0</v>
      </c>
      <c r="O73" s="152"/>
      <c r="P73" s="618">
        <f t="shared" si="10"/>
        <v>2038653735.9600005</v>
      </c>
      <c r="Q73" s="149"/>
      <c r="R73" s="150" t="b">
        <f>IF(P73=S73,TRUE,P73-S73)</f>
        <v>1</v>
      </c>
      <c r="S73" s="516">
        <f>'[6]Page 9'!$N$45</f>
        <v>2038653735.9600003</v>
      </c>
    </row>
    <row r="74" spans="1:25" ht="15.75" x14ac:dyDescent="0.25">
      <c r="A74" s="138"/>
      <c r="B74" s="10">
        <f t="shared" si="4"/>
        <v>24</v>
      </c>
      <c r="C74" s="61" t="s">
        <v>454</v>
      </c>
      <c r="D74" s="1"/>
      <c r="E74" s="530">
        <f t="shared" ref="E74:N74" si="12">SUM(E51:E52)+SUM(E55:E56)+SUM(E68:E69)</f>
        <v>1469820478.4055362</v>
      </c>
      <c r="F74" s="530">
        <f t="shared" si="12"/>
        <v>43906004.792601191</v>
      </c>
      <c r="G74" s="530">
        <f t="shared" si="12"/>
        <v>1001001734.741401</v>
      </c>
      <c r="H74" s="530">
        <f t="shared" si="12"/>
        <v>393713.6568453022</v>
      </c>
      <c r="I74" s="530">
        <f t="shared" si="12"/>
        <v>212561622.44085443</v>
      </c>
      <c r="J74" s="530">
        <f t="shared" si="12"/>
        <v>21807567.197420686</v>
      </c>
      <c r="K74" s="530">
        <f t="shared" si="12"/>
        <v>39033644.050812833</v>
      </c>
      <c r="L74" s="530">
        <f t="shared" si="12"/>
        <v>63445358.063779071</v>
      </c>
      <c r="M74" s="530">
        <f t="shared" si="12"/>
        <v>1687877.6128</v>
      </c>
      <c r="N74" s="530">
        <f t="shared" si="12"/>
        <v>8633091.7717400007</v>
      </c>
      <c r="O74" s="152"/>
      <c r="P74" s="618">
        <f t="shared" si="10"/>
        <v>2862291092.7337899</v>
      </c>
      <c r="Q74" s="149"/>
      <c r="R74" s="1147" t="b">
        <f>IF(P74=S74,TRUE,P74-S74)</f>
        <v>1</v>
      </c>
      <c r="S74" s="516">
        <f>'[6]Page 9'!$L$45+'[6]Page 9'!$M$45</f>
        <v>2862291092.7337909</v>
      </c>
    </row>
    <row r="75" spans="1:25" ht="15.75" x14ac:dyDescent="0.25">
      <c r="A75" s="138"/>
      <c r="B75" s="10">
        <f t="shared" si="4"/>
        <v>25</v>
      </c>
      <c r="C75" s="61" t="s">
        <v>442</v>
      </c>
      <c r="D75" s="1"/>
      <c r="E75" s="530">
        <f t="shared" ref="E75:L75" si="13">SUM(E57:E58)</f>
        <v>59409825</v>
      </c>
      <c r="F75" s="530">
        <f t="shared" si="13"/>
        <v>7788159</v>
      </c>
      <c r="G75" s="530">
        <f t="shared" si="13"/>
        <v>31338385</v>
      </c>
      <c r="H75" s="530">
        <f t="shared" si="13"/>
        <v>354756</v>
      </c>
      <c r="I75" s="530">
        <f t="shared" si="13"/>
        <v>1282609</v>
      </c>
      <c r="J75" s="530">
        <f>SUM(J57:J58)</f>
        <v>373694</v>
      </c>
      <c r="K75" s="530">
        <f t="shared" si="13"/>
        <v>869937</v>
      </c>
      <c r="L75" s="530">
        <f t="shared" si="13"/>
        <v>1093612.02</v>
      </c>
      <c r="M75" s="530">
        <f>SUM(M57:M58)</f>
        <v>34424</v>
      </c>
      <c r="N75" s="530">
        <f>SUM(N57:N58)</f>
        <v>72521</v>
      </c>
      <c r="O75" s="152"/>
      <c r="P75" s="618">
        <f t="shared" si="10"/>
        <v>102617922.02</v>
      </c>
      <c r="Q75" s="149"/>
      <c r="R75" s="150" t="b">
        <f>IF(P75=S75,TRUE,P75-S75)</f>
        <v>1</v>
      </c>
      <c r="S75" s="516">
        <f>'[6]Page 9'!$J$45</f>
        <v>102617922.01999995</v>
      </c>
    </row>
    <row r="76" spans="1:25" ht="20.25" x14ac:dyDescent="0.55000000000000004">
      <c r="A76" s="138"/>
      <c r="B76" s="10">
        <f t="shared" si="4"/>
        <v>26</v>
      </c>
      <c r="C76" s="1033" t="s">
        <v>443</v>
      </c>
      <c r="D76" s="1034"/>
      <c r="E76" s="531">
        <f t="shared" ref="E76:L76" si="14">SUM(E59:E60)</f>
        <v>116326930</v>
      </c>
      <c r="F76" s="531">
        <f t="shared" si="14"/>
        <v>15886465</v>
      </c>
      <c r="G76" s="531">
        <f t="shared" si="14"/>
        <v>59973728</v>
      </c>
      <c r="H76" s="531">
        <f t="shared" si="14"/>
        <v>737352</v>
      </c>
      <c r="I76" s="531">
        <f t="shared" si="14"/>
        <v>3924465</v>
      </c>
      <c r="J76" s="531">
        <f>SUM(J59:J60)</f>
        <v>653949</v>
      </c>
      <c r="K76" s="531">
        <f t="shared" si="14"/>
        <v>1379366</v>
      </c>
      <c r="L76" s="531">
        <f t="shared" si="14"/>
        <v>42965</v>
      </c>
      <c r="M76" s="531">
        <f>SUM(M59:M60)</f>
        <v>73909</v>
      </c>
      <c r="N76" s="531">
        <f>SUM(N59:N60)</f>
        <v>155788</v>
      </c>
      <c r="O76" s="158"/>
      <c r="P76" s="617">
        <f t="shared" si="10"/>
        <v>199154917</v>
      </c>
      <c r="Q76" s="151"/>
      <c r="R76" s="150" t="b">
        <f>IF(P76=S76,TRUE,P76-S76)</f>
        <v>1</v>
      </c>
      <c r="S76" s="515">
        <f>'[6]Page 9'!$K$45</f>
        <v>199154917</v>
      </c>
    </row>
    <row r="77" spans="1:25" ht="15.75" x14ac:dyDescent="0.25">
      <c r="A77" s="138"/>
      <c r="B77" s="10">
        <f t="shared" si="4"/>
        <v>27</v>
      </c>
      <c r="C77" s="460" t="s">
        <v>444</v>
      </c>
      <c r="D77" s="62"/>
      <c r="E77" s="537">
        <f t="shared" ref="E77:L77" si="15">SUM(E72:E76)</f>
        <v>2580905272.3055363</v>
      </c>
      <c r="F77" s="537">
        <f t="shared" si="15"/>
        <v>93725156.992601186</v>
      </c>
      <c r="G77" s="537">
        <f t="shared" si="15"/>
        <v>1772278110.3614011</v>
      </c>
      <c r="H77" s="537">
        <f t="shared" si="15"/>
        <v>1756235.0368453022</v>
      </c>
      <c r="I77" s="537">
        <f t="shared" si="15"/>
        <v>388717915.32085443</v>
      </c>
      <c r="J77" s="537">
        <f>SUM(J72:J76)</f>
        <v>78824110.817420691</v>
      </c>
      <c r="K77" s="537">
        <f t="shared" si="15"/>
        <v>211271320.41081285</v>
      </c>
      <c r="L77" s="537">
        <f t="shared" si="15"/>
        <v>64581935.083779074</v>
      </c>
      <c r="M77" s="537">
        <f>SUM(M72:M76)</f>
        <v>1796210.6128</v>
      </c>
      <c r="N77" s="537">
        <f>SUM(N72:N76)</f>
        <v>8861400.7717400007</v>
      </c>
      <c r="O77" s="537"/>
      <c r="P77" s="688">
        <f t="shared" si="10"/>
        <v>5202717667.7137909</v>
      </c>
      <c r="Q77" s="149"/>
      <c r="R77" s="150" t="b">
        <f>IF(P77=(P61+P70),TRUE,P77-(P61+P70))</f>
        <v>1</v>
      </c>
      <c r="S77" s="518" t="s">
        <v>1168</v>
      </c>
    </row>
    <row r="78" spans="1:25" ht="6.75" customHeight="1" x14ac:dyDescent="0.25">
      <c r="A78" s="138"/>
      <c r="B78" s="10">
        <f t="shared" si="4"/>
        <v>28</v>
      </c>
      <c r="C78" s="1"/>
      <c r="D78" s="1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468"/>
      <c r="Q78" s="149"/>
      <c r="R78" s="156"/>
      <c r="S78" s="159"/>
    </row>
    <row r="79" spans="1:25" ht="15.75" x14ac:dyDescent="0.25">
      <c r="A79" s="138"/>
      <c r="B79" s="10">
        <f t="shared" si="4"/>
        <v>29</v>
      </c>
      <c r="C79" s="1031" t="s">
        <v>1349</v>
      </c>
      <c r="D79" s="85"/>
      <c r="E79" s="616">
        <f>$P$79*E80</f>
        <v>13308501.395718662</v>
      </c>
      <c r="F79" s="616">
        <f t="shared" ref="F79:L79" si="16">$P$79*F80</f>
        <v>9637949.980250461</v>
      </c>
      <c r="G79" s="616">
        <f t="shared" si="16"/>
        <v>3166827.9379983908</v>
      </c>
      <c r="H79" s="616">
        <f t="shared" si="16"/>
        <v>23323.240047570001</v>
      </c>
      <c r="I79" s="616">
        <f t="shared" si="16"/>
        <v>178421.45664669003</v>
      </c>
      <c r="J79" s="616">
        <f t="shared" si="16"/>
        <v>4786.981993800001</v>
      </c>
      <c r="K79" s="616">
        <f t="shared" si="16"/>
        <v>3840.2233328040011</v>
      </c>
      <c r="L79" s="616">
        <f t="shared" si="16"/>
        <v>270703.83174939005</v>
      </c>
      <c r="M79" s="616"/>
      <c r="N79" s="616"/>
      <c r="O79" s="22"/>
      <c r="P79" s="677">
        <f>'[6]Page 1'!$O$41</f>
        <v>26594344.410000004</v>
      </c>
      <c r="Q79" s="161" t="s">
        <v>1165</v>
      </c>
      <c r="R79" s="150"/>
      <c r="T79" s="1125">
        <f>SUM(E79:N79)</f>
        <v>26594355.047737766</v>
      </c>
      <c r="U79" s="1125"/>
    </row>
    <row r="80" spans="1:25" ht="15.75" x14ac:dyDescent="0.25">
      <c r="A80" s="138"/>
      <c r="B80" s="10">
        <f t="shared" si="4"/>
        <v>30</v>
      </c>
      <c r="C80" s="61"/>
      <c r="D80" s="1"/>
      <c r="E80" s="1314">
        <v>0.50042600000000004</v>
      </c>
      <c r="F80" s="1314">
        <v>0.36240600000000001</v>
      </c>
      <c r="G80" s="1314">
        <v>0.119079</v>
      </c>
      <c r="H80" s="1314">
        <v>8.7699999999999996E-4</v>
      </c>
      <c r="I80" s="1314">
        <v>6.7089999999999997E-3</v>
      </c>
      <c r="J80" s="1314">
        <v>1.8000000000000001E-4</v>
      </c>
      <c r="K80" s="1314">
        <v>1.4440000000000001E-4</v>
      </c>
      <c r="L80" s="1314">
        <v>1.0179000000000001E-2</v>
      </c>
      <c r="M80" s="99"/>
      <c r="N80" s="99"/>
      <c r="O80" s="99"/>
      <c r="P80" s="1148">
        <f>SUM(D80:O80)</f>
        <v>1.0000004</v>
      </c>
      <c r="Q80" s="160"/>
      <c r="T80" s="1528" t="s">
        <v>1336</v>
      </c>
    </row>
    <row r="81" spans="1:20" ht="15.75" x14ac:dyDescent="0.25">
      <c r="A81" s="138"/>
      <c r="B81" s="10">
        <f t="shared" si="4"/>
        <v>31</v>
      </c>
      <c r="C81" s="61" t="s">
        <v>455</v>
      </c>
      <c r="D81" s="1"/>
      <c r="E81" s="152">
        <f t="shared" ref="E81:L81" si="17">$P81*E80</f>
        <v>12876768.167138001</v>
      </c>
      <c r="F81" s="152">
        <f t="shared" si="17"/>
        <v>9325290.9408780001</v>
      </c>
      <c r="G81" s="152">
        <f t="shared" si="17"/>
        <v>3064094.7444270002</v>
      </c>
      <c r="H81" s="152">
        <f t="shared" si="17"/>
        <v>22566.624601</v>
      </c>
      <c r="I81" s="152">
        <f t="shared" si="17"/>
        <v>172633.39161699999</v>
      </c>
      <c r="J81" s="152">
        <f t="shared" si="17"/>
        <v>4631.6903400000001</v>
      </c>
      <c r="K81" s="152">
        <f t="shared" si="17"/>
        <v>3715.6449172000002</v>
      </c>
      <c r="L81" s="152">
        <f t="shared" si="17"/>
        <v>261922.08872700002</v>
      </c>
      <c r="M81" s="152">
        <f>$P81*M80</f>
        <v>0</v>
      </c>
      <c r="N81" s="152">
        <f>$P81*N80</f>
        <v>0</v>
      </c>
      <c r="O81" s="152"/>
      <c r="P81" s="618">
        <f>'[6]Page 9'!$O$41</f>
        <v>25731613</v>
      </c>
      <c r="Q81" s="161" t="s">
        <v>1138</v>
      </c>
      <c r="R81" s="156" t="b">
        <f>P81=T81</f>
        <v>1</v>
      </c>
      <c r="S81" s="1146" t="s">
        <v>1180</v>
      </c>
      <c r="T81" s="517">
        <f>'[6]Page 9'!$O$41</f>
        <v>25731613</v>
      </c>
    </row>
    <row r="82" spans="1:20" ht="15.75" x14ac:dyDescent="0.25">
      <c r="A82" s="138"/>
      <c r="B82" s="10">
        <f t="shared" si="4"/>
        <v>32</v>
      </c>
      <c r="C82" s="460"/>
      <c r="D82" s="62"/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1035" t="s">
        <v>897</v>
      </c>
      <c r="Q82" s="161"/>
      <c r="R82" s="156"/>
      <c r="S82" s="159"/>
    </row>
    <row r="83" spans="1:20" ht="6" customHeight="1" x14ac:dyDescent="0.2">
      <c r="A83" s="138"/>
      <c r="B83" s="10">
        <f t="shared" si="4"/>
        <v>33</v>
      </c>
      <c r="C83" s="571"/>
      <c r="D83" s="11"/>
      <c r="E83" s="99"/>
      <c r="F83" s="99"/>
      <c r="G83" s="99"/>
      <c r="H83" s="99"/>
      <c r="I83" s="99"/>
      <c r="J83" s="99"/>
      <c r="K83" s="99"/>
      <c r="L83" s="99"/>
      <c r="M83" s="152"/>
      <c r="N83" s="152"/>
      <c r="O83" s="152"/>
      <c r="P83" s="162"/>
      <c r="Q83" s="162"/>
      <c r="R83" s="156"/>
      <c r="S83" s="159"/>
    </row>
    <row r="84" spans="1:20" ht="15.75" x14ac:dyDescent="0.25">
      <c r="A84" s="138"/>
      <c r="B84" s="10">
        <f t="shared" si="4"/>
        <v>34</v>
      </c>
      <c r="C84" s="73" t="s">
        <v>874</v>
      </c>
      <c r="D84" s="147"/>
      <c r="E84" s="532">
        <f t="shared" ref="E84:L84" si="18">E77</f>
        <v>2580905272.3055363</v>
      </c>
      <c r="F84" s="532">
        <f t="shared" si="18"/>
        <v>93725156.992601186</v>
      </c>
      <c r="G84" s="532">
        <f t="shared" si="18"/>
        <v>1772278110.3614011</v>
      </c>
      <c r="H84" s="532">
        <f t="shared" si="18"/>
        <v>1756235.0368453022</v>
      </c>
      <c r="I84" s="532">
        <f t="shared" si="18"/>
        <v>388717915.32085443</v>
      </c>
      <c r="J84" s="532">
        <f>J77</f>
        <v>78824110.817420691</v>
      </c>
      <c r="K84" s="532">
        <f t="shared" si="18"/>
        <v>211271320.41081285</v>
      </c>
      <c r="L84" s="532">
        <f t="shared" si="18"/>
        <v>64581935.083779074</v>
      </c>
      <c r="M84" s="532">
        <f>M77</f>
        <v>1796210.6128</v>
      </c>
      <c r="N84" s="532">
        <f>N77</f>
        <v>8861400.7717400007</v>
      </c>
      <c r="O84" s="532"/>
      <c r="P84" s="533">
        <f>SUM(D84:O84)</f>
        <v>5202717667.7137909</v>
      </c>
      <c r="Q84" s="149"/>
      <c r="R84" s="156"/>
      <c r="S84" s="159"/>
    </row>
    <row r="85" spans="1:20" ht="15.75" x14ac:dyDescent="0.25">
      <c r="A85" s="138"/>
      <c r="B85" s="10">
        <f t="shared" si="4"/>
        <v>35</v>
      </c>
      <c r="C85" s="75" t="s">
        <v>455</v>
      </c>
      <c r="D85" s="11"/>
      <c r="E85" s="530">
        <f t="shared" ref="E85:L85" si="19">E81</f>
        <v>12876768.167138001</v>
      </c>
      <c r="F85" s="530">
        <f t="shared" si="19"/>
        <v>9325290.9408780001</v>
      </c>
      <c r="G85" s="530">
        <f t="shared" si="19"/>
        <v>3064094.7444270002</v>
      </c>
      <c r="H85" s="530">
        <f t="shared" si="19"/>
        <v>22566.624601</v>
      </c>
      <c r="I85" s="530">
        <f t="shared" si="19"/>
        <v>172633.39161699999</v>
      </c>
      <c r="J85" s="530">
        <f>J81</f>
        <v>4631.6903400000001</v>
      </c>
      <c r="K85" s="530">
        <f t="shared" si="19"/>
        <v>3715.6449172000002</v>
      </c>
      <c r="L85" s="530">
        <f t="shared" si="19"/>
        <v>261922.08872700002</v>
      </c>
      <c r="M85" s="530">
        <f>M81</f>
        <v>0</v>
      </c>
      <c r="N85" s="530">
        <f>N81</f>
        <v>0</v>
      </c>
      <c r="O85" s="152"/>
      <c r="P85" s="534">
        <f>SUM(D85:O85)</f>
        <v>25731623.292645201</v>
      </c>
      <c r="Q85" s="161" t="s">
        <v>1138</v>
      </c>
      <c r="R85" s="150">
        <f>IF(P85=P81,TRUE,P85-P85)</f>
        <v>0</v>
      </c>
      <c r="S85" s="159"/>
    </row>
    <row r="86" spans="1:20" ht="20.25" x14ac:dyDescent="0.55000000000000004">
      <c r="A86" s="138"/>
      <c r="B86" s="10">
        <f t="shared" si="4"/>
        <v>36</v>
      </c>
      <c r="C86" s="1037" t="s">
        <v>1142</v>
      </c>
      <c r="D86" s="157"/>
      <c r="E86" s="531">
        <f t="shared" ref="E86:L86" si="20">(E74+E75+E76)/SUM($E$74:$L$76)*$P$86</f>
        <v>9433888.9896194078</v>
      </c>
      <c r="F86" s="531">
        <f t="shared" si="20"/>
        <v>387436.02284719649</v>
      </c>
      <c r="G86" s="531">
        <f t="shared" si="20"/>
        <v>6262175.1296309214</v>
      </c>
      <c r="H86" s="531">
        <f t="shared" si="20"/>
        <v>8518.1337266781975</v>
      </c>
      <c r="I86" s="531">
        <f t="shared" si="20"/>
        <v>1248455.9430275701</v>
      </c>
      <c r="J86" s="531">
        <f t="shared" si="20"/>
        <v>130913.00240664549</v>
      </c>
      <c r="K86" s="531">
        <f t="shared" si="20"/>
        <v>236672.86177321602</v>
      </c>
      <c r="L86" s="531">
        <f t="shared" si="20"/>
        <v>370244.67696835875</v>
      </c>
      <c r="M86" s="531">
        <v>0</v>
      </c>
      <c r="N86" s="531">
        <v>0</v>
      </c>
      <c r="O86" s="158"/>
      <c r="P86" s="617">
        <f>'[6]Page 9'!$O$42</f>
        <v>18078304.75999999</v>
      </c>
      <c r="Q86" s="161" t="s">
        <v>1166</v>
      </c>
      <c r="R86" s="150" t="b">
        <f>IF(SUM(E86:L86)=P86,TRUE,SUM(E86:L86)-P86)</f>
        <v>1</v>
      </c>
      <c r="S86" s="65"/>
    </row>
    <row r="87" spans="1:20" ht="15.75" x14ac:dyDescent="0.25">
      <c r="A87" s="138"/>
      <c r="B87" s="10">
        <f t="shared" si="4"/>
        <v>37</v>
      </c>
      <c r="C87" s="77" t="s">
        <v>434</v>
      </c>
      <c r="D87" s="79"/>
      <c r="E87" s="535">
        <f t="shared" ref="E87:L87" si="21">SUM(E84:E86)</f>
        <v>2603215929.4622936</v>
      </c>
      <c r="F87" s="535">
        <f t="shared" si="21"/>
        <v>103437883.95632638</v>
      </c>
      <c r="G87" s="535">
        <f t="shared" si="21"/>
        <v>1781604380.2354589</v>
      </c>
      <c r="H87" s="535">
        <f t="shared" si="21"/>
        <v>1787319.7951729803</v>
      </c>
      <c r="I87" s="535">
        <f t="shared" si="21"/>
        <v>390139004.65549898</v>
      </c>
      <c r="J87" s="535">
        <f>SUM(J84:J86)</f>
        <v>78959655.510167331</v>
      </c>
      <c r="K87" s="535">
        <f t="shared" si="21"/>
        <v>211511708.91750327</v>
      </c>
      <c r="L87" s="535">
        <f t="shared" si="21"/>
        <v>65214101.84947443</v>
      </c>
      <c r="M87" s="535">
        <f>SUM(M84:M86)</f>
        <v>1796210.6128</v>
      </c>
      <c r="N87" s="535">
        <f>SUM(N84:N86)</f>
        <v>8861400.7717400007</v>
      </c>
      <c r="O87" s="535"/>
      <c r="P87" s="536">
        <f>SUM(D87:O87)</f>
        <v>5246527595.7664366</v>
      </c>
      <c r="Q87" s="149"/>
      <c r="R87" s="1147">
        <f>IF(P87=S87,TRUE,P87-S87)</f>
        <v>10.292644500732422</v>
      </c>
      <c r="S87" s="517">
        <f>'[6]Page 9'!$O$45</f>
        <v>5246527585.4737921</v>
      </c>
    </row>
    <row r="88" spans="1:20" ht="15.75" x14ac:dyDescent="0.25">
      <c r="A88" s="138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518" t="s">
        <v>1179</v>
      </c>
    </row>
    <row r="89" spans="1:20" ht="15" x14ac:dyDescent="0.2">
      <c r="A89" s="138"/>
      <c r="B89" s="163"/>
      <c r="C89" s="729"/>
      <c r="D89" s="143"/>
      <c r="E89" s="164" t="b">
        <f t="shared" ref="E89:L89" si="22">IF(E61=E90,TRUE,E61-E90)</f>
        <v>1</v>
      </c>
      <c r="F89" s="164" t="b">
        <f t="shared" si="22"/>
        <v>1</v>
      </c>
      <c r="G89" s="164" t="b">
        <f t="shared" si="22"/>
        <v>1</v>
      </c>
      <c r="H89" s="164" t="b">
        <f t="shared" si="22"/>
        <v>1</v>
      </c>
      <c r="I89" s="164" t="b">
        <f t="shared" si="22"/>
        <v>1</v>
      </c>
      <c r="J89" s="164" t="b">
        <f>IF(J61=J90,TRUE,J61-J90)</f>
        <v>1</v>
      </c>
      <c r="K89" s="164" t="b">
        <f t="shared" si="22"/>
        <v>1</v>
      </c>
      <c r="L89" s="164" t="b">
        <f t="shared" si="22"/>
        <v>1</v>
      </c>
      <c r="M89" s="164" t="b">
        <f>IF(M61=M90,TRUE,M61-M90)</f>
        <v>1</v>
      </c>
      <c r="N89" s="164" t="b">
        <f>IF(N61=N90,TRUE,N61-N90)</f>
        <v>1</v>
      </c>
      <c r="O89" s="165"/>
      <c r="P89" s="143"/>
      <c r="Q89" s="143"/>
      <c r="R89" s="1123"/>
      <c r="S89" s="139"/>
    </row>
    <row r="90" spans="1:20" ht="15.75" x14ac:dyDescent="0.25">
      <c r="A90" s="138"/>
      <c r="B90" s="163"/>
      <c r="C90" s="143"/>
      <c r="D90" s="143"/>
      <c r="E90" s="166">
        <f>'[6]Page 9'!$O$17</f>
        <v>2580905272.3055363</v>
      </c>
      <c r="F90" s="167">
        <f>'[6]Page 9'!$O$19</f>
        <v>93725156.992601186</v>
      </c>
      <c r="G90" s="167">
        <f>'[6]Page 9'!$O$21+'[6]Page 9'!$O$22</f>
        <v>1756680018.7542796</v>
      </c>
      <c r="H90" s="167">
        <f>'[6]Page 9'!$O$24</f>
        <v>1756235.0368453022</v>
      </c>
      <c r="I90" s="167">
        <f>'[6]Page 9'!$O$26+'[6]Page 9'!$O$27</f>
        <v>381413704.72726142</v>
      </c>
      <c r="J90" s="167">
        <f>'[6]Page 9'!$O$28</f>
        <v>78526823.08079277</v>
      </c>
      <c r="K90" s="167">
        <f>'[6]Page 9'!$O$29</f>
        <v>210042143.02016366</v>
      </c>
      <c r="L90" s="167">
        <f>'[6]Page 9'!$O$35</f>
        <v>64581935.083779067</v>
      </c>
      <c r="M90" s="167">
        <f>'[6]Page 9'!$O$37</f>
        <v>1796210.6128</v>
      </c>
      <c r="N90" s="168">
        <f>'[6]Page 9'!$O$38</f>
        <v>8861400.7717400007</v>
      </c>
      <c r="O90" s="169"/>
      <c r="P90" s="305" t="b">
        <f>SUM(E90:N90)=P61</f>
        <v>1</v>
      </c>
      <c r="Q90" s="518" t="s">
        <v>1167</v>
      </c>
      <c r="R90" s="170"/>
      <c r="S90" s="139"/>
    </row>
    <row r="91" spans="1:20" ht="15" x14ac:dyDescent="0.2">
      <c r="A91" s="138"/>
      <c r="B91" s="141"/>
      <c r="C91" s="142"/>
      <c r="D91" s="142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38"/>
    </row>
    <row r="92" spans="1:20" x14ac:dyDescent="0.2">
      <c r="Q92" s="992"/>
    </row>
  </sheetData>
  <mergeCells count="1">
    <mergeCell ref="B45:L45"/>
  </mergeCells>
  <phoneticPr fontId="0" type="noConversion"/>
  <conditionalFormatting sqref="E24:K35 M24:N35">
    <cfRule type="cellIs" dxfId="0" priority="1" stopIfTrue="1" operator="equal">
      <formula>E$37</formula>
    </cfRule>
  </conditionalFormatting>
  <printOptions horizontalCentered="1"/>
  <pageMargins left="0.75" right="0.5" top="1.5" bottom="0.75" header="1" footer="0.5"/>
  <pageSetup scale="55" orientation="landscape" r:id="rId1"/>
  <headerFooter alignWithMargins="0">
    <oddHeader>&amp;RWP/ II-I-2.2
Page &amp;P of &amp;N</oddHeader>
  </headerFooter>
  <rowBreaks count="1" manualBreakCount="1">
    <brk id="42" min="1" max="1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46"/>
  <sheetViews>
    <sheetView tabSelected="1" view="pageBreakPreview" zoomScaleNormal="100" zoomScaleSheetLayoutView="100" workbookViewId="0">
      <selection activeCell="J32" sqref="J32"/>
    </sheetView>
  </sheetViews>
  <sheetFormatPr defaultColWidth="9" defaultRowHeight="14.25" x14ac:dyDescent="0.2"/>
  <cols>
    <col min="1" max="2" width="1" style="647" customWidth="1"/>
    <col min="3" max="3" width="28.875" style="647" customWidth="1"/>
    <col min="4" max="4" width="16.75" style="647" customWidth="1"/>
    <col min="5" max="5" width="14" style="647" customWidth="1"/>
    <col min="6" max="6" width="7" style="647" customWidth="1"/>
    <col min="7" max="7" width="10.25" style="647" customWidth="1"/>
    <col min="8" max="8" width="12.875" style="647" customWidth="1"/>
    <col min="9" max="9" width="15.75" style="647" customWidth="1"/>
    <col min="10" max="10" width="17.375" style="647" customWidth="1"/>
    <col min="11" max="11" width="13.375" style="647" customWidth="1"/>
    <col min="12" max="12" width="15.75" style="647" customWidth="1"/>
    <col min="13" max="13" width="12.125" style="647" customWidth="1"/>
    <col min="14" max="14" width="16.25" style="647" bestFit="1" customWidth="1"/>
    <col min="15" max="16384" width="9" style="647"/>
  </cols>
  <sheetData>
    <row r="1" spans="1:13" x14ac:dyDescent="0.2">
      <c r="A1" s="647" t="s">
        <v>0</v>
      </c>
      <c r="B1" s="645"/>
    </row>
    <row r="2" spans="1:13" ht="15" x14ac:dyDescent="0.2">
      <c r="B2" s="645"/>
      <c r="C2" s="752"/>
      <c r="D2" s="752"/>
      <c r="E2" s="752"/>
      <c r="F2" s="752"/>
      <c r="G2" s="752"/>
      <c r="H2" s="752"/>
      <c r="I2" s="752"/>
      <c r="J2" s="752"/>
      <c r="K2" s="752"/>
    </row>
    <row r="3" spans="1:13" ht="15" x14ac:dyDescent="0.2">
      <c r="B3" s="645"/>
      <c r="C3" s="752"/>
      <c r="D3" s="752"/>
      <c r="E3" s="752"/>
      <c r="F3" s="752"/>
      <c r="G3" s="752"/>
      <c r="H3" s="752"/>
      <c r="I3" s="752"/>
      <c r="J3" s="752"/>
      <c r="K3" s="752"/>
    </row>
    <row r="4" spans="1:13" ht="15" x14ac:dyDescent="0.2">
      <c r="B4" s="645"/>
      <c r="C4" s="752"/>
      <c r="D4" s="752"/>
      <c r="E4" s="752"/>
      <c r="F4" s="752"/>
      <c r="G4" s="752"/>
      <c r="H4" s="752"/>
      <c r="I4" s="752"/>
      <c r="J4" s="752"/>
      <c r="K4" s="752"/>
    </row>
    <row r="5" spans="1:13" ht="15.75" x14ac:dyDescent="0.25">
      <c r="B5" s="1641" t="str">
        <f>'WP II-I-1.1'!B3</f>
        <v>2025 RATE CASE</v>
      </c>
      <c r="C5" s="1641"/>
      <c r="D5" s="1641"/>
      <c r="E5" s="1641"/>
      <c r="F5" s="1641"/>
      <c r="G5" s="1641"/>
      <c r="H5" s="752"/>
      <c r="I5" s="752"/>
      <c r="J5" s="752"/>
      <c r="K5" s="752"/>
    </row>
    <row r="6" spans="1:13" ht="15.75" x14ac:dyDescent="0.25">
      <c r="B6" s="1641" t="str">
        <f>'WP II-I-1.1'!B4</f>
        <v>ONCOR ELECTRIC DELIVERY COMPANY LLC</v>
      </c>
      <c r="C6" s="1641"/>
      <c r="D6" s="1641"/>
      <c r="E6" s="1641"/>
      <c r="F6" s="1641"/>
      <c r="G6" s="1641"/>
      <c r="H6" s="752"/>
      <c r="I6" s="752"/>
      <c r="J6" s="752"/>
      <c r="K6" s="752"/>
    </row>
    <row r="7" spans="1:13" ht="15.75" x14ac:dyDescent="0.25">
      <c r="B7" s="1641" t="s">
        <v>1105</v>
      </c>
      <c r="C7" s="1641"/>
      <c r="D7" s="1641"/>
      <c r="E7" s="1641"/>
      <c r="F7" s="1641"/>
      <c r="G7" s="1641"/>
      <c r="H7" s="752"/>
      <c r="I7" s="752"/>
      <c r="J7" s="752"/>
      <c r="K7" s="752"/>
    </row>
    <row r="8" spans="1:13" ht="15.75" x14ac:dyDescent="0.25">
      <c r="B8" s="1641" t="str">
        <f>'WP II-I-1.1'!B6</f>
        <v>TEST YEAR ENDING 12/31/2024</v>
      </c>
      <c r="C8" s="1641"/>
      <c r="D8" s="1641"/>
      <c r="E8" s="1641"/>
      <c r="F8" s="1641"/>
      <c r="G8" s="1641"/>
      <c r="H8" s="752"/>
      <c r="I8" s="752"/>
      <c r="J8" s="752"/>
      <c r="K8" s="752"/>
    </row>
    <row r="9" spans="1:13" ht="15.75" x14ac:dyDescent="0.25">
      <c r="B9" s="1641" t="str">
        <f>'WP II-I-1.1'!B7</f>
        <v>SPONSOR:  MATTHEW A. TROXLE</v>
      </c>
      <c r="C9" s="1641"/>
      <c r="D9" s="1641"/>
      <c r="E9" s="1641"/>
      <c r="F9" s="1641"/>
      <c r="G9" s="1641"/>
      <c r="H9" s="752"/>
      <c r="I9" s="752"/>
      <c r="J9" s="752"/>
      <c r="K9" s="752"/>
    </row>
    <row r="10" spans="1:13" ht="15.75" x14ac:dyDescent="0.25">
      <c r="B10" s="3"/>
      <c r="C10" s="788"/>
      <c r="D10" s="787"/>
      <c r="E10" s="789"/>
      <c r="F10" s="789"/>
      <c r="G10" s="787"/>
      <c r="H10" s="752"/>
      <c r="I10" s="752"/>
      <c r="J10" s="752"/>
      <c r="K10" s="752"/>
    </row>
    <row r="11" spans="1:13" ht="14.25" customHeight="1" x14ac:dyDescent="0.25">
      <c r="B11" s="697"/>
      <c r="C11" s="787"/>
      <c r="D11" s="787"/>
      <c r="E11" s="790"/>
      <c r="F11" s="790"/>
      <c r="G11" s="787"/>
      <c r="H11" s="791"/>
      <c r="I11" s="791"/>
      <c r="J11" s="752"/>
      <c r="K11" s="752"/>
    </row>
    <row r="12" spans="1:13" ht="15.75" x14ac:dyDescent="0.25">
      <c r="B12" s="781"/>
      <c r="C12" s="792"/>
      <c r="D12" s="793"/>
      <c r="E12" s="793"/>
      <c r="F12" s="793"/>
      <c r="G12" s="793"/>
      <c r="H12" s="752"/>
      <c r="I12" s="752"/>
      <c r="J12" s="752"/>
      <c r="K12" s="752"/>
    </row>
    <row r="13" spans="1:13" ht="15.75" x14ac:dyDescent="0.25">
      <c r="B13" s="704"/>
      <c r="C13" s="794"/>
      <c r="D13" s="795"/>
      <c r="E13" s="795"/>
      <c r="F13" s="795"/>
      <c r="G13" s="795"/>
      <c r="H13" s="795"/>
      <c r="I13" s="795"/>
      <c r="J13" s="795"/>
      <c r="K13" s="795"/>
      <c r="L13" s="704"/>
      <c r="M13" s="731"/>
    </row>
    <row r="14" spans="1:13" ht="15" x14ac:dyDescent="0.2">
      <c r="B14" s="707"/>
      <c r="C14" s="752"/>
      <c r="D14" s="796"/>
      <c r="E14" s="796"/>
      <c r="F14" s="796"/>
      <c r="G14" s="796"/>
      <c r="H14" s="797"/>
      <c r="I14" s="797"/>
      <c r="J14" s="796"/>
      <c r="K14" s="796"/>
      <c r="L14" s="708"/>
      <c r="M14" s="732"/>
    </row>
    <row r="15" spans="1:13" ht="15" x14ac:dyDescent="0.2">
      <c r="B15" s="709"/>
      <c r="C15" s="752"/>
      <c r="D15" s="752"/>
      <c r="E15" s="752"/>
      <c r="F15" s="752"/>
      <c r="G15" s="752"/>
      <c r="H15" s="752"/>
      <c r="I15" s="752"/>
      <c r="J15" s="752"/>
      <c r="K15" s="752"/>
      <c r="M15" s="732"/>
    </row>
    <row r="16" spans="1:13" ht="15.75" customHeight="1" x14ac:dyDescent="0.25">
      <c r="B16" s="709"/>
      <c r="C16" s="1645" t="s">
        <v>957</v>
      </c>
      <c r="D16" s="1645"/>
      <c r="E16" s="1645"/>
      <c r="F16" s="1645"/>
      <c r="G16" s="1645"/>
      <c r="H16" s="1645"/>
      <c r="I16" s="1645"/>
      <c r="J16" s="1645"/>
      <c r="K16" s="1645"/>
      <c r="L16" s="711"/>
      <c r="M16" s="732"/>
    </row>
    <row r="17" spans="2:13" ht="15" x14ac:dyDescent="0.2">
      <c r="B17" s="709"/>
      <c r="C17" s="752" t="s">
        <v>959</v>
      </c>
      <c r="D17" s="798"/>
      <c r="E17" s="798"/>
      <c r="F17" s="798"/>
      <c r="G17" s="798"/>
      <c r="H17" s="798"/>
      <c r="I17" s="798"/>
      <c r="J17" s="798"/>
      <c r="K17" s="798"/>
      <c r="L17" s="714"/>
      <c r="M17" s="732"/>
    </row>
    <row r="18" spans="2:13" ht="15" x14ac:dyDescent="0.2">
      <c r="C18" s="752" t="s">
        <v>958</v>
      </c>
      <c r="D18" s="798"/>
      <c r="E18" s="798"/>
      <c r="F18" s="798"/>
      <c r="G18" s="798"/>
      <c r="H18" s="798"/>
      <c r="I18" s="798"/>
      <c r="J18" s="798"/>
      <c r="K18" s="798"/>
      <c r="L18" s="765"/>
      <c r="M18" s="732"/>
    </row>
    <row r="19" spans="2:13" ht="15.75" x14ac:dyDescent="0.25">
      <c r="C19" s="752"/>
      <c r="D19" s="799"/>
      <c r="E19" s="799"/>
      <c r="F19" s="799"/>
      <c r="G19" s="800"/>
      <c r="H19" s="801"/>
      <c r="I19" s="801"/>
      <c r="J19" s="799"/>
      <c r="K19" s="799"/>
      <c r="L19" s="719"/>
      <c r="M19" s="732"/>
    </row>
    <row r="20" spans="2:13" ht="15" x14ac:dyDescent="0.25">
      <c r="B20" s="782"/>
      <c r="C20" s="710"/>
      <c r="D20" s="711"/>
      <c r="E20" s="711"/>
      <c r="F20" s="711"/>
      <c r="G20" s="711"/>
      <c r="H20" s="733"/>
      <c r="I20" s="733"/>
      <c r="J20" s="711"/>
      <c r="K20" s="711"/>
      <c r="L20" s="711"/>
      <c r="M20" s="732"/>
    </row>
    <row r="21" spans="2:13" ht="15" x14ac:dyDescent="0.25">
      <c r="B21" s="782"/>
      <c r="C21" s="713"/>
      <c r="D21" s="720"/>
      <c r="E21" s="720"/>
      <c r="F21" s="720"/>
      <c r="G21" s="721"/>
      <c r="H21" s="733"/>
      <c r="I21" s="614"/>
      <c r="J21" s="711"/>
      <c r="K21" s="720"/>
      <c r="L21" s="711"/>
      <c r="M21" s="732"/>
    </row>
    <row r="22" spans="2:13" ht="15" x14ac:dyDescent="0.25">
      <c r="B22" s="709"/>
      <c r="C22" s="713"/>
      <c r="D22" s="714"/>
      <c r="E22" s="714"/>
      <c r="F22" s="714"/>
      <c r="G22" s="721"/>
      <c r="H22" s="733"/>
      <c r="I22" s="614"/>
      <c r="J22" s="711"/>
      <c r="K22" s="714"/>
      <c r="L22" s="711"/>
      <c r="M22" s="732"/>
    </row>
    <row r="23" spans="2:13" ht="15" x14ac:dyDescent="0.25">
      <c r="B23" s="709"/>
      <c r="C23" s="713"/>
      <c r="D23" s="714"/>
      <c r="E23" s="714"/>
      <c r="F23" s="714"/>
      <c r="G23" s="721"/>
      <c r="H23" s="733"/>
      <c r="I23" s="614"/>
      <c r="J23" s="711"/>
      <c r="K23" s="714"/>
      <c r="L23" s="711"/>
      <c r="M23" s="732"/>
    </row>
    <row r="24" spans="2:13" ht="15" x14ac:dyDescent="0.25">
      <c r="B24" s="709"/>
      <c r="C24" s="713"/>
      <c r="D24" s="714"/>
      <c r="E24" s="714"/>
      <c r="F24" s="714"/>
      <c r="G24" s="721"/>
      <c r="H24" s="733"/>
      <c r="I24" s="614"/>
      <c r="J24" s="711"/>
      <c r="K24" s="714"/>
      <c r="L24" s="711"/>
      <c r="M24" s="732"/>
    </row>
    <row r="25" spans="2:13" ht="15" x14ac:dyDescent="0.25">
      <c r="B25" s="709"/>
      <c r="C25" s="713"/>
      <c r="D25" s="714"/>
      <c r="E25" s="714"/>
      <c r="F25" s="714"/>
      <c r="G25" s="721"/>
      <c r="H25" s="733"/>
      <c r="I25" s="614"/>
      <c r="J25" s="711"/>
      <c r="K25" s="714"/>
      <c r="L25" s="711"/>
      <c r="M25" s="732"/>
    </row>
    <row r="26" spans="2:13" ht="15" x14ac:dyDescent="0.25">
      <c r="B26" s="709"/>
      <c r="C26" s="713"/>
      <c r="D26" s="714"/>
      <c r="E26" s="714"/>
      <c r="F26" s="714"/>
      <c r="G26" s="721"/>
      <c r="H26" s="733"/>
      <c r="I26" s="614"/>
      <c r="J26" s="711"/>
      <c r="K26" s="714"/>
      <c r="L26" s="711"/>
      <c r="M26" s="732"/>
    </row>
    <row r="27" spans="2:13" ht="15" x14ac:dyDescent="0.25">
      <c r="B27" s="709"/>
      <c r="C27" s="713"/>
      <c r="D27" s="714"/>
      <c r="E27" s="714"/>
      <c r="F27" s="714"/>
      <c r="G27" s="721"/>
      <c r="H27" s="733"/>
      <c r="I27" s="614"/>
      <c r="J27" s="711"/>
      <c r="K27" s="714"/>
      <c r="L27" s="711"/>
      <c r="M27" s="732"/>
    </row>
    <row r="28" spans="2:13" ht="19.5" x14ac:dyDescent="0.55000000000000004">
      <c r="B28" s="709"/>
      <c r="C28" s="713"/>
      <c r="D28" s="722"/>
      <c r="E28" s="722"/>
      <c r="F28" s="722"/>
      <c r="G28" s="723"/>
      <c r="H28" s="733"/>
      <c r="I28" s="733"/>
      <c r="J28" s="711"/>
      <c r="K28" s="722"/>
      <c r="L28" s="730"/>
      <c r="M28" s="732"/>
    </row>
    <row r="29" spans="2:13" ht="15" x14ac:dyDescent="0.25">
      <c r="B29" s="709"/>
      <c r="C29" s="710"/>
      <c r="D29" s="724"/>
      <c r="E29" s="724"/>
      <c r="F29" s="724"/>
      <c r="G29" s="724"/>
      <c r="H29" s="728"/>
      <c r="I29" s="728"/>
      <c r="J29" s="724"/>
      <c r="K29" s="724"/>
      <c r="L29" s="724"/>
      <c r="M29" s="732"/>
    </row>
    <row r="30" spans="2:13" x14ac:dyDescent="0.2">
      <c r="B30" s="709"/>
      <c r="C30" s="713"/>
      <c r="D30" s="714"/>
      <c r="E30" s="714"/>
      <c r="F30" s="714"/>
      <c r="G30" s="721"/>
      <c r="H30" s="728"/>
      <c r="I30" s="728"/>
      <c r="J30" s="714"/>
      <c r="K30" s="714"/>
      <c r="L30" s="721"/>
      <c r="M30" s="732"/>
    </row>
    <row r="31" spans="2:13" ht="16.5" x14ac:dyDescent="0.35">
      <c r="B31" s="709"/>
      <c r="C31" s="713"/>
      <c r="D31" s="722"/>
      <c r="E31" s="722"/>
      <c r="F31" s="722"/>
      <c r="G31" s="723"/>
      <c r="H31" s="728"/>
      <c r="I31" s="728"/>
      <c r="J31" s="722"/>
      <c r="K31" s="722"/>
      <c r="L31" s="721"/>
      <c r="M31" s="732"/>
    </row>
    <row r="32" spans="2:13" ht="15" x14ac:dyDescent="0.25">
      <c r="B32" s="709"/>
      <c r="C32" s="710"/>
      <c r="D32" s="711"/>
      <c r="E32" s="711"/>
      <c r="F32" s="711"/>
      <c r="G32" s="725"/>
      <c r="H32" s="728"/>
      <c r="I32" s="728"/>
      <c r="J32" s="711"/>
      <c r="K32" s="711"/>
      <c r="L32" s="725"/>
      <c r="M32" s="732"/>
    </row>
    <row r="33" spans="2:16" ht="15" x14ac:dyDescent="0.25">
      <c r="B33" s="709"/>
      <c r="C33" s="710"/>
      <c r="D33" s="711"/>
      <c r="E33" s="711"/>
      <c r="F33" s="711"/>
      <c r="G33" s="725"/>
    </row>
    <row r="34" spans="2:16" ht="15" x14ac:dyDescent="0.25">
      <c r="B34" s="709"/>
      <c r="C34" s="713"/>
      <c r="D34" s="711"/>
      <c r="E34" s="711"/>
      <c r="F34" s="711"/>
      <c r="G34" s="725"/>
    </row>
    <row r="35" spans="2:16" x14ac:dyDescent="0.2">
      <c r="B35" s="645"/>
    </row>
    <row r="36" spans="2:16" x14ac:dyDescent="0.2">
      <c r="B36" s="645"/>
      <c r="C36" s="691"/>
      <c r="D36" s="698"/>
      <c r="E36" s="698"/>
      <c r="F36" s="698"/>
      <c r="G36" s="698"/>
    </row>
    <row r="37" spans="2:16" x14ac:dyDescent="0.2">
      <c r="B37" s="645"/>
      <c r="H37" s="733"/>
      <c r="I37" s="614"/>
    </row>
    <row r="38" spans="2:16" x14ac:dyDescent="0.2">
      <c r="G38" s="692"/>
      <c r="K38" s="749"/>
    </row>
    <row r="39" spans="2:16" x14ac:dyDescent="0.2">
      <c r="G39" s="369"/>
      <c r="H39" s="369"/>
      <c r="I39" s="369"/>
      <c r="J39" s="369"/>
      <c r="K39" s="749"/>
      <c r="L39" s="369"/>
      <c r="M39" s="369"/>
      <c r="N39" s="369"/>
      <c r="O39" s="369"/>
      <c r="P39" s="369"/>
    </row>
    <row r="40" spans="2:16" x14ac:dyDescent="0.2">
      <c r="K40" s="749"/>
    </row>
    <row r="41" spans="2:16" x14ac:dyDescent="0.2">
      <c r="K41" s="749"/>
    </row>
    <row r="42" spans="2:16" x14ac:dyDescent="0.2">
      <c r="K42" s="749"/>
    </row>
    <row r="43" spans="2:16" x14ac:dyDescent="0.2">
      <c r="K43" s="749"/>
    </row>
    <row r="44" spans="2:16" x14ac:dyDescent="0.2">
      <c r="K44" s="749"/>
    </row>
    <row r="45" spans="2:16" x14ac:dyDescent="0.2">
      <c r="K45" s="749"/>
    </row>
    <row r="46" spans="2:16" x14ac:dyDescent="0.2">
      <c r="K46" s="749"/>
    </row>
  </sheetData>
  <mergeCells count="6">
    <mergeCell ref="C16:K16"/>
    <mergeCell ref="B5:G5"/>
    <mergeCell ref="B6:G6"/>
    <mergeCell ref="B7:G7"/>
    <mergeCell ref="B8:G8"/>
    <mergeCell ref="B9:G9"/>
  </mergeCells>
  <pageMargins left="1.5" right="0.5" top="1.25" bottom="0.75" header="1" footer="0.3"/>
  <pageSetup scale="96" orientation="portrait" r:id="rId1"/>
  <headerFooter>
    <oddHeader>&amp;R
Schedule II-I-3
Page 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31</vt:i4>
      </vt:variant>
    </vt:vector>
  </HeadingPairs>
  <TitlesOfParts>
    <vt:vector size="48" baseType="lpstr">
      <vt:lpstr>LinkSheet</vt:lpstr>
      <vt:lpstr>WP II-I-1.1</vt:lpstr>
      <vt:lpstr> WP II-I-1.4</vt:lpstr>
      <vt:lpstr>II-I-DIST</vt:lpstr>
      <vt:lpstr>II-I-MET</vt:lpstr>
      <vt:lpstr>II-I-TBILLTDCS</vt:lpstr>
      <vt:lpstr>II-I-Total</vt:lpstr>
      <vt:lpstr>II-I-2.1f</vt:lpstr>
      <vt:lpstr>WP II-I-2.1</vt:lpstr>
      <vt:lpstr>II-I Summary</vt:lpstr>
      <vt:lpstr>WP II-I-1.6</vt:lpstr>
      <vt:lpstr>WP II-I-1.9 </vt:lpstr>
      <vt:lpstr>WP II-I-1.2</vt:lpstr>
      <vt:lpstr>WP II-I-1.7</vt:lpstr>
      <vt:lpstr>II-I-1</vt:lpstr>
      <vt:lpstr>WP II-I-2.2</vt:lpstr>
      <vt:lpstr>II-I-3.1</vt:lpstr>
      <vt:lpstr>'II-I-MET'!FactorTable</vt:lpstr>
      <vt:lpstr>'II-I-TBILLTDCS'!FactorTable</vt:lpstr>
      <vt:lpstr>FactorTable</vt:lpstr>
      <vt:lpstr>FFT_D</vt:lpstr>
      <vt:lpstr>' WP II-I-1.4'!Print_Area</vt:lpstr>
      <vt:lpstr>'II-I Summary'!Print_Area</vt:lpstr>
      <vt:lpstr>'II-I-1'!Print_Area</vt:lpstr>
      <vt:lpstr>'II-I-2.1f'!Print_Area</vt:lpstr>
      <vt:lpstr>'II-I-3.1'!Print_Area</vt:lpstr>
      <vt:lpstr>'II-I-DIST'!Print_Area</vt:lpstr>
      <vt:lpstr>'II-I-MET'!Print_Area</vt:lpstr>
      <vt:lpstr>'II-I-TBILLTDCS'!Print_Area</vt:lpstr>
      <vt:lpstr>'II-I-Total'!Print_Area</vt:lpstr>
      <vt:lpstr>LinkSheet!Print_Area</vt:lpstr>
      <vt:lpstr>'WP II-I-1.1'!Print_Area</vt:lpstr>
      <vt:lpstr>'WP II-I-1.2'!Print_Area</vt:lpstr>
      <vt:lpstr>'WP II-I-1.6'!Print_Area</vt:lpstr>
      <vt:lpstr>'WP II-I-1.7'!Print_Area</vt:lpstr>
      <vt:lpstr>'WP II-I-1.9 '!Print_Area</vt:lpstr>
      <vt:lpstr>'WP II-I-2.1'!Print_Area</vt:lpstr>
      <vt:lpstr>'WP II-I-2.2'!Print_Area</vt:lpstr>
      <vt:lpstr>' WP II-I-1.4'!Print_Titles</vt:lpstr>
      <vt:lpstr>'II-I Summary'!Print_Titles</vt:lpstr>
      <vt:lpstr>'II-I-2.1f'!Print_Titles</vt:lpstr>
      <vt:lpstr>'II-I-DIST'!Print_Titles</vt:lpstr>
      <vt:lpstr>'II-I-MET'!Print_Titles</vt:lpstr>
      <vt:lpstr>'II-I-TBILLTDCS'!Print_Titles</vt:lpstr>
      <vt:lpstr>'II-I-Total'!Print_Titles</vt:lpstr>
      <vt:lpstr>'WP II-I-1.1'!Print_Titles</vt:lpstr>
      <vt:lpstr>'WP II-I-2.2'!Print_Titles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2025-06-25T18:41:08Z</dcterms:modified>
</cp:coreProperties>
</file>